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B1859CE2-3790-49C6-88A1-D64DC71A4A48}" xr6:coauthVersionLast="45" xr6:coauthVersionMax="45" xr10:uidLastSave="{00000000-0000-0000-0000-000000000000}"/>
  <bookViews>
    <workbookView xWindow="-120" yWindow="-120" windowWidth="20730" windowHeight="11760" xr2:uid="{00000000-000D-0000-FFFF-FFFF00000000}"/>
  </bookViews>
  <sheets>
    <sheet name="Gen_form" sheetId="1" r:id="rId1"/>
    <sheet name="Tables" sheetId="4" r:id="rId2"/>
    <sheet name="Sheet1" sheetId="2" r:id="rId3"/>
    <sheet name="DataPage" sheetId="3" r:id="rId4"/>
  </sheets>
  <definedNames>
    <definedName name="ALUM">Gen_form!$P$465:$P$466</definedName>
    <definedName name="ALUM_0">Gen_form!$M$465</definedName>
    <definedName name="ALUM_1">Gen_form!$M$466</definedName>
    <definedName name="ALUM_2">Gen_form!$M$467</definedName>
    <definedName name="ALUM_3">Gen_form!$M$468</definedName>
    <definedName name="ALUM_4">Gen_form!$M$469</definedName>
    <definedName name="ALUM_5">Gen_form!$M$470</definedName>
    <definedName name="ALUMHIGH">Gen_form!$P$466</definedName>
    <definedName name="ALUMLOW">Gen_form!$P$465</definedName>
    <definedName name="avgkvp">Gen_form!$Q$465</definedName>
    <definedName name="COMPG1">Gen_form!$B$133:$K$198</definedName>
    <definedName name="COMPG2">Gen_form!$B$199:$K$264</definedName>
    <definedName name="CTPG1">Gen_form!$B$727:$K$792</definedName>
    <definedName name="CTPG2">Gen_form!$B$793:$K$858</definedName>
    <definedName name="DHALF">Gen_form!$O$465:$O$470</definedName>
    <definedName name="EXP_0">Gen_form!$N$465</definedName>
    <definedName name="EXP_1">Gen_form!$N$466</definedName>
    <definedName name="EXP_2">Gen_form!$N$467</definedName>
    <definedName name="EXP_3">Gen_form!$N$468</definedName>
    <definedName name="EXP_4">Gen_form!$N$469</definedName>
    <definedName name="EXP_5">Gen_form!$N$470</definedName>
    <definedName name="EXP_BLD">Gen_form!$B$265:$K$330</definedName>
    <definedName name="EXPHIGH">Gen_form!$P$470</definedName>
    <definedName name="EXPLOW">Gen_form!$P$469</definedName>
    <definedName name="FIRST">Gen_form!$B$1:$K$132</definedName>
    <definedName name="FS_KV">Gen_form!$B$331:$K$396</definedName>
    <definedName name="HVL">Gen_form!$S$465</definedName>
    <definedName name="HVL_IMGQUAL">Gen_form!$B$595:$K$660</definedName>
    <definedName name="LFMAS">Gen_form!$P$207</definedName>
    <definedName name="LFSDD">Gen_form!$N$233</definedName>
    <definedName name="LIN">Gen_form!$B$529:$K$594</definedName>
    <definedName name="LN_EXP">Gen_form!$Q$469:$Q$470</definedName>
    <definedName name="MAXAVG">Gen_form!$U$444</definedName>
    <definedName name="OUTPUT">Gen_form!$B$661:$K$726</definedName>
    <definedName name="_xlnm.Print_Area" localSheetId="0">Gen_form!$B$1:$K$858</definedName>
    <definedName name="RadSafe">Gen_form!$M$514</definedName>
    <definedName name="REPRO">Gen_form!$B$397:$K$462</definedName>
    <definedName name="SFMAS">Gen_form!$P$212</definedName>
    <definedName name="SFSDD">Gen_form!$N$251</definedName>
    <definedName name="startend">Gen_form!$O$8</definedName>
    <definedName name="TBCM_IN">Gen_form!$V$182</definedName>
    <definedName name="TIM">Gen_form!$B$463:$K$528</definedName>
    <definedName name="TO10Group">Tables!$O$92:$O$104</definedName>
    <definedName name="TO10kVAdj">Tables!$I$92:$M$106</definedName>
    <definedName name="TO10Values">Tables!$A$113:$S$125</definedName>
    <definedName name="TO16Group">Tables!$A$127:$A$139</definedName>
    <definedName name="TO16Values">Tables!$A$127:$O$139</definedName>
    <definedName name="Z_E3496B94_97EB_4AAE_9FD7_F66109A2B11F_.wvu.PrintArea" localSheetId="0" hidden="1">Gen_form!$B$1:$K$198,Gen_form!$B$397:$K$858,Gen_form!$B$661:$K$858</definedName>
  </definedNames>
  <calcPr calcId="191029"/>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334" i="1" l="1"/>
  <c r="AD332" i="1"/>
  <c r="Q605" i="1"/>
  <c r="P605" i="1"/>
  <c r="O605" i="1"/>
  <c r="O599" i="1" l="1"/>
  <c r="O598" i="1"/>
  <c r="Q597" i="1" l="1"/>
  <c r="P597" i="1"/>
  <c r="Q593" i="1"/>
  <c r="P593" i="1"/>
  <c r="O597" i="1"/>
  <c r="O593" i="1"/>
  <c r="J145" i="4" l="1"/>
  <c r="I146" i="4"/>
  <c r="H146" i="4" s="1"/>
  <c r="F147" i="4"/>
  <c r="F148" i="4"/>
  <c r="F149" i="4"/>
  <c r="H143" i="4" s="1"/>
  <c r="F150" i="4"/>
  <c r="F151" i="4" s="1"/>
  <c r="I148" i="4" s="1"/>
  <c r="H148" i="4" s="1"/>
  <c r="O546" i="1"/>
  <c r="AD256" i="1"/>
  <c r="AD255" i="1"/>
  <c r="I147" i="4" l="1"/>
  <c r="H147" i="4" s="1"/>
  <c r="H149" i="4" s="1"/>
  <c r="Q666" i="1"/>
  <c r="Q665" i="1"/>
  <c r="Q664" i="1"/>
  <c r="Q663" i="1"/>
  <c r="Q662" i="1"/>
  <c r="P666" i="1"/>
  <c r="P665" i="1"/>
  <c r="P664" i="1"/>
  <c r="P663" i="1"/>
  <c r="P662" i="1"/>
  <c r="S547" i="1" l="1"/>
  <c r="T11" i="1" l="1"/>
  <c r="T12" i="1"/>
  <c r="T13" i="1"/>
  <c r="T14" i="1"/>
  <c r="T15" i="1"/>
  <c r="T18" i="1"/>
  <c r="T19" i="1"/>
  <c r="T20" i="1"/>
  <c r="T24" i="1"/>
  <c r="T25" i="1"/>
  <c r="T26" i="1"/>
  <c r="T28" i="1"/>
  <c r="T29" i="1"/>
  <c r="T32" i="1"/>
  <c r="T33" i="1"/>
  <c r="D639" i="1" l="1"/>
  <c r="D638" i="1"/>
  <c r="D637" i="1"/>
  <c r="D636" i="1"/>
  <c r="D635" i="1"/>
  <c r="D634" i="1"/>
  <c r="D633" i="1"/>
  <c r="D632" i="1"/>
  <c r="D631" i="1"/>
  <c r="D630" i="1"/>
  <c r="D629" i="1"/>
  <c r="D628" i="1"/>
  <c r="I628" i="1" l="1"/>
  <c r="I629" i="1"/>
  <c r="I630" i="1"/>
  <c r="I631" i="1"/>
  <c r="I632" i="1"/>
  <c r="I627" i="1"/>
  <c r="E629" i="1" l="1"/>
  <c r="F629" i="1" s="1"/>
  <c r="E630" i="1"/>
  <c r="F630" i="1" s="1"/>
  <c r="E631" i="1"/>
  <c r="F631" i="1" s="1"/>
  <c r="E632" i="1"/>
  <c r="F632" i="1" s="1"/>
  <c r="E633" i="1"/>
  <c r="F633" i="1" s="1"/>
  <c r="E634" i="1"/>
  <c r="F634" i="1" s="1"/>
  <c r="E635" i="1"/>
  <c r="F635" i="1" s="1"/>
  <c r="E636" i="1"/>
  <c r="F636" i="1" s="1"/>
  <c r="E637" i="1"/>
  <c r="F637" i="1" s="1"/>
  <c r="E638" i="1"/>
  <c r="F638" i="1" s="1"/>
  <c r="E639" i="1"/>
  <c r="F639" i="1" s="1"/>
  <c r="E628" i="1"/>
  <c r="F628" i="1" s="1"/>
  <c r="C139" i="4"/>
  <c r="C138" i="4"/>
  <c r="C137" i="4"/>
  <c r="C136" i="4"/>
  <c r="C135" i="4"/>
  <c r="C134" i="4"/>
  <c r="C133" i="4"/>
  <c r="C132" i="4"/>
  <c r="C131" i="4"/>
  <c r="C130" i="4"/>
  <c r="C129" i="4"/>
  <c r="C128" i="4"/>
  <c r="E757" i="1" l="1"/>
  <c r="E758" i="1"/>
  <c r="G755" i="1"/>
  <c r="F755" i="1"/>
  <c r="G754" i="1"/>
  <c r="F754" i="1"/>
  <c r="P598" i="1" l="1"/>
  <c r="P599" i="1" s="1"/>
  <c r="Q598" i="1"/>
  <c r="Q599" i="1" s="1"/>
  <c r="G756" i="1" l="1"/>
  <c r="AD330" i="1"/>
  <c r="F756" i="1"/>
  <c r="AD329" i="1"/>
  <c r="F761" i="1"/>
  <c r="G761" i="1" l="1"/>
  <c r="D844" i="1"/>
  <c r="D843" i="1"/>
  <c r="H844" i="1"/>
  <c r="H843" i="1"/>
  <c r="B839" i="1"/>
  <c r="C839" i="1"/>
  <c r="D838" i="1"/>
  <c r="D837" i="1"/>
  <c r="D836" i="1"/>
  <c r="D835" i="1"/>
  <c r="D834" i="1"/>
  <c r="D833" i="1"/>
  <c r="C837" i="1"/>
  <c r="C836" i="1"/>
  <c r="C835" i="1"/>
  <c r="C834" i="1"/>
  <c r="C833" i="1"/>
  <c r="F832" i="1"/>
  <c r="E832" i="1"/>
  <c r="E828" i="1"/>
  <c r="E827" i="1"/>
  <c r="J822" i="1"/>
  <c r="E824" i="1"/>
  <c r="E823" i="1"/>
  <c r="E822" i="1"/>
  <c r="D824" i="1"/>
  <c r="D823" i="1"/>
  <c r="D822" i="1"/>
  <c r="F817" i="1"/>
  <c r="F816" i="1"/>
  <c r="I810" i="1"/>
  <c r="H810" i="1"/>
  <c r="G810" i="1"/>
  <c r="F810" i="1"/>
  <c r="I809" i="1"/>
  <c r="H809" i="1"/>
  <c r="G809" i="1"/>
  <c r="F809" i="1"/>
  <c r="I814" i="1"/>
  <c r="H814" i="1"/>
  <c r="G814" i="1"/>
  <c r="F814" i="1"/>
  <c r="E814" i="1"/>
  <c r="I813" i="1"/>
  <c r="H813" i="1"/>
  <c r="G813" i="1"/>
  <c r="F813" i="1"/>
  <c r="E813" i="1"/>
  <c r="I811" i="1"/>
  <c r="H811" i="1"/>
  <c r="G811" i="1"/>
  <c r="F811" i="1"/>
  <c r="E811" i="1"/>
  <c r="E810" i="1"/>
  <c r="E809" i="1"/>
  <c r="E806" i="1"/>
  <c r="E805" i="1"/>
  <c r="G804" i="1"/>
  <c r="I797" i="1"/>
  <c r="H797" i="1"/>
  <c r="G797" i="1"/>
  <c r="F797" i="1"/>
  <c r="E797" i="1"/>
  <c r="I796" i="1"/>
  <c r="H796" i="1"/>
  <c r="G796" i="1"/>
  <c r="F796" i="1"/>
  <c r="E796" i="1"/>
  <c r="D796" i="1"/>
  <c r="I803" i="1"/>
  <c r="H803" i="1"/>
  <c r="G803" i="1"/>
  <c r="F803" i="1"/>
  <c r="E803" i="1"/>
  <c r="D803" i="1"/>
  <c r="I802" i="1"/>
  <c r="H802" i="1"/>
  <c r="G802" i="1"/>
  <c r="F802" i="1"/>
  <c r="E802" i="1"/>
  <c r="D802" i="1"/>
  <c r="I801" i="1"/>
  <c r="H801" i="1"/>
  <c r="G801" i="1"/>
  <c r="F801" i="1"/>
  <c r="E801" i="1"/>
  <c r="D801" i="1"/>
  <c r="I800" i="1"/>
  <c r="H800" i="1"/>
  <c r="G800" i="1"/>
  <c r="F800" i="1"/>
  <c r="E800" i="1"/>
  <c r="D800" i="1"/>
  <c r="I799" i="1"/>
  <c r="H799" i="1"/>
  <c r="G799" i="1"/>
  <c r="F799" i="1"/>
  <c r="E799" i="1"/>
  <c r="D799" i="1"/>
  <c r="I798" i="1"/>
  <c r="H798" i="1"/>
  <c r="G798" i="1"/>
  <c r="F798" i="1"/>
  <c r="E798" i="1"/>
  <c r="D798" i="1"/>
  <c r="D797" i="1"/>
  <c r="F794" i="1"/>
  <c r="K794" i="1"/>
  <c r="F728" i="1"/>
  <c r="K728" i="1"/>
  <c r="C779" i="1"/>
  <c r="B779" i="1"/>
  <c r="E776" i="1"/>
  <c r="G772" i="1"/>
  <c r="F772" i="1"/>
  <c r="E772" i="1"/>
  <c r="G771" i="1"/>
  <c r="F771" i="1"/>
  <c r="E771" i="1"/>
  <c r="G770" i="1"/>
  <c r="F770" i="1"/>
  <c r="E770" i="1"/>
  <c r="G769" i="1"/>
  <c r="F769" i="1"/>
  <c r="E769" i="1"/>
  <c r="D772" i="1"/>
  <c r="D771" i="1"/>
  <c r="D770" i="1"/>
  <c r="D769" i="1"/>
  <c r="G758" i="1"/>
  <c r="F758" i="1"/>
  <c r="G757" i="1"/>
  <c r="F757" i="1"/>
  <c r="E765" i="1"/>
  <c r="E764" i="1"/>
  <c r="E763" i="1"/>
  <c r="D763" i="1"/>
  <c r="O673" i="1" l="1"/>
  <c r="E844" i="1" s="1"/>
  <c r="O672" i="1"/>
  <c r="E843" i="1" s="1"/>
  <c r="F837" i="1"/>
  <c r="F836" i="1"/>
  <c r="F835" i="1"/>
  <c r="F834" i="1"/>
  <c r="F833" i="1"/>
  <c r="O657" i="1"/>
  <c r="N657" i="1"/>
  <c r="S644" i="1"/>
  <c r="R644" i="1"/>
  <c r="Q644" i="1"/>
  <c r="P644" i="1"/>
  <c r="O644" i="1"/>
  <c r="R620" i="1"/>
  <c r="Q620" i="1"/>
  <c r="P620" i="1"/>
  <c r="O620" i="1"/>
  <c r="O602" i="1"/>
  <c r="E759" i="1" s="1"/>
  <c r="P602" i="1"/>
  <c r="Q602" i="1"/>
  <c r="O607" i="1"/>
  <c r="P607" i="1"/>
  <c r="Q607" i="1"/>
  <c r="AC334" i="1"/>
  <c r="AC330" i="1"/>
  <c r="AC329" i="1"/>
  <c r="AC331" i="1"/>
  <c r="P565" i="1"/>
  <c r="D731" i="1" s="1"/>
  <c r="Q565" i="1"/>
  <c r="R565" i="1"/>
  <c r="P568" i="1"/>
  <c r="Q568" i="1"/>
  <c r="P606" i="1" s="1"/>
  <c r="R568" i="1"/>
  <c r="P569" i="1"/>
  <c r="D735" i="1" s="1"/>
  <c r="Q569" i="1"/>
  <c r="R569" i="1"/>
  <c r="P570" i="1"/>
  <c r="Q570" i="1"/>
  <c r="E736" i="1" s="1"/>
  <c r="R570" i="1"/>
  <c r="P571" i="1"/>
  <c r="Q571" i="1"/>
  <c r="R571" i="1"/>
  <c r="P572" i="1"/>
  <c r="Q572" i="1"/>
  <c r="R572" i="1"/>
  <c r="F738" i="1" s="1"/>
  <c r="P573" i="1"/>
  <c r="Q573" i="1"/>
  <c r="R573" i="1"/>
  <c r="P574" i="1"/>
  <c r="Q574" i="1"/>
  <c r="R574" i="1"/>
  <c r="P575" i="1"/>
  <c r="Q575" i="1"/>
  <c r="R575" i="1"/>
  <c r="P577" i="1"/>
  <c r="D743" i="1" s="1"/>
  <c r="Q577" i="1"/>
  <c r="R577" i="1"/>
  <c r="F743" i="1" s="1"/>
  <c r="P578" i="1"/>
  <c r="Q578" i="1"/>
  <c r="R578" i="1"/>
  <c r="P579" i="1"/>
  <c r="D745" i="1" s="1"/>
  <c r="Q579" i="1"/>
  <c r="R579" i="1"/>
  <c r="P580" i="1"/>
  <c r="Q580" i="1"/>
  <c r="E746" i="1" s="1"/>
  <c r="R580" i="1"/>
  <c r="P581" i="1"/>
  <c r="O589" i="1" s="1"/>
  <c r="E753" i="1" s="1"/>
  <c r="Q581" i="1"/>
  <c r="R581" i="1"/>
  <c r="R564" i="1"/>
  <c r="Q564" i="1"/>
  <c r="P564" i="1"/>
  <c r="AD313" i="1"/>
  <c r="AC313" i="1" s="1"/>
  <c r="AD296" i="1"/>
  <c r="AC296" i="1" s="1"/>
  <c r="AC308" i="1"/>
  <c r="AC289" i="1"/>
  <c r="R576" i="1"/>
  <c r="Q576" i="1"/>
  <c r="P576" i="1"/>
  <c r="R566" i="1"/>
  <c r="Q567" i="1"/>
  <c r="P566" i="1"/>
  <c r="F762" i="1" l="1"/>
  <c r="AD333" i="1"/>
  <c r="AC333" i="1" s="1"/>
  <c r="Q589" i="1"/>
  <c r="G753" i="1" s="1"/>
  <c r="AD326" i="1"/>
  <c r="F734" i="1"/>
  <c r="Q606" i="1"/>
  <c r="G762" i="1" s="1"/>
  <c r="AD307" i="1"/>
  <c r="AC307" i="1" s="1"/>
  <c r="P589" i="1"/>
  <c r="F753" i="1" s="1"/>
  <c r="E755" i="1"/>
  <c r="AD288" i="1"/>
  <c r="AC288" i="1" s="1"/>
  <c r="AD276" i="1"/>
  <c r="AC276" i="1" s="1"/>
  <c r="AD284" i="1"/>
  <c r="AC284" i="1" s="1"/>
  <c r="G759" i="1"/>
  <c r="Q603" i="1"/>
  <c r="Q604" i="1"/>
  <c r="G760" i="1" s="1"/>
  <c r="F759" i="1"/>
  <c r="P603" i="1"/>
  <c r="AD272" i="1"/>
  <c r="AC272" i="1" s="1"/>
  <c r="AD301" i="1"/>
  <c r="AC301" i="1" s="1"/>
  <c r="E741" i="1"/>
  <c r="AD277" i="1"/>
  <c r="AC277" i="1" s="1"/>
  <c r="D736" i="1"/>
  <c r="R662" i="1"/>
  <c r="G833" i="1" s="1"/>
  <c r="E833" i="1"/>
  <c r="AD293" i="1"/>
  <c r="AC293" i="1" s="1"/>
  <c r="E733" i="1"/>
  <c r="AC326" i="1"/>
  <c r="AD271" i="1"/>
  <c r="AC271" i="1" s="1"/>
  <c r="D730" i="1"/>
  <c r="AD287" i="1"/>
  <c r="AC287" i="1" s="1"/>
  <c r="D746" i="1"/>
  <c r="AD323" i="1"/>
  <c r="AC323" i="1" s="1"/>
  <c r="F744" i="1"/>
  <c r="AD303" i="1"/>
  <c r="AC303" i="1" s="1"/>
  <c r="E743" i="1"/>
  <c r="AD282" i="1"/>
  <c r="AC282" i="1" s="1"/>
  <c r="D741" i="1"/>
  <c r="AD318" i="1"/>
  <c r="AC318" i="1" s="1"/>
  <c r="F739" i="1"/>
  <c r="AD298" i="1"/>
  <c r="AC298" i="1" s="1"/>
  <c r="E738" i="1"/>
  <c r="AD278" i="1"/>
  <c r="AC278" i="1" s="1"/>
  <c r="D737" i="1"/>
  <c r="AD314" i="1"/>
  <c r="AC314" i="1" s="1"/>
  <c r="F735" i="1"/>
  <c r="AD294" i="1"/>
  <c r="AC294" i="1" s="1"/>
  <c r="E734" i="1"/>
  <c r="O621" i="1"/>
  <c r="D775" i="1" s="1"/>
  <c r="D773" i="1"/>
  <c r="O647" i="1"/>
  <c r="E815" i="1" s="1"/>
  <c r="E812" i="1"/>
  <c r="S647" i="1"/>
  <c r="I815" i="1" s="1"/>
  <c r="I812" i="1"/>
  <c r="AD302" i="1"/>
  <c r="AC302" i="1" s="1"/>
  <c r="E742" i="1"/>
  <c r="R621" i="1"/>
  <c r="G775" i="1" s="1"/>
  <c r="G773" i="1"/>
  <c r="R664" i="1"/>
  <c r="G835" i="1" s="1"/>
  <c r="E835" i="1"/>
  <c r="AD321" i="1"/>
  <c r="AC321" i="1" s="1"/>
  <c r="F742" i="1"/>
  <c r="AD322" i="1"/>
  <c r="AC322" i="1" s="1"/>
  <c r="AD290" i="1"/>
  <c r="AC290" i="1" s="1"/>
  <c r="E730" i="1"/>
  <c r="AD324" i="1"/>
  <c r="AC324" i="1" s="1"/>
  <c r="F745" i="1"/>
  <c r="AD304" i="1"/>
  <c r="AC304" i="1" s="1"/>
  <c r="E744" i="1"/>
  <c r="AD319" i="1"/>
  <c r="AC319" i="1" s="1"/>
  <c r="F740" i="1"/>
  <c r="AD299" i="1"/>
  <c r="AC299" i="1" s="1"/>
  <c r="E739" i="1"/>
  <c r="AD279" i="1"/>
  <c r="AC279" i="1" s="1"/>
  <c r="D738" i="1"/>
  <c r="AD315" i="1"/>
  <c r="AC315" i="1" s="1"/>
  <c r="F736" i="1"/>
  <c r="AD295" i="1"/>
  <c r="AC295" i="1" s="1"/>
  <c r="E735" i="1"/>
  <c r="AD275" i="1"/>
  <c r="AC275" i="1" s="1"/>
  <c r="D734" i="1"/>
  <c r="P621" i="1"/>
  <c r="E775" i="1" s="1"/>
  <c r="E773" i="1"/>
  <c r="P647" i="1"/>
  <c r="F815" i="1" s="1"/>
  <c r="F812" i="1"/>
  <c r="N658" i="1"/>
  <c r="D825" i="1"/>
  <c r="R663" i="1"/>
  <c r="G834" i="1" s="1"/>
  <c r="E834" i="1"/>
  <c r="R665" i="1"/>
  <c r="G836" i="1" s="1"/>
  <c r="E836" i="1"/>
  <c r="AD273" i="1"/>
  <c r="AC273" i="1" s="1"/>
  <c r="D732" i="1"/>
  <c r="AD281" i="1"/>
  <c r="AC281" i="1" s="1"/>
  <c r="D740" i="1"/>
  <c r="AD297" i="1"/>
  <c r="AC297" i="1" s="1"/>
  <c r="E737" i="1"/>
  <c r="AD291" i="1"/>
  <c r="AC291" i="1" s="1"/>
  <c r="E731" i="1"/>
  <c r="R647" i="1"/>
  <c r="H815" i="1" s="1"/>
  <c r="H812" i="1"/>
  <c r="R666" i="1"/>
  <c r="G837" i="1" s="1"/>
  <c r="E837" i="1"/>
  <c r="AD311" i="1"/>
  <c r="AC311" i="1" s="1"/>
  <c r="F732" i="1"/>
  <c r="Q566" i="1"/>
  <c r="AD283" i="1"/>
  <c r="AC283" i="1" s="1"/>
  <c r="D742" i="1"/>
  <c r="AD286" i="1"/>
  <c r="AC286" i="1" s="1"/>
  <c r="AD306" i="1"/>
  <c r="AC306" i="1" s="1"/>
  <c r="AD317" i="1"/>
  <c r="AC317" i="1" s="1"/>
  <c r="AD309" i="1"/>
  <c r="AC309" i="1" s="1"/>
  <c r="F730" i="1"/>
  <c r="AD325" i="1"/>
  <c r="AC325" i="1" s="1"/>
  <c r="F746" i="1"/>
  <c r="AD305" i="1"/>
  <c r="AC305" i="1" s="1"/>
  <c r="E745" i="1"/>
  <c r="AD285" i="1"/>
  <c r="AC285" i="1" s="1"/>
  <c r="D744" i="1"/>
  <c r="AD320" i="1"/>
  <c r="AC320" i="1" s="1"/>
  <c r="F741" i="1"/>
  <c r="AD300" i="1"/>
  <c r="AC300" i="1" s="1"/>
  <c r="E740" i="1"/>
  <c r="AD280" i="1"/>
  <c r="AC280" i="1" s="1"/>
  <c r="D739" i="1"/>
  <c r="AD316" i="1"/>
  <c r="AC316" i="1" s="1"/>
  <c r="F737" i="1"/>
  <c r="AD310" i="1"/>
  <c r="AC310" i="1" s="1"/>
  <c r="F731" i="1"/>
  <c r="Q621" i="1"/>
  <c r="F775" i="1" s="1"/>
  <c r="F773" i="1"/>
  <c r="Q647" i="1"/>
  <c r="G815" i="1" s="1"/>
  <c r="G812" i="1"/>
  <c r="O658" i="1"/>
  <c r="E826" i="1" s="1"/>
  <c r="E825" i="1"/>
  <c r="P604" i="1"/>
  <c r="F760" i="1" s="1"/>
  <c r="P567" i="1"/>
  <c r="R567" i="1"/>
  <c r="E754" i="1" l="1"/>
  <c r="AD328" i="1"/>
  <c r="AC328" i="1" s="1"/>
  <c r="AD292" i="1"/>
  <c r="AC292" i="1" s="1"/>
  <c r="E732" i="1"/>
  <c r="T655" i="1"/>
  <c r="J823" i="1" s="1"/>
  <c r="D826" i="1"/>
  <c r="AD274" i="1"/>
  <c r="AC274" i="1" s="1"/>
  <c r="D733" i="1"/>
  <c r="AD312" i="1"/>
  <c r="AC312" i="1" s="1"/>
  <c r="F733" i="1"/>
  <c r="E756" i="1" l="1"/>
  <c r="O604" i="1"/>
  <c r="E760" i="1" s="1"/>
  <c r="O606" i="1"/>
  <c r="E762" i="1" s="1"/>
  <c r="O603" i="1"/>
  <c r="T546" i="1"/>
  <c r="T545" i="1"/>
  <c r="T544" i="1"/>
  <c r="T543" i="1"/>
  <c r="T542" i="1"/>
  <c r="S548" i="1" s="1"/>
  <c r="O547" i="1"/>
  <c r="O548" i="1"/>
  <c r="O549" i="1"/>
  <c r="O550" i="1"/>
  <c r="O551" i="1"/>
  <c r="O552" i="1"/>
  <c r="O553" i="1"/>
  <c r="O554" i="1"/>
  <c r="O555" i="1"/>
  <c r="O556" i="1"/>
  <c r="O557" i="1"/>
  <c r="I633" i="1" l="1"/>
  <c r="S549" i="1"/>
  <c r="I634" i="1" s="1"/>
  <c r="B125" i="4"/>
  <c r="B124" i="4"/>
  <c r="B123" i="4"/>
  <c r="B122" i="4"/>
  <c r="B121" i="4"/>
  <c r="B120" i="4"/>
  <c r="B119" i="4"/>
  <c r="B118" i="4"/>
  <c r="B117" i="4"/>
  <c r="B116" i="4"/>
  <c r="B115" i="4"/>
  <c r="B114" i="4"/>
  <c r="Q104" i="4"/>
  <c r="Q103" i="4"/>
  <c r="Q102" i="4"/>
  <c r="Q101" i="4"/>
  <c r="Q100" i="4"/>
  <c r="Q99" i="4"/>
  <c r="Q98" i="4"/>
  <c r="Q97" i="4"/>
  <c r="Q96" i="4"/>
  <c r="Q95" i="4"/>
  <c r="Q94" i="4"/>
  <c r="Q93" i="4"/>
  <c r="O542" i="1"/>
  <c r="N542" i="1"/>
  <c r="S115" i="4" s="1"/>
  <c r="AC255" i="1"/>
  <c r="AD254" i="1"/>
  <c r="AC254" i="1" s="1"/>
  <c r="AD257" i="1"/>
  <c r="AC257" i="1" s="1"/>
  <c r="AD258" i="1"/>
  <c r="AC258" i="1" s="1"/>
  <c r="AD259" i="1"/>
  <c r="AC259" i="1" s="1"/>
  <c r="AD260" i="1"/>
  <c r="AC260" i="1" s="1"/>
  <c r="AD261" i="1"/>
  <c r="AC261" i="1" s="1"/>
  <c r="AD262" i="1"/>
  <c r="AC262" i="1" s="1"/>
  <c r="AD263" i="1"/>
  <c r="AC263" i="1" s="1"/>
  <c r="AD264" i="1"/>
  <c r="AC264" i="1" s="1"/>
  <c r="AD265" i="1"/>
  <c r="AC265" i="1" s="1"/>
  <c r="AD266" i="1"/>
  <c r="AC266" i="1" s="1"/>
  <c r="AD267" i="1"/>
  <c r="AC267" i="1" s="1"/>
  <c r="AC256" i="1"/>
  <c r="B97" i="4"/>
  <c r="B101" i="4"/>
  <c r="B105" i="4"/>
  <c r="B109" i="4"/>
  <c r="AE12" i="4"/>
  <c r="AC12" i="4"/>
  <c r="Z12" i="4"/>
  <c r="Y12" i="4"/>
  <c r="Z11" i="4"/>
  <c r="Y11" i="4"/>
  <c r="Z10" i="4"/>
  <c r="Y10" i="4"/>
  <c r="Z9" i="4"/>
  <c r="Y9" i="4"/>
  <c r="Z8" i="4"/>
  <c r="Y8" i="4"/>
  <c r="Z7" i="4"/>
  <c r="Y7" i="4"/>
  <c r="Z6" i="4"/>
  <c r="Y6" i="4"/>
  <c r="Z5" i="4"/>
  <c r="Y5" i="4"/>
  <c r="Z464" i="1"/>
  <c r="E761" i="1" l="1"/>
  <c r="AC332" i="1"/>
  <c r="E114" i="4"/>
  <c r="E117" i="4"/>
  <c r="I123" i="4"/>
  <c r="K118" i="4"/>
  <c r="O124" i="4"/>
  <c r="Q119" i="4"/>
  <c r="C125" i="4"/>
  <c r="M114" i="4"/>
  <c r="G124" i="4"/>
  <c r="I119" i="4"/>
  <c r="M125" i="4"/>
  <c r="O120" i="4"/>
  <c r="Q115" i="4"/>
  <c r="B94" i="4"/>
  <c r="C121" i="4"/>
  <c r="E125" i="4"/>
  <c r="D125" i="4" s="1"/>
  <c r="G120" i="4"/>
  <c r="I115" i="4"/>
  <c r="M121" i="4"/>
  <c r="O116" i="4"/>
  <c r="S122" i="4"/>
  <c r="C117" i="4"/>
  <c r="D117" i="4" s="1"/>
  <c r="E121" i="4"/>
  <c r="G116" i="4"/>
  <c r="K122" i="4"/>
  <c r="M117" i="4"/>
  <c r="Q123" i="4"/>
  <c r="S118" i="4"/>
  <c r="C124" i="4"/>
  <c r="C120" i="4"/>
  <c r="C116" i="4"/>
  <c r="G114" i="4"/>
  <c r="F114" i="4" s="1"/>
  <c r="O114" i="4"/>
  <c r="E124" i="4"/>
  <c r="D124" i="4" s="1"/>
  <c r="E120" i="4"/>
  <c r="E116" i="4"/>
  <c r="F116" i="4" s="1"/>
  <c r="G123" i="4"/>
  <c r="G119" i="4"/>
  <c r="G115" i="4"/>
  <c r="I122" i="4"/>
  <c r="J122" i="4" s="1"/>
  <c r="I118" i="4"/>
  <c r="K125" i="4"/>
  <c r="L125" i="4" s="1"/>
  <c r="K121" i="4"/>
  <c r="K117" i="4"/>
  <c r="M124" i="4"/>
  <c r="M120" i="4"/>
  <c r="M116" i="4"/>
  <c r="O123" i="4"/>
  <c r="P123" i="4" s="1"/>
  <c r="O119" i="4"/>
  <c r="O115" i="4"/>
  <c r="P115" i="4" s="1"/>
  <c r="Q122" i="4"/>
  <c r="Q118" i="4"/>
  <c r="R118" i="4" s="1"/>
  <c r="S125" i="4"/>
  <c r="S121" i="4"/>
  <c r="S117" i="4"/>
  <c r="C123" i="4"/>
  <c r="C119" i="4"/>
  <c r="C115" i="4"/>
  <c r="I114" i="4"/>
  <c r="Q114" i="4"/>
  <c r="P114" i="4" s="1"/>
  <c r="E123" i="4"/>
  <c r="F123" i="4" s="1"/>
  <c r="E119" i="4"/>
  <c r="F119" i="4" s="1"/>
  <c r="E115" i="4"/>
  <c r="F115" i="4" s="1"/>
  <c r="G122" i="4"/>
  <c r="G118" i="4"/>
  <c r="I125" i="4"/>
  <c r="J125" i="4" s="1"/>
  <c r="I121" i="4"/>
  <c r="I117" i="4"/>
  <c r="J117" i="4" s="1"/>
  <c r="K124" i="4"/>
  <c r="K120" i="4"/>
  <c r="L120" i="4" s="1"/>
  <c r="K116" i="4"/>
  <c r="M123" i="4"/>
  <c r="N123" i="4" s="1"/>
  <c r="M119" i="4"/>
  <c r="N119" i="4" s="1"/>
  <c r="M115" i="4"/>
  <c r="N115" i="4" s="1"/>
  <c r="O122" i="4"/>
  <c r="P122" i="4" s="1"/>
  <c r="O118" i="4"/>
  <c r="P118" i="4" s="1"/>
  <c r="Q125" i="4"/>
  <c r="R125" i="4" s="1"/>
  <c r="Q121" i="4"/>
  <c r="R121" i="4" s="1"/>
  <c r="Q117" i="4"/>
  <c r="R117" i="4" s="1"/>
  <c r="S124" i="4"/>
  <c r="S120" i="4"/>
  <c r="S116" i="4"/>
  <c r="C122" i="4"/>
  <c r="C118" i="4"/>
  <c r="C114" i="4"/>
  <c r="K114" i="4"/>
  <c r="J114" i="4" s="1"/>
  <c r="S114" i="4"/>
  <c r="E122" i="4"/>
  <c r="D122" i="4" s="1"/>
  <c r="E118" i="4"/>
  <c r="F118" i="4" s="1"/>
  <c r="G125" i="4"/>
  <c r="H125" i="4" s="1"/>
  <c r="G121" i="4"/>
  <c r="H121" i="4" s="1"/>
  <c r="G117" i="4"/>
  <c r="I124" i="4"/>
  <c r="H124" i="4" s="1"/>
  <c r="I120" i="4"/>
  <c r="H120" i="4" s="1"/>
  <c r="I116" i="4"/>
  <c r="K123" i="4"/>
  <c r="L123" i="4" s="1"/>
  <c r="K119" i="4"/>
  <c r="K115" i="4"/>
  <c r="L115" i="4" s="1"/>
  <c r="M122" i="4"/>
  <c r="N122" i="4" s="1"/>
  <c r="M118" i="4"/>
  <c r="N118" i="4" s="1"/>
  <c r="O125" i="4"/>
  <c r="P125" i="4" s="1"/>
  <c r="O121" i="4"/>
  <c r="P121" i="4" s="1"/>
  <c r="O117" i="4"/>
  <c r="Q124" i="4"/>
  <c r="P124" i="4" s="1"/>
  <c r="Q120" i="4"/>
  <c r="R120" i="4" s="1"/>
  <c r="Q116" i="4"/>
  <c r="R116" i="4" s="1"/>
  <c r="S123" i="4"/>
  <c r="S119" i="4"/>
  <c r="H123" i="4"/>
  <c r="H119" i="4"/>
  <c r="L121" i="4"/>
  <c r="R122" i="4"/>
  <c r="R115" i="4"/>
  <c r="P117" i="4"/>
  <c r="F121" i="4"/>
  <c r="R123" i="4"/>
  <c r="H118" i="4"/>
  <c r="N124" i="4"/>
  <c r="L122" i="4"/>
  <c r="L124" i="4"/>
  <c r="L116" i="4"/>
  <c r="J124" i="4"/>
  <c r="J116" i="4"/>
  <c r="F120" i="4"/>
  <c r="D114" i="4"/>
  <c r="B93" i="4"/>
  <c r="B108" i="4"/>
  <c r="B104" i="4"/>
  <c r="B100" i="4"/>
  <c r="B96" i="4"/>
  <c r="B111" i="4"/>
  <c r="B107" i="4"/>
  <c r="B103" i="4"/>
  <c r="B99" i="4"/>
  <c r="B95" i="4"/>
  <c r="B110" i="4"/>
  <c r="B106" i="4"/>
  <c r="B102" i="4"/>
  <c r="B98" i="4"/>
  <c r="AC90" i="4"/>
  <c r="AB90" i="4"/>
  <c r="AA90" i="4"/>
  <c r="Z90" i="4"/>
  <c r="G90" i="4"/>
  <c r="D90" i="4"/>
  <c r="C90" i="4"/>
  <c r="B90" i="4"/>
  <c r="AC89" i="4"/>
  <c r="AB89" i="4"/>
  <c r="AA89" i="4"/>
  <c r="Z89" i="4"/>
  <c r="G89" i="4"/>
  <c r="D89" i="4"/>
  <c r="C89" i="4"/>
  <c r="B89" i="4"/>
  <c r="AC88" i="4"/>
  <c r="AB88" i="4"/>
  <c r="AA88" i="4"/>
  <c r="Z88" i="4"/>
  <c r="G88" i="4"/>
  <c r="D88" i="4"/>
  <c r="C88" i="4"/>
  <c r="B88" i="4"/>
  <c r="AC87" i="4"/>
  <c r="AB87" i="4"/>
  <c r="AA87" i="4"/>
  <c r="Z87" i="4"/>
  <c r="G87" i="4"/>
  <c r="D87" i="4"/>
  <c r="C87" i="4"/>
  <c r="B87" i="4"/>
  <c r="AC86" i="4"/>
  <c r="AB86" i="4"/>
  <c r="AA86" i="4"/>
  <c r="Z86" i="4"/>
  <c r="G86" i="4"/>
  <c r="D86" i="4"/>
  <c r="C86" i="4"/>
  <c r="B86" i="4"/>
  <c r="AC85" i="4"/>
  <c r="AB85" i="4"/>
  <c r="AA85" i="4"/>
  <c r="Z85" i="4"/>
  <c r="G85" i="4"/>
  <c r="D85" i="4"/>
  <c r="C85" i="4"/>
  <c r="B85" i="4"/>
  <c r="AC84" i="4"/>
  <c r="AB84" i="4"/>
  <c r="AA84" i="4"/>
  <c r="Z84" i="4"/>
  <c r="G84" i="4"/>
  <c r="D84" i="4"/>
  <c r="C84" i="4"/>
  <c r="B84" i="4"/>
  <c r="AC83" i="4"/>
  <c r="AB83" i="4"/>
  <c r="AA83" i="4"/>
  <c r="Z83" i="4"/>
  <c r="G83" i="4"/>
  <c r="D83" i="4"/>
  <c r="C83" i="4"/>
  <c r="B83" i="4"/>
  <c r="AC82" i="4"/>
  <c r="AB82" i="4"/>
  <c r="AA82" i="4"/>
  <c r="Z82" i="4"/>
  <c r="G82" i="4"/>
  <c r="D82" i="4"/>
  <c r="C82" i="4"/>
  <c r="B82" i="4"/>
  <c r="AC81" i="4"/>
  <c r="AB81" i="4"/>
  <c r="AA81" i="4"/>
  <c r="Z81" i="4"/>
  <c r="G81" i="4"/>
  <c r="D81" i="4"/>
  <c r="C81" i="4"/>
  <c r="B81" i="4"/>
  <c r="AC80" i="4"/>
  <c r="AB80" i="4"/>
  <c r="AA80" i="4"/>
  <c r="Z80" i="4"/>
  <c r="G80" i="4"/>
  <c r="D80" i="4"/>
  <c r="C80" i="4"/>
  <c r="B80" i="4"/>
  <c r="AC79" i="4"/>
  <c r="AB79" i="4"/>
  <c r="AA79" i="4"/>
  <c r="Z79" i="4"/>
  <c r="G79" i="4"/>
  <c r="D79" i="4"/>
  <c r="C79" i="4"/>
  <c r="B79" i="4"/>
  <c r="AC78" i="4"/>
  <c r="AB78" i="4"/>
  <c r="AA78" i="4"/>
  <c r="Z78" i="4"/>
  <c r="G78" i="4"/>
  <c r="D78" i="4"/>
  <c r="C78" i="4"/>
  <c r="B78" i="4"/>
  <c r="AC77" i="4"/>
  <c r="AB77" i="4"/>
  <c r="AA77" i="4"/>
  <c r="Z77" i="4"/>
  <c r="G77" i="4"/>
  <c r="D77" i="4"/>
  <c r="C77" i="4"/>
  <c r="B77" i="4"/>
  <c r="AC76" i="4"/>
  <c r="AB76" i="4"/>
  <c r="AA76" i="4"/>
  <c r="Z76" i="4"/>
  <c r="G76" i="4"/>
  <c r="D76" i="4"/>
  <c r="C76" i="4"/>
  <c r="B76" i="4"/>
  <c r="AC75" i="4"/>
  <c r="AB75" i="4"/>
  <c r="AA75" i="4"/>
  <c r="Z75" i="4"/>
  <c r="G75" i="4"/>
  <c r="D75" i="4"/>
  <c r="C75" i="4"/>
  <c r="B75" i="4"/>
  <c r="AC74" i="4"/>
  <c r="AB74" i="4"/>
  <c r="AA74" i="4"/>
  <c r="Z74" i="4"/>
  <c r="G74" i="4"/>
  <c r="D74" i="4"/>
  <c r="C74" i="4"/>
  <c r="B74" i="4"/>
  <c r="AC73" i="4"/>
  <c r="AB73" i="4"/>
  <c r="AA73" i="4"/>
  <c r="Z73" i="4"/>
  <c r="G73" i="4"/>
  <c r="D73" i="4"/>
  <c r="C73" i="4"/>
  <c r="B73" i="4"/>
  <c r="AC72" i="4"/>
  <c r="AB72" i="4"/>
  <c r="AA72" i="4"/>
  <c r="Z72" i="4"/>
  <c r="G72" i="4"/>
  <c r="D72" i="4"/>
  <c r="C72" i="4"/>
  <c r="B72" i="4"/>
  <c r="AC71" i="4"/>
  <c r="AB71" i="4"/>
  <c r="AA71" i="4"/>
  <c r="Z71" i="4"/>
  <c r="G71" i="4"/>
  <c r="D71" i="4"/>
  <c r="C71" i="4"/>
  <c r="B71" i="4"/>
  <c r="AC70" i="4"/>
  <c r="AB70" i="4"/>
  <c r="AA70" i="4"/>
  <c r="Z70" i="4"/>
  <c r="G70" i="4"/>
  <c r="D70" i="4"/>
  <c r="C70" i="4"/>
  <c r="B70" i="4"/>
  <c r="AC69" i="4"/>
  <c r="AB69" i="4"/>
  <c r="AA69" i="4"/>
  <c r="Z69" i="4"/>
  <c r="G69" i="4"/>
  <c r="D69" i="4"/>
  <c r="C69" i="4"/>
  <c r="B69" i="4"/>
  <c r="AC68" i="4"/>
  <c r="AB68" i="4"/>
  <c r="AA68" i="4"/>
  <c r="Z68" i="4"/>
  <c r="G68" i="4"/>
  <c r="D68" i="4"/>
  <c r="C68" i="4"/>
  <c r="B68" i="4"/>
  <c r="AC67" i="4"/>
  <c r="AB67" i="4"/>
  <c r="AA67" i="4"/>
  <c r="Z67" i="4"/>
  <c r="G67" i="4"/>
  <c r="D67" i="4"/>
  <c r="C67" i="4"/>
  <c r="B67" i="4"/>
  <c r="AC66" i="4"/>
  <c r="AB66" i="4"/>
  <c r="AA66" i="4"/>
  <c r="Z66" i="4"/>
  <c r="G66" i="4"/>
  <c r="D66" i="4"/>
  <c r="C66" i="4"/>
  <c r="B66" i="4"/>
  <c r="AC65" i="4"/>
  <c r="AB65" i="4"/>
  <c r="AA65" i="4"/>
  <c r="Z65" i="4"/>
  <c r="G65" i="4"/>
  <c r="D65" i="4"/>
  <c r="C65" i="4"/>
  <c r="B65" i="4"/>
  <c r="AC64" i="4"/>
  <c r="AB64" i="4"/>
  <c r="AA64" i="4"/>
  <c r="Z64" i="4"/>
  <c r="G64" i="4"/>
  <c r="D64" i="4"/>
  <c r="C64" i="4"/>
  <c r="B64" i="4"/>
  <c r="AC63" i="4"/>
  <c r="AB63" i="4"/>
  <c r="AA63" i="4"/>
  <c r="Z63" i="4"/>
  <c r="G63" i="4"/>
  <c r="D63" i="4"/>
  <c r="C63" i="4"/>
  <c r="B63" i="4"/>
  <c r="AC62" i="4"/>
  <c r="AB62" i="4"/>
  <c r="AA62" i="4"/>
  <c r="Z62" i="4"/>
  <c r="G62" i="4"/>
  <c r="D62" i="4"/>
  <c r="C62" i="4"/>
  <c r="B62" i="4"/>
  <c r="AC61" i="4"/>
  <c r="AB61" i="4"/>
  <c r="AA61" i="4"/>
  <c r="Z61" i="4"/>
  <c r="G61" i="4"/>
  <c r="D61" i="4"/>
  <c r="C61" i="4"/>
  <c r="B61" i="4"/>
  <c r="AC60" i="4"/>
  <c r="AB60" i="4"/>
  <c r="AA60" i="4"/>
  <c r="Z60" i="4"/>
  <c r="G60" i="4"/>
  <c r="D60" i="4"/>
  <c r="C60" i="4"/>
  <c r="B60" i="4"/>
  <c r="AC59" i="4"/>
  <c r="AB59" i="4"/>
  <c r="AA59" i="4"/>
  <c r="Z59" i="4"/>
  <c r="G59" i="4"/>
  <c r="D59" i="4"/>
  <c r="C59" i="4"/>
  <c r="B59" i="4"/>
  <c r="AC58" i="4"/>
  <c r="AB58" i="4"/>
  <c r="AA58" i="4"/>
  <c r="Z58" i="4"/>
  <c r="G58" i="4"/>
  <c r="D58" i="4"/>
  <c r="C58" i="4"/>
  <c r="B58" i="4"/>
  <c r="AC57" i="4"/>
  <c r="AB57" i="4"/>
  <c r="AA57" i="4"/>
  <c r="Z57" i="4"/>
  <c r="G57" i="4"/>
  <c r="D57" i="4"/>
  <c r="C57" i="4"/>
  <c r="B57" i="4"/>
  <c r="AC56" i="4"/>
  <c r="AB56" i="4"/>
  <c r="AA56" i="4"/>
  <c r="Z56" i="4"/>
  <c r="G56" i="4"/>
  <c r="D56" i="4"/>
  <c r="C56" i="4"/>
  <c r="B56" i="4"/>
  <c r="AC55" i="4"/>
  <c r="AB55" i="4"/>
  <c r="AA55" i="4"/>
  <c r="Z55" i="4"/>
  <c r="G55" i="4"/>
  <c r="D55" i="4"/>
  <c r="C55" i="4"/>
  <c r="B55" i="4"/>
  <c r="AC54" i="4"/>
  <c r="AB54" i="4"/>
  <c r="AA54" i="4"/>
  <c r="Z54" i="4"/>
  <c r="G54" i="4"/>
  <c r="D54" i="4"/>
  <c r="C54" i="4"/>
  <c r="B54" i="4"/>
  <c r="AC53" i="4"/>
  <c r="AB53" i="4"/>
  <c r="AA53" i="4"/>
  <c r="Z53" i="4"/>
  <c r="G53" i="4"/>
  <c r="D53" i="4"/>
  <c r="C53" i="4"/>
  <c r="B53" i="4"/>
  <c r="AC52" i="4"/>
  <c r="AB52" i="4"/>
  <c r="AA52" i="4"/>
  <c r="Z52" i="4"/>
  <c r="G52" i="4"/>
  <c r="D52" i="4"/>
  <c r="C52" i="4"/>
  <c r="B52" i="4"/>
  <c r="AC51" i="4"/>
  <c r="AB51" i="4"/>
  <c r="AA51" i="4"/>
  <c r="Z51" i="4"/>
  <c r="G51" i="4"/>
  <c r="D51" i="4"/>
  <c r="C51" i="4"/>
  <c r="B51" i="4"/>
  <c r="AC50" i="4"/>
  <c r="AB50" i="4"/>
  <c r="AA50" i="4"/>
  <c r="Z50" i="4"/>
  <c r="G50" i="4"/>
  <c r="D50" i="4"/>
  <c r="C50" i="4"/>
  <c r="B50" i="4"/>
  <c r="AC49" i="4"/>
  <c r="AB49" i="4"/>
  <c r="AA49" i="4"/>
  <c r="Z49" i="4"/>
  <c r="G49" i="4"/>
  <c r="D49" i="4"/>
  <c r="C49" i="4"/>
  <c r="B49" i="4"/>
  <c r="D120" i="4" l="1"/>
  <c r="N117" i="4"/>
  <c r="H115" i="4"/>
  <c r="J119" i="4"/>
  <c r="P119" i="4"/>
  <c r="F124" i="4"/>
  <c r="R119" i="4"/>
  <c r="F117" i="4"/>
  <c r="L117" i="4"/>
  <c r="N120" i="4"/>
  <c r="J118" i="4"/>
  <c r="D115" i="4"/>
  <c r="L114" i="4"/>
  <c r="D118" i="4"/>
  <c r="H116" i="4"/>
  <c r="N116" i="4"/>
  <c r="P120" i="4"/>
  <c r="N114" i="4"/>
  <c r="L118" i="4"/>
  <c r="D116" i="4"/>
  <c r="P116" i="4"/>
  <c r="F125" i="4"/>
  <c r="R114" i="4"/>
  <c r="N121" i="4"/>
  <c r="D123" i="4"/>
  <c r="H114" i="4"/>
  <c r="J115" i="4"/>
  <c r="D121" i="4"/>
  <c r="J120" i="4"/>
  <c r="H122" i="4"/>
  <c r="H117" i="4"/>
  <c r="L119" i="4"/>
  <c r="N125" i="4"/>
  <c r="J121" i="4"/>
  <c r="R124" i="4"/>
  <c r="F122" i="4"/>
  <c r="J123" i="4"/>
  <c r="D119" i="4"/>
  <c r="D45" i="4"/>
  <c r="E90" i="4" s="1"/>
  <c r="D44" i="4"/>
  <c r="E89" i="4" s="1"/>
  <c r="D43" i="4"/>
  <c r="E88" i="4" s="1"/>
  <c r="D42" i="4"/>
  <c r="E87" i="4" s="1"/>
  <c r="D41" i="4"/>
  <c r="E86" i="4" s="1"/>
  <c r="D40" i="4"/>
  <c r="E85" i="4" s="1"/>
  <c r="D39" i="4"/>
  <c r="E84" i="4" s="1"/>
  <c r="D38" i="4"/>
  <c r="E83" i="4" s="1"/>
  <c r="D37" i="4"/>
  <c r="E82" i="4" s="1"/>
  <c r="D36" i="4"/>
  <c r="E81" i="4" s="1"/>
  <c r="D35" i="4"/>
  <c r="E80" i="4" s="1"/>
  <c r="D34" i="4"/>
  <c r="E79" i="4" s="1"/>
  <c r="D33" i="4"/>
  <c r="E78" i="4" s="1"/>
  <c r="D32" i="4"/>
  <c r="E77" i="4" s="1"/>
  <c r="D31" i="4"/>
  <c r="E76" i="4" s="1"/>
  <c r="D30" i="4"/>
  <c r="E75" i="4" s="1"/>
  <c r="D29" i="4"/>
  <c r="E74" i="4" s="1"/>
  <c r="D28" i="4"/>
  <c r="E73" i="4" s="1"/>
  <c r="D27" i="4"/>
  <c r="E72" i="4" s="1"/>
  <c r="D26" i="4"/>
  <c r="E71" i="4" s="1"/>
  <c r="D25" i="4"/>
  <c r="E70" i="4" s="1"/>
  <c r="D24" i="4"/>
  <c r="E69" i="4" s="1"/>
  <c r="D23" i="4"/>
  <c r="E68" i="4" s="1"/>
  <c r="D22" i="4"/>
  <c r="E67" i="4" s="1"/>
  <c r="D21" i="4"/>
  <c r="E66" i="4" s="1"/>
  <c r="D20" i="4"/>
  <c r="E65" i="4" s="1"/>
  <c r="D19" i="4"/>
  <c r="E64" i="4" s="1"/>
  <c r="D18" i="4"/>
  <c r="E63" i="4" s="1"/>
  <c r="D17" i="4"/>
  <c r="E62" i="4" s="1"/>
  <c r="D16" i="4"/>
  <c r="E61" i="4" s="1"/>
  <c r="D15" i="4"/>
  <c r="E60" i="4" s="1"/>
  <c r="D14" i="4"/>
  <c r="E59" i="4" s="1"/>
  <c r="D13" i="4"/>
  <c r="E58" i="4" s="1"/>
  <c r="D12" i="4"/>
  <c r="E57" i="4" s="1"/>
  <c r="D11" i="4"/>
  <c r="E56" i="4" s="1"/>
  <c r="D10" i="4"/>
  <c r="E55" i="4" s="1"/>
  <c r="D9" i="4"/>
  <c r="E54" i="4" s="1"/>
  <c r="D8" i="4"/>
  <c r="E53" i="4" s="1"/>
  <c r="D7" i="4"/>
  <c r="E52" i="4" s="1"/>
  <c r="D6" i="4"/>
  <c r="E51" i="4" s="1"/>
  <c r="D5" i="4"/>
  <c r="E50" i="4" s="1"/>
  <c r="D4" i="4"/>
  <c r="E49" i="4" s="1"/>
  <c r="M207" i="1" l="1"/>
  <c r="O190" i="1"/>
  <c r="AD72" i="1" s="1"/>
  <c r="AC72" i="1" s="1"/>
  <c r="P190" i="1"/>
  <c r="AD73" i="1" s="1"/>
  <c r="AC73" i="1" s="1"/>
  <c r="P189" i="1"/>
  <c r="AD71" i="1" s="1"/>
  <c r="AC71" i="1" s="1"/>
  <c r="O189" i="1"/>
  <c r="AD70" i="1" s="1"/>
  <c r="AC70" i="1" s="1"/>
  <c r="AD23" i="1" l="1"/>
  <c r="AC23" i="1" s="1"/>
  <c r="AD24" i="1"/>
  <c r="AC24" i="1" s="1"/>
  <c r="AD22" i="1"/>
  <c r="AC22" i="1" s="1"/>
  <c r="AA23" i="1"/>
  <c r="AA24" i="1"/>
  <c r="AA22" i="1"/>
  <c r="F662" i="1" l="1"/>
  <c r="K595" i="1"/>
  <c r="F596" i="1"/>
  <c r="F530" i="1"/>
  <c r="F464" i="1"/>
  <c r="F398" i="1"/>
  <c r="F200" i="1"/>
  <c r="K331" i="1"/>
  <c r="K266" i="1"/>
  <c r="K265" i="1"/>
  <c r="AD39" i="1" l="1"/>
  <c r="AC39" i="1" s="1"/>
  <c r="AD40" i="1"/>
  <c r="AC40" i="1" s="1"/>
  <c r="AD41" i="1"/>
  <c r="AC41" i="1" s="1"/>
  <c r="AD42" i="1"/>
  <c r="AC42" i="1" s="1"/>
  <c r="AD38" i="1"/>
  <c r="AC38" i="1" s="1"/>
  <c r="AA39" i="1"/>
  <c r="AA40" i="1"/>
  <c r="AA41" i="1"/>
  <c r="AA42" i="1"/>
  <c r="AA38" i="1"/>
  <c r="I11" i="1" l="1"/>
  <c r="J111" i="1" l="1"/>
  <c r="M52" i="1" l="1"/>
  <c r="AD56" i="1" l="1"/>
  <c r="AC56" i="1" s="1"/>
  <c r="O535" i="1"/>
  <c r="D169" i="1" s="1"/>
  <c r="J169" i="1"/>
  <c r="K169" i="1"/>
  <c r="P213" i="1"/>
  <c r="K362" i="1" l="1"/>
  <c r="H362" i="1"/>
  <c r="Y62" i="3" l="1"/>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Y33" i="3"/>
  <c r="X33" i="3"/>
  <c r="W33" i="3"/>
  <c r="V33" i="3"/>
  <c r="U33" i="3"/>
  <c r="T33" i="3"/>
  <c r="S33" i="3"/>
  <c r="R33" i="3"/>
  <c r="Q33" i="3"/>
  <c r="P33" i="3"/>
  <c r="O33" i="3"/>
  <c r="N33" i="3"/>
  <c r="M33" i="3"/>
  <c r="L33" i="3"/>
  <c r="K33" i="3"/>
  <c r="J33" i="3"/>
  <c r="I33" i="3"/>
  <c r="H33" i="3"/>
  <c r="F33" i="3"/>
  <c r="Y32" i="3"/>
  <c r="X32" i="3"/>
  <c r="W32" i="3"/>
  <c r="V32" i="3"/>
  <c r="U32" i="3"/>
  <c r="T32" i="3"/>
  <c r="S32" i="3"/>
  <c r="R32" i="3"/>
  <c r="Q32" i="3"/>
  <c r="P32" i="3"/>
  <c r="O32" i="3"/>
  <c r="N32" i="3"/>
  <c r="M32" i="3"/>
  <c r="L32" i="3"/>
  <c r="K32" i="3"/>
  <c r="J32" i="3"/>
  <c r="I32" i="3"/>
  <c r="H32" i="3"/>
  <c r="F32" i="3"/>
  <c r="Y31" i="3"/>
  <c r="X31" i="3"/>
  <c r="W31" i="3"/>
  <c r="V31" i="3"/>
  <c r="U31" i="3"/>
  <c r="T31" i="3"/>
  <c r="S31" i="3"/>
  <c r="R31" i="3"/>
  <c r="Q31" i="3"/>
  <c r="P31" i="3"/>
  <c r="O31" i="3"/>
  <c r="N31" i="3"/>
  <c r="M31" i="3"/>
  <c r="L31" i="3"/>
  <c r="K31" i="3"/>
  <c r="J31" i="3"/>
  <c r="I31" i="3"/>
  <c r="H31" i="3"/>
  <c r="F31" i="3"/>
  <c r="Y30" i="3"/>
  <c r="X30" i="3"/>
  <c r="W30" i="3"/>
  <c r="V30" i="3"/>
  <c r="U30" i="3"/>
  <c r="T30" i="3"/>
  <c r="S30" i="3"/>
  <c r="R30" i="3"/>
  <c r="Q30" i="3"/>
  <c r="P30" i="3"/>
  <c r="O30" i="3"/>
  <c r="N30" i="3"/>
  <c r="M30" i="3"/>
  <c r="L30" i="3"/>
  <c r="K30" i="3"/>
  <c r="J30" i="3"/>
  <c r="I30" i="3"/>
  <c r="H30" i="3"/>
  <c r="F30" i="3"/>
  <c r="Y29" i="3"/>
  <c r="X29" i="3"/>
  <c r="W29" i="3"/>
  <c r="V29" i="3"/>
  <c r="U29" i="3"/>
  <c r="T29" i="3"/>
  <c r="S29" i="3"/>
  <c r="R29" i="3"/>
  <c r="Q29" i="3"/>
  <c r="P29" i="3"/>
  <c r="O29" i="3"/>
  <c r="N29" i="3"/>
  <c r="M29" i="3"/>
  <c r="L29" i="3"/>
  <c r="K29" i="3"/>
  <c r="J29" i="3"/>
  <c r="I29" i="3"/>
  <c r="H29" i="3"/>
  <c r="F29" i="3"/>
  <c r="Y28" i="3"/>
  <c r="X28" i="3"/>
  <c r="W28" i="3"/>
  <c r="V28" i="3"/>
  <c r="U28" i="3"/>
  <c r="T28" i="3"/>
  <c r="S28" i="3"/>
  <c r="R28" i="3"/>
  <c r="Q28" i="3"/>
  <c r="P28" i="3"/>
  <c r="O28" i="3"/>
  <c r="N28" i="3"/>
  <c r="M28" i="3"/>
  <c r="L28" i="3"/>
  <c r="K28" i="3"/>
  <c r="J28" i="3"/>
  <c r="I28" i="3"/>
  <c r="H28" i="3"/>
  <c r="F28" i="3"/>
  <c r="Y27" i="3"/>
  <c r="X27" i="3"/>
  <c r="W27" i="3"/>
  <c r="V27" i="3"/>
  <c r="U27" i="3"/>
  <c r="T27" i="3"/>
  <c r="S27" i="3"/>
  <c r="R27" i="3"/>
  <c r="Q27" i="3"/>
  <c r="P27" i="3"/>
  <c r="O27" i="3"/>
  <c r="N27" i="3"/>
  <c r="M27" i="3"/>
  <c r="L27" i="3"/>
  <c r="K27" i="3"/>
  <c r="J27" i="3"/>
  <c r="I27" i="3"/>
  <c r="H27" i="3"/>
  <c r="F27" i="3"/>
  <c r="Y26" i="3"/>
  <c r="X26" i="3"/>
  <c r="W26" i="3"/>
  <c r="V26" i="3"/>
  <c r="U26" i="3"/>
  <c r="T26" i="3"/>
  <c r="S26" i="3"/>
  <c r="R26" i="3"/>
  <c r="Q26" i="3"/>
  <c r="P26" i="3"/>
  <c r="O26" i="3"/>
  <c r="N26" i="3"/>
  <c r="M26" i="3"/>
  <c r="L26" i="3"/>
  <c r="K26" i="3"/>
  <c r="J26" i="3"/>
  <c r="I26" i="3"/>
  <c r="H26" i="3"/>
  <c r="F26" i="3"/>
  <c r="Y25" i="3"/>
  <c r="X25" i="3"/>
  <c r="W25" i="3"/>
  <c r="V25" i="3"/>
  <c r="U25" i="3"/>
  <c r="T25" i="3"/>
  <c r="S25" i="3"/>
  <c r="R25" i="3"/>
  <c r="Q25" i="3"/>
  <c r="P25" i="3"/>
  <c r="O25" i="3"/>
  <c r="N25" i="3"/>
  <c r="M25" i="3"/>
  <c r="L25" i="3"/>
  <c r="K25" i="3"/>
  <c r="J25" i="3"/>
  <c r="I25" i="3"/>
  <c r="H25" i="3"/>
  <c r="F25" i="3"/>
  <c r="Y24" i="3"/>
  <c r="X24" i="3"/>
  <c r="W24" i="3"/>
  <c r="V24" i="3"/>
  <c r="U24" i="3"/>
  <c r="T24" i="3"/>
  <c r="S24" i="3"/>
  <c r="R24" i="3"/>
  <c r="Q24" i="3"/>
  <c r="P24" i="3"/>
  <c r="O24" i="3"/>
  <c r="N24" i="3"/>
  <c r="M24" i="3"/>
  <c r="L24" i="3"/>
  <c r="K24" i="3"/>
  <c r="J24" i="3"/>
  <c r="I24" i="3"/>
  <c r="H24" i="3"/>
  <c r="F24" i="3"/>
  <c r="Y23" i="3"/>
  <c r="X23" i="3"/>
  <c r="W23" i="3"/>
  <c r="V23" i="3"/>
  <c r="U23" i="3"/>
  <c r="T23" i="3"/>
  <c r="S23" i="3"/>
  <c r="R23" i="3"/>
  <c r="Q23" i="3"/>
  <c r="P23" i="3"/>
  <c r="O23" i="3"/>
  <c r="N23" i="3"/>
  <c r="M23" i="3"/>
  <c r="L23" i="3"/>
  <c r="K23" i="3"/>
  <c r="J23" i="3"/>
  <c r="I23" i="3"/>
  <c r="H23" i="3"/>
  <c r="F23" i="3"/>
  <c r="Y22" i="3"/>
  <c r="X22" i="3"/>
  <c r="W22" i="3"/>
  <c r="V22" i="3"/>
  <c r="U22" i="3"/>
  <c r="T22" i="3"/>
  <c r="S22" i="3"/>
  <c r="R22" i="3"/>
  <c r="Q22" i="3"/>
  <c r="P22" i="3"/>
  <c r="O22" i="3"/>
  <c r="N22" i="3"/>
  <c r="M22" i="3"/>
  <c r="L22" i="3"/>
  <c r="K22" i="3"/>
  <c r="J22" i="3"/>
  <c r="I22" i="3"/>
  <c r="H22" i="3"/>
  <c r="F22" i="3"/>
  <c r="Y21" i="3"/>
  <c r="X21" i="3"/>
  <c r="W21" i="3"/>
  <c r="V21" i="3"/>
  <c r="U21" i="3"/>
  <c r="T21" i="3"/>
  <c r="S21" i="3"/>
  <c r="R21" i="3"/>
  <c r="Q21" i="3"/>
  <c r="P21" i="3"/>
  <c r="O21" i="3"/>
  <c r="N21" i="3"/>
  <c r="M21" i="3"/>
  <c r="L21" i="3"/>
  <c r="K21" i="3"/>
  <c r="J21" i="3"/>
  <c r="I21" i="3"/>
  <c r="H21" i="3"/>
  <c r="F21" i="3"/>
  <c r="B4" i="3"/>
  <c r="B3" i="3"/>
  <c r="P21" i="1" l="1"/>
  <c r="AD21" i="1" s="1"/>
  <c r="AC21" i="1" s="1"/>
  <c r="E21" i="1" l="1"/>
  <c r="C67" i="3"/>
  <c r="C72" i="3" l="1"/>
  <c r="B72" i="3"/>
  <c r="C71" i="3"/>
  <c r="B71" i="3"/>
  <c r="C70" i="3"/>
  <c r="B70" i="3"/>
  <c r="C69" i="3"/>
  <c r="B69" i="3"/>
  <c r="C68" i="3"/>
  <c r="B68" i="3"/>
  <c r="B67" i="3"/>
  <c r="B66" i="3"/>
  <c r="C65" i="3"/>
  <c r="B65" i="3"/>
  <c r="C64" i="3"/>
  <c r="B64" i="3"/>
  <c r="C63" i="3"/>
  <c r="B63" i="3"/>
  <c r="D57" i="3" l="1"/>
  <c r="AC39" i="3" l="1"/>
  <c r="AB39" i="3"/>
  <c r="AA39" i="3"/>
  <c r="Z39" i="3"/>
  <c r="G39" i="3"/>
  <c r="D39" i="3"/>
  <c r="C39" i="3"/>
  <c r="B39" i="3"/>
  <c r="Z21" i="3" l="1"/>
  <c r="M469" i="1" l="1"/>
  <c r="M465" i="1"/>
  <c r="B41" i="3"/>
  <c r="C41" i="3"/>
  <c r="D41" i="3"/>
  <c r="G41" i="3"/>
  <c r="Z41" i="3"/>
  <c r="AA41" i="3"/>
  <c r="AB41" i="3"/>
  <c r="AC41" i="3"/>
  <c r="AC22" i="3"/>
  <c r="AB22" i="3"/>
  <c r="AA22" i="3"/>
  <c r="Z22" i="3"/>
  <c r="G22" i="3"/>
  <c r="D22" i="3"/>
  <c r="C22" i="3"/>
  <c r="B22" i="3"/>
  <c r="AC62" i="3" l="1"/>
  <c r="AC61" i="3"/>
  <c r="AC60" i="3"/>
  <c r="AC59" i="3"/>
  <c r="AC58" i="3"/>
  <c r="AC57" i="3"/>
  <c r="AC56" i="3"/>
  <c r="AC55" i="3"/>
  <c r="AC54" i="3"/>
  <c r="AC53" i="3"/>
  <c r="AC52" i="3"/>
  <c r="AC51" i="3"/>
  <c r="AC50" i="3"/>
  <c r="AC49" i="3"/>
  <c r="AC48" i="3"/>
  <c r="AC47" i="3"/>
  <c r="AC46" i="3"/>
  <c r="AC45" i="3"/>
  <c r="AC44" i="3"/>
  <c r="AC43" i="3"/>
  <c r="AC42" i="3"/>
  <c r="AC37" i="3"/>
  <c r="AC36" i="3"/>
  <c r="AC35" i="3"/>
  <c r="AC34" i="3"/>
  <c r="AC33" i="3"/>
  <c r="AC32" i="3"/>
  <c r="AC31" i="3"/>
  <c r="AC30" i="3"/>
  <c r="AC29" i="3"/>
  <c r="AC28" i="3"/>
  <c r="AC27" i="3"/>
  <c r="AC26" i="3"/>
  <c r="AC25" i="3"/>
  <c r="AC24" i="3"/>
  <c r="AC23" i="3"/>
  <c r="AC21" i="3" l="1"/>
  <c r="AC38" i="3"/>
  <c r="AC40" i="3"/>
  <c r="D62" i="3"/>
  <c r="D61" i="3"/>
  <c r="D60" i="3"/>
  <c r="D59" i="3"/>
  <c r="D58" i="3"/>
  <c r="D56" i="3"/>
  <c r="D55" i="3"/>
  <c r="D54" i="3"/>
  <c r="D53" i="3"/>
  <c r="D52" i="3"/>
  <c r="D51" i="3"/>
  <c r="D50" i="3"/>
  <c r="D49" i="3"/>
  <c r="D48" i="3"/>
  <c r="D47" i="3"/>
  <c r="D46" i="3"/>
  <c r="D45" i="3"/>
  <c r="D44" i="3"/>
  <c r="D43" i="3"/>
  <c r="D42" i="3"/>
  <c r="D40" i="3"/>
  <c r="D38" i="3"/>
  <c r="D37" i="3"/>
  <c r="D36" i="3"/>
  <c r="D35" i="3"/>
  <c r="D34" i="3"/>
  <c r="D33" i="3"/>
  <c r="D32" i="3"/>
  <c r="D31" i="3"/>
  <c r="D30" i="3"/>
  <c r="D29" i="3"/>
  <c r="D28" i="3"/>
  <c r="D27" i="3"/>
  <c r="D26" i="3"/>
  <c r="D25" i="3"/>
  <c r="D24" i="3"/>
  <c r="D23" i="3"/>
  <c r="D21" i="3"/>
  <c r="G62" i="3" l="1"/>
  <c r="G61" i="3"/>
  <c r="G60" i="3"/>
  <c r="G59" i="3"/>
  <c r="G58" i="3"/>
  <c r="G57" i="3"/>
  <c r="G56" i="3"/>
  <c r="G55" i="3"/>
  <c r="G54" i="3"/>
  <c r="G53" i="3"/>
  <c r="G52" i="3"/>
  <c r="G51" i="3"/>
  <c r="G50" i="3"/>
  <c r="G49" i="3"/>
  <c r="G48" i="3"/>
  <c r="G47" i="3"/>
  <c r="G46" i="3"/>
  <c r="G45" i="3"/>
  <c r="G44" i="3"/>
  <c r="G43" i="3"/>
  <c r="G42" i="3"/>
  <c r="G37" i="3"/>
  <c r="G36" i="3"/>
  <c r="G35" i="3"/>
  <c r="G34" i="3"/>
  <c r="G33" i="3"/>
  <c r="G32" i="3"/>
  <c r="G31" i="3"/>
  <c r="G30" i="3"/>
  <c r="G29" i="3"/>
  <c r="G28" i="3"/>
  <c r="G27" i="3"/>
  <c r="G26" i="3"/>
  <c r="G25" i="3"/>
  <c r="G24" i="3"/>
  <c r="G23" i="3"/>
  <c r="G40" i="3" l="1"/>
  <c r="G21" i="3"/>
  <c r="G38" i="3"/>
  <c r="E54" i="3"/>
  <c r="E51" i="3"/>
  <c r="W236" i="1"/>
  <c r="W283" i="1"/>
  <c r="W234" i="1"/>
  <c r="W450" i="1"/>
  <c r="W451" i="1"/>
  <c r="W284" i="1"/>
  <c r="E56" i="3"/>
  <c r="E55" i="3"/>
  <c r="E53" i="3"/>
  <c r="E52" i="3"/>
  <c r="E50" i="3"/>
  <c r="E49" i="3"/>
  <c r="E48" i="3"/>
  <c r="E47" i="3"/>
  <c r="E46" i="3"/>
  <c r="E45" i="3"/>
  <c r="E44" i="3"/>
  <c r="E43" i="3"/>
  <c r="C21" i="3"/>
  <c r="B23" i="3"/>
  <c r="C23" i="3"/>
  <c r="W235" i="1"/>
  <c r="W280" i="1" s="1"/>
  <c r="F415" i="1" s="1"/>
  <c r="AB62" i="3"/>
  <c r="AB61" i="3"/>
  <c r="AA61" i="3"/>
  <c r="AB60" i="3"/>
  <c r="AB59" i="3"/>
  <c r="AA59" i="3"/>
  <c r="AB58" i="3"/>
  <c r="AB57" i="3"/>
  <c r="AA57" i="3"/>
  <c r="AB55" i="3"/>
  <c r="AA55" i="3"/>
  <c r="AB53" i="3"/>
  <c r="AA53" i="3"/>
  <c r="AB51" i="3"/>
  <c r="AA51" i="3"/>
  <c r="AB49" i="3"/>
  <c r="AA49" i="3"/>
  <c r="AB47" i="3"/>
  <c r="AA47" i="3"/>
  <c r="AB45" i="3"/>
  <c r="AA45" i="3"/>
  <c r="AB43" i="3"/>
  <c r="AA43" i="3"/>
  <c r="AB40" i="3"/>
  <c r="AA40" i="3"/>
  <c r="AA38" i="3"/>
  <c r="AB37" i="3"/>
  <c r="AA37" i="3"/>
  <c r="AB35" i="3"/>
  <c r="AA35" i="3"/>
  <c r="AB33" i="3"/>
  <c r="AA33" i="3"/>
  <c r="AB32" i="3"/>
  <c r="AA32" i="3"/>
  <c r="AB31" i="3"/>
  <c r="AB30" i="3"/>
  <c r="AA30" i="3"/>
  <c r="AB29" i="3"/>
  <c r="AA29" i="3"/>
  <c r="AB27" i="3"/>
  <c r="AA27" i="3"/>
  <c r="AA25" i="3"/>
  <c r="AB24" i="3"/>
  <c r="AB23" i="3"/>
  <c r="T388" i="1"/>
  <c r="E540" i="1" s="1"/>
  <c r="AB21" i="3"/>
  <c r="B62" i="3"/>
  <c r="B61" i="3"/>
  <c r="B60" i="3"/>
  <c r="B59" i="3"/>
  <c r="B58" i="3"/>
  <c r="B57" i="3"/>
  <c r="B56" i="3"/>
  <c r="B55" i="3"/>
  <c r="B54" i="3"/>
  <c r="B53" i="3"/>
  <c r="B52" i="3"/>
  <c r="B51" i="3"/>
  <c r="B50" i="3"/>
  <c r="B49" i="3"/>
  <c r="B48" i="3"/>
  <c r="B45" i="3"/>
  <c r="B44" i="3"/>
  <c r="B43" i="3"/>
  <c r="B37" i="3"/>
  <c r="B36" i="3"/>
  <c r="B35" i="3"/>
  <c r="B34" i="3"/>
  <c r="B33" i="3"/>
  <c r="B32" i="3"/>
  <c r="B31" i="3"/>
  <c r="B30" i="3"/>
  <c r="B29" i="3"/>
  <c r="B28" i="3"/>
  <c r="B27" i="3"/>
  <c r="B26" i="3"/>
  <c r="M502" i="1"/>
  <c r="N502" i="1"/>
  <c r="N499" i="1"/>
  <c r="C62" i="3"/>
  <c r="C61" i="3"/>
  <c r="C60" i="3"/>
  <c r="C59" i="3"/>
  <c r="C58" i="3"/>
  <c r="C57" i="3"/>
  <c r="C55" i="3"/>
  <c r="C54" i="3"/>
  <c r="C53" i="3"/>
  <c r="C52" i="3"/>
  <c r="C51" i="3"/>
  <c r="C50" i="3"/>
  <c r="C49" i="3"/>
  <c r="C48" i="3"/>
  <c r="C47" i="3"/>
  <c r="C46" i="3"/>
  <c r="C45" i="3"/>
  <c r="C43" i="3"/>
  <c r="C42" i="3"/>
  <c r="C40" i="3"/>
  <c r="C37" i="3"/>
  <c r="C36" i="3"/>
  <c r="C35" i="3"/>
  <c r="C34" i="3"/>
  <c r="C33" i="3"/>
  <c r="C32" i="3"/>
  <c r="C31" i="3"/>
  <c r="C30" i="3"/>
  <c r="C29" i="3"/>
  <c r="C28" i="3"/>
  <c r="C27" i="3"/>
  <c r="C26" i="3"/>
  <c r="C25" i="3"/>
  <c r="C24" i="3"/>
  <c r="AD130" i="1"/>
  <c r="AA140" i="1" s="1"/>
  <c r="AD109" i="1"/>
  <c r="Z62" i="3"/>
  <c r="Z61" i="3"/>
  <c r="Z60" i="3"/>
  <c r="Z59" i="3"/>
  <c r="Z58" i="3"/>
  <c r="Z57" i="3"/>
  <c r="Z56" i="3"/>
  <c r="Z55" i="3"/>
  <c r="Z54" i="3"/>
  <c r="Z53" i="3"/>
  <c r="Z52" i="3"/>
  <c r="Z51" i="3"/>
  <c r="Z50" i="3"/>
  <c r="Z49" i="3"/>
  <c r="Z48" i="3"/>
  <c r="Z47" i="3"/>
  <c r="Z46" i="3"/>
  <c r="Z45" i="3"/>
  <c r="Z44" i="3"/>
  <c r="Z43" i="3"/>
  <c r="Z42" i="3"/>
  <c r="Z40" i="3"/>
  <c r="Z38" i="3"/>
  <c r="Z37" i="3"/>
  <c r="Z36" i="3"/>
  <c r="Z35" i="3"/>
  <c r="Z34" i="3"/>
  <c r="Z33" i="3"/>
  <c r="Z32" i="3"/>
  <c r="Z31" i="3"/>
  <c r="Z30" i="3"/>
  <c r="Z29" i="3"/>
  <c r="Z28" i="3"/>
  <c r="Z27" i="3"/>
  <c r="Z26" i="3"/>
  <c r="Z25" i="3"/>
  <c r="Z24" i="3"/>
  <c r="Z23" i="3"/>
  <c r="J54" i="1"/>
  <c r="M175" i="1"/>
  <c r="M179" i="1"/>
  <c r="AD63" i="1" s="1"/>
  <c r="AC63" i="1" s="1"/>
  <c r="M180" i="1"/>
  <c r="V60" i="1"/>
  <c r="AD231" i="1" s="1"/>
  <c r="AC231" i="1" s="1"/>
  <c r="V59" i="1"/>
  <c r="AD230" i="1" s="1"/>
  <c r="AC230" i="1" s="1"/>
  <c r="U59" i="1"/>
  <c r="P14" i="1"/>
  <c r="E14" i="1" s="1"/>
  <c r="AD8" i="1"/>
  <c r="AD9" i="1"/>
  <c r="AC9" i="1" s="1"/>
  <c r="AD10" i="1"/>
  <c r="P11" i="1"/>
  <c r="AD11" i="1" s="1"/>
  <c r="AC11" i="1" s="1"/>
  <c r="P12" i="1"/>
  <c r="P13" i="1"/>
  <c r="AD13" i="1" s="1"/>
  <c r="AC13" i="1" s="1"/>
  <c r="P15" i="1"/>
  <c r="AD15" i="1" s="1"/>
  <c r="P18" i="1"/>
  <c r="AD18" i="1" s="1"/>
  <c r="AC18" i="1" s="1"/>
  <c r="P19" i="1"/>
  <c r="P20" i="1"/>
  <c r="AD20" i="1" s="1"/>
  <c r="AC20" i="1" s="1"/>
  <c r="P24" i="1"/>
  <c r="AD27" i="1" s="1"/>
  <c r="P25" i="1"/>
  <c r="AD28" i="1" s="1"/>
  <c r="AC28" i="1" s="1"/>
  <c r="P27" i="1"/>
  <c r="P28" i="1"/>
  <c r="AD31" i="1" s="1"/>
  <c r="AC31" i="1" s="1"/>
  <c r="P29" i="1"/>
  <c r="AD32" i="1" s="1"/>
  <c r="P31" i="1"/>
  <c r="AD34" i="1" s="1"/>
  <c r="AC34" i="1" s="1"/>
  <c r="P32" i="1"/>
  <c r="P33" i="1"/>
  <c r="AD36" i="1" s="1"/>
  <c r="AC36" i="1" s="1"/>
  <c r="AD45" i="1"/>
  <c r="I25" i="1"/>
  <c r="AD47" i="1"/>
  <c r="AC47" i="1" s="1"/>
  <c r="AD49" i="1"/>
  <c r="AC49" i="1" s="1"/>
  <c r="AD50" i="1"/>
  <c r="AC50" i="1" s="1"/>
  <c r="I32" i="1"/>
  <c r="U54" i="1"/>
  <c r="M176" i="1"/>
  <c r="AD61" i="1" s="1"/>
  <c r="AC61" i="1" s="1"/>
  <c r="AD66" i="1"/>
  <c r="AC66" i="1" s="1"/>
  <c r="C314" i="1"/>
  <c r="C5" i="3" s="1"/>
  <c r="AD76" i="1"/>
  <c r="O209" i="1"/>
  <c r="AD77" i="1" s="1"/>
  <c r="AC77" i="1" s="1"/>
  <c r="P209" i="1"/>
  <c r="AD78" i="1" s="1"/>
  <c r="AC78" i="1" s="1"/>
  <c r="Q209" i="1"/>
  <c r="AD79" i="1" s="1"/>
  <c r="AC79" i="1" s="1"/>
  <c r="R209" i="1"/>
  <c r="S209" i="1"/>
  <c r="AD81" i="1" s="1"/>
  <c r="AC81" i="1" s="1"/>
  <c r="AD83" i="1"/>
  <c r="AC83" i="1" s="1"/>
  <c r="V209" i="1"/>
  <c r="AD86" i="1"/>
  <c r="O214" i="1"/>
  <c r="AD87" i="1" s="1"/>
  <c r="AC87" i="1" s="1"/>
  <c r="P214" i="1"/>
  <c r="AD88" i="1" s="1"/>
  <c r="AC88" i="1" s="1"/>
  <c r="Q214" i="1"/>
  <c r="R214" i="1"/>
  <c r="AD90" i="1" s="1"/>
  <c r="AC90" i="1" s="1"/>
  <c r="S214" i="1"/>
  <c r="AD91" i="1" s="1"/>
  <c r="AC91" i="1" s="1"/>
  <c r="AD93" i="1"/>
  <c r="AC93" i="1" s="1"/>
  <c r="V214" i="1"/>
  <c r="AD94" i="1" s="1"/>
  <c r="AC94" i="1" s="1"/>
  <c r="O227" i="1"/>
  <c r="AD99" i="1"/>
  <c r="AC99" i="1" s="1"/>
  <c r="AD100" i="1"/>
  <c r="AC100" i="1" s="1"/>
  <c r="O331" i="1"/>
  <c r="O348" i="1" s="1"/>
  <c r="M332" i="1"/>
  <c r="H499" i="1" s="1"/>
  <c r="K82" i="1" s="1"/>
  <c r="N234" i="1"/>
  <c r="N252" i="1" s="1"/>
  <c r="W237" i="1"/>
  <c r="W238" i="1"/>
  <c r="T255" i="1"/>
  <c r="H380" i="1" s="1"/>
  <c r="W252" i="1"/>
  <c r="W253" i="1"/>
  <c r="W254" i="1"/>
  <c r="W299" i="1" s="1"/>
  <c r="J415" i="1" s="1"/>
  <c r="W255" i="1"/>
  <c r="W256" i="1"/>
  <c r="M485" i="1"/>
  <c r="V485" i="1" s="1"/>
  <c r="M486" i="1"/>
  <c r="N485" i="1"/>
  <c r="N486" i="1"/>
  <c r="N482" i="1"/>
  <c r="M487" i="1"/>
  <c r="N487" i="1"/>
  <c r="M488" i="1"/>
  <c r="N488" i="1"/>
  <c r="M489" i="1"/>
  <c r="N489" i="1"/>
  <c r="M490" i="1"/>
  <c r="N490" i="1"/>
  <c r="M491" i="1"/>
  <c r="N491" i="1"/>
  <c r="M492" i="1"/>
  <c r="N492" i="1"/>
  <c r="M503" i="1"/>
  <c r="N503" i="1"/>
  <c r="M504" i="1"/>
  <c r="N504" i="1"/>
  <c r="M505" i="1"/>
  <c r="N505" i="1"/>
  <c r="M506" i="1"/>
  <c r="N506" i="1"/>
  <c r="M507" i="1"/>
  <c r="N507" i="1"/>
  <c r="AD171" i="1"/>
  <c r="AD173" i="1"/>
  <c r="AC173" i="1" s="1"/>
  <c r="AD175" i="1"/>
  <c r="AC175" i="1" s="1"/>
  <c r="AD177" i="1"/>
  <c r="AC177" i="1" s="1"/>
  <c r="AD179" i="1"/>
  <c r="AD181" i="1"/>
  <c r="AC181" i="1" s="1"/>
  <c r="AD183" i="1"/>
  <c r="AC183" i="1" s="1"/>
  <c r="AD185" i="1"/>
  <c r="AC185" i="1" s="1"/>
  <c r="AD187" i="1"/>
  <c r="AD189" i="1"/>
  <c r="AC189" i="1" s="1"/>
  <c r="AD191" i="1"/>
  <c r="AC191" i="1" s="1"/>
  <c r="AD193" i="1"/>
  <c r="AC193" i="1" s="1"/>
  <c r="AD195" i="1"/>
  <c r="AD197" i="1"/>
  <c r="AC197" i="1" s="1"/>
  <c r="AD199" i="1"/>
  <c r="AC199" i="1" s="1"/>
  <c r="AD201" i="1"/>
  <c r="AC201" i="1" s="1"/>
  <c r="AD203" i="1"/>
  <c r="AD205" i="1"/>
  <c r="AC205" i="1" s="1"/>
  <c r="AD207" i="1"/>
  <c r="AC207" i="1" s="1"/>
  <c r="O223" i="1"/>
  <c r="AD210" i="1" s="1"/>
  <c r="O243" i="1"/>
  <c r="O259" i="1"/>
  <c r="O291" i="1"/>
  <c r="O293" i="1"/>
  <c r="AD214" i="1" s="1"/>
  <c r="AC214" i="1" s="1"/>
  <c r="O310" i="1"/>
  <c r="P311" i="1" s="1"/>
  <c r="O312" i="1"/>
  <c r="AD216" i="1" s="1"/>
  <c r="AC216" i="1" s="1"/>
  <c r="O350" i="1"/>
  <c r="O395" i="1"/>
  <c r="AD218" i="1" s="1"/>
  <c r="AC218" i="1" s="1"/>
  <c r="O410" i="1"/>
  <c r="C563" i="1" s="1"/>
  <c r="O460" i="1"/>
  <c r="P461" i="1" s="1"/>
  <c r="AD222" i="1"/>
  <c r="AC222" i="1" s="1"/>
  <c r="U60" i="1"/>
  <c r="AD223" i="1" s="1"/>
  <c r="AC223" i="1" s="1"/>
  <c r="U61" i="1"/>
  <c r="AD224" i="1" s="1"/>
  <c r="AC224" i="1" s="1"/>
  <c r="U62" i="1"/>
  <c r="AD225" i="1" s="1"/>
  <c r="AC225" i="1" s="1"/>
  <c r="U63" i="1"/>
  <c r="AD226" i="1" s="1"/>
  <c r="AC226" i="1" s="1"/>
  <c r="U64" i="1"/>
  <c r="AD227" i="1" s="1"/>
  <c r="AC227" i="1" s="1"/>
  <c r="U65" i="1"/>
  <c r="AD228" i="1" s="1"/>
  <c r="AC228" i="1" s="1"/>
  <c r="V61" i="1"/>
  <c r="AD232" i="1" s="1"/>
  <c r="AC232" i="1" s="1"/>
  <c r="V62" i="1"/>
  <c r="AD233" i="1" s="1"/>
  <c r="AC233" i="1" s="1"/>
  <c r="V63" i="1"/>
  <c r="AD234" i="1" s="1"/>
  <c r="AC234" i="1" s="1"/>
  <c r="V64" i="1"/>
  <c r="AD235" i="1" s="1"/>
  <c r="AC235" i="1" s="1"/>
  <c r="V65" i="1"/>
  <c r="AD236" i="1" s="1"/>
  <c r="AC236" i="1" s="1"/>
  <c r="U283" i="1"/>
  <c r="U448" i="1" s="1"/>
  <c r="T284" i="1"/>
  <c r="T449" i="1" s="1"/>
  <c r="N469" i="1"/>
  <c r="O469" i="1" s="1"/>
  <c r="N470" i="1"/>
  <c r="O470" i="1" s="1"/>
  <c r="R520" i="1"/>
  <c r="AD241" i="1" s="1"/>
  <c r="AC241" i="1" s="1"/>
  <c r="T520" i="1"/>
  <c r="AD242" i="1" s="1"/>
  <c r="AC242" i="1" s="1"/>
  <c r="R521" i="1"/>
  <c r="AD243" i="1" s="1"/>
  <c r="AC243" i="1" s="1"/>
  <c r="AD153" i="1"/>
  <c r="AC153" i="1" s="1"/>
  <c r="AD155" i="1"/>
  <c r="AC155" i="1" s="1"/>
  <c r="AD157" i="1"/>
  <c r="AD159" i="1"/>
  <c r="AC159" i="1" s="1"/>
  <c r="AD161" i="1"/>
  <c r="AC161" i="1" s="1"/>
  <c r="AD163" i="1"/>
  <c r="AD165" i="1"/>
  <c r="AD167" i="1"/>
  <c r="AC167" i="1" s="1"/>
  <c r="AD169" i="1"/>
  <c r="AC169" i="1" s="1"/>
  <c r="T1" i="1"/>
  <c r="AD246" i="1" s="1"/>
  <c r="AC246" i="1" s="1"/>
  <c r="T2" i="1"/>
  <c r="AD247" i="1" s="1"/>
  <c r="AC247" i="1" s="1"/>
  <c r="T3" i="1"/>
  <c r="AD248" i="1" s="1"/>
  <c r="AC248" i="1" s="1"/>
  <c r="T4" i="1"/>
  <c r="AD249" i="1" s="1"/>
  <c r="AC249" i="1" s="1"/>
  <c r="T5" i="1"/>
  <c r="AD250" i="1" s="1"/>
  <c r="AC250" i="1" s="1"/>
  <c r="T6" i="1"/>
  <c r="AD251" i="1" s="1"/>
  <c r="AC251" i="1" s="1"/>
  <c r="U464" i="1"/>
  <c r="H609" i="1" s="1"/>
  <c r="K53" i="1"/>
  <c r="J94" i="1"/>
  <c r="K94" i="1"/>
  <c r="E420" i="1"/>
  <c r="E421" i="1"/>
  <c r="E422" i="1"/>
  <c r="E423" i="1"/>
  <c r="E424" i="1"/>
  <c r="W281" i="1"/>
  <c r="F416" i="1" s="1"/>
  <c r="W282" i="1"/>
  <c r="F417" i="1" s="1"/>
  <c r="F420" i="1"/>
  <c r="F421" i="1"/>
  <c r="F422" i="1"/>
  <c r="F423" i="1"/>
  <c r="F424" i="1"/>
  <c r="T301" i="1"/>
  <c r="I417" i="1" s="1"/>
  <c r="I420" i="1"/>
  <c r="I421" i="1"/>
  <c r="I422" i="1"/>
  <c r="I423" i="1"/>
  <c r="I424" i="1"/>
  <c r="W300" i="1"/>
  <c r="J416" i="1" s="1"/>
  <c r="W301" i="1"/>
  <c r="J417" i="1" s="1"/>
  <c r="W302" i="1"/>
  <c r="J418" i="1" s="1"/>
  <c r="W303" i="1"/>
  <c r="J419" i="1" s="1"/>
  <c r="J420" i="1"/>
  <c r="J421" i="1"/>
  <c r="J422" i="1"/>
  <c r="J423" i="1"/>
  <c r="J424" i="1"/>
  <c r="J92" i="1"/>
  <c r="K92" i="1"/>
  <c r="J93" i="1"/>
  <c r="K93" i="1"/>
  <c r="R510" i="1"/>
  <c r="S510" i="1"/>
  <c r="Q510" i="1"/>
  <c r="R495" i="1"/>
  <c r="S495" i="1"/>
  <c r="Q495" i="1"/>
  <c r="AC152" i="1"/>
  <c r="AC145" i="1"/>
  <c r="M450" i="1"/>
  <c r="V467" i="1"/>
  <c r="I612" i="1" s="1"/>
  <c r="T467" i="1"/>
  <c r="G612" i="1" s="1"/>
  <c r="V468" i="1"/>
  <c r="I613" i="1" s="1"/>
  <c r="T468" i="1"/>
  <c r="G613" i="1" s="1"/>
  <c r="V469" i="1"/>
  <c r="I614" i="1" s="1"/>
  <c r="T469" i="1"/>
  <c r="G614" i="1" s="1"/>
  <c r="V470" i="1"/>
  <c r="I615" i="1" s="1"/>
  <c r="T470" i="1"/>
  <c r="G615" i="1" s="1"/>
  <c r="V471" i="1"/>
  <c r="I616" i="1" s="1"/>
  <c r="T471" i="1"/>
  <c r="G616" i="1" s="1"/>
  <c r="V472" i="1"/>
  <c r="I617" i="1" s="1"/>
  <c r="T472" i="1"/>
  <c r="G617" i="1" s="1"/>
  <c r="V473" i="1"/>
  <c r="I618" i="1" s="1"/>
  <c r="T473" i="1"/>
  <c r="G618" i="1" s="1"/>
  <c r="V474" i="1"/>
  <c r="I619" i="1" s="1"/>
  <c r="T474" i="1"/>
  <c r="G619" i="1" s="1"/>
  <c r="W467" i="1"/>
  <c r="J612" i="1" s="1"/>
  <c r="W468" i="1"/>
  <c r="J613" i="1" s="1"/>
  <c r="W469" i="1"/>
  <c r="J614" i="1" s="1"/>
  <c r="W470" i="1"/>
  <c r="J615" i="1" s="1"/>
  <c r="W471" i="1"/>
  <c r="J616" i="1" s="1"/>
  <c r="W472" i="1"/>
  <c r="J617" i="1" s="1"/>
  <c r="W473" i="1"/>
  <c r="J618" i="1" s="1"/>
  <c r="W474" i="1"/>
  <c r="J619" i="1" s="1"/>
  <c r="W388" i="1"/>
  <c r="H540" i="1" s="1"/>
  <c r="W389" i="1"/>
  <c r="H541" i="1" s="1"/>
  <c r="C554" i="1"/>
  <c r="W403" i="1"/>
  <c r="H555" i="1" s="1"/>
  <c r="W404" i="1"/>
  <c r="H556" i="1" s="1"/>
  <c r="W390" i="1"/>
  <c r="H542" i="1" s="1"/>
  <c r="W391" i="1"/>
  <c r="H543" i="1" s="1"/>
  <c r="W392" i="1"/>
  <c r="H544" i="1" s="1"/>
  <c r="W405" i="1"/>
  <c r="H557" i="1" s="1"/>
  <c r="W406" i="1"/>
  <c r="H558" i="1" s="1"/>
  <c r="W407" i="1"/>
  <c r="H559" i="1" s="1"/>
  <c r="K489" i="1"/>
  <c r="K490" i="1"/>
  <c r="K491" i="1"/>
  <c r="K492" i="1"/>
  <c r="K493" i="1"/>
  <c r="C547" i="1"/>
  <c r="E493" i="1"/>
  <c r="F493" i="1"/>
  <c r="E492" i="1"/>
  <c r="F492" i="1"/>
  <c r="E491" i="1"/>
  <c r="F491" i="1"/>
  <c r="E490" i="1"/>
  <c r="F490" i="1"/>
  <c r="M470" i="1"/>
  <c r="AC59" i="1"/>
  <c r="AC62" i="1"/>
  <c r="AC65" i="1"/>
  <c r="AC75" i="1"/>
  <c r="AC76" i="1"/>
  <c r="AC82" i="1"/>
  <c r="AC85" i="1"/>
  <c r="AC86" i="1"/>
  <c r="AC92" i="1"/>
  <c r="AC95" i="1"/>
  <c r="AC97" i="1"/>
  <c r="AC98" i="1"/>
  <c r="AC101" i="1"/>
  <c r="AC102" i="1"/>
  <c r="AC105" i="1"/>
  <c r="AC107" i="1"/>
  <c r="AC108" i="1"/>
  <c r="AC110" i="1"/>
  <c r="AC119" i="1"/>
  <c r="AC128" i="1"/>
  <c r="AC129" i="1"/>
  <c r="AC131" i="1"/>
  <c r="AC138" i="1"/>
  <c r="AC171" i="1"/>
  <c r="AC172" i="1"/>
  <c r="AC174" i="1"/>
  <c r="AC176" i="1"/>
  <c r="AC178" i="1"/>
  <c r="AC179" i="1"/>
  <c r="AC180" i="1"/>
  <c r="AC182" i="1"/>
  <c r="AC184" i="1"/>
  <c r="AC186" i="1"/>
  <c r="AC187" i="1"/>
  <c r="AC188" i="1"/>
  <c r="AC190" i="1"/>
  <c r="AC192" i="1"/>
  <c r="AC194" i="1"/>
  <c r="AC195" i="1"/>
  <c r="AC196" i="1"/>
  <c r="AC198" i="1"/>
  <c r="AC200" i="1"/>
  <c r="AC202" i="1"/>
  <c r="AC203" i="1"/>
  <c r="AC204" i="1"/>
  <c r="AC206" i="1"/>
  <c r="AC351" i="1"/>
  <c r="AC427" i="1"/>
  <c r="AC209" i="1"/>
  <c r="AC210" i="1"/>
  <c r="AC229" i="1"/>
  <c r="AC240" i="1"/>
  <c r="AC154" i="1"/>
  <c r="AC156" i="1"/>
  <c r="AC157" i="1"/>
  <c r="AC158" i="1"/>
  <c r="AC160" i="1"/>
  <c r="AC162" i="1"/>
  <c r="AC163" i="1"/>
  <c r="AC164" i="1"/>
  <c r="AC165" i="1"/>
  <c r="AC166" i="1"/>
  <c r="AC168" i="1"/>
  <c r="AC518" i="1"/>
  <c r="AC10" i="1"/>
  <c r="AC15" i="1"/>
  <c r="AC16" i="1"/>
  <c r="AC17" i="1"/>
  <c r="AC26" i="1"/>
  <c r="AC27" i="1"/>
  <c r="AC29" i="1"/>
  <c r="AC32" i="1"/>
  <c r="AC33" i="1"/>
  <c r="AC37" i="1"/>
  <c r="AC44" i="1"/>
  <c r="AC45" i="1"/>
  <c r="AC48" i="1"/>
  <c r="AC51" i="1"/>
  <c r="AC52" i="1"/>
  <c r="AC55" i="1"/>
  <c r="AF109" i="1"/>
  <c r="AF110" i="1"/>
  <c r="AF108" i="1"/>
  <c r="Q118" i="1"/>
  <c r="R119" i="1" s="1"/>
  <c r="Q120" i="1"/>
  <c r="R121" i="1" s="1"/>
  <c r="Q122" i="1"/>
  <c r="R123" i="1" s="1"/>
  <c r="Q124" i="1"/>
  <c r="R125" i="1" s="1"/>
  <c r="Q126" i="1"/>
  <c r="R127" i="1" s="1"/>
  <c r="Q128" i="1"/>
  <c r="R129" i="1" s="1"/>
  <c r="Q130" i="1"/>
  <c r="R131" i="1" s="1"/>
  <c r="Q132" i="1"/>
  <c r="R133" i="1" s="1"/>
  <c r="Q134" i="1"/>
  <c r="R135" i="1" s="1"/>
  <c r="Q136" i="1"/>
  <c r="R137" i="1" s="1"/>
  <c r="Q138" i="1"/>
  <c r="R139" i="1" s="1"/>
  <c r="Q140" i="1"/>
  <c r="R141" i="1" s="1"/>
  <c r="Q142" i="1"/>
  <c r="R143" i="1" s="1"/>
  <c r="Q144" i="1"/>
  <c r="R145" i="1" s="1"/>
  <c r="Q146" i="1"/>
  <c r="R147" i="1" s="1"/>
  <c r="Q148" i="1"/>
  <c r="R149" i="1" s="1"/>
  <c r="Q150" i="1"/>
  <c r="R151" i="1" s="1"/>
  <c r="Q116" i="1"/>
  <c r="R117" i="1" s="1"/>
  <c r="Q114" i="1"/>
  <c r="R115" i="1" s="1"/>
  <c r="Q95" i="1"/>
  <c r="R96" i="1" s="1"/>
  <c r="Q93" i="1"/>
  <c r="R94" i="1" s="1"/>
  <c r="Q91" i="1"/>
  <c r="R92" i="1" s="1"/>
  <c r="Q89" i="1"/>
  <c r="R90" i="1" s="1"/>
  <c r="Q87" i="1"/>
  <c r="R88" i="1" s="1"/>
  <c r="Q85" i="1"/>
  <c r="R86" i="1" s="1"/>
  <c r="Q83" i="1"/>
  <c r="R84" i="1" s="1"/>
  <c r="Q81" i="1"/>
  <c r="R82" i="1" s="1"/>
  <c r="Q79" i="1"/>
  <c r="R80" i="1" s="1"/>
  <c r="P117" i="1"/>
  <c r="P119" i="1"/>
  <c r="P121" i="1"/>
  <c r="P123" i="1"/>
  <c r="P125" i="1"/>
  <c r="P127" i="1"/>
  <c r="P129" i="1"/>
  <c r="P131" i="1"/>
  <c r="P133" i="1"/>
  <c r="P135" i="1"/>
  <c r="P137" i="1"/>
  <c r="P139" i="1"/>
  <c r="P141" i="1"/>
  <c r="P143" i="1"/>
  <c r="P145" i="1"/>
  <c r="P147" i="1"/>
  <c r="P149" i="1"/>
  <c r="P151" i="1"/>
  <c r="P115" i="1"/>
  <c r="P82" i="1"/>
  <c r="P84" i="1"/>
  <c r="P86" i="1"/>
  <c r="P88" i="1"/>
  <c r="P90" i="1"/>
  <c r="P92" i="1"/>
  <c r="P94" i="1"/>
  <c r="P96" i="1"/>
  <c r="P80" i="1"/>
  <c r="S521" i="1"/>
  <c r="S520" i="1"/>
  <c r="W521" i="1"/>
  <c r="W520" i="1"/>
  <c r="W519" i="1"/>
  <c r="Z465" i="1"/>
  <c r="V179" i="1"/>
  <c r="O187" i="1"/>
  <c r="AC8"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O9" i="1"/>
  <c r="V9" i="1"/>
  <c r="U183" i="1"/>
  <c r="F202" i="1"/>
  <c r="W214" i="1"/>
  <c r="K347" i="1" s="1"/>
  <c r="W209" i="1"/>
  <c r="K342" i="1" s="1"/>
  <c r="AA54" i="1"/>
  <c r="AA55" i="1"/>
  <c r="AA45" i="1"/>
  <c r="AA46" i="1"/>
  <c r="AA47" i="1"/>
  <c r="AA49" i="1"/>
  <c r="AA50" i="1"/>
  <c r="AA51" i="1"/>
  <c r="AA53" i="1"/>
  <c r="AA12" i="1"/>
  <c r="AA13" i="1"/>
  <c r="AA14" i="1"/>
  <c r="AA15" i="1"/>
  <c r="AA16" i="1"/>
  <c r="AA18" i="1"/>
  <c r="AA19" i="1"/>
  <c r="AA20" i="1"/>
  <c r="AA21" i="1"/>
  <c r="AA27" i="1"/>
  <c r="AA28" i="1"/>
  <c r="AA29" i="1"/>
  <c r="AA30" i="1"/>
  <c r="AA31" i="1"/>
  <c r="AA32" i="1"/>
  <c r="AA33" i="1"/>
  <c r="AA34" i="1"/>
  <c r="AA35" i="1"/>
  <c r="AA36" i="1"/>
  <c r="AA37" i="1"/>
  <c r="AA11" i="1"/>
  <c r="R360" i="1"/>
  <c r="S360" i="1"/>
  <c r="R361" i="1"/>
  <c r="S361" i="1"/>
  <c r="R362" i="1"/>
  <c r="S362" i="1"/>
  <c r="R363" i="1"/>
  <c r="S363" i="1"/>
  <c r="K200" i="1"/>
  <c r="K199" i="1"/>
  <c r="K662" i="1"/>
  <c r="K661" i="1"/>
  <c r="U474" i="1"/>
  <c r="H619" i="1" s="1"/>
  <c r="U473" i="1"/>
  <c r="H618" i="1" s="1"/>
  <c r="U472" i="1"/>
  <c r="H617" i="1" s="1"/>
  <c r="U471" i="1"/>
  <c r="H616" i="1" s="1"/>
  <c r="U467" i="1"/>
  <c r="H612" i="1" s="1"/>
  <c r="U468" i="1"/>
  <c r="H613" i="1" s="1"/>
  <c r="U469" i="1"/>
  <c r="H614" i="1" s="1"/>
  <c r="U470" i="1"/>
  <c r="H615" i="1" s="1"/>
  <c r="F610" i="1"/>
  <c r="E610" i="1"/>
  <c r="D610" i="1"/>
  <c r="C610" i="1"/>
  <c r="F609" i="1"/>
  <c r="E609" i="1"/>
  <c r="D609" i="1"/>
  <c r="C609" i="1"/>
  <c r="T451" i="1"/>
  <c r="E606" i="1"/>
  <c r="D606" i="1"/>
  <c r="N447" i="1"/>
  <c r="E601" i="1" s="1"/>
  <c r="D600" i="1"/>
  <c r="K596" i="1"/>
  <c r="K590" i="1"/>
  <c r="K79" i="1" s="1"/>
  <c r="J590" i="1"/>
  <c r="J79" i="1" s="1"/>
  <c r="K589" i="1"/>
  <c r="K78" i="1" s="1"/>
  <c r="J589" i="1"/>
  <c r="J78" i="1" s="1"/>
  <c r="K588" i="1"/>
  <c r="K77" i="1" s="1"/>
  <c r="J588" i="1"/>
  <c r="J77" i="1" s="1"/>
  <c r="K587" i="1"/>
  <c r="K76" i="1" s="1"/>
  <c r="J587" i="1"/>
  <c r="J76" i="1" s="1"/>
  <c r="K586" i="1"/>
  <c r="K75" i="1" s="1"/>
  <c r="J586" i="1"/>
  <c r="J75" i="1" s="1"/>
  <c r="K585" i="1"/>
  <c r="K74" i="1" s="1"/>
  <c r="J585" i="1"/>
  <c r="J74" i="1" s="1"/>
  <c r="K584" i="1"/>
  <c r="K73" i="1" s="1"/>
  <c r="J584" i="1"/>
  <c r="J73" i="1" s="1"/>
  <c r="K583" i="1"/>
  <c r="K72" i="1" s="1"/>
  <c r="J583" i="1"/>
  <c r="J72" i="1" s="1"/>
  <c r="U407" i="1"/>
  <c r="F559" i="1" s="1"/>
  <c r="U406" i="1"/>
  <c r="F558" i="1" s="1"/>
  <c r="T406" i="1"/>
  <c r="E558" i="1" s="1"/>
  <c r="U405" i="1"/>
  <c r="F557" i="1" s="1"/>
  <c r="U404" i="1"/>
  <c r="F556" i="1" s="1"/>
  <c r="T404" i="1"/>
  <c r="E556" i="1" s="1"/>
  <c r="U403" i="1"/>
  <c r="F555" i="1" s="1"/>
  <c r="G552" i="1"/>
  <c r="U392" i="1"/>
  <c r="F544" i="1" s="1"/>
  <c r="T392" i="1"/>
  <c r="E544" i="1" s="1"/>
  <c r="U391" i="1"/>
  <c r="F543" i="1" s="1"/>
  <c r="U390" i="1"/>
  <c r="F542" i="1" s="1"/>
  <c r="T390" i="1"/>
  <c r="E542" i="1" s="1"/>
  <c r="U389" i="1"/>
  <c r="F541" i="1" s="1"/>
  <c r="U388" i="1"/>
  <c r="F540" i="1" s="1"/>
  <c r="G537" i="1"/>
  <c r="K530" i="1"/>
  <c r="R344" i="1"/>
  <c r="D493" i="1" s="1"/>
  <c r="C493" i="1"/>
  <c r="B493" i="1"/>
  <c r="R343" i="1"/>
  <c r="P343" i="1" s="1"/>
  <c r="C492" i="1"/>
  <c r="B492" i="1"/>
  <c r="R342" i="1"/>
  <c r="D491" i="1" s="1"/>
  <c r="C491" i="1"/>
  <c r="B491" i="1"/>
  <c r="R341" i="1"/>
  <c r="D490" i="1" s="1"/>
  <c r="C490" i="1"/>
  <c r="B490" i="1"/>
  <c r="U340" i="1"/>
  <c r="C489" i="1" s="1"/>
  <c r="U339" i="1"/>
  <c r="C488" i="1" s="1"/>
  <c r="T339" i="1"/>
  <c r="B488" i="1" s="1"/>
  <c r="U338" i="1"/>
  <c r="C487" i="1" s="1"/>
  <c r="U337" i="1"/>
  <c r="C486" i="1" s="1"/>
  <c r="T337" i="1"/>
  <c r="B486" i="1" s="1"/>
  <c r="U336" i="1"/>
  <c r="C485" i="1" s="1"/>
  <c r="S280" i="1"/>
  <c r="J484" i="1" s="1"/>
  <c r="U335" i="1"/>
  <c r="C484" i="1" s="1"/>
  <c r="T335" i="1"/>
  <c r="B484" i="1" s="1"/>
  <c r="Q280" i="1"/>
  <c r="D415" i="1" s="1"/>
  <c r="N279" i="1"/>
  <c r="K477" i="1" s="1"/>
  <c r="N334" i="1"/>
  <c r="E477" i="1" s="1"/>
  <c r="O335" i="1"/>
  <c r="G470" i="1" s="1"/>
  <c r="K464" i="1"/>
  <c r="K793" i="1"/>
  <c r="S299" i="1"/>
  <c r="I411" i="1" s="1"/>
  <c r="N298" i="1"/>
  <c r="J408" i="1" s="1"/>
  <c r="K398" i="1"/>
  <c r="K727" i="1"/>
  <c r="G382" i="1"/>
  <c r="H382" i="1"/>
  <c r="B382" i="1"/>
  <c r="C382" i="1"/>
  <c r="B383" i="1"/>
  <c r="C383" i="1"/>
  <c r="B384" i="1"/>
  <c r="C384" i="1"/>
  <c r="D384" i="1"/>
  <c r="D383" i="1"/>
  <c r="I382" i="1"/>
  <c r="D382" i="1"/>
  <c r="U256" i="1"/>
  <c r="I381" i="1" s="1"/>
  <c r="U238" i="1"/>
  <c r="D381" i="1" s="1"/>
  <c r="U255" i="1"/>
  <c r="I380" i="1" s="1"/>
  <c r="U237" i="1"/>
  <c r="D380" i="1" s="1"/>
  <c r="U254" i="1"/>
  <c r="I379" i="1" s="1"/>
  <c r="U236" i="1"/>
  <c r="D379" i="1" s="1"/>
  <c r="U253" i="1"/>
  <c r="I378" i="1" s="1"/>
  <c r="U235" i="1"/>
  <c r="D378" i="1" s="1"/>
  <c r="U252" i="1"/>
  <c r="I377" i="1" s="1"/>
  <c r="U234" i="1"/>
  <c r="D377" i="1" s="1"/>
  <c r="I369" i="1"/>
  <c r="D369" i="1"/>
  <c r="J349" i="1"/>
  <c r="I347" i="1"/>
  <c r="D346" i="1"/>
  <c r="D344" i="1"/>
  <c r="I342" i="1"/>
  <c r="D339" i="1"/>
  <c r="B339" i="1"/>
  <c r="K332" i="1"/>
  <c r="E315" i="1"/>
  <c r="E6" i="3" s="1"/>
  <c r="D315" i="1"/>
  <c r="D6" i="3" s="1"/>
  <c r="E314" i="1"/>
  <c r="E5" i="3" s="1"/>
  <c r="D312" i="1"/>
  <c r="B312" i="1"/>
  <c r="K529" i="1"/>
  <c r="K463" i="1"/>
  <c r="K397" i="1"/>
  <c r="K111" i="1"/>
  <c r="K110" i="1"/>
  <c r="J110" i="1"/>
  <c r="K109" i="1"/>
  <c r="J109" i="1"/>
  <c r="K108" i="1"/>
  <c r="J108" i="1"/>
  <c r="K107" i="1"/>
  <c r="J107" i="1"/>
  <c r="K106" i="1"/>
  <c r="J106" i="1"/>
  <c r="K134" i="1"/>
  <c r="K133" i="1"/>
  <c r="K103" i="1"/>
  <c r="J103" i="1"/>
  <c r="K102" i="1"/>
  <c r="J102" i="1"/>
  <c r="K101" i="1"/>
  <c r="J101" i="1"/>
  <c r="K100" i="1"/>
  <c r="J100" i="1"/>
  <c r="K99" i="1"/>
  <c r="J99" i="1"/>
  <c r="K98" i="1"/>
  <c r="J98" i="1"/>
  <c r="K97" i="1"/>
  <c r="J97" i="1"/>
  <c r="K96" i="1"/>
  <c r="J96" i="1"/>
  <c r="K95" i="1"/>
  <c r="J95" i="1"/>
  <c r="K91" i="1"/>
  <c r="J91" i="1"/>
  <c r="D79" i="1"/>
  <c r="D78" i="1"/>
  <c r="D77" i="1"/>
  <c r="D76" i="1"/>
  <c r="D75" i="1"/>
  <c r="D74" i="1"/>
  <c r="D73" i="1"/>
  <c r="D72" i="1"/>
  <c r="K68" i="1"/>
  <c r="F68" i="1"/>
  <c r="K67" i="1"/>
  <c r="C66" i="1"/>
  <c r="J65" i="1"/>
  <c r="H65" i="1"/>
  <c r="G65" i="1"/>
  <c r="C65" i="1"/>
  <c r="K63" i="1"/>
  <c r="J63" i="1"/>
  <c r="K62" i="1"/>
  <c r="J62" i="1"/>
  <c r="K61" i="1"/>
  <c r="J61" i="1"/>
  <c r="K60" i="1"/>
  <c r="J60" i="1"/>
  <c r="K59" i="1"/>
  <c r="J59" i="1"/>
  <c r="I59" i="1"/>
  <c r="K58" i="1"/>
  <c r="J58" i="1"/>
  <c r="I58" i="1"/>
  <c r="K57" i="1"/>
  <c r="J57" i="1"/>
  <c r="K55" i="1"/>
  <c r="J55" i="1"/>
  <c r="K54" i="1"/>
  <c r="I29" i="1"/>
  <c r="E29" i="1"/>
  <c r="H25" i="1"/>
  <c r="H24" i="1"/>
  <c r="E24" i="1"/>
  <c r="C23" i="1"/>
  <c r="I18" i="1"/>
  <c r="I12" i="1"/>
  <c r="O525" i="1"/>
  <c r="O524" i="1"/>
  <c r="O523" i="1"/>
  <c r="O522" i="1"/>
  <c r="Q521" i="1"/>
  <c r="O521" i="1"/>
  <c r="U520" i="1"/>
  <c r="Q520" i="1"/>
  <c r="O520" i="1"/>
  <c r="P499" i="1"/>
  <c r="P482" i="1"/>
  <c r="S456" i="1"/>
  <c r="S457" i="1" s="1"/>
  <c r="S458" i="1"/>
  <c r="S459" i="1" s="1"/>
  <c r="R456" i="1"/>
  <c r="R457" i="1" s="1"/>
  <c r="R458" i="1"/>
  <c r="R459" i="1" s="1"/>
  <c r="Q456" i="1"/>
  <c r="Q458" i="1"/>
  <c r="O458" i="1" s="1"/>
  <c r="P456" i="1"/>
  <c r="P457" i="1" s="1"/>
  <c r="P458" i="1"/>
  <c r="P459" i="1" s="1"/>
  <c r="N458" i="1"/>
  <c r="N459" i="1" s="1"/>
  <c r="M459" i="1"/>
  <c r="N456" i="1"/>
  <c r="N457" i="1" s="1"/>
  <c r="M457" i="1"/>
  <c r="U453" i="1"/>
  <c r="U452" i="1"/>
  <c r="U451" i="1"/>
  <c r="U450" i="1"/>
  <c r="U284" i="1"/>
  <c r="U449" i="1" s="1"/>
  <c r="O432" i="1"/>
  <c r="O431" i="1"/>
  <c r="N402" i="1"/>
  <c r="N387" i="1"/>
  <c r="W340" i="1"/>
  <c r="O340" i="1"/>
  <c r="M340" i="1"/>
  <c r="W339" i="1"/>
  <c r="O339" i="1"/>
  <c r="M339" i="1"/>
  <c r="W338" i="1"/>
  <c r="O338" i="1"/>
  <c r="M338" i="1"/>
  <c r="W337" i="1"/>
  <c r="O337" i="1"/>
  <c r="M337" i="1"/>
  <c r="W336" i="1"/>
  <c r="O336" i="1"/>
  <c r="M336" i="1"/>
  <c r="W335" i="1"/>
  <c r="M335" i="1"/>
  <c r="S308" i="1"/>
  <c r="R308" i="1"/>
  <c r="Q308" i="1"/>
  <c r="P308" i="1" s="1"/>
  <c r="O308" i="1"/>
  <c r="N308" i="1"/>
  <c r="S307" i="1"/>
  <c r="R307" i="1"/>
  <c r="Q307" i="1"/>
  <c r="P307" i="1" s="1"/>
  <c r="O307" i="1"/>
  <c r="N307" i="1"/>
  <c r="S306" i="1"/>
  <c r="R306" i="1"/>
  <c r="Q306" i="1"/>
  <c r="P306" i="1" s="1"/>
  <c r="O306" i="1"/>
  <c r="N306" i="1"/>
  <c r="S305" i="1"/>
  <c r="R305" i="1"/>
  <c r="Q305" i="1"/>
  <c r="P305" i="1" s="1"/>
  <c r="O305" i="1"/>
  <c r="N305" i="1"/>
  <c r="S304" i="1"/>
  <c r="R304" i="1"/>
  <c r="Q304" i="1"/>
  <c r="P304" i="1" s="1"/>
  <c r="O304" i="1"/>
  <c r="N304" i="1"/>
  <c r="U303" i="1"/>
  <c r="S303" i="1"/>
  <c r="Q303" i="1"/>
  <c r="P303" i="1" s="1"/>
  <c r="Q302" i="1"/>
  <c r="M302" i="1" s="1"/>
  <c r="U302" i="1"/>
  <c r="S302" i="1"/>
  <c r="U301" i="1"/>
  <c r="S301" i="1"/>
  <c r="U300" i="1"/>
  <c r="S300" i="1"/>
  <c r="S289" i="1"/>
  <c r="R289" i="1"/>
  <c r="Q289" i="1"/>
  <c r="O289" i="1"/>
  <c r="N289" i="1"/>
  <c r="S288" i="1"/>
  <c r="R288" i="1"/>
  <c r="Q288" i="1"/>
  <c r="O288" i="1"/>
  <c r="N288" i="1"/>
  <c r="S287" i="1"/>
  <c r="R287" i="1"/>
  <c r="Q287" i="1"/>
  <c r="O287" i="1"/>
  <c r="N287" i="1"/>
  <c r="S286" i="1"/>
  <c r="R286" i="1"/>
  <c r="Q286" i="1"/>
  <c r="O286" i="1"/>
  <c r="N286" i="1"/>
  <c r="S285" i="1"/>
  <c r="R285" i="1"/>
  <c r="Q285" i="1"/>
  <c r="O285" i="1"/>
  <c r="N285" i="1"/>
  <c r="S284" i="1"/>
  <c r="Q283" i="1"/>
  <c r="P283" i="1" s="1"/>
  <c r="S283" i="1"/>
  <c r="U282" i="1"/>
  <c r="S282" i="1"/>
  <c r="U281" i="1"/>
  <c r="S281" i="1"/>
  <c r="O257" i="1"/>
  <c r="O241" i="1"/>
  <c r="O240" i="1"/>
  <c r="O239" i="1"/>
  <c r="V234" i="1"/>
  <c r="Q187" i="1"/>
  <c r="O65" i="1"/>
  <c r="O64" i="1"/>
  <c r="O59" i="1"/>
  <c r="R49" i="1"/>
  <c r="R8" i="1"/>
  <c r="P5" i="1"/>
  <c r="Q3" i="1"/>
  <c r="Q2" i="1"/>
  <c r="D314" i="1"/>
  <c r="D5" i="3" s="1"/>
  <c r="O57" i="1"/>
  <c r="J56" i="1"/>
  <c r="O56" i="1"/>
  <c r="K56" i="1"/>
  <c r="D749" i="1" l="1"/>
  <c r="O584" i="1"/>
  <c r="Q299" i="1"/>
  <c r="H415" i="1" s="1"/>
  <c r="E18" i="1"/>
  <c r="Q335" i="1"/>
  <c r="D478" i="1" s="1"/>
  <c r="Q235" i="1"/>
  <c r="O235" i="1" s="1"/>
  <c r="U182" i="1"/>
  <c r="AD46" i="1"/>
  <c r="AC46" i="1" s="1"/>
  <c r="N212" i="1"/>
  <c r="C344" i="1" s="1"/>
  <c r="AD14" i="1"/>
  <c r="AC14" i="1" s="1"/>
  <c r="E11" i="1"/>
  <c r="N207" i="1"/>
  <c r="C339" i="1" s="1"/>
  <c r="AD57" i="1"/>
  <c r="AC57" i="1" s="1"/>
  <c r="M212" i="1"/>
  <c r="B344" i="1" s="1"/>
  <c r="AC130" i="1"/>
  <c r="E342" i="1"/>
  <c r="E25" i="1"/>
  <c r="E31" i="1"/>
  <c r="B659" i="1" a="1"/>
  <c r="O362" i="1"/>
  <c r="C503" i="1" s="1"/>
  <c r="N388" i="1"/>
  <c r="F537" i="1" s="1"/>
  <c r="N280" i="1"/>
  <c r="E408" i="1" s="1"/>
  <c r="N240" i="1"/>
  <c r="C369" i="1"/>
  <c r="N299" i="1"/>
  <c r="I408" i="1" s="1"/>
  <c r="V255" i="1"/>
  <c r="O320" i="1"/>
  <c r="C441" i="1" s="1"/>
  <c r="Q284" i="1"/>
  <c r="M284" i="1" s="1"/>
  <c r="I24" i="1"/>
  <c r="V339" i="1"/>
  <c r="F488" i="1" s="1"/>
  <c r="V451" i="1"/>
  <c r="V390" i="1"/>
  <c r="G542" i="1" s="1"/>
  <c r="V392" i="1"/>
  <c r="G544" i="1" s="1"/>
  <c r="V284" i="1"/>
  <c r="K488" i="1" s="1"/>
  <c r="V337" i="1"/>
  <c r="V237" i="1"/>
  <c r="V254" i="1"/>
  <c r="V299" i="1" s="1"/>
  <c r="V303" i="1"/>
  <c r="V404" i="1"/>
  <c r="G556" i="1" s="1"/>
  <c r="V406" i="1"/>
  <c r="G558" i="1" s="1"/>
  <c r="T282" i="1"/>
  <c r="E417" i="1" s="1"/>
  <c r="T190" i="1"/>
  <c r="V252" i="1"/>
  <c r="V301" i="1"/>
  <c r="V335" i="1"/>
  <c r="F484" i="1" s="1"/>
  <c r="S190" i="1"/>
  <c r="K499" i="1"/>
  <c r="J83" i="1" s="1"/>
  <c r="F347" i="1"/>
  <c r="W294" i="1"/>
  <c r="AD104" i="1"/>
  <c r="AC104" i="1" s="1"/>
  <c r="P411" i="1"/>
  <c r="O325" i="1"/>
  <c r="H98" i="1"/>
  <c r="D533" i="1"/>
  <c r="O274" i="1"/>
  <c r="O381" i="1"/>
  <c r="D403" i="1"/>
  <c r="D467" i="1"/>
  <c r="J478" i="1"/>
  <c r="P280" i="1"/>
  <c r="AC109" i="1"/>
  <c r="AA121" i="1"/>
  <c r="AD96" i="1"/>
  <c r="AC96" i="1" s="1"/>
  <c r="D362" i="1"/>
  <c r="C353" i="1"/>
  <c r="C549" i="1"/>
  <c r="T254" i="1"/>
  <c r="T299" i="1" s="1"/>
  <c r="I415" i="1" s="1"/>
  <c r="B593" i="1" a="1"/>
  <c r="B594" i="1" s="1"/>
  <c r="C354" i="1"/>
  <c r="P396" i="1"/>
  <c r="T252" i="1"/>
  <c r="P502" i="1" s="1"/>
  <c r="W502" i="1" s="1"/>
  <c r="T237" i="1"/>
  <c r="C380" i="1" s="1"/>
  <c r="B263" i="1" a="1"/>
  <c r="C355" i="1"/>
  <c r="V281" i="1"/>
  <c r="K485" i="1" s="1"/>
  <c r="T303" i="1"/>
  <c r="I419" i="1" s="1"/>
  <c r="M280" i="1"/>
  <c r="U280" i="1"/>
  <c r="Q459" i="1"/>
  <c r="O459" i="1" s="1"/>
  <c r="B40" i="3"/>
  <c r="T235" i="1"/>
  <c r="C378" i="1" s="1"/>
  <c r="AA23" i="3"/>
  <c r="Q281" i="1"/>
  <c r="O281" i="1" s="1"/>
  <c r="B24" i="3"/>
  <c r="Q238" i="1"/>
  <c r="N238" i="1" s="1"/>
  <c r="B42" i="3"/>
  <c r="Q300" i="1"/>
  <c r="B46" i="3"/>
  <c r="V282" i="1"/>
  <c r="K486" i="1" s="1"/>
  <c r="AB25" i="3"/>
  <c r="T450" i="1"/>
  <c r="F606" i="1" s="1"/>
  <c r="AA28" i="3"/>
  <c r="T389" i="1"/>
  <c r="E541" i="1" s="1"/>
  <c r="AA34" i="3"/>
  <c r="T391" i="1"/>
  <c r="E543" i="1" s="1"/>
  <c r="AA36" i="3"/>
  <c r="T238" i="1"/>
  <c r="C381" i="1" s="1"/>
  <c r="AA42" i="3"/>
  <c r="T253" i="1"/>
  <c r="H378" i="1" s="1"/>
  <c r="AA44" i="3"/>
  <c r="T300" i="1"/>
  <c r="I416" i="1" s="1"/>
  <c r="AA46" i="3"/>
  <c r="T302" i="1"/>
  <c r="I418" i="1" s="1"/>
  <c r="AA48" i="3"/>
  <c r="T403" i="1"/>
  <c r="E555" i="1" s="1"/>
  <c r="AA50" i="3"/>
  <c r="T405" i="1"/>
  <c r="E557" i="1" s="1"/>
  <c r="AA52" i="3"/>
  <c r="T407" i="1"/>
  <c r="E559" i="1" s="1"/>
  <c r="AA54" i="3"/>
  <c r="T256" i="1"/>
  <c r="H381" i="1" s="1"/>
  <c r="AA56" i="3"/>
  <c r="T336" i="1"/>
  <c r="B485" i="1" s="1"/>
  <c r="AA58" i="3"/>
  <c r="T338" i="1"/>
  <c r="B487" i="1" s="1"/>
  <c r="AA60" i="3"/>
  <c r="T340" i="1"/>
  <c r="B489" i="1" s="1"/>
  <c r="AA62" i="3"/>
  <c r="B21" i="3"/>
  <c r="T283" i="1"/>
  <c r="T448" i="1" s="1"/>
  <c r="F603" i="1" s="1"/>
  <c r="AA26" i="3"/>
  <c r="Q282" i="1"/>
  <c r="P282" i="1" s="1"/>
  <c r="B25" i="3"/>
  <c r="Q301" i="1"/>
  <c r="P301" i="1" s="1"/>
  <c r="B47" i="3"/>
  <c r="AA21" i="3"/>
  <c r="T281" i="1"/>
  <c r="E416" i="1" s="1"/>
  <c r="AA24" i="3"/>
  <c r="V283" i="1"/>
  <c r="K487" i="1" s="1"/>
  <c r="AB26" i="3"/>
  <c r="V450" i="1"/>
  <c r="AB28" i="3"/>
  <c r="V389" i="1"/>
  <c r="G541" i="1" s="1"/>
  <c r="AB34" i="3"/>
  <c r="V391" i="1"/>
  <c r="G543" i="1" s="1"/>
  <c r="AB36" i="3"/>
  <c r="V236" i="1"/>
  <c r="AB38" i="3"/>
  <c r="V238" i="1"/>
  <c r="AB42" i="3"/>
  <c r="V253" i="1"/>
  <c r="AB44" i="3"/>
  <c r="V300" i="1"/>
  <c r="AB46" i="3"/>
  <c r="V302" i="1"/>
  <c r="AB48" i="3"/>
  <c r="V403" i="1"/>
  <c r="G555" i="1" s="1"/>
  <c r="AB50" i="3"/>
  <c r="V405" i="1"/>
  <c r="G557" i="1" s="1"/>
  <c r="AB52" i="3"/>
  <c r="V407" i="1"/>
  <c r="G559" i="1" s="1"/>
  <c r="AB54" i="3"/>
  <c r="V256" i="1"/>
  <c r="AB56" i="3"/>
  <c r="Q236" i="1"/>
  <c r="N236" i="1" s="1"/>
  <c r="C38" i="3"/>
  <c r="Q253" i="1"/>
  <c r="N253" i="1" s="1"/>
  <c r="C44" i="3"/>
  <c r="Q256" i="1"/>
  <c r="S256" i="1" s="1"/>
  <c r="C56" i="3"/>
  <c r="B38" i="3"/>
  <c r="AA31" i="3"/>
  <c r="C342" i="1"/>
  <c r="C347" i="1"/>
  <c r="H26" i="1"/>
  <c r="G342" i="1"/>
  <c r="G347" i="1"/>
  <c r="AD215" i="1"/>
  <c r="AC215" i="1" s="1"/>
  <c r="I26" i="1"/>
  <c r="F97" i="1"/>
  <c r="T214" i="1"/>
  <c r="H347" i="1" s="1"/>
  <c r="O261" i="1"/>
  <c r="P262" i="1" s="1"/>
  <c r="C263" i="1"/>
  <c r="C315" i="1"/>
  <c r="C6" i="3" s="1"/>
  <c r="J66" i="1"/>
  <c r="I131" i="1" s="1" a="1"/>
  <c r="B2" i="3"/>
  <c r="E33" i="1"/>
  <c r="V486" i="1"/>
  <c r="V487" i="1" s="1"/>
  <c r="V488" i="1" s="1"/>
  <c r="V489" i="1" s="1"/>
  <c r="V490" i="1" s="1"/>
  <c r="V491" i="1" s="1"/>
  <c r="V492" i="1" s="1"/>
  <c r="H97" i="1"/>
  <c r="D342" i="1"/>
  <c r="O322" i="1"/>
  <c r="C442" i="1" s="1"/>
  <c r="D347" i="1"/>
  <c r="I14" i="1"/>
  <c r="I28" i="1"/>
  <c r="I20" i="1"/>
  <c r="E28" i="1"/>
  <c r="E20" i="1"/>
  <c r="E13" i="1"/>
  <c r="O456" i="1"/>
  <c r="Q457" i="1"/>
  <c r="O457" i="1" s="1"/>
  <c r="B263" i="1"/>
  <c r="B264" i="1"/>
  <c r="B725" i="1" a="1"/>
  <c r="C726" i="1" s="1"/>
  <c r="B329" i="1" a="1"/>
  <c r="C329" i="1" s="1"/>
  <c r="B791" i="1" a="1"/>
  <c r="C791" i="1" s="1"/>
  <c r="B527" i="1" a="1"/>
  <c r="C528" i="1" s="1"/>
  <c r="B395" i="1" a="1"/>
  <c r="C396" i="1" s="1"/>
  <c r="B857" i="1" a="1"/>
  <c r="C857" i="1" s="1"/>
  <c r="E383" i="1"/>
  <c r="Q252" i="1"/>
  <c r="G377" i="1" s="1"/>
  <c r="Q255" i="1"/>
  <c r="G380" i="1" s="1"/>
  <c r="J380" i="1" s="1"/>
  <c r="R300" i="1"/>
  <c r="R404" i="1"/>
  <c r="C556" i="1" s="1"/>
  <c r="E382" i="1"/>
  <c r="T236" i="1"/>
  <c r="C379" i="1" s="1"/>
  <c r="H369" i="1"/>
  <c r="N257" i="1"/>
  <c r="Q499" i="1"/>
  <c r="N448" i="1"/>
  <c r="N450" i="1" s="1"/>
  <c r="N451" i="1" s="1"/>
  <c r="N241" i="1"/>
  <c r="N239" i="1"/>
  <c r="N403" i="1"/>
  <c r="F552" i="1" s="1"/>
  <c r="N335" i="1"/>
  <c r="D477" i="1" s="1"/>
  <c r="Q482" i="1"/>
  <c r="AD84" i="1"/>
  <c r="AC84" i="1" s="1"/>
  <c r="J342" i="1"/>
  <c r="M303" i="1"/>
  <c r="I19" i="1"/>
  <c r="AD35" i="1"/>
  <c r="AC35" i="1" s="1"/>
  <c r="E32" i="1"/>
  <c r="AD217" i="1"/>
  <c r="AC217" i="1" s="1"/>
  <c r="P351" i="1"/>
  <c r="AD213" i="1"/>
  <c r="AC213" i="1" s="1"/>
  <c r="P292" i="1"/>
  <c r="E384" i="1"/>
  <c r="O485" i="1"/>
  <c r="U485" i="1" s="1"/>
  <c r="R301" i="1"/>
  <c r="R405" i="1"/>
  <c r="C557" i="1" s="1"/>
  <c r="R407" i="1"/>
  <c r="C559" i="1" s="1"/>
  <c r="R302" i="1"/>
  <c r="O342" i="1"/>
  <c r="N342" i="1"/>
  <c r="P342" i="1"/>
  <c r="Q342" i="1"/>
  <c r="R403" i="1"/>
  <c r="Q403" i="1" s="1"/>
  <c r="S403" i="1"/>
  <c r="D555" i="1" s="1"/>
  <c r="S407" i="1"/>
  <c r="D559" i="1" s="1"/>
  <c r="AD64" i="1"/>
  <c r="AC64" i="1" s="1"/>
  <c r="M452" i="1"/>
  <c r="V452" i="1" s="1"/>
  <c r="Q234" i="1"/>
  <c r="T234" i="1"/>
  <c r="V336" i="1"/>
  <c r="V338" i="1"/>
  <c r="V340" i="1"/>
  <c r="W449" i="1"/>
  <c r="E605" i="1" s="1"/>
  <c r="F419" i="1"/>
  <c r="W448" i="1"/>
  <c r="D605" i="1" s="1"/>
  <c r="F418" i="1"/>
  <c r="M283" i="1"/>
  <c r="J382" i="1"/>
  <c r="P313" i="1"/>
  <c r="M466" i="1"/>
  <c r="M451" i="1"/>
  <c r="V235" i="1"/>
  <c r="V280" i="1" s="1"/>
  <c r="K484" i="1" s="1"/>
  <c r="V388" i="1"/>
  <c r="G540" i="1" s="1"/>
  <c r="M454" i="1"/>
  <c r="J87" i="1"/>
  <c r="K87" i="1"/>
  <c r="AD220" i="1"/>
  <c r="AC220" i="1" s="1"/>
  <c r="C620" i="1"/>
  <c r="C621" i="1"/>
  <c r="C622" i="1"/>
  <c r="AD212" i="1"/>
  <c r="AC212" i="1" s="1"/>
  <c r="P260" i="1"/>
  <c r="I461" i="1" a="1"/>
  <c r="D492" i="1"/>
  <c r="Q343" i="1"/>
  <c r="C606" i="1"/>
  <c r="B131" i="1" a="1"/>
  <c r="C132" i="1" s="1"/>
  <c r="B197" i="1" a="1"/>
  <c r="C198" i="1" s="1"/>
  <c r="B461" i="1" a="1"/>
  <c r="C462" i="1" s="1"/>
  <c r="AD53" i="1"/>
  <c r="AC53" i="1" s="1"/>
  <c r="Q254" i="1"/>
  <c r="P224" i="1"/>
  <c r="P294" i="1"/>
  <c r="C548" i="1"/>
  <c r="N466" i="1"/>
  <c r="S405" i="1"/>
  <c r="D557" i="1" s="1"/>
  <c r="O341" i="1"/>
  <c r="S406" i="1"/>
  <c r="D558" i="1" s="1"/>
  <c r="R406" i="1"/>
  <c r="N341" i="1"/>
  <c r="S404" i="1"/>
  <c r="D556" i="1" s="1"/>
  <c r="P341" i="1"/>
  <c r="Q341" i="1"/>
  <c r="O343" i="1"/>
  <c r="U299" i="1"/>
  <c r="N343" i="1"/>
  <c r="J82" i="1"/>
  <c r="Q237" i="1"/>
  <c r="N237" i="1" s="1"/>
  <c r="N344" i="1"/>
  <c r="M299" i="1"/>
  <c r="O344" i="1"/>
  <c r="R303" i="1"/>
  <c r="P302" i="1"/>
  <c r="P299" i="1"/>
  <c r="P344" i="1"/>
  <c r="Q344" i="1"/>
  <c r="F408" i="1"/>
  <c r="R299" i="1"/>
  <c r="O359" i="1"/>
  <c r="C502" i="1" s="1"/>
  <c r="O502" i="1"/>
  <c r="C792" i="1"/>
  <c r="V334" i="1"/>
  <c r="AD219" i="1"/>
  <c r="AC219" i="1" s="1"/>
  <c r="C564" i="1"/>
  <c r="C562" i="1"/>
  <c r="AD211" i="1"/>
  <c r="AC211" i="1" s="1"/>
  <c r="O510" i="1"/>
  <c r="B314" i="1"/>
  <c r="B5" i="3" s="1"/>
  <c r="I13" i="1"/>
  <c r="AD30" i="1"/>
  <c r="AC30" i="1" s="1"/>
  <c r="E27" i="1"/>
  <c r="AD19" i="1"/>
  <c r="AC19" i="1" s="1"/>
  <c r="E19" i="1"/>
  <c r="AD12" i="1"/>
  <c r="AC12" i="1" s="1"/>
  <c r="E12" i="1"/>
  <c r="AD60" i="1"/>
  <c r="AC60" i="1" s="1"/>
  <c r="AD103" i="1"/>
  <c r="AC103" i="1" s="1"/>
  <c r="Q331" i="1"/>
  <c r="F473" i="1" s="1"/>
  <c r="J482" i="1"/>
  <c r="S334" i="1"/>
  <c r="T353" i="1"/>
  <c r="E482" i="1"/>
  <c r="E473" i="1"/>
  <c r="R352" i="1"/>
  <c r="AD80" i="1"/>
  <c r="AC80" i="1" s="1"/>
  <c r="F342" i="1"/>
  <c r="T209" i="1"/>
  <c r="H342" i="1" s="1"/>
  <c r="C858" i="1"/>
  <c r="J347" i="1"/>
  <c r="G483" i="1"/>
  <c r="P244" i="1"/>
  <c r="V502" i="1"/>
  <c r="V503" i="1" s="1"/>
  <c r="V504" i="1" s="1"/>
  <c r="V505" i="1" s="1"/>
  <c r="V506" i="1" s="1"/>
  <c r="V507" i="1" s="1"/>
  <c r="AD54" i="1"/>
  <c r="AC54" i="1" s="1"/>
  <c r="I33" i="1"/>
  <c r="AD89" i="1"/>
  <c r="AC89" i="1" s="1"/>
  <c r="E347" i="1"/>
  <c r="C264" i="1"/>
  <c r="B315" i="1"/>
  <c r="B6" i="3" s="1"/>
  <c r="T189" i="1"/>
  <c r="V189" i="1" s="1"/>
  <c r="W453" i="1"/>
  <c r="E607" i="1" s="1"/>
  <c r="E419" i="1"/>
  <c r="W452" i="1"/>
  <c r="J426" i="1"/>
  <c r="J427" i="1"/>
  <c r="E411" i="1"/>
  <c r="B528" i="1" l="1"/>
  <c r="B593" i="1"/>
  <c r="J462" i="1"/>
  <c r="C504" i="1"/>
  <c r="C330" i="1"/>
  <c r="B329" i="1"/>
  <c r="B527" i="1"/>
  <c r="C527" i="1"/>
  <c r="C505" i="1"/>
  <c r="B330" i="1"/>
  <c r="P335" i="1"/>
  <c r="S235" i="1"/>
  <c r="N235" i="1"/>
  <c r="Q448" i="1"/>
  <c r="D602" i="1" s="1"/>
  <c r="I857" i="1" a="1"/>
  <c r="J858" i="1" s="1"/>
  <c r="B378" i="1"/>
  <c r="E378" i="1" s="1"/>
  <c r="M235" i="1"/>
  <c r="C594" i="1"/>
  <c r="I527" i="1" a="1"/>
  <c r="J527" i="1" s="1"/>
  <c r="P235" i="1"/>
  <c r="P448" i="1" s="1"/>
  <c r="P449" i="1" s="1"/>
  <c r="P450" i="1" s="1"/>
  <c r="P451" i="1" s="1"/>
  <c r="C593" i="1"/>
  <c r="N300" i="1"/>
  <c r="C443" i="1"/>
  <c r="N283" i="1"/>
  <c r="J477" i="1"/>
  <c r="N302" i="1"/>
  <c r="N303" i="1"/>
  <c r="I659" i="1" a="1"/>
  <c r="C660" i="1"/>
  <c r="B659" i="1"/>
  <c r="B660" i="1"/>
  <c r="C659" i="1"/>
  <c r="P284" i="1"/>
  <c r="C439" i="1"/>
  <c r="S358" i="1"/>
  <c r="C440" i="1"/>
  <c r="C444" i="1"/>
  <c r="R256" i="1"/>
  <c r="P252" i="1"/>
  <c r="S354" i="1"/>
  <c r="M256" i="1"/>
  <c r="M253" i="1"/>
  <c r="P253" i="1"/>
  <c r="S255" i="1"/>
  <c r="I131" i="1"/>
  <c r="J132" i="1"/>
  <c r="I132" i="1"/>
  <c r="N284" i="1"/>
  <c r="I791" i="1" a="1"/>
  <c r="J792" i="1" s="1"/>
  <c r="H377" i="1"/>
  <c r="J377" i="1" s="1"/>
  <c r="E418" i="1"/>
  <c r="I725" i="1" a="1"/>
  <c r="J726" i="1" s="1"/>
  <c r="I329" i="1" a="1"/>
  <c r="I197" i="1" a="1"/>
  <c r="J198" i="1" s="1"/>
  <c r="I395" i="1" a="1"/>
  <c r="N301" i="1"/>
  <c r="K83" i="1"/>
  <c r="M301" i="1"/>
  <c r="I263" i="1" a="1"/>
  <c r="J264" i="1" s="1"/>
  <c r="I593" i="1" a="1"/>
  <c r="J594" i="1" s="1"/>
  <c r="H379" i="1"/>
  <c r="S189" i="1"/>
  <c r="U189" i="1" s="1"/>
  <c r="AD132" i="1"/>
  <c r="AC132" i="1" s="1"/>
  <c r="V449" i="1"/>
  <c r="N282" i="1"/>
  <c r="M282" i="1"/>
  <c r="F486" i="1"/>
  <c r="S356" i="1"/>
  <c r="O486" i="1"/>
  <c r="U486" i="1" s="1"/>
  <c r="M236" i="1"/>
  <c r="D681" i="1"/>
  <c r="B15" i="3" s="1"/>
  <c r="R253" i="1"/>
  <c r="M238" i="1"/>
  <c r="N404" i="1"/>
  <c r="V448" i="1"/>
  <c r="R334" i="1"/>
  <c r="D483" i="1" s="1"/>
  <c r="T280" i="1"/>
  <c r="E415" i="1" s="1"/>
  <c r="Q404" i="1"/>
  <c r="P404" i="1" s="1"/>
  <c r="R252" i="1"/>
  <c r="H370" i="1" s="1"/>
  <c r="S253" i="1"/>
  <c r="B381" i="1"/>
  <c r="E381" i="1" s="1"/>
  <c r="M252" i="1"/>
  <c r="P238" i="1"/>
  <c r="S252" i="1"/>
  <c r="H372" i="1" s="1"/>
  <c r="S238" i="1"/>
  <c r="O282" i="1"/>
  <c r="O283" i="1" s="1"/>
  <c r="O284" i="1" s="1"/>
  <c r="P503" i="1"/>
  <c r="D682" i="1" s="1"/>
  <c r="B16" i="3" s="1"/>
  <c r="N281" i="1"/>
  <c r="P281" i="1"/>
  <c r="P300" i="1"/>
  <c r="R447" i="1"/>
  <c r="S236" i="1"/>
  <c r="G381" i="1"/>
  <c r="J381" i="1" s="1"/>
  <c r="M255" i="1"/>
  <c r="O300" i="1"/>
  <c r="O301" i="1" s="1"/>
  <c r="O302" i="1" s="1"/>
  <c r="O303" i="1" s="1"/>
  <c r="Q405" i="1"/>
  <c r="P405" i="1" s="1"/>
  <c r="M300" i="1"/>
  <c r="B379" i="1"/>
  <c r="E379" i="1" s="1"/>
  <c r="P255" i="1"/>
  <c r="P256" i="1"/>
  <c r="I426" i="1"/>
  <c r="N255" i="1"/>
  <c r="M281" i="1"/>
  <c r="R255" i="1"/>
  <c r="P236" i="1"/>
  <c r="N256" i="1"/>
  <c r="T452" i="1"/>
  <c r="I427" i="1"/>
  <c r="K496" i="1"/>
  <c r="N405" i="1"/>
  <c r="C555" i="1"/>
  <c r="J131" i="1"/>
  <c r="K495" i="1"/>
  <c r="O236" i="1"/>
  <c r="O237" i="1" s="1"/>
  <c r="O238" i="1" s="1"/>
  <c r="G378" i="1"/>
  <c r="J378" i="1" s="1"/>
  <c r="O253" i="1"/>
  <c r="O254" i="1" s="1"/>
  <c r="O255" i="1" s="1"/>
  <c r="O256" i="1" s="1"/>
  <c r="C392" i="1"/>
  <c r="C393" i="1"/>
  <c r="C391" i="1"/>
  <c r="Q407" i="1"/>
  <c r="P407" i="1" s="1"/>
  <c r="N407" i="1"/>
  <c r="B857" i="1"/>
  <c r="B858" i="1"/>
  <c r="C725" i="1"/>
  <c r="B726" i="1"/>
  <c r="B725" i="1"/>
  <c r="N465" i="1"/>
  <c r="O465" i="1" s="1"/>
  <c r="B395" i="1"/>
  <c r="B396" i="1"/>
  <c r="C395" i="1"/>
  <c r="C501" i="1"/>
  <c r="B791" i="1"/>
  <c r="B792" i="1"/>
  <c r="H605" i="1"/>
  <c r="T453" i="1"/>
  <c r="V453" i="1"/>
  <c r="M237" i="1"/>
  <c r="P237" i="1"/>
  <c r="Q463" i="1"/>
  <c r="B380" i="1"/>
  <c r="E380" i="1" s="1"/>
  <c r="F602" i="1"/>
  <c r="N449" i="1"/>
  <c r="D601" i="1"/>
  <c r="I197" i="1"/>
  <c r="S237" i="1"/>
  <c r="F427" i="1"/>
  <c r="F426" i="1"/>
  <c r="P403" i="1"/>
  <c r="H551" i="1" s="1"/>
  <c r="O403" i="1"/>
  <c r="F551" i="1"/>
  <c r="C500" i="1"/>
  <c r="M234" i="1"/>
  <c r="B377" i="1"/>
  <c r="B461" i="1"/>
  <c r="B462" i="1"/>
  <c r="C461" i="1"/>
  <c r="I528" i="1"/>
  <c r="I527" i="1"/>
  <c r="AH493" i="1"/>
  <c r="B198" i="1"/>
  <c r="C197" i="1"/>
  <c r="B197" i="1"/>
  <c r="W455" i="1"/>
  <c r="E608" i="1" s="1"/>
  <c r="M468" i="1"/>
  <c r="N454" i="1"/>
  <c r="N455" i="1" s="1"/>
  <c r="T454" i="1"/>
  <c r="M455" i="1"/>
  <c r="T455" i="1"/>
  <c r="U455" i="1"/>
  <c r="U454" i="1"/>
  <c r="V455" i="1"/>
  <c r="V454" i="1"/>
  <c r="C608" i="1"/>
  <c r="W454" i="1"/>
  <c r="P234" i="1"/>
  <c r="S234" i="1"/>
  <c r="S240" i="1" s="1"/>
  <c r="C131" i="1"/>
  <c r="B132" i="1"/>
  <c r="B131" i="1"/>
  <c r="J461" i="1"/>
  <c r="I462" i="1"/>
  <c r="I461" i="1"/>
  <c r="P485" i="1"/>
  <c r="C377" i="1"/>
  <c r="G379" i="1"/>
  <c r="M254" i="1"/>
  <c r="P254" i="1"/>
  <c r="S254" i="1"/>
  <c r="N254" i="1"/>
  <c r="J791" i="1"/>
  <c r="I858" i="1"/>
  <c r="I857" i="1"/>
  <c r="J857" i="1"/>
  <c r="F487" i="1"/>
  <c r="S357" i="1"/>
  <c r="R254" i="1"/>
  <c r="I263" i="1"/>
  <c r="I264" i="1"/>
  <c r="J263" i="1"/>
  <c r="F489" i="1"/>
  <c r="S359" i="1"/>
  <c r="F485" i="1"/>
  <c r="S355" i="1"/>
  <c r="M467" i="1"/>
  <c r="M453" i="1"/>
  <c r="C607" i="1"/>
  <c r="P452" i="1"/>
  <c r="P453" i="1" s="1"/>
  <c r="P454" i="1" s="1"/>
  <c r="P455" i="1" s="1"/>
  <c r="N452" i="1"/>
  <c r="N453" i="1" s="1"/>
  <c r="C558" i="1"/>
  <c r="Q406" i="1"/>
  <c r="N406" i="1"/>
  <c r="O466" i="1"/>
  <c r="I409" i="1"/>
  <c r="I410" i="1"/>
  <c r="U502" i="1"/>
  <c r="O503" i="1"/>
  <c r="F315" i="1"/>
  <c r="U190" i="1"/>
  <c r="H315" i="1" s="1"/>
  <c r="C689" i="1"/>
  <c r="C690" i="1"/>
  <c r="C691" i="1"/>
  <c r="G315" i="1"/>
  <c r="V190" i="1"/>
  <c r="I315" i="1" s="1"/>
  <c r="AD67" i="1"/>
  <c r="AC67" i="1" s="1"/>
  <c r="J428" i="1"/>
  <c r="J430" i="1" s="1"/>
  <c r="N467" i="1"/>
  <c r="D607" i="1"/>
  <c r="I593" i="1" l="1"/>
  <c r="I594" i="1"/>
  <c r="I725" i="1"/>
  <c r="J593" i="1"/>
  <c r="J528" i="1"/>
  <c r="Q449" i="1"/>
  <c r="Q465" i="1"/>
  <c r="S464" i="1" s="1"/>
  <c r="AD238" i="1" s="1"/>
  <c r="AC238" i="1" s="1"/>
  <c r="J197" i="1"/>
  <c r="I198" i="1"/>
  <c r="I428" i="1"/>
  <c r="R257" i="1"/>
  <c r="H371" i="1"/>
  <c r="H697" i="1"/>
  <c r="H698" i="1" s="1"/>
  <c r="H699" i="1" s="1"/>
  <c r="H700" i="1" s="1"/>
  <c r="H701" i="1" s="1"/>
  <c r="H702" i="1" s="1"/>
  <c r="H703" i="1" s="1"/>
  <c r="H704" i="1" s="1"/>
  <c r="H705" i="1" s="1"/>
  <c r="H706" i="1" s="1"/>
  <c r="J660" i="1"/>
  <c r="J659" i="1"/>
  <c r="I659" i="1"/>
  <c r="I660" i="1"/>
  <c r="J379" i="1"/>
  <c r="F607" i="1"/>
  <c r="I395" i="1"/>
  <c r="J396" i="1"/>
  <c r="J395" i="1"/>
  <c r="I396" i="1"/>
  <c r="I791" i="1"/>
  <c r="I792" i="1"/>
  <c r="I726" i="1"/>
  <c r="I329" i="1"/>
  <c r="J329" i="1"/>
  <c r="I330" i="1"/>
  <c r="J330" i="1"/>
  <c r="J725" i="1"/>
  <c r="O487" i="1"/>
  <c r="U487" i="1" s="1"/>
  <c r="K497" i="1"/>
  <c r="AD133" i="1"/>
  <c r="AC133" i="1" s="1"/>
  <c r="S257" i="1"/>
  <c r="C372" i="1"/>
  <c r="S241" i="1"/>
  <c r="S448" i="1"/>
  <c r="S449" i="1" s="1"/>
  <c r="S450" i="1" s="1"/>
  <c r="S451" i="1" s="1"/>
  <c r="S452" i="1" s="1"/>
  <c r="S453" i="1" s="1"/>
  <c r="S454" i="1" s="1"/>
  <c r="S455" i="1" s="1"/>
  <c r="W503" i="1"/>
  <c r="AH494" i="1" s="1"/>
  <c r="S239" i="1"/>
  <c r="P504" i="1"/>
  <c r="D683" i="1" s="1"/>
  <c r="F608" i="1"/>
  <c r="W314" i="1"/>
  <c r="V261" i="1"/>
  <c r="F428" i="1"/>
  <c r="J386" i="1"/>
  <c r="O449" i="1"/>
  <c r="Q450" i="1"/>
  <c r="O404" i="1"/>
  <c r="O405" i="1"/>
  <c r="O407" i="1"/>
  <c r="D608" i="1"/>
  <c r="N468" i="1"/>
  <c r="O468" i="1" s="1"/>
  <c r="W485" i="1"/>
  <c r="AH485" i="1" s="1"/>
  <c r="D668" i="1"/>
  <c r="B7" i="3" s="1"/>
  <c r="AD111" i="1"/>
  <c r="AC111" i="1" s="1"/>
  <c r="P486" i="1"/>
  <c r="E377" i="1"/>
  <c r="O406" i="1"/>
  <c r="P406" i="1"/>
  <c r="O467" i="1"/>
  <c r="O504" i="1"/>
  <c r="U503" i="1"/>
  <c r="I314" i="1"/>
  <c r="G314" i="1"/>
  <c r="F314" i="1"/>
  <c r="H314" i="1"/>
  <c r="I430" i="1"/>
  <c r="V314" i="1"/>
  <c r="E427" i="1"/>
  <c r="E426" i="1"/>
  <c r="S469" i="1" l="1"/>
  <c r="F616" i="1" s="1"/>
  <c r="P505" i="1"/>
  <c r="S468" i="1"/>
  <c r="F615" i="1" s="1"/>
  <c r="S470" i="1"/>
  <c r="F617" i="1" s="1"/>
  <c r="E617" i="1"/>
  <c r="E615" i="1"/>
  <c r="E616" i="1"/>
  <c r="F605" i="1"/>
  <c r="I605" i="1"/>
  <c r="AH126" i="1" s="1"/>
  <c r="AD134" i="1"/>
  <c r="AC134" i="1" s="1"/>
  <c r="W504" i="1"/>
  <c r="AH495" i="1" s="1"/>
  <c r="I603" i="1"/>
  <c r="O488" i="1"/>
  <c r="P466" i="1"/>
  <c r="P470" i="1" s="1"/>
  <c r="Q470" i="1" s="1"/>
  <c r="V294" i="1"/>
  <c r="F430" i="1"/>
  <c r="B17" i="3"/>
  <c r="P465" i="1"/>
  <c r="Q451" i="1"/>
  <c r="Q452" i="1" s="1"/>
  <c r="O450" i="1"/>
  <c r="E386" i="1"/>
  <c r="V244" i="1"/>
  <c r="W505" i="1"/>
  <c r="AH496" i="1" s="1"/>
  <c r="P487" i="1"/>
  <c r="W486" i="1"/>
  <c r="D669" i="1"/>
  <c r="B8" i="3" s="1"/>
  <c r="AD112" i="1"/>
  <c r="AC112" i="1" s="1"/>
  <c r="AD135" i="1"/>
  <c r="AC135" i="1" s="1"/>
  <c r="P506" i="1"/>
  <c r="D684" i="1"/>
  <c r="E428" i="1"/>
  <c r="U294" i="1" s="1"/>
  <c r="U504" i="1"/>
  <c r="O505" i="1"/>
  <c r="P469" i="1" l="1"/>
  <c r="Q469" i="1" s="1"/>
  <c r="E430" i="1"/>
  <c r="O489" i="1"/>
  <c r="U488" i="1"/>
  <c r="C66" i="3"/>
  <c r="Q453" i="1"/>
  <c r="B18" i="3"/>
  <c r="O451" i="1"/>
  <c r="O452" i="1" s="1"/>
  <c r="W487" i="1"/>
  <c r="AH486" i="1"/>
  <c r="D685" i="1"/>
  <c r="W506" i="1"/>
  <c r="AH497" i="1" s="1"/>
  <c r="AD136" i="1"/>
  <c r="AC136" i="1" s="1"/>
  <c r="P507" i="1"/>
  <c r="AD113" i="1"/>
  <c r="AC113" i="1" s="1"/>
  <c r="P488" i="1"/>
  <c r="D670" i="1"/>
  <c r="B9" i="3" s="1"/>
  <c r="K80" i="1"/>
  <c r="J80" i="1"/>
  <c r="O506" i="1"/>
  <c r="O507" i="1" s="1"/>
  <c r="U505" i="1"/>
  <c r="K81" i="1"/>
  <c r="J81" i="1"/>
  <c r="S465" i="1" l="1"/>
  <c r="AH487" i="1"/>
  <c r="U489" i="1"/>
  <c r="O490" i="1"/>
  <c r="O453" i="1"/>
  <c r="Q454" i="1"/>
  <c r="B19" i="3"/>
  <c r="U506" i="1"/>
  <c r="W488" i="1"/>
  <c r="AH488" i="1" s="1"/>
  <c r="AD114" i="1"/>
  <c r="AC114" i="1" s="1"/>
  <c r="P489" i="1"/>
  <c r="D671" i="1"/>
  <c r="AD137" i="1"/>
  <c r="AC137" i="1" s="1"/>
  <c r="W507" i="1"/>
  <c r="AH498" i="1" s="1"/>
  <c r="D686" i="1"/>
  <c r="U507" i="1"/>
  <c r="AH133" i="1" l="1"/>
  <c r="AI133" i="1" s="1"/>
  <c r="S473" i="1"/>
  <c r="I607" i="1" s="1"/>
  <c r="S472" i="1"/>
  <c r="AD239" i="1"/>
  <c r="AC239" i="1" s="1"/>
  <c r="AH131" i="1"/>
  <c r="AI131" i="1" s="1"/>
  <c r="I606" i="1"/>
  <c r="AH132" i="1"/>
  <c r="AI132" i="1" s="1"/>
  <c r="M471" i="1"/>
  <c r="N471" i="1" s="1"/>
  <c r="S502" i="1" a="1"/>
  <c r="U490" i="1"/>
  <c r="O491" i="1"/>
  <c r="O454" i="1"/>
  <c r="Q455" i="1"/>
  <c r="B10" i="3"/>
  <c r="B20" i="3"/>
  <c r="P490" i="1"/>
  <c r="D672" i="1"/>
  <c r="W489" i="1"/>
  <c r="AD115" i="1"/>
  <c r="AC115" i="1" s="1"/>
  <c r="AH128" i="1" l="1"/>
  <c r="AI128" i="1" s="1"/>
  <c r="AH129" i="1"/>
  <c r="AI129" i="1" s="1"/>
  <c r="AH130" i="1"/>
  <c r="AI130" i="1" s="1"/>
  <c r="AH489" i="1"/>
  <c r="S506" i="1"/>
  <c r="F685" i="1" s="1"/>
  <c r="S504" i="1"/>
  <c r="F683" i="1" s="1"/>
  <c r="S505" i="1"/>
  <c r="F684" i="1" s="1"/>
  <c r="S503" i="1"/>
  <c r="F682" i="1" s="1"/>
  <c r="S507" i="1"/>
  <c r="F686" i="1" s="1"/>
  <c r="S502" i="1"/>
  <c r="F681" i="1" s="1"/>
  <c r="U491" i="1"/>
  <c r="O492" i="1"/>
  <c r="O455" i="1"/>
  <c r="B11" i="3"/>
  <c r="D673" i="1"/>
  <c r="W490" i="1"/>
  <c r="AH490" i="1" s="1"/>
  <c r="AD116" i="1"/>
  <c r="AC116" i="1" s="1"/>
  <c r="P491" i="1"/>
  <c r="U492" i="1" l="1"/>
  <c r="B12" i="3"/>
  <c r="AD117" i="1"/>
  <c r="AC117" i="1" s="1"/>
  <c r="D674" i="1"/>
  <c r="P492" i="1"/>
  <c r="W491" i="1"/>
  <c r="AH491" i="1" l="1"/>
  <c r="S485" i="1" a="1"/>
  <c r="B13" i="3"/>
  <c r="W492" i="1"/>
  <c r="AH492" i="1" s="1"/>
  <c r="D675" i="1"/>
  <c r="AD118" i="1"/>
  <c r="AC118" i="1" s="1"/>
  <c r="S489" i="1" l="1"/>
  <c r="F672" i="1" s="1"/>
  <c r="S488" i="1"/>
  <c r="F671" i="1" s="1"/>
  <c r="S487" i="1"/>
  <c r="F670" i="1" s="1"/>
  <c r="S486" i="1"/>
  <c r="F669" i="1" s="1"/>
  <c r="S490" i="1"/>
  <c r="F673" i="1" s="1"/>
  <c r="S491" i="1"/>
  <c r="F674" i="1" s="1"/>
  <c r="S485" i="1"/>
  <c r="F668" i="1" s="1"/>
  <c r="S492" i="1"/>
  <c r="F675" i="1" s="1"/>
  <c r="B14" i="3"/>
  <c r="R452" i="1" l="1"/>
  <c r="R453" i="1" s="1"/>
  <c r="R454" i="1"/>
  <c r="R455" i="1" s="1"/>
  <c r="R402" i="1"/>
  <c r="I557" i="1"/>
  <c r="U358" i="1"/>
  <c r="U355" i="1"/>
  <c r="R298" i="1"/>
  <c r="U354" i="1"/>
  <c r="T360" i="1"/>
  <c r="U356" i="1"/>
  <c r="I558" i="1"/>
  <c r="W358" i="1"/>
  <c r="V354" i="1"/>
  <c r="T363" i="1"/>
  <c r="W354" i="1"/>
  <c r="V356" i="1"/>
  <c r="U357" i="1"/>
  <c r="R279" i="1"/>
  <c r="I556" i="1"/>
  <c r="V358" i="1"/>
  <c r="V357" i="1"/>
  <c r="R251" i="1"/>
  <c r="W356" i="1"/>
  <c r="W357" i="1"/>
  <c r="C539" i="1"/>
  <c r="I559" i="1"/>
  <c r="T362" i="1"/>
  <c r="V355" i="1"/>
  <c r="D341" i="1"/>
  <c r="R233" i="1"/>
  <c r="W355" i="1"/>
  <c r="T361" i="1"/>
  <c r="I555" i="1"/>
  <c r="Q502" i="1"/>
  <c r="R502" i="1" s="1"/>
  <c r="G493" i="1"/>
  <c r="H493" i="1" s="1"/>
  <c r="S340" i="1"/>
  <c r="E59" i="3"/>
  <c r="S339" i="1"/>
  <c r="R238" i="1"/>
  <c r="R236" i="1"/>
  <c r="E37" i="3"/>
  <c r="R281" i="1"/>
  <c r="R283" i="1"/>
  <c r="G492" i="1"/>
  <c r="H492" i="1" s="1"/>
  <c r="E40" i="3"/>
  <c r="G491" i="1"/>
  <c r="H491" i="1" s="1"/>
  <c r="G490" i="1"/>
  <c r="H490" i="1" s="1"/>
  <c r="E39" i="3"/>
  <c r="E29" i="3"/>
  <c r="S335" i="1"/>
  <c r="S390" i="1"/>
  <c r="D542" i="1" s="1"/>
  <c r="E30" i="3"/>
  <c r="E22" i="3"/>
  <c r="E31" i="3"/>
  <c r="E28" i="3"/>
  <c r="E32" i="3"/>
  <c r="E33" i="3"/>
  <c r="P208" i="1"/>
  <c r="E41" i="3"/>
  <c r="R335" i="1" l="1"/>
  <c r="D484" i="1" s="1"/>
  <c r="R388" i="1"/>
  <c r="C540" i="1" s="1"/>
  <c r="E23" i="3"/>
  <c r="S388" i="1"/>
  <c r="D540" i="1" s="1"/>
  <c r="I540" i="1" s="1"/>
  <c r="E57" i="3"/>
  <c r="S337" i="1"/>
  <c r="R356" i="1" s="1"/>
  <c r="E62" i="3"/>
  <c r="R237" i="1"/>
  <c r="R340" i="1"/>
  <c r="E484" i="1"/>
  <c r="R354" i="1"/>
  <c r="R284" i="1"/>
  <c r="E27" i="3"/>
  <c r="R282" i="1"/>
  <c r="E25" i="3"/>
  <c r="E36" i="3"/>
  <c r="R391" i="1"/>
  <c r="S391" i="1"/>
  <c r="D543" i="1" s="1"/>
  <c r="E21" i="3"/>
  <c r="R234" i="1"/>
  <c r="R338" i="1"/>
  <c r="E60" i="3"/>
  <c r="S338" i="1"/>
  <c r="R358" i="1"/>
  <c r="E488" i="1"/>
  <c r="E486" i="1"/>
  <c r="R390" i="1"/>
  <c r="E35" i="3"/>
  <c r="R336" i="1"/>
  <c r="E58" i="3"/>
  <c r="E26" i="3"/>
  <c r="E24" i="3"/>
  <c r="R392" i="1"/>
  <c r="R280" i="1"/>
  <c r="J556" i="1"/>
  <c r="J559" i="1"/>
  <c r="R389" i="1"/>
  <c r="S389" i="1"/>
  <c r="D541" i="1" s="1"/>
  <c r="E34" i="3"/>
  <c r="S392" i="1"/>
  <c r="D544" i="1" s="1"/>
  <c r="E38" i="3"/>
  <c r="D489" i="1"/>
  <c r="P340" i="1"/>
  <c r="N340" i="1"/>
  <c r="Q340" i="1"/>
  <c r="R359" i="1"/>
  <c r="E489" i="1"/>
  <c r="E42" i="3"/>
  <c r="R339" i="1"/>
  <c r="E61" i="3"/>
  <c r="R235" i="1"/>
  <c r="S336" i="1"/>
  <c r="R337" i="1"/>
  <c r="AD139" i="1"/>
  <c r="AC139" i="1" s="1"/>
  <c r="E681" i="1"/>
  <c r="Y502" i="1"/>
  <c r="Q503" i="1"/>
  <c r="Q388" i="1" l="1"/>
  <c r="P388" i="1" s="1"/>
  <c r="H536" i="1" s="1"/>
  <c r="E409" i="1"/>
  <c r="E410" i="1"/>
  <c r="J479" i="1"/>
  <c r="J480" i="1"/>
  <c r="E487" i="1"/>
  <c r="R357" i="1"/>
  <c r="D486" i="1"/>
  <c r="P337" i="1"/>
  <c r="Q337" i="1"/>
  <c r="N337" i="1"/>
  <c r="O388" i="1"/>
  <c r="R387" i="1" s="1"/>
  <c r="C541" i="1"/>
  <c r="I541" i="1" s="1"/>
  <c r="N389" i="1"/>
  <c r="Q389" i="1"/>
  <c r="C544" i="1"/>
  <c r="I544" i="1" s="1"/>
  <c r="N392" i="1"/>
  <c r="Q392" i="1"/>
  <c r="Q336" i="1"/>
  <c r="N336" i="1"/>
  <c r="D485" i="1"/>
  <c r="P336" i="1"/>
  <c r="G486" i="1"/>
  <c r="H486" i="1" s="1"/>
  <c r="T356" i="1"/>
  <c r="AI493" i="1"/>
  <c r="U363" i="1"/>
  <c r="W363" i="1"/>
  <c r="V363" i="1"/>
  <c r="V413" i="1"/>
  <c r="K559" i="1"/>
  <c r="T358" i="1"/>
  <c r="G488" i="1"/>
  <c r="H488" i="1" s="1"/>
  <c r="P338" i="1"/>
  <c r="D487" i="1"/>
  <c r="N338" i="1"/>
  <c r="Q338" i="1"/>
  <c r="C543" i="1"/>
  <c r="I543" i="1" s="1"/>
  <c r="N391" i="1"/>
  <c r="Q391" i="1"/>
  <c r="R503" i="1"/>
  <c r="Q504" i="1"/>
  <c r="D488" i="1"/>
  <c r="P339" i="1"/>
  <c r="N339" i="1"/>
  <c r="Q339" i="1"/>
  <c r="R355" i="1"/>
  <c r="E485" i="1"/>
  <c r="G489" i="1"/>
  <c r="H489" i="1" s="1"/>
  <c r="T359" i="1"/>
  <c r="G681" i="1"/>
  <c r="H681" i="1" s="1"/>
  <c r="C15" i="3"/>
  <c r="V411" i="1"/>
  <c r="K556" i="1"/>
  <c r="Q390" i="1"/>
  <c r="C542" i="1"/>
  <c r="I542" i="1" s="1"/>
  <c r="N390" i="1"/>
  <c r="C370" i="1"/>
  <c r="C697" i="1"/>
  <c r="C698" i="1" s="1"/>
  <c r="C699" i="1" s="1"/>
  <c r="C700" i="1" s="1"/>
  <c r="C701" i="1" s="1"/>
  <c r="C702" i="1" s="1"/>
  <c r="C703" i="1" s="1"/>
  <c r="C704" i="1" s="1"/>
  <c r="C705" i="1" s="1"/>
  <c r="C706" i="1" s="1"/>
  <c r="R241" i="1"/>
  <c r="C371" i="1"/>
  <c r="R240" i="1"/>
  <c r="R239" i="1"/>
  <c r="Q485" i="1"/>
  <c r="Q486" i="1" s="1"/>
  <c r="R448" i="1"/>
  <c r="T354" i="1"/>
  <c r="G484" i="1"/>
  <c r="H484" i="1" s="1"/>
  <c r="J544" i="1" l="1"/>
  <c r="K544" i="1" s="1"/>
  <c r="F536" i="1"/>
  <c r="J541" i="1"/>
  <c r="V396" i="1" s="1"/>
  <c r="D571" i="1"/>
  <c r="E571" i="1"/>
  <c r="V421" i="1" s="1"/>
  <c r="D570" i="1"/>
  <c r="R486" i="1"/>
  <c r="Q487" i="1"/>
  <c r="G485" i="1"/>
  <c r="H485" i="1" s="1"/>
  <c r="T355" i="1"/>
  <c r="P389" i="1"/>
  <c r="O389" i="1"/>
  <c r="O390" i="1" s="1"/>
  <c r="O391" i="1" s="1"/>
  <c r="O392" i="1" s="1"/>
  <c r="U360" i="1"/>
  <c r="W360" i="1"/>
  <c r="V360" i="1"/>
  <c r="W359" i="1"/>
  <c r="U359" i="1"/>
  <c r="V359" i="1"/>
  <c r="P392" i="1"/>
  <c r="G487" i="1"/>
  <c r="H487" i="1" s="1"/>
  <c r="T357" i="1"/>
  <c r="G571" i="1"/>
  <c r="R485" i="1"/>
  <c r="P391" i="1"/>
  <c r="P390" i="1"/>
  <c r="R504" i="1"/>
  <c r="Q505" i="1"/>
  <c r="V362" i="1"/>
  <c r="W362" i="1"/>
  <c r="U362" i="1"/>
  <c r="V361" i="1"/>
  <c r="W361" i="1"/>
  <c r="U361" i="1"/>
  <c r="I601" i="1"/>
  <c r="I602" i="1"/>
  <c r="R449" i="1"/>
  <c r="R450" i="1" s="1"/>
  <c r="R451" i="1" s="1"/>
  <c r="E682" i="1"/>
  <c r="AD140" i="1"/>
  <c r="AC140" i="1" s="1"/>
  <c r="Y503" i="1"/>
  <c r="V398" i="1" l="1"/>
  <c r="K541" i="1"/>
  <c r="AI494" i="1"/>
  <c r="Y504" i="1"/>
  <c r="AI495" i="1" s="1"/>
  <c r="E683" i="1"/>
  <c r="AD141" i="1"/>
  <c r="AC141" i="1" s="1"/>
  <c r="Y485" i="1"/>
  <c r="E668" i="1"/>
  <c r="AD120" i="1"/>
  <c r="AC120" i="1" s="1"/>
  <c r="R505" i="1"/>
  <c r="Q506" i="1"/>
  <c r="G682" i="1"/>
  <c r="C16" i="3"/>
  <c r="H682" i="1"/>
  <c r="R487" i="1"/>
  <c r="Q488" i="1"/>
  <c r="K84" i="1"/>
  <c r="J84" i="1"/>
  <c r="Y486" i="1"/>
  <c r="AI486" i="1" s="1"/>
  <c r="AD121" i="1"/>
  <c r="AC121" i="1" s="1"/>
  <c r="E669" i="1"/>
  <c r="AI485" i="1" l="1"/>
  <c r="R488" i="1"/>
  <c r="Q489" i="1"/>
  <c r="R506" i="1"/>
  <c r="Q507" i="1"/>
  <c r="G683" i="1"/>
  <c r="H683" i="1" s="1"/>
  <c r="C17" i="3"/>
  <c r="C8" i="3"/>
  <c r="G669" i="1"/>
  <c r="E670" i="1"/>
  <c r="Y487" i="1"/>
  <c r="AI487" i="1" s="1"/>
  <c r="AD122" i="1"/>
  <c r="AC122" i="1" s="1"/>
  <c r="Y505" i="1"/>
  <c r="AI496" i="1" s="1"/>
  <c r="E684" i="1"/>
  <c r="AD142" i="1"/>
  <c r="AC142" i="1" s="1"/>
  <c r="C7" i="3"/>
  <c r="G668" i="1"/>
  <c r="H668" i="1" s="1"/>
  <c r="H669" i="1" l="1"/>
  <c r="R507" i="1"/>
  <c r="AD144" i="1" s="1"/>
  <c r="AC144" i="1" s="1"/>
  <c r="C9" i="3"/>
  <c r="G670" i="1"/>
  <c r="E671" i="1"/>
  <c r="Y488" i="1"/>
  <c r="AI488" i="1" s="1"/>
  <c r="AD123" i="1"/>
  <c r="AC123" i="1" s="1"/>
  <c r="Y506" i="1"/>
  <c r="AI497" i="1" s="1"/>
  <c r="AD143" i="1"/>
  <c r="AC143" i="1" s="1"/>
  <c r="E685" i="1"/>
  <c r="R489" i="1"/>
  <c r="Q490" i="1"/>
  <c r="C18" i="3"/>
  <c r="G684" i="1"/>
  <c r="H684" i="1" s="1"/>
  <c r="E686" i="1" l="1"/>
  <c r="G686" i="1" s="1"/>
  <c r="Y507" i="1"/>
  <c r="AI498" i="1" s="1"/>
  <c r="H670" i="1"/>
  <c r="G305" i="1"/>
  <c r="E672" i="1"/>
  <c r="AD124" i="1"/>
  <c r="AC124" i="1" s="1"/>
  <c r="Y489" i="1"/>
  <c r="AI489" i="1" s="1"/>
  <c r="C20" i="3"/>
  <c r="R490" i="1"/>
  <c r="Q491" i="1"/>
  <c r="C19" i="3"/>
  <c r="G685" i="1"/>
  <c r="H685" i="1" s="1"/>
  <c r="H686" i="1" s="1"/>
  <c r="V509" i="1" s="1"/>
  <c r="J686" i="1" s="1"/>
  <c r="C10" i="3"/>
  <c r="G671" i="1"/>
  <c r="H671" i="1" l="1"/>
  <c r="S509" i="1"/>
  <c r="AD151" i="1" s="1"/>
  <c r="AC151" i="1" s="1"/>
  <c r="Q509" i="1"/>
  <c r="AD149" i="1" s="1"/>
  <c r="AC149" i="1" s="1"/>
  <c r="R491" i="1"/>
  <c r="Q492" i="1"/>
  <c r="E673" i="1"/>
  <c r="Y490" i="1"/>
  <c r="AI490" i="1" s="1"/>
  <c r="AD125" i="1"/>
  <c r="AC125" i="1" s="1"/>
  <c r="R509" i="1"/>
  <c r="AD150" i="1" s="1"/>
  <c r="AC150" i="1" s="1"/>
  <c r="G672" i="1"/>
  <c r="H672" i="1" s="1"/>
  <c r="C11" i="3"/>
  <c r="H673" i="1" l="1"/>
  <c r="R492" i="1"/>
  <c r="E674" i="1"/>
  <c r="AD126" i="1"/>
  <c r="AC126" i="1" s="1"/>
  <c r="Y491" i="1"/>
  <c r="AI491" i="1" s="1"/>
  <c r="G673" i="1"/>
  <c r="C12" i="3"/>
  <c r="H674" i="1" l="1"/>
  <c r="E675" i="1"/>
  <c r="Y492" i="1"/>
  <c r="AI492" i="1" s="1"/>
  <c r="J305" i="1" s="1"/>
  <c r="AD127" i="1"/>
  <c r="AC127" i="1" s="1"/>
  <c r="G674" i="1"/>
  <c r="C13" i="3"/>
  <c r="D305" i="1" l="1"/>
  <c r="G675" i="1"/>
  <c r="C14" i="3"/>
  <c r="H675" i="1"/>
  <c r="V494" i="1" s="1"/>
  <c r="J675" i="1" s="1"/>
  <c r="J88" i="1" l="1"/>
  <c r="K88" i="1"/>
  <c r="S494" i="1"/>
  <c r="AD148" i="1" s="1"/>
  <c r="AC148" i="1" s="1"/>
  <c r="R494" i="1"/>
  <c r="AD147" i="1" s="1"/>
  <c r="AC147" i="1" s="1"/>
  <c r="Q494" i="1"/>
  <c r="AD146" i="1" s="1"/>
  <c r="AC146" i="1" s="1"/>
  <c r="I697" i="1" l="1" a="1"/>
  <c r="I701" i="1" s="1"/>
  <c r="D697" i="1" a="1"/>
  <c r="D700" i="1" s="1"/>
  <c r="D697" i="1" l="1"/>
  <c r="I698" i="1"/>
  <c r="I704" i="1"/>
  <c r="I700" i="1"/>
  <c r="I705" i="1"/>
  <c r="D704" i="1"/>
  <c r="D705" i="1"/>
  <c r="I706" i="1"/>
  <c r="D701" i="1"/>
  <c r="D703" i="1"/>
  <c r="D698" i="1"/>
  <c r="I703" i="1"/>
  <c r="I699" i="1"/>
  <c r="D706" i="1"/>
  <c r="D699" i="1"/>
  <c r="D702" i="1"/>
  <c r="I697" i="1"/>
  <c r="I7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464"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H609"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X2" authorId="0" shapeId="0" xr:uid="{00000000-0006-0000-01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C2" authorId="0" shapeId="0" xr:uid="{00000000-0006-0000-01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I92" authorId="1" shapeId="0" xr:uid="{00000000-0006-0000-0100-000003000000}">
      <text>
        <r>
          <rPr>
            <b/>
            <sz val="9"/>
            <color indexed="81"/>
            <rFont val="Tahoma"/>
            <family val="2"/>
          </rPr>
          <t>Eugene Mah:</t>
        </r>
        <r>
          <rPr>
            <sz val="9"/>
            <color indexed="81"/>
            <rFont val="Tahoma"/>
            <family val="2"/>
          </rPr>
          <t xml:space="preserve">
Nominal contrast values as a function of kVp</t>
        </r>
      </text>
    </comment>
    <comment ref="O92" authorId="1" shapeId="0" xr:uid="{00000000-0006-0000-0100-000004000000}">
      <text>
        <r>
          <rPr>
            <b/>
            <sz val="9"/>
            <color indexed="81"/>
            <rFont val="Tahoma"/>
            <family val="2"/>
          </rPr>
          <t>Eugene Mah:</t>
        </r>
        <r>
          <rPr>
            <sz val="9"/>
            <color indexed="81"/>
            <rFont val="Tahoma"/>
            <family val="2"/>
          </rPr>
          <t xml:space="preserve">
TO.10 nominal contrast values</t>
        </r>
      </text>
    </comment>
    <comment ref="A113" authorId="1" shapeId="0" xr:uid="{00000000-0006-0000-0100-000005000000}">
      <text>
        <r>
          <rPr>
            <b/>
            <sz val="9"/>
            <color indexed="81"/>
            <rFont val="Tahoma"/>
            <family val="2"/>
          </rPr>
          <t>Eugene Mah:</t>
        </r>
        <r>
          <rPr>
            <sz val="9"/>
            <color indexed="81"/>
            <rFont val="Tahoma"/>
            <family val="2"/>
          </rPr>
          <t xml:space="preserve">
TO.10 contrast values at the kVp specified in Fluoro!V319</t>
        </r>
      </text>
    </comment>
    <comment ref="A127" authorId="1" shapeId="0" xr:uid="{00000000-0006-0000-0100-000006000000}">
      <text>
        <r>
          <rPr>
            <b/>
            <sz val="9"/>
            <color indexed="81"/>
            <rFont val="Tahoma"/>
            <family val="2"/>
          </rPr>
          <t>Eugene Mah:</t>
        </r>
        <r>
          <rPr>
            <sz val="9"/>
            <color indexed="81"/>
            <rFont val="Tahoma"/>
            <family val="2"/>
          </rPr>
          <t xml:space="preserve">
TO.16 nominal contrast values at 70 kV and 1.5 mm Cu filtration</t>
        </r>
      </text>
    </comment>
  </commentList>
</comments>
</file>

<file path=xl/sharedStrings.xml><?xml version="1.0" encoding="utf-8"?>
<sst xmlns="http://schemas.openxmlformats.org/spreadsheetml/2006/main" count="4079" uniqueCount="998">
  <si>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</si>
  <si>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</si>
  <si>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</si>
  <si>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</si>
  <si>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</si>
  <si>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</si>
  <si>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</si>
  <si>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</si>
  <si>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</si>
  <si>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</si>
  <si>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</si>
  <si>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</si>
  <si>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</si>
  <si>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</si>
  <si>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Eugene Mah</t>
  </si>
  <si>
    <t>Change to DHEC Standards?</t>
  </si>
  <si>
    <t>(Type 1 to base acceptance on DHEC criteria)</t>
  </si>
  <si>
    <t>RAD / DENTAL UNITS (DHEC CRITERIA)</t>
  </si>
  <si>
    <t>RADIOGRAPHIC UNITS (MUSC CRITERIA)</t>
  </si>
  <si>
    <t>Accession Number:</t>
  </si>
  <si>
    <t>Site Number:</t>
  </si>
  <si>
    <t>T15</t>
  </si>
  <si>
    <t>**A technique chart was not posted in the room.  A technique chart reflecting techniques currently used with the CR system must be provided (DHEC RHB 4.2.8).</t>
  </si>
  <si>
    <t>DHEC form SC-RHA-20 "Notice to Employees" posted or referenced.</t>
  </si>
  <si>
    <t>50-85</t>
  </si>
  <si>
    <t>70-120</t>
  </si>
  <si>
    <t>35-60</t>
  </si>
  <si>
    <t>DHEC RHB 10.2.1</t>
  </si>
  <si>
    <t>Pregnancy Warning sign is posted</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</si>
  <si>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</si>
  <si>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</si>
  <si>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</si>
  <si>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</si>
  <si>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</si>
  <si>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</si>
  <si>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</si>
  <si>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</si>
  <si>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</si>
  <si>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</si>
  <si>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</si>
  <si>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</si>
  <si>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</si>
  <si>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</si>
  <si>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</si>
  <si>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</si>
  <si>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</si>
  <si>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</si>
  <si>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</si>
  <si>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</si>
  <si>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</si>
  <si>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</si>
  <si>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</si>
  <si>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</si>
  <si>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</si>
  <si>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</si>
  <si>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</si>
  <si>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</si>
  <si>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</si>
  <si>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</si>
  <si>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</si>
  <si>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</si>
  <si>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</si>
  <si>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</si>
  <si>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</si>
  <si>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</si>
  <si>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</si>
  <si>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</si>
  <si>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</si>
  <si>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</si>
  <si>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</si>
  <si>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</si>
  <si>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</si>
  <si>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</si>
  <si>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</si>
  <si>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</si>
  <si>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</si>
  <si>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</si>
  <si>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</si>
  <si>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</si>
  <si>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</si>
  <si>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</si>
  <si>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</si>
  <si>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</si>
  <si>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</si>
  <si>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</si>
  <si>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</si>
  <si>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</si>
  <si>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</si>
  <si>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</si>
  <si>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</si>
  <si>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</si>
  <si>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</si>
  <si>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</si>
  <si>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</si>
  <si>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</si>
  <si>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</si>
  <si>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</si>
  <si>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</si>
  <si>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</si>
  <si>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</si>
  <si>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</si>
  <si>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</si>
  <si>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</si>
  <si>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</si>
  <si>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</si>
  <si>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</si>
  <si>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</si>
  <si>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</si>
  <si>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</si>
  <si>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</si>
  <si>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</si>
  <si>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</si>
  <si>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</si>
  <si>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</si>
  <si>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</si>
  <si>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</si>
  <si>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</si>
  <si>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</si>
  <si>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</si>
  <si>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</si>
  <si>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</si>
  <si>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</si>
  <si>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</si>
  <si>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</si>
  <si>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</si>
  <si>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</si>
  <si>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</si>
  <si>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</si>
  <si>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</si>
  <si>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</si>
  <si>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</si>
  <si>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</si>
  <si>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</si>
  <si>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</si>
  <si>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</si>
  <si>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</si>
  <si>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</si>
  <si>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</si>
  <si>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</si>
  <si>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</si>
  <si>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</si>
  <si>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</si>
  <si>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</si>
  <si>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</si>
  <si>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</si>
  <si>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</si>
  <si>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</si>
  <si>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</si>
  <si>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</si>
  <si>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</si>
  <si>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</si>
  <si>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</si>
  <si>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</si>
  <si>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</si>
  <si>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</si>
  <si>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</si>
  <si>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</si>
  <si>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</si>
  <si>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</si>
  <si>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</si>
  <si>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</si>
  <si>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</si>
  <si>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</si>
  <si>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</si>
  <si>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</si>
  <si>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</si>
  <si>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</si>
  <si>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</si>
  <si>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</si>
  <si>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</si>
  <si>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</si>
  <si>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</si>
  <si>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</si>
  <si>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</si>
  <si>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</si>
  <si>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</si>
  <si>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</si>
  <si>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</si>
  <si>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</si>
  <si>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</si>
  <si>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</si>
  <si>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</si>
  <si>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</si>
  <si>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</si>
  <si>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</si>
  <si>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</si>
  <si>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</si>
  <si>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</si>
  <si>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</si>
  <si>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</si>
  <si>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</si>
  <si>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</si>
  <si>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</si>
  <si>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</si>
  <si>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</si>
  <si>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</si>
  <si>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</si>
  <si>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</si>
  <si>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</si>
  <si>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</si>
  <si>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</si>
  <si>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</si>
  <si>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</si>
  <si>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</si>
  <si>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</si>
  <si>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</si>
  <si>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</si>
  <si>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</si>
  <si>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</si>
  <si>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</si>
  <si>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</si>
  <si>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</si>
  <si>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</si>
  <si>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</si>
  <si>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</si>
  <si>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</si>
  <si>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</si>
  <si>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</si>
  <si>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DATA (1/2)</t>
  </si>
  <si>
    <t>Data Al</t>
  </si>
  <si>
    <t>Acceptable (mm Al)</t>
  </si>
  <si>
    <t>Data Exp</t>
  </si>
  <si>
    <t>LN(EXP)</t>
  </si>
  <si>
    <t>LOW:</t>
  </si>
  <si>
    <t>DESIRED:</t>
  </si>
  <si>
    <t>HIGH:</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</si>
  <si>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</si>
  <si>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</si>
  <si>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</si>
  <si>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</si>
  <si>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</si>
  <si>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</si>
  <si>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</si>
  <si>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</si>
  <si>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</si>
  <si>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</si>
  <si>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</si>
  <si>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</si>
  <si>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</si>
  <si>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</si>
  <si>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</si>
  <si>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</si>
  <si>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</si>
  <si>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</si>
  <si>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</si>
  <si>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</si>
  <si>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</si>
  <si>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</si>
  <si>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</si>
  <si>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</si>
  <si>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</si>
  <si>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</si>
  <si>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</si>
  <si>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</si>
  <si>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</si>
  <si>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</si>
  <si>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Note:  Type all comments in the shaded cells.</t>
  </si>
  <si>
    <t>Do NOT exceed 390</t>
  </si>
  <si>
    <t>Input Changes Only</t>
  </si>
  <si>
    <t>AB188</t>
  </si>
  <si>
    <t>N1411</t>
  </si>
  <si>
    <t>NEW VALUES</t>
  </si>
  <si>
    <t>Tube Designation(column 1):</t>
  </si>
  <si>
    <t>Tube Designation(column 2):</t>
  </si>
  <si>
    <t>HVL Measured kVp:</t>
  </si>
  <si>
    <t>HVL Measured:</t>
  </si>
  <si>
    <t>No. Half Aprons:</t>
  </si>
  <si>
    <t>No. Full Aprons:</t>
  </si>
  <si>
    <t>No. Lead Gloves:</t>
  </si>
  <si>
    <t>COMMENT PAGE 1</t>
  </si>
  <si>
    <t>High</t>
  </si>
  <si>
    <t>NEW</t>
  </si>
  <si>
    <t>Using</t>
  </si>
  <si>
    <t>Exp</t>
  </si>
  <si>
    <t>throughout</t>
  </si>
  <si>
    <t xml:space="preserve">Use consistent units (cm/in.) </t>
  </si>
  <si>
    <t xml:space="preserve">NOTE: </t>
  </si>
  <si>
    <t>Large Focus Timer Reprod-1</t>
  </si>
  <si>
    <t>Large Focus Timer Reprod-2</t>
  </si>
  <si>
    <t>Small Focus Timer Reprod-1</t>
  </si>
  <si>
    <t>Small Focus Timer Reprod-2</t>
  </si>
  <si>
    <t xml:space="preserve">(cm) Source to Table </t>
  </si>
  <si>
    <t>M409</t>
  </si>
  <si>
    <t>M410</t>
  </si>
  <si>
    <t>M420</t>
  </si>
  <si>
    <t>M421</t>
  </si>
  <si>
    <t>Previous Year Comments:</t>
  </si>
  <si>
    <t>PRINT AREAS</t>
  </si>
  <si>
    <t xml:space="preserve">ALL:  </t>
  </si>
  <si>
    <t xml:space="preserve">REM: </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</si>
  <si>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</si>
  <si>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</si>
  <si>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</si>
  <si>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</si>
  <si>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</si>
  <si>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</si>
  <si>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</si>
  <si>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</si>
  <si>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</si>
  <si>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</si>
  <si>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</si>
  <si>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</si>
  <si>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</si>
  <si>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</si>
  <si>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</si>
  <si>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</si>
  <si>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</si>
  <si>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</si>
  <si>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</si>
  <si>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</si>
  <si>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</si>
  <si>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</si>
  <si>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</si>
  <si>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</si>
  <si>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</si>
  <si>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</si>
  <si>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</si>
  <si>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</si>
  <si>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</si>
  <si>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</si>
  <si>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</si>
  <si>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</si>
  <si>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</si>
  <si>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</si>
  <si>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</si>
  <si>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</si>
  <si>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</si>
  <si>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</si>
  <si>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</si>
  <si>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</si>
  <si>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</si>
  <si>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</si>
  <si>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</si>
  <si>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</si>
  <si>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</si>
  <si>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</si>
  <si>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</si>
  <si>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Inspection Results</t>
  </si>
  <si>
    <t>Rule Number</t>
  </si>
  <si>
    <t>Labels, Notices, Postings</t>
  </si>
  <si>
    <t>Compliance</t>
  </si>
  <si>
    <t>Enter 1 for YES, 2 for NO, 3 for NA</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</si>
  <si>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</si>
  <si>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</si>
  <si>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</si>
  <si>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</si>
  <si>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</si>
  <si>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</si>
  <si>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</si>
  <si>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</si>
  <si>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</si>
  <si>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</si>
  <si>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</si>
  <si>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</si>
  <si>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</si>
  <si>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</si>
  <si>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</si>
  <si>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Table Bucky</t>
  </si>
  <si>
    <t>X-ray field and light field length/width are congruent within 2% SID.</t>
  </si>
  <si>
    <t>Tube Designation</t>
  </si>
  <si>
    <t>TB used?</t>
  </si>
  <si>
    <t>Beam alignment on table top?</t>
  </si>
  <si>
    <t>Transverse</t>
  </si>
  <si>
    <t>Longitudinal</t>
  </si>
  <si>
    <t>Generator</t>
  </si>
  <si>
    <t>Source to Table Top (cm)</t>
  </si>
  <si>
    <t>Table top to cassette (cm)</t>
  </si>
  <si>
    <t>Table bucky cm/in</t>
  </si>
  <si>
    <t>Bucky SID</t>
  </si>
  <si>
    <t>kVp</t>
  </si>
  <si>
    <t>kVp accurate to within 5% of indicated.</t>
  </si>
  <si>
    <t>mA</t>
  </si>
  <si>
    <t>Time</t>
  </si>
  <si>
    <t>Timer reproducibility coeff. of var. &lt; 5%.</t>
  </si>
  <si>
    <t>Exposure coefficient of linearity &lt; 10%.</t>
  </si>
  <si>
    <t>Radiation Safety</t>
  </si>
  <si>
    <t>Continuous pressure on exposure switch required to make an exposure.</t>
  </si>
  <si>
    <t>Exposure switch for selected tube is secured at a safe location</t>
  </si>
  <si>
    <t>Operator has full visibility of the exposure factors and patient.</t>
  </si>
  <si>
    <t>Lead aprons available.</t>
  </si>
  <si>
    <t>Lead gloves available.</t>
  </si>
  <si>
    <t>Number (Left + Right):</t>
  </si>
  <si>
    <t>A properly designed and installed apron rack is present.</t>
  </si>
  <si>
    <t>Documentation of annual protective apparel integrity inspection is available.</t>
  </si>
  <si>
    <t>Patient restraint devices available.</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</si>
  <si>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</si>
  <si>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</si>
  <si>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</si>
  <si>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</si>
  <si>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</si>
  <si>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</si>
  <si>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</si>
  <si>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</si>
  <si>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</si>
  <si>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</si>
  <si>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</si>
  <si>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</si>
  <si>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</si>
  <si>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</si>
  <si>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</si>
  <si>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</si>
  <si>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</si>
  <si>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Small Focus:</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</si>
  <si>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</si>
  <si>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</si>
  <si>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</si>
  <si>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</si>
  <si>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</si>
  <si>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</si>
  <si>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</si>
  <si>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</si>
  <si>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</si>
  <si>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</si>
  <si>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Large Focus Output</t>
  </si>
  <si>
    <t>SDD(in.)</t>
  </si>
  <si>
    <t>Exposure/Dose Measurement</t>
  </si>
  <si>
    <t>Small Focus Output</t>
  </si>
  <si>
    <t>Comments:</t>
  </si>
  <si>
    <t>Measurement Data</t>
  </si>
  <si>
    <t>Percent</t>
  </si>
  <si>
    <t>Accuracy</t>
  </si>
  <si>
    <t>Indicated</t>
  </si>
  <si>
    <t>Measured</t>
  </si>
  <si>
    <t>Error</t>
  </si>
  <si>
    <t>Acceptable:</t>
  </si>
  <si>
    <t>Criteria:</t>
  </si>
  <si>
    <t>mAs</t>
  </si>
  <si>
    <t>COMMENT PAGE 2</t>
  </si>
  <si>
    <t>Enter 1 for YES, 2 for NO</t>
  </si>
  <si>
    <t>Beam Alignment</t>
  </si>
  <si>
    <t>kVp:</t>
  </si>
  <si>
    <t>mA:</t>
  </si>
  <si>
    <t>mAs:</t>
  </si>
  <si>
    <t xml:space="preserve">Push button to select cm/in.       </t>
  </si>
  <si>
    <t>Bucky SID:</t>
  </si>
  <si>
    <t>cm</t>
  </si>
  <si>
    <t>Last Year</t>
  </si>
  <si>
    <t>New</t>
  </si>
  <si>
    <t>Indicated Field Size @SID</t>
  </si>
  <si>
    <t>Measured* Radiation</t>
  </si>
  <si>
    <t>Field Size Indicators</t>
  </si>
  <si>
    <t>Error (% SID)</t>
  </si>
  <si>
    <t>*Dimension of highest optical density region</t>
  </si>
  <si>
    <t>**Dimension between the image of the coins marking the edge of the light field</t>
  </si>
  <si>
    <t>Acceptable</t>
  </si>
  <si>
    <t>New Values</t>
  </si>
  <si>
    <t>The indicated field length/width are accurate to within 2% of the SID.</t>
  </si>
  <si>
    <t>COMMENTS</t>
  </si>
  <si>
    <t>Focal Spot Resolution</t>
  </si>
  <si>
    <t>Large Focus kV accuracy</t>
  </si>
  <si>
    <t>Small Focus kV accuracy</t>
  </si>
  <si>
    <t>Exposure Timer</t>
  </si>
  <si>
    <t>Large Focus Linearity</t>
  </si>
  <si>
    <t>Small Focus Linearity</t>
  </si>
  <si>
    <t>Half Value Layer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</si>
  <si>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</si>
  <si>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</si>
  <si>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</si>
  <si>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</si>
  <si>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</si>
  <si>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</si>
  <si>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</si>
  <si>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</si>
  <si>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</si>
  <si>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</si>
  <si>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</si>
  <si>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</si>
  <si>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</si>
  <si>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</si>
  <si>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</si>
  <si>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</si>
  <si>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</si>
  <si>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</si>
  <si>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</si>
  <si>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</si>
  <si>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</si>
  <si>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</si>
  <si>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</si>
  <si>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</si>
  <si>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</si>
  <si>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</si>
  <si>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</si>
  <si>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</si>
  <si>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</si>
  <si>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</si>
  <si>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</si>
  <si>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</si>
  <si>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</si>
  <si>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</si>
  <si>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T11</t>
  </si>
  <si>
    <t>T12</t>
  </si>
  <si>
    <t>T13</t>
  </si>
  <si>
    <t>T14</t>
  </si>
  <si>
    <t>T18</t>
  </si>
  <si>
    <t>T19</t>
  </si>
  <si>
    <t>T20</t>
  </si>
  <si>
    <t>T24</t>
  </si>
  <si>
    <t>T25</t>
  </si>
  <si>
    <t>T26</t>
  </si>
  <si>
    <t>T28</t>
  </si>
  <si>
    <t>T29</t>
  </si>
  <si>
    <t>T32</t>
  </si>
  <si>
    <t>T33</t>
  </si>
  <si>
    <t>U54</t>
  </si>
  <si>
    <t>V423</t>
  </si>
  <si>
    <t>U423</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</si>
  <si>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</si>
  <si>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</si>
  <si>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</si>
  <si>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</si>
  <si>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</si>
  <si>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</si>
  <si>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</si>
  <si>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</si>
  <si>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</si>
  <si>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</si>
  <si>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</si>
  <si>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</si>
  <si>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</si>
  <si>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</si>
  <si>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</si>
  <si>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</si>
  <si>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</si>
  <si>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</si>
  <si>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</si>
  <si>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</si>
  <si>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</si>
  <si>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</si>
  <si>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</si>
  <si>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</si>
  <si>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</si>
  <si>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</si>
  <si>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</si>
  <si>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</si>
  <si>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O205</t>
  </si>
  <si>
    <t>O207</t>
  </si>
  <si>
    <t>O209</t>
  </si>
  <si>
    <t>O211</t>
  </si>
  <si>
    <t>O213</t>
  </si>
  <si>
    <t>O215</t>
  </si>
  <si>
    <t>O217</t>
  </si>
  <si>
    <t>O219</t>
  </si>
  <si>
    <t>O221</t>
  </si>
  <si>
    <t>O223</t>
  </si>
  <si>
    <t>O225</t>
  </si>
  <si>
    <t>O227</t>
  </si>
  <si>
    <t>O229</t>
  </si>
  <si>
    <t>O231</t>
  </si>
  <si>
    <t>O233</t>
  </si>
  <si>
    <t>O235</t>
  </si>
  <si>
    <t>O237</t>
  </si>
  <si>
    <t>O239</t>
  </si>
  <si>
    <t>O241</t>
  </si>
  <si>
    <t>O369</t>
  </si>
  <si>
    <t>O683</t>
  </si>
  <si>
    <t>O703</t>
  </si>
  <si>
    <t>O719</t>
  </si>
  <si>
    <t>O751</t>
  </si>
  <si>
    <t>O753</t>
  </si>
  <si>
    <t>P772</t>
  </si>
  <si>
    <t>O824</t>
  </si>
  <si>
    <t>O877</t>
  </si>
  <si>
    <t>O892</t>
  </si>
  <si>
    <t>O946</t>
  </si>
  <si>
    <t>U59</t>
  </si>
  <si>
    <t>U60</t>
  </si>
  <si>
    <t>U61</t>
  </si>
  <si>
    <t>U62</t>
  </si>
  <si>
    <t>U63</t>
  </si>
  <si>
    <t>U64</t>
  </si>
  <si>
    <t>U65</t>
  </si>
  <si>
    <t>V59</t>
  </si>
  <si>
    <t>V60</t>
  </si>
  <si>
    <t>V61</t>
  </si>
  <si>
    <t>V62</t>
  </si>
  <si>
    <t>V63</t>
  </si>
  <si>
    <t>V64</t>
  </si>
  <si>
    <t>V65</t>
  </si>
  <si>
    <t>S950</t>
  </si>
  <si>
    <t>S951</t>
  </si>
  <si>
    <t>R1430</t>
  </si>
  <si>
    <t>T1430</t>
  </si>
  <si>
    <t>R1431</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</si>
  <si>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</si>
  <si>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</si>
  <si>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</si>
  <si>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</si>
  <si>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</si>
  <si>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</si>
  <si>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</si>
  <si>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</si>
  <si>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</si>
  <si>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</si>
  <si>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</si>
  <si>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</si>
  <si>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</si>
  <si>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</si>
  <si>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</si>
  <si>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</si>
  <si>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</si>
  <si>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</si>
  <si>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</si>
  <si>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</si>
  <si>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</si>
  <si>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</si>
  <si>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</si>
  <si>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</si>
  <si>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</si>
  <si>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</si>
  <si>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</si>
  <si>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</si>
  <si>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</si>
  <si>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</si>
  <si>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</si>
  <si>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</si>
  <si>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</si>
  <si>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</si>
  <si>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</si>
  <si>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</si>
  <si>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</si>
  <si>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</si>
  <si>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</si>
  <si>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</si>
  <si>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</si>
  <si>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</si>
  <si>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</si>
  <si>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</si>
  <si>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</si>
  <si>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</si>
  <si>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</si>
  <si>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</si>
  <si>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</si>
  <si>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</si>
  <si>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</si>
  <si>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</si>
  <si>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</si>
  <si>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</si>
  <si>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</si>
  <si>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</si>
  <si>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</si>
  <si>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</si>
  <si>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Barracuda MPD</t>
  </si>
  <si>
    <t>ms</t>
  </si>
  <si>
    <t>Dose (mGy)</t>
  </si>
  <si>
    <t>Total filtration (mm Al)</t>
  </si>
  <si>
    <t>HVL (mm Al)</t>
  </si>
  <si>
    <t>Enter 1 - Manual, 2 - Radcal, 3 - Barracuda</t>
  </si>
  <si>
    <t>HF</t>
  </si>
  <si>
    <t>Meets minimum HVL criteria:</t>
  </si>
  <si>
    <t>Meets min HVL:</t>
  </si>
  <si>
    <t>Exposure (mGy)</t>
  </si>
  <si>
    <t>Time (s)</t>
  </si>
  <si>
    <t>mGy</t>
  </si>
  <si>
    <t>mGy/mAs</t>
  </si>
  <si>
    <t>LN(mGy/mAs)</t>
  </si>
  <si>
    <t>mGy/mAs Output</t>
  </si>
  <si>
    <t>(mGy/mAs)adj1 - (mGy/mAs)adj2</t>
  </si>
  <si>
    <t>(mGy/mAs)adj1 + (mGy/mAs)adj2</t>
  </si>
  <si>
    <t>(mGy/mAs)max - (mGy/mAs)min</t>
  </si>
  <si>
    <t>(mGy/mAs)max + (mGy/mAs)min</t>
  </si>
  <si>
    <t>LFS Output Slope:</t>
  </si>
  <si>
    <t>SFS Output Slope:</t>
  </si>
  <si>
    <t>Dose rate (mGy/s)</t>
  </si>
  <si>
    <t>Overall Slope:</t>
  </si>
  <si>
    <t>Huttner Grating</t>
  </si>
  <si>
    <t>kVp and Exposure Reproducibility</t>
  </si>
  <si>
    <t>Large Focus kV, Exposure, Timer Reproducibility</t>
  </si>
  <si>
    <t>Small Focus kV, Exposure, Timer Reproducibility</t>
  </si>
  <si>
    <t>Software Version:</t>
  </si>
  <si>
    <t>LFS</t>
  </si>
  <si>
    <t>SFS</t>
  </si>
  <si>
    <t>Collimation table</t>
  </si>
  <si>
    <t>LFS Output</t>
  </si>
  <si>
    <t>SFS Output</t>
  </si>
  <si>
    <t>Gen Test</t>
  </si>
  <si>
    <t>DHEC RHB 4.2.7</t>
  </si>
  <si>
    <t>DHEC RHB 4.2.6</t>
  </si>
  <si>
    <t>Sheet</t>
  </si>
  <si>
    <t>RAD</t>
  </si>
  <si>
    <t>SurveyID</t>
  </si>
  <si>
    <t>Piranha CB2-17090320</t>
  </si>
  <si>
    <t>Calibration Date:</t>
  </si>
  <si>
    <t>kVp and exposure reproducibility coeff. of var. &lt; 5%.</t>
  </si>
  <si>
    <t>Accu (kV)</t>
  </si>
  <si>
    <t>Calibration Due:</t>
  </si>
  <si>
    <t>Is this a new installation?</t>
  </si>
  <si>
    <t>New install?</t>
  </si>
  <si>
    <t>M52</t>
  </si>
  <si>
    <t>Radiation Oncology IGRT Compliance Inspection</t>
  </si>
  <si>
    <t>Revision 0.1-20200916  (Has 42 data records)</t>
  </si>
  <si>
    <t xml:space="preserve">(cm) Table top to receptor </t>
  </si>
  <si>
    <t>IMAGE RECEPTOR</t>
  </si>
  <si>
    <t>P231</t>
  </si>
  <si>
    <t>P233</t>
  </si>
  <si>
    <t>Q233</t>
  </si>
  <si>
    <t>R233</t>
  </si>
  <si>
    <t>S233</t>
  </si>
  <si>
    <t>U233</t>
  </si>
  <si>
    <t>V233</t>
  </si>
  <si>
    <t>P236</t>
  </si>
  <si>
    <t>O238</t>
  </si>
  <si>
    <t>P238</t>
  </si>
  <si>
    <t>Q238</t>
  </si>
  <si>
    <t>R238</t>
  </si>
  <si>
    <t>S238</t>
  </si>
  <si>
    <t>U238</t>
  </si>
  <si>
    <t>V238</t>
  </si>
  <si>
    <t>O251</t>
  </si>
  <si>
    <t>N257</t>
  </si>
  <si>
    <t>N275</t>
  </si>
  <si>
    <t>M370</t>
  </si>
  <si>
    <t>COMMENTS PAGE 1</t>
  </si>
  <si>
    <t>Is this tube used with a table bucky or other horizontal type film  image receptor?</t>
  </si>
  <si>
    <t>Mag. Correction - Is beam alignment test being done with the film on the table top?</t>
  </si>
  <si>
    <t>P21</t>
  </si>
  <si>
    <t>Indicated field size</t>
  </si>
  <si>
    <t>Transverse 1</t>
  </si>
  <si>
    <t>Longitudinal 1</t>
  </si>
  <si>
    <t>Transverse 2</t>
  </si>
  <si>
    <t>Longitudinal 2</t>
  </si>
  <si>
    <t>M192</t>
  </si>
  <si>
    <t>N192</t>
  </si>
  <si>
    <t>M193</t>
  </si>
  <si>
    <t>N193</t>
  </si>
  <si>
    <t>D</t>
  </si>
  <si>
    <t>Leeds Phantom</t>
  </si>
  <si>
    <t>TO.16</t>
  </si>
  <si>
    <t>Row</t>
  </si>
  <si>
    <t>A</t>
  </si>
  <si>
    <t>B</t>
  </si>
  <si>
    <t>C</t>
  </si>
  <si>
    <t>E</t>
  </si>
  <si>
    <t>F</t>
  </si>
  <si>
    <t>G</t>
  </si>
  <si>
    <t>H</t>
  </si>
  <si>
    <t>J</t>
  </si>
  <si>
    <t>K</t>
  </si>
  <si>
    <t>L</t>
  </si>
  <si>
    <t>M</t>
  </si>
  <si>
    <t>Disks</t>
  </si>
  <si>
    <t>IMAGE QUALITY</t>
  </si>
  <si>
    <t>Leeds N3</t>
  </si>
  <si>
    <t>Nominal</t>
  </si>
  <si>
    <t>TO.10.A</t>
  </si>
  <si>
    <t>TO.10.B</t>
  </si>
  <si>
    <t>TO.10.C</t>
  </si>
  <si>
    <t>TO.10.D</t>
  </si>
  <si>
    <t>TO.10.E</t>
  </si>
  <si>
    <t>TO.10.F</t>
  </si>
  <si>
    <t>TO.10.G</t>
  </si>
  <si>
    <t>TO.10.H</t>
  </si>
  <si>
    <t>TO.10.J</t>
  </si>
  <si>
    <t>TO.10.K</t>
  </si>
  <si>
    <t>TO.10.L</t>
  </si>
  <si>
    <t>TO.10.M</t>
  </si>
  <si>
    <t>O546</t>
  </si>
  <si>
    <t>O547</t>
  </si>
  <si>
    <t>O548</t>
  </si>
  <si>
    <t>O549</t>
  </si>
  <si>
    <t>O550</t>
  </si>
  <si>
    <t>O551</t>
  </si>
  <si>
    <t>O552</t>
  </si>
  <si>
    <t>O553</t>
  </si>
  <si>
    <t>O554</t>
  </si>
  <si>
    <t>O555</t>
  </si>
  <si>
    <t>O556</t>
  </si>
  <si>
    <t>O557</t>
  </si>
  <si>
    <t>O543</t>
  </si>
  <si>
    <t>P543</t>
  </si>
  <si>
    <t>TO.10 kV Adj</t>
  </si>
  <si>
    <t>TO.10</t>
  </si>
  <si>
    <t>Diameter (mm)</t>
  </si>
  <si>
    <t>sqrt(Area)</t>
  </si>
  <si>
    <t>TO.10 Values</t>
  </si>
  <si>
    <t>Detector Uniformity</t>
  </si>
  <si>
    <t>ROI 1:</t>
  </si>
  <si>
    <t>ROI 2:</t>
  </si>
  <si>
    <t>ROI 3:</t>
  </si>
  <si>
    <t>ROI 4:</t>
  </si>
  <si>
    <t>ROI 5:</t>
  </si>
  <si>
    <t>Average:</t>
  </si>
  <si>
    <t>Max deviation:</t>
  </si>
  <si>
    <t>Dev from mean</t>
  </si>
  <si>
    <t>Mean</t>
  </si>
  <si>
    <t>COMPUTED TOMOGRAPHY</t>
  </si>
  <si>
    <t>Measurement Protocols</t>
  </si>
  <si>
    <t>Adult</t>
  </si>
  <si>
    <t>Abdomen</t>
  </si>
  <si>
    <t>Chest</t>
  </si>
  <si>
    <t>Head</t>
  </si>
  <si>
    <t>Protocol name</t>
  </si>
  <si>
    <t>Eff mAs</t>
  </si>
  <si>
    <t>Time/rotation (s)</t>
  </si>
  <si>
    <t>Scan FOV (cm)</t>
  </si>
  <si>
    <t>Display FOV (cm)</t>
  </si>
  <si>
    <t>Reconstruction Algorithm</t>
  </si>
  <si>
    <t>Axial/Helical</t>
  </si>
  <si>
    <t>Z-Axis collimation</t>
  </si>
  <si>
    <t># of channels</t>
  </si>
  <si>
    <t>Table Increment/speed</t>
  </si>
  <si>
    <t>Pitch</t>
  </si>
  <si>
    <t>Recon scan width (mm)</t>
  </si>
  <si>
    <t>Recon scan interval (mm)</t>
  </si>
  <si>
    <t>Dose reduction techniques</t>
  </si>
  <si>
    <t>Indiated CTDIvol (mGy)</t>
  </si>
  <si>
    <t>Adult Abdomen</t>
  </si>
  <si>
    <t>Adult Chest</t>
  </si>
  <si>
    <t>Adult Head</t>
  </si>
  <si>
    <t>CT Protocols</t>
  </si>
  <si>
    <t>O564</t>
  </si>
  <si>
    <t>O565</t>
  </si>
  <si>
    <t>O566</t>
  </si>
  <si>
    <t>O567</t>
  </si>
  <si>
    <t>O568</t>
  </si>
  <si>
    <t>O569</t>
  </si>
  <si>
    <t>O570</t>
  </si>
  <si>
    <t>O571</t>
  </si>
  <si>
    <t>O572</t>
  </si>
  <si>
    <t>O573</t>
  </si>
  <si>
    <t>O574</t>
  </si>
  <si>
    <t>O575</t>
  </si>
  <si>
    <t>O576</t>
  </si>
  <si>
    <t>O577</t>
  </si>
  <si>
    <t>O578</t>
  </si>
  <si>
    <t>O579</t>
  </si>
  <si>
    <t>O580</t>
  </si>
  <si>
    <t>O581</t>
  </si>
  <si>
    <t>P564</t>
  </si>
  <si>
    <t>P565</t>
  </si>
  <si>
    <t>P566</t>
  </si>
  <si>
    <t>P567</t>
  </si>
  <si>
    <t>P568</t>
  </si>
  <si>
    <t>P569</t>
  </si>
  <si>
    <t>P570</t>
  </si>
  <si>
    <t>P571</t>
  </si>
  <si>
    <t>P572</t>
  </si>
  <si>
    <t>P573</t>
  </si>
  <si>
    <t>P574</t>
  </si>
  <si>
    <t>P575</t>
  </si>
  <si>
    <t>P576</t>
  </si>
  <si>
    <t>P577</t>
  </si>
  <si>
    <t>P578</t>
  </si>
  <si>
    <t>P579</t>
  </si>
  <si>
    <t>P580</t>
  </si>
  <si>
    <t>P581</t>
  </si>
  <si>
    <t>Q564</t>
  </si>
  <si>
    <t>Q565</t>
  </si>
  <si>
    <t>Q566</t>
  </si>
  <si>
    <t>Q567</t>
  </si>
  <si>
    <t>Q568</t>
  </si>
  <si>
    <t>Q569</t>
  </si>
  <si>
    <t>Q570</t>
  </si>
  <si>
    <t>Q571</t>
  </si>
  <si>
    <t>Q572</t>
  </si>
  <si>
    <t>Q573</t>
  </si>
  <si>
    <t>Q574</t>
  </si>
  <si>
    <t>Q575</t>
  </si>
  <si>
    <t>Q576</t>
  </si>
  <si>
    <t>Q577</t>
  </si>
  <si>
    <t>Q578</t>
  </si>
  <si>
    <t>Q579</t>
  </si>
  <si>
    <t>Q580</t>
  </si>
  <si>
    <t>Q581</t>
  </si>
  <si>
    <t>CTDI Measurements</t>
  </si>
  <si>
    <t>Average CTDIvol:</t>
  </si>
  <si>
    <t>Phantom size indicated (cm)</t>
  </si>
  <si>
    <t>Phantom size used (cm)</t>
  </si>
  <si>
    <t>Previous year:</t>
  </si>
  <si>
    <t>Variation from prev year:</t>
  </si>
  <si>
    <t>Variation from indicated:</t>
  </si>
  <si>
    <t>CTDIvol/100 mAs:</t>
  </si>
  <si>
    <t>Prev CTDIvol/100 mAs:</t>
  </si>
  <si>
    <t>CTDI is within 5% of previous year.</t>
  </si>
  <si>
    <t>Measured CTDI is within 20% of indicated CTDI</t>
  </si>
  <si>
    <t>CTDIvol/100 mAs</t>
  </si>
  <si>
    <t>CTDIvol is less than ACR Pass/Fail dose</t>
  </si>
  <si>
    <t>Reference</t>
  </si>
  <si>
    <t>Pass/Fail</t>
  </si>
  <si>
    <t>(mGy)</t>
  </si>
  <si>
    <t>Adult Head:</t>
  </si>
  <si>
    <t>Ped Abd (16cm)</t>
  </si>
  <si>
    <t>Ped Abd (32cm)</t>
  </si>
  <si>
    <t>Pediatric Head:</t>
  </si>
  <si>
    <t>Beam Profile</t>
  </si>
  <si>
    <t>Channels (N)</t>
  </si>
  <si>
    <t>Detector width T (mm)</t>
  </si>
  <si>
    <t>Beam profile is within 3mm or 30% of specified value</t>
  </si>
  <si>
    <t>NxT Beam width (mm)</t>
  </si>
  <si>
    <t>Nominal beam width (mm)</t>
  </si>
  <si>
    <t>Measured beam width (mm)</t>
  </si>
  <si>
    <t>Average (mm):</t>
  </si>
  <si>
    <t>Artifact Evaluation</t>
  </si>
  <si>
    <t>Water phantom is free from rings, streaks, lines, cupping artifacts</t>
  </si>
  <si>
    <t>CT Number Accuracy</t>
  </si>
  <si>
    <t>Acceptable HU</t>
  </si>
  <si>
    <t>Polyethylene</t>
  </si>
  <si>
    <t>Water</t>
  </si>
  <si>
    <t>Water Std Dev</t>
  </si>
  <si>
    <t>Acrylic</t>
  </si>
  <si>
    <t>Bone</t>
  </si>
  <si>
    <t>Air</t>
  </si>
  <si>
    <t>Critiera:</t>
  </si>
  <si>
    <t>Water HU is 0 +/- 5, air HU is within acceptable range at all kVp</t>
  </si>
  <si>
    <t>CT number for inserts using the adult abdomen protocol is within the acceptable range at 120 or 130 kVp</t>
  </si>
  <si>
    <t>CT Slice Thickness Accuracy</t>
  </si>
  <si>
    <t>Slice thickness (mm):</t>
  </si>
  <si>
    <t>Top (mm):</t>
  </si>
  <si>
    <t>Bottom (mm):</t>
  </si>
  <si>
    <t>Water HU:</t>
  </si>
  <si>
    <t>Water HU Std Dev:</t>
  </si>
  <si>
    <t>Slice thickness is within 1.5mm of the set thickness</t>
  </si>
  <si>
    <t>CT number for water is 0 +/- 5</t>
  </si>
  <si>
    <t>Low Contrast Performance</t>
  </si>
  <si>
    <t>Enter 1 for YES, 2 for NO, 3 for Not Applicable</t>
  </si>
  <si>
    <t>Inside</t>
  </si>
  <si>
    <t>6mm rods visible:</t>
  </si>
  <si>
    <t xml:space="preserve">All four 6mm rods are visible </t>
  </si>
  <si>
    <t>Adj StDev</t>
  </si>
  <si>
    <t>CNR &gt; 1.0 for adult abdomen and head protocols</t>
  </si>
  <si>
    <t>Contrast</t>
  </si>
  <si>
    <t>CNR</t>
  </si>
  <si>
    <t>Uniformity</t>
  </si>
  <si>
    <t>St Dev</t>
  </si>
  <si>
    <t>Diff (Center)</t>
  </si>
  <si>
    <t>Diff (Mean)</t>
  </si>
  <si>
    <t>Center:</t>
  </si>
  <si>
    <t>Top:</t>
  </si>
  <si>
    <t>Bottom:</t>
  </si>
  <si>
    <t>Right:</t>
  </si>
  <si>
    <t>Left:</t>
  </si>
  <si>
    <t>Uniformity image is free from artifacts</t>
  </si>
  <si>
    <t>CT number of all ROIs is within +/- 5 HU of the central region</t>
  </si>
  <si>
    <t>High Contrast Resolution</t>
  </si>
  <si>
    <t>lp/cm</t>
  </si>
  <si>
    <t>6 lp/cm for abdomen</t>
  </si>
  <si>
    <t>Hi-res Chest</t>
  </si>
  <si>
    <t>8 lp/cm for high resolution</t>
  </si>
  <si>
    <t>Hi-res</t>
  </si>
  <si>
    <t>Contrast Detail</t>
  </si>
  <si>
    <t>Threshold Index</t>
  </si>
  <si>
    <t>Indicated CTDIvol (mGy):</t>
  </si>
  <si>
    <t>Phantom size indicated (cm):</t>
  </si>
  <si>
    <t>Phantom size used (cm):</t>
  </si>
  <si>
    <t>Variation from previous year:</t>
  </si>
  <si>
    <t>Variation from indicated CTDI:</t>
  </si>
  <si>
    <t>CTDIvol/mAs:</t>
  </si>
  <si>
    <t>Average beam width (mm)</t>
  </si>
  <si>
    <t>Protocols</t>
  </si>
  <si>
    <t>Adjacent StDev</t>
  </si>
  <si>
    <t>Center (mGy)</t>
  </si>
  <si>
    <t>Periphery (mGy)</t>
  </si>
  <si>
    <t>Chamber length (mm):</t>
  </si>
  <si>
    <t>Chamber correction factor:</t>
  </si>
  <si>
    <t>Center CTDI (mGy):</t>
  </si>
  <si>
    <t>Periphery CTDI (mGy):</t>
  </si>
  <si>
    <t>Z-Axis collimation (T):</t>
  </si>
  <si>
    <t># of channels (N):</t>
  </si>
  <si>
    <t>Pitch (p):</t>
  </si>
  <si>
    <t>Protocol name:</t>
  </si>
  <si>
    <t>Eff mAs:</t>
  </si>
  <si>
    <t>Rotation time (s):</t>
  </si>
  <si>
    <t>Scan FOV (cm):</t>
  </si>
  <si>
    <t>Display FOV (cm):</t>
  </si>
  <si>
    <t>Reconstruction algorithm:</t>
  </si>
  <si>
    <t>Axial (A)/Helical (H):</t>
  </si>
  <si>
    <t>Recon scan width (mm):</t>
  </si>
  <si>
    <t>Recon scan interval (mm):</t>
  </si>
  <si>
    <t>Dose reduction techniques:</t>
  </si>
  <si>
    <t>Indiated CTDIvol (mGy):</t>
  </si>
  <si>
    <t>CTDIw (mGy):</t>
  </si>
  <si>
    <t>CTDIvol (mGy):</t>
  </si>
  <si>
    <t>Table Increment/speed (I):</t>
  </si>
  <si>
    <t>Channels (N):</t>
  </si>
  <si>
    <t>Detector width T (mm):</t>
  </si>
  <si>
    <t>NxT Beam width (mm):</t>
  </si>
  <si>
    <t>Nominal beam width (mm):</t>
  </si>
  <si>
    <t>Polyethylene:</t>
  </si>
  <si>
    <t>Water:</t>
  </si>
  <si>
    <t>Water Std Dev:</t>
  </si>
  <si>
    <t>Acrylic:</t>
  </si>
  <si>
    <t>Bone:</t>
  </si>
  <si>
    <t>Air:</t>
  </si>
  <si>
    <t>Center (mGy):</t>
  </si>
  <si>
    <t>Periphery (mGy):</t>
  </si>
  <si>
    <t>Measure with 1.5 mm Cu filter in the beam.</t>
  </si>
  <si>
    <t>FIRST,COMPG1,COMPG2,EXP_BLD,FS_KV,TIM,REPRO,LIN,HVL_IMGQUAL,OUTPUT,CTPG1,CTPG2</t>
  </si>
  <si>
    <t>OPERATIONAL NOTES</t>
  </si>
  <si>
    <t>Isocenter is 100 cm from focal spot</t>
  </si>
  <si>
    <t>Collimator blade locations and field sizes are referenced to isocenter.</t>
  </si>
  <si>
    <t>Use 5x5cm field size for exposure/kV measurements.</t>
  </si>
  <si>
    <t>For generator check, align kV/exposure detectors at isocenter.</t>
  </si>
  <si>
    <t>O599</t>
  </si>
  <si>
    <t>P599</t>
  </si>
  <si>
    <t>Q599</t>
  </si>
  <si>
    <t>TO.16 Contrast Resolution</t>
  </si>
  <si>
    <t>O606</t>
  </si>
  <si>
    <t>Q606</t>
  </si>
  <si>
    <t>P606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</si>
</sst>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00"/>
    <numFmt numFmtId="174" formatCode="#"/>
    <numFmt numFmtId="175" formatCode="#.00"/>
    <numFmt numFmtId="176" formatCode="#.0#"/>
    <numFmt numFmtId="177" formatCode="0.000000"/>
    <numFmt numFmtId="178" formatCode="0.0%"/>
    <numFmt numFmtId="179" formatCode="mmm\-d\-yy"/>
    <numFmt numFmtId="180" formatCode="#.#"/>
    <numFmt numFmtId="181" formatCode="[$-409]mmm/yy;@"/>
    <numFmt numFmtId="182" formatCode="[$-409]d/mmm/yyyy;@"/>
    <numFmt numFmtId="183" formatCode="[$-409]d\-mmm\-yyyy;@"/>
  </numFmts>
  <fonts count="61">
    <font>
      <sz val="12"/>
      <name val="Times New Roman"/>
      <family val="1"/>
    </font>
    <font>
      <sz val="10"/>
      <name val="MS Sans Serif"/>
      <family val="2"/>
    </font>
    <font>
      <b/>
      <sz val="9"/>
      <name val="Times New Roman"/>
      <family val="1"/>
    </font>
    <font>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sz val="10"/>
      <color indexed="10"/>
      <name val="Arial"/>
      <family val="2"/>
    </font>
    <font>
      <b/>
      <sz val="10"/>
      <color indexed="10"/>
      <name val="Arial"/>
      <family val="2"/>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0"/>
      <color indexed="53"/>
      <name val="Times New Roman"/>
      <family val="1"/>
    </font>
    <font>
      <sz val="10"/>
      <color rgb="FF000000"/>
      <name val="Times New Roman"/>
      <family val="1"/>
    </font>
    <font>
      <b/>
      <sz val="9"/>
      <color indexed="81"/>
      <name val="Tahoma"/>
      <family val="2"/>
    </font>
    <font>
      <sz val="9"/>
      <color indexed="81"/>
      <name val="Tahoma"/>
      <family val="2"/>
    </font>
  </fonts>
  <fills count="17">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22"/>
      </patternFill>
    </fill>
    <fill>
      <patternFill patternType="solid">
        <fgColor indexed="43"/>
        <bgColor indexed="64"/>
      </patternFill>
    </fill>
  </fills>
  <borders count="13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medium">
        <color indexed="64"/>
      </left>
      <right style="medium">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top style="double">
        <color indexed="64"/>
      </top>
      <bottom style="thin">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double">
        <color indexed="64"/>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right style="medium">
        <color indexed="64"/>
      </right>
      <top style="thin">
        <color indexed="64"/>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medium">
        <color indexed="64"/>
      </left>
      <right style="medium">
        <color indexed="64"/>
      </right>
      <top/>
      <bottom style="thin">
        <color indexed="64"/>
      </bottom>
      <diagonal/>
    </border>
    <border>
      <left style="double">
        <color auto="1"/>
      </left>
      <right/>
      <top/>
      <bottom style="hair">
        <color indexed="64"/>
      </bottom>
      <diagonal/>
    </border>
  </borders>
  <cellStyleXfs count="6">
    <xf numFmtId="2" fontId="0" fillId="0" borderId="0">
      <alignment horizontal="center" vertical="center"/>
    </xf>
    <xf numFmtId="1" fontId="8" fillId="2" borderId="1">
      <alignment horizontal="left" vertical="center"/>
      <protection locked="0"/>
    </xf>
    <xf numFmtId="2" fontId="5" fillId="0" borderId="0">
      <alignment horizontal="center"/>
    </xf>
    <xf numFmtId="0" fontId="40" fillId="0" borderId="0"/>
    <xf numFmtId="9" fontId="1" fillId="0" borderId="0" applyFont="0" applyFill="0" applyBorder="0" applyAlignment="0" applyProtection="0"/>
    <xf numFmtId="1" fontId="7" fillId="0" borderId="0">
      <alignment horizontal="left" vertical="center"/>
    </xf>
  </cellStyleXfs>
  <cellXfs count="1284">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6" xfId="0" applyFont="1" applyBorder="1" applyAlignment="1">
      <alignment horizontal="center" vertical="center"/>
    </xf>
    <xf numFmtId="2" fontId="3" fillId="0" borderId="17" xfId="0" applyFont="1" applyBorder="1" applyAlignment="1">
      <alignment horizontal="center" vertical="center"/>
    </xf>
    <xf numFmtId="2" fontId="3" fillId="0" borderId="19" xfId="0" applyFont="1" applyBorder="1" applyAlignment="1">
      <alignment horizontal="center"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2" fontId="3" fillId="0" borderId="26" xfId="0" applyFont="1" applyBorder="1" applyAlignment="1">
      <alignment horizontal="right" vertical="center"/>
    </xf>
    <xf numFmtId="2" fontId="0" fillId="0" borderId="0" xfId="0" applyAlignment="1">
      <alignment horizontal="center" vertical="center"/>
    </xf>
    <xf numFmtId="2" fontId="3" fillId="0" borderId="28" xfId="0" applyFont="1" applyBorder="1" applyAlignment="1">
      <alignment horizontal="center" vertical="center"/>
    </xf>
    <xf numFmtId="2" fontId="3" fillId="0" borderId="29" xfId="0" applyFont="1" applyBorder="1" applyAlignment="1">
      <alignment horizontal="center" vertical="center"/>
    </xf>
    <xf numFmtId="2" fontId="8" fillId="0" borderId="2" xfId="0" applyFont="1" applyBorder="1" applyAlignment="1">
      <alignment horizontal="center" vertical="center"/>
    </xf>
    <xf numFmtId="2" fontId="8" fillId="0" borderId="0" xfId="0" applyFont="1" applyBorder="1" applyAlignment="1">
      <alignment horizontal="center" vertical="center"/>
    </xf>
    <xf numFmtId="2" fontId="8" fillId="0" borderId="2" xfId="0" applyFont="1" applyBorder="1" applyAlignment="1" applyProtection="1">
      <alignment horizontal="center" vertical="center"/>
    </xf>
    <xf numFmtId="2" fontId="8" fillId="0" borderId="0" xfId="0" applyFont="1" applyBorder="1" applyAlignment="1">
      <alignment horizontal="left" vertical="center"/>
    </xf>
    <xf numFmtId="2" fontId="9" fillId="0" borderId="0" xfId="0" applyFont="1">
      <alignment horizontal="center" vertical="center"/>
    </xf>
    <xf numFmtId="2" fontId="9" fillId="0" borderId="0" xfId="0" applyFont="1" applyAlignment="1">
      <alignment horizontal="right" vertical="center"/>
    </xf>
    <xf numFmtId="2" fontId="0" fillId="0" borderId="0" xfId="0" applyBorder="1" applyAlignment="1">
      <alignment horizontal="centerContinuous"/>
    </xf>
    <xf numFmtId="2" fontId="8" fillId="0" borderId="0" xfId="0" applyFont="1" applyBorder="1" applyAlignment="1">
      <alignment horizontal="right" vertical="center"/>
    </xf>
    <xf numFmtId="2" fontId="0" fillId="0" borderId="0" xfId="0" applyBorder="1">
      <alignment horizontal="center" vertical="center"/>
    </xf>
    <xf numFmtId="2" fontId="7" fillId="0" borderId="0" xfId="0" applyFont="1" applyBorder="1" applyAlignment="1">
      <alignment horizontal="center" vertical="center"/>
    </xf>
    <xf numFmtId="14" fontId="8" fillId="0" borderId="0" xfId="0" applyNumberFormat="1" applyFont="1" applyBorder="1" applyAlignment="1" applyProtection="1">
      <alignment horizontal="center" vertical="center"/>
    </xf>
    <xf numFmtId="14" fontId="8" fillId="0" borderId="2" xfId="0" applyNumberFormat="1" applyFont="1" applyBorder="1" applyAlignment="1" applyProtection="1">
      <alignment horizontal="left" vertical="center"/>
    </xf>
    <xf numFmtId="2" fontId="8" fillId="0" borderId="2" xfId="0" applyFont="1" applyBorder="1">
      <alignment horizontal="center" vertical="center"/>
    </xf>
    <xf numFmtId="14" fontId="8" fillId="0" borderId="0" xfId="0" applyNumberFormat="1" applyFont="1" applyBorder="1" applyAlignment="1" applyProtection="1">
      <alignment horizontal="left" vertical="center"/>
    </xf>
    <xf numFmtId="2" fontId="8" fillId="0" borderId="2" xfId="0" applyFont="1" applyBorder="1" applyAlignment="1" applyProtection="1">
      <alignment horizontal="left" vertical="center"/>
    </xf>
    <xf numFmtId="1" fontId="8" fillId="0" borderId="2" xfId="0" applyNumberFormat="1" applyFont="1" applyBorder="1" applyAlignment="1" applyProtection="1">
      <alignment horizontal="left" vertical="center"/>
    </xf>
    <xf numFmtId="1" fontId="8" fillId="0" borderId="2" xfId="0" applyNumberFormat="1" applyFont="1" applyBorder="1" applyAlignment="1" applyProtection="1">
      <alignment horizontal="center" vertical="center"/>
    </xf>
    <xf numFmtId="2" fontId="0" fillId="0" borderId="30" xfId="0" applyBorder="1">
      <alignment horizontal="center" vertical="center"/>
    </xf>
    <xf numFmtId="2" fontId="0" fillId="0" borderId="31" xfId="0" applyBorder="1">
      <alignment horizontal="center" vertical="center"/>
    </xf>
    <xf numFmtId="2" fontId="8" fillId="0" borderId="32" xfId="0" applyFont="1" applyBorder="1">
      <alignment horizontal="center" vertical="center"/>
    </xf>
    <xf numFmtId="2" fontId="8" fillId="0" borderId="33" xfId="0" applyFont="1" applyBorder="1" applyAlignment="1">
      <alignment horizontal="center" vertical="center"/>
    </xf>
    <xf numFmtId="2" fontId="8" fillId="0" borderId="28" xfId="0" applyFont="1" applyBorder="1">
      <alignment horizontal="center" vertical="center"/>
    </xf>
    <xf numFmtId="2" fontId="8" fillId="0" borderId="34" xfId="0" applyFont="1" applyBorder="1">
      <alignment horizontal="center" vertical="center"/>
    </xf>
    <xf numFmtId="2" fontId="8" fillId="0" borderId="35" xfId="0" applyFont="1" applyBorder="1" applyAlignment="1">
      <alignment horizontal="center" vertical="center"/>
    </xf>
    <xf numFmtId="2" fontId="8" fillId="0" borderId="23" xfId="0" applyFont="1" applyBorder="1" applyAlignment="1">
      <alignment horizontal="center" vertical="center"/>
    </xf>
    <xf numFmtId="2" fontId="8" fillId="0" borderId="23" xfId="0" applyFont="1" applyBorder="1" applyAlignment="1">
      <alignment horizontal="left" vertical="center"/>
    </xf>
    <xf numFmtId="2" fontId="0" fillId="0" borderId="23" xfId="0" applyBorder="1">
      <alignment horizontal="center" vertical="center"/>
    </xf>
    <xf numFmtId="2" fontId="8" fillId="0" borderId="22" xfId="0" applyFont="1" applyBorder="1">
      <alignment horizontal="center" vertical="center"/>
    </xf>
    <xf numFmtId="2" fontId="8" fillId="0" borderId="36" xfId="0" applyFont="1" applyBorder="1" applyAlignment="1">
      <alignment horizontal="center" vertical="center"/>
    </xf>
    <xf numFmtId="2" fontId="8" fillId="0" borderId="37" xfId="0" applyFont="1" applyBorder="1" applyAlignment="1">
      <alignment horizontal="center" vertical="center"/>
    </xf>
    <xf numFmtId="2" fontId="8" fillId="0" borderId="31" xfId="0" applyFont="1" applyBorder="1" applyAlignment="1">
      <alignment horizontal="center" vertical="center"/>
    </xf>
    <xf numFmtId="2" fontId="8" fillId="0" borderId="31" xfId="0" applyFont="1" applyBorder="1" applyAlignment="1">
      <alignment horizontal="left" vertical="center"/>
    </xf>
    <xf numFmtId="2" fontId="8" fillId="0" borderId="35" xfId="0" applyFont="1" applyBorder="1" applyAlignment="1">
      <alignment horizontal="left" vertical="center"/>
    </xf>
    <xf numFmtId="2" fontId="8" fillId="0" borderId="31" xfId="0" applyFont="1" applyBorder="1" applyAlignment="1">
      <alignment horizontal="right" vertical="center"/>
    </xf>
    <xf numFmtId="2" fontId="0" fillId="0" borderId="32" xfId="0" applyBorder="1">
      <alignment horizontal="center" vertical="center"/>
    </xf>
    <xf numFmtId="2" fontId="0" fillId="0" borderId="33" xfId="0" applyBorder="1">
      <alignment horizontal="center" vertical="center"/>
    </xf>
    <xf numFmtId="2" fontId="6" fillId="0" borderId="0" xfId="0" applyFont="1" applyBorder="1" applyAlignment="1">
      <alignment horizontal="center" vertical="center"/>
    </xf>
    <xf numFmtId="2" fontId="3" fillId="0" borderId="0" xfId="0" applyFont="1" applyFill="1" applyBorder="1" applyAlignment="1">
      <alignment horizontal="center" vertical="center"/>
    </xf>
    <xf numFmtId="2" fontId="10" fillId="0" borderId="0" xfId="0" applyFont="1" applyBorder="1" applyAlignment="1">
      <alignment horizontal="center" vertical="center"/>
    </xf>
    <xf numFmtId="2" fontId="0" fillId="0" borderId="36" xfId="0" applyBorder="1">
      <alignment horizontal="center" vertical="center"/>
    </xf>
    <xf numFmtId="2" fontId="0" fillId="0" borderId="38" xfId="0" applyBorder="1">
      <alignment horizontal="center" vertical="center"/>
    </xf>
    <xf numFmtId="2" fontId="8" fillId="0" borderId="23" xfId="0" applyFont="1" applyBorder="1">
      <alignment horizontal="center" vertical="center"/>
    </xf>
    <xf numFmtId="2" fontId="8" fillId="0" borderId="28" xfId="0" applyFont="1" applyBorder="1" applyAlignment="1" applyProtection="1">
      <alignment horizontal="left" vertical="center"/>
    </xf>
    <xf numFmtId="2" fontId="3" fillId="0" borderId="0" xfId="0" applyFont="1" applyBorder="1">
      <alignment horizontal="center" vertical="center"/>
    </xf>
    <xf numFmtId="2" fontId="0" fillId="0" borderId="37" xfId="0" applyBorder="1">
      <alignment horizontal="center" vertical="center"/>
    </xf>
    <xf numFmtId="2" fontId="4" fillId="0" borderId="0" xfId="0" applyFont="1" applyBorder="1" applyAlignment="1">
      <alignment horizontal="center" vertical="center"/>
    </xf>
    <xf numFmtId="2" fontId="0" fillId="0" borderId="39" xfId="0" applyBorder="1">
      <alignment horizontal="center" vertical="center"/>
    </xf>
    <xf numFmtId="2" fontId="3" fillId="0" borderId="40" xfId="0" applyFont="1" applyBorder="1" applyAlignment="1">
      <alignment horizontal="center" vertical="center"/>
    </xf>
    <xf numFmtId="2" fontId="0" fillId="0" borderId="41" xfId="0" applyBorder="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3" fillId="0" borderId="42" xfId="0" applyFont="1" applyBorder="1" applyAlignment="1">
      <alignment horizontal="center" vertical="center"/>
    </xf>
    <xf numFmtId="2" fontId="8" fillId="0" borderId="0" xfId="0" applyFont="1" applyBorder="1">
      <alignment horizontal="center" vertical="center"/>
    </xf>
    <xf numFmtId="2" fontId="0" fillId="0" borderId="22" xfId="0" applyBorder="1">
      <alignment horizontal="center" vertical="center"/>
    </xf>
    <xf numFmtId="2" fontId="12" fillId="0" borderId="0" xfId="0" applyFont="1" applyBorder="1">
      <alignment horizontal="center" vertical="center"/>
    </xf>
    <xf numFmtId="2" fontId="12" fillId="0" borderId="0" xfId="0" applyFont="1" applyBorder="1" applyAlignment="1">
      <alignment horizontal="center" vertical="center"/>
    </xf>
    <xf numFmtId="2" fontId="12" fillId="0" borderId="0" xfId="0" applyFont="1" applyBorder="1" applyAlignment="1">
      <alignment horizontal="left" vertical="center"/>
    </xf>
    <xf numFmtId="2" fontId="12" fillId="0" borderId="0" xfId="0" applyFont="1" applyBorder="1" applyAlignment="1">
      <alignment horizontal="center"/>
    </xf>
    <xf numFmtId="2" fontId="12" fillId="0" borderId="0" xfId="0" applyFont="1" applyBorder="1" applyAlignment="1" applyProtection="1">
      <alignment horizontal="center" vertical="center"/>
    </xf>
    <xf numFmtId="2" fontId="8" fillId="0" borderId="0" xfId="0" applyFont="1" applyBorder="1" applyAlignment="1" applyProtection="1">
      <alignment horizontal="left" vertical="center"/>
    </xf>
    <xf numFmtId="2" fontId="8" fillId="0" borderId="0" xfId="0" applyFont="1" applyBorder="1" applyAlignment="1" applyProtection="1">
      <alignment horizontal="center" vertical="center"/>
    </xf>
    <xf numFmtId="2" fontId="8" fillId="0" borderId="28" xfId="0" applyFont="1" applyBorder="1" applyAlignment="1" applyProtection="1">
      <alignment horizontal="right" vertical="center"/>
    </xf>
    <xf numFmtId="2" fontId="8" fillId="0" borderId="28" xfId="0" applyFont="1" applyBorder="1" applyAlignment="1">
      <alignment horizontal="left" vertical="center"/>
    </xf>
    <xf numFmtId="2" fontId="8" fillId="0" borderId="19" xfId="0" applyFont="1" applyBorder="1" applyAlignment="1">
      <alignment horizontal="center" vertical="center"/>
    </xf>
    <xf numFmtId="2" fontId="8" fillId="0" borderId="18" xfId="0" applyFont="1" applyBorder="1" applyAlignment="1">
      <alignment horizontal="left" vertical="center"/>
    </xf>
    <xf numFmtId="2" fontId="8" fillId="0" borderId="2" xfId="0" applyFont="1" applyBorder="1" applyAlignment="1">
      <alignment horizontal="left" vertical="center"/>
    </xf>
    <xf numFmtId="2" fontId="8" fillId="0" borderId="18" xfId="0" applyFont="1" applyBorder="1" applyAlignment="1">
      <alignment horizontal="center" vertical="center"/>
    </xf>
    <xf numFmtId="2" fontId="10" fillId="0" borderId="28" xfId="0" applyFont="1" applyBorder="1" applyAlignment="1" applyProtection="1">
      <alignment horizontal="center" vertical="center"/>
    </xf>
    <xf numFmtId="2" fontId="12" fillId="0" borderId="28"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8" fillId="0" borderId="28" xfId="0" applyFont="1" applyBorder="1" applyAlignment="1" applyProtection="1">
      <alignment horizontal="centerContinuous" vertical="center"/>
    </xf>
    <xf numFmtId="2" fontId="8" fillId="0" borderId="0" xfId="0" applyFont="1" applyBorder="1" applyAlignment="1">
      <alignment horizontal="centerContinuous"/>
    </xf>
    <xf numFmtId="2" fontId="12" fillId="0" borderId="30" xfId="0" applyFont="1" applyBorder="1" applyAlignment="1">
      <alignment horizontal="right" vertical="center"/>
    </xf>
    <xf numFmtId="2" fontId="8" fillId="0" borderId="30" xfId="0" applyFont="1" applyBorder="1" applyAlignment="1">
      <alignment horizontal="center" vertical="center"/>
    </xf>
    <xf numFmtId="2" fontId="11" fillId="0" borderId="0" xfId="0" applyFont="1" applyBorder="1" applyAlignment="1" applyProtection="1">
      <alignment horizontal="center" vertical="center"/>
    </xf>
    <xf numFmtId="14" fontId="9" fillId="0" borderId="0" xfId="0" applyNumberFormat="1" applyFont="1" applyBorder="1" applyAlignment="1" applyProtection="1">
      <alignment horizontal="center" vertical="center"/>
    </xf>
    <xf numFmtId="2" fontId="8" fillId="0" borderId="28" xfId="0" applyFont="1" applyBorder="1" applyAlignment="1">
      <alignment horizontal="right" vertical="center"/>
    </xf>
    <xf numFmtId="2" fontId="8" fillId="0" borderId="0" xfId="0" applyFont="1">
      <alignment horizontal="center" vertical="center"/>
    </xf>
    <xf numFmtId="2" fontId="8" fillId="0" borderId="28" xfId="0" applyFont="1" applyBorder="1" applyAlignment="1" applyProtection="1">
      <alignment horizontal="center" vertical="center"/>
    </xf>
    <xf numFmtId="2" fontId="8" fillId="0" borderId="0" xfId="0" applyFont="1" applyAlignment="1">
      <alignment horizontal="center" vertical="center"/>
    </xf>
    <xf numFmtId="2" fontId="8" fillId="0" borderId="9" xfId="0" applyFont="1" applyBorder="1" applyAlignment="1">
      <alignment horizontal="center" vertical="center"/>
    </xf>
    <xf numFmtId="2" fontId="8" fillId="0" borderId="13" xfId="0" applyFont="1" applyBorder="1" applyAlignment="1">
      <alignment horizontal="center" vertical="center"/>
    </xf>
    <xf numFmtId="2" fontId="8" fillId="0" borderId="1" xfId="0" applyFont="1" applyBorder="1" applyAlignment="1">
      <alignment horizontal="center" vertical="center"/>
    </xf>
    <xf numFmtId="165" fontId="8" fillId="0" borderId="1" xfId="0" applyNumberFormat="1" applyFont="1" applyBorder="1" applyAlignment="1">
      <alignment horizontal="center" vertical="center"/>
    </xf>
    <xf numFmtId="2" fontId="8" fillId="0" borderId="28" xfId="0" applyFont="1" applyBorder="1" applyAlignment="1">
      <alignment horizontal="center" vertical="center"/>
    </xf>
    <xf numFmtId="2" fontId="8" fillId="0" borderId="45" xfId="0" applyFont="1" applyBorder="1" applyAlignment="1">
      <alignment horizontal="center" vertical="center"/>
    </xf>
    <xf numFmtId="2" fontId="8" fillId="0" borderId="46" xfId="0" applyFont="1" applyBorder="1" applyAlignment="1">
      <alignment horizontal="center" vertical="center"/>
    </xf>
    <xf numFmtId="2" fontId="8" fillId="0" borderId="15" xfId="0" applyFont="1" applyBorder="1" applyAlignment="1">
      <alignment horizontal="center" vertical="center"/>
    </xf>
    <xf numFmtId="2" fontId="8" fillId="0" borderId="37" xfId="0" applyFont="1" applyBorder="1">
      <alignment horizontal="center" vertical="center"/>
    </xf>
    <xf numFmtId="2" fontId="13" fillId="0" borderId="0" xfId="0" applyFont="1" applyBorder="1" applyAlignment="1">
      <alignment horizontal="center" vertical="center"/>
    </xf>
    <xf numFmtId="2" fontId="11" fillId="0" borderId="0" xfId="0" applyFont="1" applyFill="1" applyBorder="1" applyAlignment="1" applyProtection="1">
      <alignment horizontal="center" vertical="center"/>
    </xf>
    <xf numFmtId="2" fontId="0" fillId="0" borderId="28" xfId="0" applyBorder="1">
      <alignment horizontal="center" vertical="center"/>
    </xf>
    <xf numFmtId="2" fontId="8" fillId="0" borderId="0" xfId="0" applyFont="1" applyBorder="1" applyAlignment="1">
      <alignment horizontal="centerContinuous" vertical="center"/>
    </xf>
    <xf numFmtId="2" fontId="8" fillId="0" borderId="0" xfId="0" applyFont="1" applyBorder="1" applyAlignment="1" applyProtection="1">
      <alignment horizontal="centerContinuous" vertical="center"/>
    </xf>
    <xf numFmtId="2" fontId="8" fillId="0" borderId="32" xfId="0" applyFont="1" applyBorder="1" applyAlignment="1">
      <alignment horizontal="center" vertical="center"/>
    </xf>
    <xf numFmtId="2" fontId="0" fillId="0" borderId="0" xfId="0" applyBorder="1" applyAlignment="1">
      <alignment horizontal="center"/>
    </xf>
    <xf numFmtId="2" fontId="12" fillId="0" borderId="32" xfId="0" applyFont="1" applyBorder="1" applyAlignment="1">
      <alignment horizontal="left" vertical="center"/>
    </xf>
    <xf numFmtId="2" fontId="13" fillId="0" borderId="0" xfId="0" applyFont="1" applyBorder="1" applyAlignment="1">
      <alignment horizontal="right" vertical="center"/>
    </xf>
    <xf numFmtId="2" fontId="12" fillId="0" borderId="0" xfId="0" applyFont="1" applyBorder="1" applyAlignment="1">
      <alignment horizontal="right" vertical="center"/>
    </xf>
    <xf numFmtId="14" fontId="8" fillId="0" borderId="0" xfId="0" applyNumberFormat="1" applyFont="1" applyFill="1" applyBorder="1" applyAlignment="1" applyProtection="1">
      <alignment horizontal="left" vertical="center"/>
    </xf>
    <xf numFmtId="2" fontId="8" fillId="0" borderId="22" xfId="0" applyFont="1" applyBorder="1" applyAlignment="1">
      <alignment horizontal="center" vertical="center"/>
    </xf>
    <xf numFmtId="2" fontId="7" fillId="0" borderId="36" xfId="0" applyFont="1" applyBorder="1" applyAlignment="1">
      <alignment horizontal="left" vertical="center"/>
    </xf>
    <xf numFmtId="2" fontId="7" fillId="0" borderId="36" xfId="0" applyFont="1" applyBorder="1" applyAlignment="1">
      <alignment horizontal="center" vertical="center"/>
    </xf>
    <xf numFmtId="2" fontId="8" fillId="0" borderId="36" xfId="0" applyFont="1" applyBorder="1" applyAlignment="1">
      <alignment horizontal="left" vertical="center"/>
    </xf>
    <xf numFmtId="10" fontId="8" fillId="0" borderId="13" xfId="0" applyNumberFormat="1" applyFont="1" applyBorder="1" applyAlignment="1">
      <alignment horizontal="center" vertical="center"/>
    </xf>
    <xf numFmtId="10" fontId="8" fillId="0" borderId="16" xfId="0" applyNumberFormat="1" applyFont="1" applyBorder="1" applyAlignment="1">
      <alignment horizontal="center" vertical="center"/>
    </xf>
    <xf numFmtId="2" fontId="8" fillId="0" borderId="4" xfId="0" applyFont="1" applyBorder="1" applyAlignment="1">
      <alignment horizontal="center" vertical="center"/>
    </xf>
    <xf numFmtId="2" fontId="8" fillId="0" borderId="5" xfId="0" applyFont="1" applyBorder="1" applyAlignment="1">
      <alignment horizontal="center" vertical="center"/>
    </xf>
    <xf numFmtId="2" fontId="11" fillId="0" borderId="0" xfId="0" applyFont="1" applyBorder="1" applyAlignment="1">
      <alignment horizontal="center" vertical="center"/>
    </xf>
    <xf numFmtId="2" fontId="11" fillId="0" borderId="36" xfId="0" applyFont="1" applyBorder="1" applyAlignment="1">
      <alignment horizontal="center" vertical="center"/>
    </xf>
    <xf numFmtId="2" fontId="8" fillId="0" borderId="26" xfId="0" applyFont="1" applyBorder="1" applyAlignment="1">
      <alignment horizontal="right" vertical="center"/>
    </xf>
    <xf numFmtId="2" fontId="8" fillId="0" borderId="49" xfId="0" applyFont="1" applyBorder="1" applyAlignment="1">
      <alignment horizontal="center" vertical="center"/>
    </xf>
    <xf numFmtId="2" fontId="8" fillId="0" borderId="2" xfId="0" applyNumberFormat="1" applyFont="1" applyBorder="1" applyAlignment="1">
      <alignment horizontal="center" vertical="center"/>
    </xf>
    <xf numFmtId="2" fontId="8" fillId="0" borderId="22" xfId="0" applyFont="1" applyBorder="1" applyAlignment="1" applyProtection="1">
      <alignment horizontal="left" vertical="center"/>
    </xf>
    <xf numFmtId="2" fontId="8" fillId="0" borderId="36" xfId="0" applyFont="1" applyBorder="1" applyAlignment="1" applyProtection="1">
      <alignment horizontal="center" vertical="center"/>
    </xf>
    <xf numFmtId="2" fontId="8" fillId="0" borderId="0" xfId="0" applyFont="1" applyBorder="1" applyAlignment="1" applyProtection="1">
      <alignment horizontal="right" vertical="center"/>
    </xf>
    <xf numFmtId="2" fontId="8" fillId="0" borderId="16" xfId="0" applyFont="1" applyBorder="1" applyAlignment="1">
      <alignment horizontal="center" vertical="center"/>
    </xf>
    <xf numFmtId="2" fontId="8" fillId="0" borderId="3" xfId="0" applyFont="1" applyBorder="1" applyAlignment="1">
      <alignment horizontal="centerContinuous" vertical="center"/>
    </xf>
    <xf numFmtId="2" fontId="8" fillId="0" borderId="8" xfId="0" applyFont="1" applyBorder="1" applyAlignment="1">
      <alignment horizontal="centerContinuous" vertical="center"/>
    </xf>
    <xf numFmtId="2" fontId="8" fillId="0" borderId="0" xfId="0" applyFont="1" applyAlignment="1" applyProtection="1">
      <alignment horizontal="center" vertical="center"/>
    </xf>
    <xf numFmtId="165" fontId="8" fillId="0" borderId="2" xfId="0" applyNumberFormat="1" applyFont="1" applyBorder="1" applyAlignment="1" applyProtection="1">
      <alignment horizontal="center" vertical="center"/>
    </xf>
    <xf numFmtId="10" fontId="8" fillId="0" borderId="0" xfId="0" applyNumberFormat="1" applyFont="1" applyBorder="1" applyAlignment="1" applyProtection="1">
      <alignment horizontal="center" vertical="center"/>
    </xf>
    <xf numFmtId="2" fontId="3" fillId="0" borderId="28"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0" xfId="0" applyBorder="1" applyAlignment="1">
      <alignment horizontal="centerContinuous" vertical="center"/>
    </xf>
    <xf numFmtId="2" fontId="3" fillId="0" borderId="28" xfId="0" applyFont="1" applyFill="1" applyBorder="1" applyAlignment="1" applyProtection="1">
      <alignment horizontal="left" vertical="center"/>
    </xf>
    <xf numFmtId="2" fontId="3" fillId="0" borderId="28" xfId="0" applyFont="1" applyBorder="1" applyAlignment="1">
      <alignment horizontal="left" vertical="center"/>
    </xf>
    <xf numFmtId="2" fontId="3" fillId="0" borderId="28" xfId="0" applyFont="1" applyBorder="1" applyAlignment="1" applyProtection="1">
      <alignment horizontal="centerContinuous" vertical="center"/>
    </xf>
    <xf numFmtId="2" fontId="3" fillId="0" borderId="52" xfId="0" applyFont="1" applyBorder="1" applyAlignment="1" applyProtection="1">
      <alignment horizontal="center" vertical="center"/>
    </xf>
    <xf numFmtId="2" fontId="8" fillId="0" borderId="53" xfId="0" applyFont="1" applyBorder="1" applyAlignment="1" applyProtection="1">
      <alignment horizontal="centerContinuous" vertical="center"/>
    </xf>
    <xf numFmtId="2" fontId="8" fillId="0" borderId="40" xfId="0" applyFont="1" applyBorder="1" applyAlignment="1">
      <alignment horizontal="centerContinuous" vertical="center"/>
    </xf>
    <xf numFmtId="2" fontId="8" fillId="0" borderId="17" xfId="0" applyFont="1" applyBorder="1" applyAlignment="1">
      <alignment horizontal="centerContinuous" vertical="center"/>
    </xf>
    <xf numFmtId="2" fontId="3" fillId="0" borderId="55" xfId="0" applyFont="1" applyBorder="1" applyAlignment="1" applyProtection="1">
      <alignment horizontal="center"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3" xfId="0" applyFont="1" applyBorder="1" applyAlignment="1" applyProtection="1">
      <alignment horizontal="centerContinuous" vertical="center"/>
    </xf>
    <xf numFmtId="168" fontId="8" fillId="0" borderId="58" xfId="0" applyNumberFormat="1" applyFont="1" applyBorder="1" applyAlignment="1" applyProtection="1">
      <alignment horizontal="center" vertical="center"/>
    </xf>
    <xf numFmtId="168" fontId="8" fillId="0" borderId="59" xfId="0" applyNumberFormat="1" applyFont="1" applyBorder="1" applyAlignment="1" applyProtection="1">
      <alignment horizontal="center" vertical="center"/>
    </xf>
    <xf numFmtId="2" fontId="8" fillId="0" borderId="54" xfId="0" applyFont="1" applyBorder="1" applyAlignment="1">
      <alignment horizontal="center" vertical="center"/>
    </xf>
    <xf numFmtId="2" fontId="8" fillId="0" borderId="60" xfId="0" applyFont="1" applyBorder="1" applyAlignment="1">
      <alignment horizontal="center" vertical="center"/>
    </xf>
    <xf numFmtId="2" fontId="8" fillId="0" borderId="61" xfId="0" applyFont="1" applyBorder="1" applyAlignment="1">
      <alignment horizontal="centerContinuous" vertical="center"/>
    </xf>
    <xf numFmtId="2" fontId="8" fillId="0" borderId="59" xfId="0" applyFont="1" applyBorder="1" applyAlignment="1">
      <alignment horizontal="center" vertical="center"/>
    </xf>
    <xf numFmtId="2" fontId="8" fillId="0" borderId="63" xfId="0" applyFont="1" applyBorder="1" applyAlignment="1">
      <alignment horizontal="center" vertical="center"/>
    </xf>
    <xf numFmtId="2" fontId="8" fillId="0" borderId="23" xfId="0" applyFont="1" applyBorder="1" applyAlignment="1" applyProtection="1">
      <alignment horizontal="centerContinuous" vertical="center"/>
    </xf>
    <xf numFmtId="2" fontId="12" fillId="0" borderId="0" xfId="0" applyFont="1" applyBorder="1" applyAlignment="1" applyProtection="1">
      <alignment horizontal="left" vertical="center"/>
    </xf>
    <xf numFmtId="2" fontId="14" fillId="0" borderId="0" xfId="0" applyFont="1" applyBorder="1" applyProtection="1">
      <alignment horizontal="center" vertical="center"/>
    </xf>
    <xf numFmtId="2" fontId="14" fillId="0" borderId="0" xfId="0" applyFont="1" applyBorder="1" applyAlignment="1" applyProtection="1">
      <alignment horizontal="center" vertical="center"/>
    </xf>
    <xf numFmtId="2" fontId="12" fillId="0" borderId="0" xfId="0" applyFont="1" applyAlignment="1">
      <alignment horizontal="right" vertical="center"/>
    </xf>
    <xf numFmtId="2" fontId="12" fillId="0" borderId="28" xfId="0" applyFont="1" applyBorder="1" applyAlignment="1">
      <alignment horizontal="right" vertical="center"/>
    </xf>
    <xf numFmtId="2" fontId="14" fillId="0" borderId="28" xfId="0" applyFont="1" applyBorder="1" applyProtection="1">
      <alignment horizontal="center" vertical="center"/>
    </xf>
    <xf numFmtId="2" fontId="12" fillId="0" borderId="28" xfId="0" applyFont="1" applyBorder="1" applyAlignment="1">
      <alignment horizontal="left" vertical="center"/>
    </xf>
    <xf numFmtId="1" fontId="8" fillId="0" borderId="28" xfId="0" applyNumberFormat="1" applyFont="1" applyFill="1" applyBorder="1" applyAlignment="1" applyProtection="1">
      <alignment horizontal="center" vertical="center"/>
    </xf>
    <xf numFmtId="2" fontId="3" fillId="0" borderId="28"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5" fillId="0" borderId="0" xfId="0" applyFont="1">
      <alignment horizontal="center" vertical="center"/>
    </xf>
    <xf numFmtId="2" fontId="8" fillId="0" borderId="2" xfId="0" applyNumberFormat="1" applyFont="1" applyBorder="1" applyAlignment="1" applyProtection="1">
      <alignment horizontal="center" vertical="center"/>
    </xf>
    <xf numFmtId="1" fontId="8" fillId="0" borderId="7" xfId="0" applyNumberFormat="1" applyFont="1" applyBorder="1" applyAlignment="1" applyProtection="1">
      <alignment horizontal="center" vertical="center"/>
    </xf>
    <xf numFmtId="2" fontId="8" fillId="0" borderId="26" xfId="0" applyFont="1" applyBorder="1" applyAlignment="1" applyProtection="1">
      <alignment horizontal="right" vertical="center"/>
    </xf>
    <xf numFmtId="2" fontId="8" fillId="0" borderId="49" xfId="0" applyFont="1" applyBorder="1" applyAlignment="1" applyProtection="1">
      <alignment horizontal="center" vertical="center"/>
    </xf>
    <xf numFmtId="1" fontId="8" fillId="0" borderId="2" xfId="0" applyNumberFormat="1" applyFont="1" applyBorder="1" applyAlignment="1">
      <alignment horizontal="center" vertical="center"/>
    </xf>
    <xf numFmtId="165" fontId="8" fillId="0" borderId="2" xfId="0" applyNumberFormat="1" applyFont="1" applyBorder="1" applyAlignment="1">
      <alignment horizontal="center" vertical="center"/>
    </xf>
    <xf numFmtId="2" fontId="8" fillId="0" borderId="7" xfId="0" applyFont="1" applyBorder="1" applyAlignment="1">
      <alignment horizontal="center" vertical="center"/>
    </xf>
    <xf numFmtId="2" fontId="8" fillId="0" borderId="3" xfId="0" applyFont="1" applyBorder="1" applyAlignment="1">
      <alignment horizontal="center" vertical="center"/>
    </xf>
    <xf numFmtId="2" fontId="8" fillId="0" borderId="5" xfId="0" applyFont="1" applyBorder="1" applyAlignment="1" applyProtection="1">
      <alignment horizontal="center" vertical="center"/>
    </xf>
    <xf numFmtId="2" fontId="8" fillId="0" borderId="6" xfId="0" applyFont="1" applyBorder="1" applyAlignment="1">
      <alignment horizontal="center" vertical="center"/>
    </xf>
    <xf numFmtId="166" fontId="8" fillId="0" borderId="7" xfId="0" applyNumberFormat="1" applyFont="1" applyBorder="1" applyAlignment="1" applyProtection="1">
      <alignment horizontal="center" vertical="center"/>
    </xf>
    <xf numFmtId="165" fontId="8" fillId="0" borderId="7" xfId="0" applyNumberFormat="1" applyFont="1" applyBorder="1" applyAlignment="1" applyProtection="1">
      <alignment horizontal="center" vertical="center"/>
    </xf>
    <xf numFmtId="2" fontId="8" fillId="0" borderId="2" xfId="0" applyFont="1" applyFill="1" applyBorder="1" applyAlignment="1" applyProtection="1">
      <alignment horizontal="left" vertical="center"/>
    </xf>
    <xf numFmtId="2" fontId="8" fillId="0" borderId="0" xfId="0" applyNumberFormat="1" applyFont="1" applyBorder="1" applyAlignment="1">
      <alignment horizontal="left" vertical="center"/>
    </xf>
    <xf numFmtId="166" fontId="8" fillId="0" borderId="2" xfId="0" applyNumberFormat="1" applyFont="1" applyBorder="1" applyAlignment="1">
      <alignment horizontal="center" vertical="center"/>
    </xf>
    <xf numFmtId="1" fontId="8" fillId="0" borderId="7" xfId="0" applyNumberFormat="1" applyFont="1" applyBorder="1" applyAlignment="1">
      <alignment horizontal="center" vertical="center"/>
    </xf>
    <xf numFmtId="2" fontId="8" fillId="0" borderId="14" xfId="0" applyFont="1" applyBorder="1" applyAlignment="1">
      <alignment horizontal="center" vertical="center"/>
    </xf>
    <xf numFmtId="1" fontId="8" fillId="0" borderId="67" xfId="0" applyNumberFormat="1" applyFont="1" applyBorder="1" applyAlignment="1">
      <alignment horizontal="center" vertical="center"/>
    </xf>
    <xf numFmtId="2" fontId="8" fillId="0" borderId="2" xfId="0" applyFont="1" applyBorder="1" applyAlignment="1">
      <alignment horizontal="right" vertical="center"/>
    </xf>
    <xf numFmtId="1" fontId="8" fillId="0" borderId="3" xfId="0" applyNumberFormat="1" applyFont="1" applyBorder="1" applyAlignment="1">
      <alignment horizontal="center" vertical="center"/>
    </xf>
    <xf numFmtId="9" fontId="8" fillId="0" borderId="3" xfId="0" applyNumberFormat="1" applyFont="1" applyBorder="1" applyAlignment="1">
      <alignment horizontal="center" vertical="center"/>
    </xf>
    <xf numFmtId="2" fontId="8" fillId="0" borderId="3" xfId="0" quotePrefix="1" applyFont="1" applyBorder="1" applyAlignment="1">
      <alignment horizontal="center" vertical="center"/>
    </xf>
    <xf numFmtId="9" fontId="8" fillId="0" borderId="7" xfId="0" applyNumberFormat="1" applyFont="1" applyBorder="1" applyAlignment="1">
      <alignment horizontal="center" vertical="center"/>
    </xf>
    <xf numFmtId="2" fontId="8" fillId="0" borderId="12" xfId="0" applyFont="1" applyBorder="1" applyAlignment="1">
      <alignment horizontal="center" vertical="center"/>
    </xf>
    <xf numFmtId="9" fontId="8" fillId="0" borderId="12" xfId="0" applyNumberFormat="1" applyFont="1" applyBorder="1" applyAlignment="1">
      <alignment horizontal="center" vertical="center"/>
    </xf>
    <xf numFmtId="2" fontId="8" fillId="0" borderId="16" xfId="0" quotePrefix="1" applyFont="1" applyBorder="1" applyAlignment="1">
      <alignment horizontal="center" vertical="center"/>
    </xf>
    <xf numFmtId="166" fontId="8" fillId="0" borderId="13" xfId="0" applyNumberFormat="1" applyFont="1" applyFill="1" applyBorder="1" applyAlignment="1" applyProtection="1">
      <alignment horizontal="center" vertical="center"/>
    </xf>
    <xf numFmtId="165" fontId="8" fillId="0" borderId="47" xfId="0" applyNumberFormat="1" applyFont="1" applyFill="1" applyBorder="1" applyAlignment="1" applyProtection="1">
      <alignment horizontal="center" vertical="center"/>
    </xf>
    <xf numFmtId="2" fontId="8" fillId="0" borderId="29" xfId="0" applyNumberFormat="1" applyFont="1" applyFill="1" applyBorder="1" applyAlignment="1" applyProtection="1">
      <alignment horizontal="center" vertical="center"/>
    </xf>
    <xf numFmtId="2" fontId="8" fillId="0" borderId="1" xfId="0" applyNumberFormat="1" applyFont="1" applyFill="1" applyBorder="1" applyAlignment="1" applyProtection="1">
      <alignment horizontal="center" vertical="center"/>
    </xf>
    <xf numFmtId="165" fontId="8" fillId="0" borderId="1" xfId="0" applyNumberFormat="1" applyFont="1" applyFill="1" applyBorder="1" applyAlignment="1" applyProtection="1">
      <alignment horizontal="center" vertical="center"/>
    </xf>
    <xf numFmtId="166" fontId="8" fillId="0" borderId="16" xfId="0" applyNumberFormat="1" applyFont="1" applyFill="1" applyBorder="1" applyAlignment="1" applyProtection="1">
      <alignment horizontal="center" vertical="center"/>
    </xf>
    <xf numFmtId="165" fontId="8" fillId="0" borderId="14" xfId="0" applyNumberFormat="1" applyFont="1" applyFill="1" applyBorder="1" applyAlignment="1" applyProtection="1">
      <alignment horizontal="center" vertical="center"/>
    </xf>
    <xf numFmtId="2" fontId="8" fillId="0" borderId="68" xfId="0" applyNumberFormat="1" applyFont="1" applyFill="1" applyBorder="1" applyAlignment="1" applyProtection="1">
      <alignment horizontal="center" vertical="center"/>
    </xf>
    <xf numFmtId="2" fontId="8" fillId="0" borderId="69" xfId="0" applyNumberFormat="1" applyFont="1" applyFill="1" applyBorder="1" applyAlignment="1" applyProtection="1">
      <alignment horizontal="center" vertical="center"/>
    </xf>
    <xf numFmtId="165" fontId="8" fillId="0" borderId="69" xfId="0" applyNumberFormat="1" applyFont="1" applyFill="1" applyBorder="1" applyAlignment="1" applyProtection="1">
      <alignment horizontal="center" vertical="center"/>
    </xf>
    <xf numFmtId="2" fontId="8" fillId="0" borderId="16" xfId="0" quotePrefix="1" applyFont="1" applyBorder="1" applyAlignment="1">
      <alignment horizontal="centerContinuous" vertical="center"/>
    </xf>
    <xf numFmtId="2" fontId="8" fillId="0" borderId="50" xfId="0" applyFont="1" applyBorder="1" applyAlignment="1">
      <alignment horizontal="right" vertical="center"/>
    </xf>
    <xf numFmtId="2" fontId="8" fillId="0" borderId="4" xfId="0" applyFont="1" applyBorder="1" applyAlignment="1">
      <alignment horizontal="centerContinuous" vertical="center"/>
    </xf>
    <xf numFmtId="2" fontId="0" fillId="0" borderId="0" xfId="0" applyFill="1" applyBorder="1">
      <alignment horizontal="center" vertical="center"/>
    </xf>
    <xf numFmtId="2" fontId="8" fillId="0" borderId="0" xfId="0" applyFont="1" applyFill="1" applyBorder="1" applyAlignment="1" applyProtection="1">
      <alignment horizontal="center" vertical="center"/>
    </xf>
    <xf numFmtId="2" fontId="8"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8" fillId="0" borderId="0" xfId="0" applyFont="1" applyFill="1" applyBorder="1" applyAlignment="1" applyProtection="1">
      <alignment horizontal="right" vertical="center"/>
    </xf>
    <xf numFmtId="2" fontId="9" fillId="0" borderId="52" xfId="0" applyFont="1" applyBorder="1" applyAlignment="1" applyProtection="1">
      <alignment horizontal="center" vertical="center"/>
    </xf>
    <xf numFmtId="2" fontId="9" fillId="0" borderId="56" xfId="0" applyFont="1" applyBorder="1" applyAlignment="1" applyProtection="1">
      <alignment horizontal="center" vertical="center"/>
    </xf>
    <xf numFmtId="2" fontId="9" fillId="0" borderId="57" xfId="0" applyFont="1" applyBorder="1" applyAlignment="1" applyProtection="1">
      <alignment horizontal="center" vertical="center"/>
    </xf>
    <xf numFmtId="2" fontId="9" fillId="0" borderId="16" xfId="0" applyFont="1" applyBorder="1" applyAlignment="1" applyProtection="1">
      <alignment horizontal="center" vertical="center"/>
    </xf>
    <xf numFmtId="2" fontId="16" fillId="0" borderId="0" xfId="0" applyFont="1" applyBorder="1" applyAlignment="1" applyProtection="1">
      <alignment horizontal="center" vertical="center"/>
    </xf>
    <xf numFmtId="2" fontId="10" fillId="0" borderId="0" xfId="0" applyFont="1" applyBorder="1" applyAlignment="1" applyProtection="1">
      <alignment horizontal="center" vertical="center"/>
    </xf>
    <xf numFmtId="2" fontId="8" fillId="0" borderId="26" xfId="0" applyFont="1" applyBorder="1" applyAlignment="1">
      <alignment horizontal="center" vertical="center"/>
    </xf>
    <xf numFmtId="10" fontId="8" fillId="0" borderId="13" xfId="0" applyNumberFormat="1" applyFont="1" applyBorder="1" applyAlignment="1" applyProtection="1">
      <alignment horizontal="center" vertical="center"/>
    </xf>
    <xf numFmtId="2" fontId="8" fillId="0" borderId="52" xfId="0" applyFont="1" applyBorder="1" applyAlignment="1" applyProtection="1">
      <alignment horizontal="center" vertical="center"/>
    </xf>
    <xf numFmtId="2" fontId="8" fillId="0" borderId="16" xfId="0" applyFont="1" applyBorder="1" applyAlignment="1" applyProtection="1">
      <alignment horizontal="center" vertical="center"/>
    </xf>
    <xf numFmtId="2" fontId="3" fillId="0" borderId="16" xfId="0" applyFont="1" applyBorder="1" applyAlignment="1">
      <alignment horizontal="left" vertical="center"/>
    </xf>
    <xf numFmtId="2" fontId="8" fillId="0" borderId="25" xfId="0" applyFont="1" applyBorder="1" applyAlignment="1">
      <alignment horizontal="center" vertical="center"/>
    </xf>
    <xf numFmtId="2" fontId="12" fillId="0" borderId="0" xfId="0" applyFont="1" applyBorder="1" applyAlignment="1">
      <alignment horizontal="centerContinuous" vertical="center"/>
    </xf>
    <xf numFmtId="165" fontId="8" fillId="0" borderId="48" xfId="0" applyNumberFormat="1" applyFont="1" applyBorder="1" applyAlignment="1">
      <alignment horizontal="center" vertical="center"/>
    </xf>
    <xf numFmtId="2" fontId="8" fillId="0" borderId="8" xfId="0" applyFont="1" applyBorder="1" applyAlignment="1">
      <alignment horizontal="center" vertical="center"/>
    </xf>
    <xf numFmtId="165" fontId="8" fillId="0" borderId="13" xfId="0" applyNumberFormat="1" applyFont="1" applyBorder="1" applyAlignment="1">
      <alignment horizontal="center" vertical="center"/>
    </xf>
    <xf numFmtId="2" fontId="14" fillId="0" borderId="0" xfId="0" applyFont="1" applyBorder="1" applyAlignment="1">
      <alignment horizontal="center" vertical="center"/>
    </xf>
    <xf numFmtId="2" fontId="11" fillId="0" borderId="28" xfId="0" applyFont="1" applyBorder="1" applyAlignment="1">
      <alignment horizontal="left" vertical="center"/>
    </xf>
    <xf numFmtId="2" fontId="5" fillId="0" borderId="0" xfId="0" applyFont="1" applyBorder="1" applyAlignment="1">
      <alignment horizontal="center" vertical="center"/>
    </xf>
    <xf numFmtId="2" fontId="8" fillId="0" borderId="56" xfId="0" applyFont="1" applyBorder="1" applyAlignment="1">
      <alignment horizontal="center" vertical="center"/>
    </xf>
    <xf numFmtId="2" fontId="8" fillId="0" borderId="17" xfId="0" applyFont="1" applyBorder="1" applyAlignment="1">
      <alignment horizontal="center" vertical="center"/>
    </xf>
    <xf numFmtId="2" fontId="8" fillId="0" borderId="66" xfId="0" applyFont="1" applyBorder="1" applyAlignment="1">
      <alignment horizontal="center" vertical="center"/>
    </xf>
    <xf numFmtId="2" fontId="5" fillId="0" borderId="0" xfId="0" applyFont="1" applyBorder="1" applyAlignment="1">
      <alignment horizontal="right" vertical="center"/>
    </xf>
    <xf numFmtId="1" fontId="5" fillId="0" borderId="0" xfId="0" applyNumberFormat="1" applyFont="1" applyBorder="1" applyAlignment="1">
      <alignment horizontal="right" vertical="center"/>
    </xf>
    <xf numFmtId="2" fontId="5" fillId="0" borderId="0" xfId="0" applyFont="1" applyBorder="1" applyAlignment="1">
      <alignment horizontal="left" vertical="center"/>
    </xf>
    <xf numFmtId="166" fontId="8" fillId="0" borderId="13" xfId="0" applyNumberFormat="1" applyFont="1" applyBorder="1" applyAlignment="1">
      <alignment horizontal="center" vertical="center"/>
    </xf>
    <xf numFmtId="1" fontId="16" fillId="0" borderId="0" xfId="5" applyFont="1" applyBorder="1">
      <alignment horizontal="left" vertical="center"/>
    </xf>
    <xf numFmtId="1" fontId="16" fillId="0" borderId="0" xfId="5" applyFont="1" applyBorder="1" applyAlignment="1">
      <alignment horizontal="centerContinuous" vertical="center"/>
    </xf>
    <xf numFmtId="2" fontId="8" fillId="0" borderId="26" xfId="0" applyFont="1" applyBorder="1" applyAlignment="1">
      <alignment horizontal="left" vertical="center"/>
    </xf>
    <xf numFmtId="2" fontId="8" fillId="0" borderId="71" xfId="0" applyFont="1" applyBorder="1" applyAlignment="1">
      <alignment horizontal="center" vertical="center"/>
    </xf>
    <xf numFmtId="2" fontId="11" fillId="0" borderId="72" xfId="0" applyFont="1" applyBorder="1" applyAlignment="1">
      <alignment horizontal="center" vertical="center"/>
    </xf>
    <xf numFmtId="2" fontId="8" fillId="0" borderId="73" xfId="0" applyFont="1" applyBorder="1" applyAlignment="1">
      <alignment horizontal="right" vertical="center"/>
    </xf>
    <xf numFmtId="2" fontId="8" fillId="0" borderId="18" xfId="0" applyFont="1" applyFill="1" applyBorder="1" applyAlignment="1" applyProtection="1">
      <alignment horizontal="center" vertical="center" wrapText="1"/>
    </xf>
    <xf numFmtId="2" fontId="11" fillId="0" borderId="74" xfId="0" applyFont="1" applyBorder="1" applyAlignment="1">
      <alignment horizontal="center" vertical="center"/>
    </xf>
    <xf numFmtId="2" fontId="8" fillId="0" borderId="75" xfId="0" applyFont="1" applyBorder="1" applyAlignment="1">
      <alignment horizontal="center" vertical="center"/>
    </xf>
    <xf numFmtId="2" fontId="8" fillId="0" borderId="74" xfId="0" applyFont="1" applyBorder="1" applyAlignment="1">
      <alignment horizontal="center" vertical="center"/>
    </xf>
    <xf numFmtId="2" fontId="11" fillId="0" borderId="76" xfId="0" applyFont="1" applyBorder="1" applyAlignment="1">
      <alignment horizontal="center" vertical="center"/>
    </xf>
    <xf numFmtId="2" fontId="8" fillId="0" borderId="76" xfId="0" applyFont="1" applyBorder="1" applyAlignment="1">
      <alignment horizontal="center" vertical="center"/>
    </xf>
    <xf numFmtId="2" fontId="3" fillId="0" borderId="52" xfId="0" applyFont="1" applyBorder="1" applyAlignment="1">
      <alignment horizontal="center" vertical="center"/>
    </xf>
    <xf numFmtId="2" fontId="4" fillId="0" borderId="28" xfId="0" applyFont="1" applyBorder="1" applyAlignment="1">
      <alignment horizontal="left" vertical="center"/>
    </xf>
    <xf numFmtId="2" fontId="3" fillId="0" borderId="36" xfId="0" applyFont="1" applyBorder="1" applyAlignment="1">
      <alignment horizontal="center" vertical="center"/>
    </xf>
    <xf numFmtId="2" fontId="3" fillId="0" borderId="37" xfId="0" applyFont="1" applyBorder="1" applyAlignment="1">
      <alignment horizontal="center" vertical="center"/>
    </xf>
    <xf numFmtId="2" fontId="3" fillId="0" borderId="1" xfId="0" applyNumberFormat="1" applyFont="1" applyBorder="1" applyAlignment="1">
      <alignment horizontal="center" vertical="center"/>
    </xf>
    <xf numFmtId="1" fontId="7" fillId="0" borderId="28" xfId="5" applyBorder="1" applyAlignment="1">
      <alignment horizontal="left" vertical="center"/>
    </xf>
    <xf numFmtId="2" fontId="3" fillId="0" borderId="30" xfId="0" applyFont="1" applyBorder="1" applyAlignment="1">
      <alignment horizontal="center" vertical="center"/>
    </xf>
    <xf numFmtId="2" fontId="8" fillId="0" borderId="28" xfId="0" applyFont="1" applyBorder="1" applyAlignment="1">
      <alignment horizontal="centerContinuous" vertical="center"/>
    </xf>
    <xf numFmtId="2" fontId="3" fillId="0" borderId="66" xfId="0" applyFont="1" applyBorder="1" applyAlignment="1">
      <alignment horizontal="center" vertical="center"/>
    </xf>
    <xf numFmtId="165" fontId="3" fillId="0" borderId="0" xfId="0" applyNumberFormat="1" applyFont="1" applyBorder="1" applyAlignment="1">
      <alignment horizontal="center" vertical="center"/>
    </xf>
    <xf numFmtId="2" fontId="8"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8" fillId="0" borderId="13" xfId="0" applyNumberFormat="1" applyFont="1" applyBorder="1" applyAlignment="1">
      <alignment horizontal="center" vertical="center"/>
    </xf>
    <xf numFmtId="2" fontId="9"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9" fillId="0" borderId="0" xfId="0" applyFont="1" applyBorder="1">
      <alignment horizontal="center" vertical="center"/>
    </xf>
    <xf numFmtId="2" fontId="9" fillId="0" borderId="0" xfId="0" applyFont="1" applyBorder="1" applyAlignment="1">
      <alignment horizontal="center" vertical="center"/>
    </xf>
    <xf numFmtId="2" fontId="9" fillId="0" borderId="9" xfId="0" applyFont="1" applyBorder="1" applyAlignment="1">
      <alignment horizontal="center" vertical="center"/>
    </xf>
    <xf numFmtId="2" fontId="9" fillId="0" borderId="9" xfId="0" quotePrefix="1" applyFont="1" applyBorder="1" applyAlignment="1">
      <alignment horizontal="center" vertical="center"/>
    </xf>
    <xf numFmtId="2" fontId="9"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3" xfId="0" applyFont="1" applyBorder="1" applyAlignment="1">
      <alignment horizontal="center" vertical="center"/>
    </xf>
    <xf numFmtId="2" fontId="3" fillId="0" borderId="56" xfId="0" quotePrefix="1" applyFont="1" applyBorder="1" applyAlignment="1">
      <alignment horizontal="center" vertical="center"/>
    </xf>
    <xf numFmtId="2" fontId="0" fillId="0" borderId="53" xfId="0" applyBorder="1" applyAlignment="1">
      <alignment horizontal="centerContinuous"/>
    </xf>
    <xf numFmtId="2" fontId="9" fillId="0" borderId="23" xfId="0" applyFont="1" applyBorder="1">
      <alignment horizontal="center" vertical="center"/>
    </xf>
    <xf numFmtId="2" fontId="9" fillId="0" borderId="45" xfId="0" applyFont="1" applyBorder="1" applyAlignment="1">
      <alignment horizontal="center" vertical="center"/>
    </xf>
    <xf numFmtId="2" fontId="9" fillId="0" borderId="45" xfId="0" applyFont="1" applyBorder="1">
      <alignment horizontal="center" vertical="center"/>
    </xf>
    <xf numFmtId="2" fontId="9" fillId="0" borderId="14" xfId="0" applyFont="1" applyBorder="1" applyAlignment="1">
      <alignment horizontal="center" vertical="center"/>
    </xf>
    <xf numFmtId="165" fontId="8" fillId="0" borderId="77"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5" xfId="0" applyFont="1" applyBorder="1" applyAlignment="1">
      <alignment horizontal="center" vertical="center"/>
    </xf>
    <xf numFmtId="2" fontId="2" fillId="0" borderId="11" xfId="0" applyFont="1" applyBorder="1" applyAlignment="1">
      <alignment horizontal="center" vertical="center"/>
    </xf>
    <xf numFmtId="2" fontId="2" fillId="0" borderId="47" xfId="0" applyFont="1" applyBorder="1" applyAlignment="1">
      <alignment horizontal="left" vertical="center"/>
    </xf>
    <xf numFmtId="1" fontId="2" fillId="0" borderId="8" xfId="0" applyNumberFormat="1" applyFont="1" applyBorder="1" applyAlignment="1">
      <alignment horizontal="center" vertical="center"/>
    </xf>
    <xf numFmtId="166" fontId="2" fillId="0" borderId="45" xfId="0" applyNumberFormat="1" applyFont="1" applyBorder="1" applyAlignment="1">
      <alignment horizontal="center" vertical="center"/>
    </xf>
    <xf numFmtId="2" fontId="8" fillId="0" borderId="0" xfId="0" applyNumberFormat="1" applyFont="1" applyBorder="1" applyAlignment="1">
      <alignment horizontal="center" vertical="center"/>
    </xf>
    <xf numFmtId="2" fontId="0" fillId="0" borderId="32" xfId="0" applyBorder="1" applyProtection="1">
      <alignment horizontal="center" vertical="center"/>
    </xf>
    <xf numFmtId="2" fontId="0" fillId="0" borderId="30" xfId="0" applyBorder="1" applyProtection="1">
      <alignment horizontal="center" vertical="center"/>
    </xf>
    <xf numFmtId="2" fontId="0" fillId="0" borderId="33" xfId="0" applyBorder="1" applyProtection="1">
      <alignment horizontal="center" vertical="center"/>
    </xf>
    <xf numFmtId="2" fontId="0" fillId="0" borderId="0" xfId="0" applyFill="1" applyBorder="1" applyProtection="1">
      <alignment horizontal="center" vertical="center"/>
    </xf>
    <xf numFmtId="2" fontId="0" fillId="0" borderId="0" xfId="0" applyProtection="1">
      <alignment horizontal="center" vertical="center"/>
    </xf>
    <xf numFmtId="2" fontId="0" fillId="0" borderId="28" xfId="0" applyBorder="1" applyProtection="1">
      <alignment horizontal="center" vertical="center"/>
    </xf>
    <xf numFmtId="2" fontId="3" fillId="0" borderId="0" xfId="0" applyFont="1" applyBorder="1" applyAlignment="1" applyProtection="1">
      <alignment horizontal="left" vertical="center"/>
    </xf>
    <xf numFmtId="2" fontId="8" fillId="0" borderId="23" xfId="0" applyFont="1" applyBorder="1" applyAlignment="1" applyProtection="1">
      <alignment horizontal="center" vertical="center"/>
    </xf>
    <xf numFmtId="2" fontId="8" fillId="0" borderId="22" xfId="0" applyFont="1" applyBorder="1" applyAlignment="1" applyProtection="1">
      <alignment horizontal="center" vertical="center"/>
    </xf>
    <xf numFmtId="2" fontId="8" fillId="0" borderId="23" xfId="0" applyFont="1" applyBorder="1" applyAlignment="1" applyProtection="1">
      <alignment horizontal="left" vertical="center"/>
    </xf>
    <xf numFmtId="2" fontId="8" fillId="0" borderId="37" xfId="0" applyFont="1" applyBorder="1" applyAlignment="1" applyProtection="1">
      <alignment horizontal="center" vertical="center"/>
    </xf>
    <xf numFmtId="1" fontId="14"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8"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8" fillId="0" borderId="0" xfId="0" applyFont="1" applyBorder="1" applyAlignment="1">
      <alignment vertical="center"/>
    </xf>
    <xf numFmtId="1" fontId="7" fillId="0" borderId="28" xfId="5" applyFont="1" applyBorder="1" applyAlignment="1">
      <alignment horizontal="left" vertical="center"/>
    </xf>
    <xf numFmtId="2" fontId="14" fillId="0" borderId="28" xfId="0" applyFont="1" applyBorder="1" applyAlignment="1">
      <alignment horizontal="left" vertical="center"/>
    </xf>
    <xf numFmtId="2" fontId="11" fillId="0" borderId="0" xfId="0" applyFont="1" applyBorder="1" applyAlignment="1">
      <alignment horizontal="left" vertical="center"/>
    </xf>
    <xf numFmtId="2" fontId="11" fillId="0" borderId="23" xfId="0" applyFont="1" applyFill="1" applyBorder="1" applyAlignment="1" applyProtection="1">
      <alignment horizontal="center" vertical="center"/>
    </xf>
    <xf numFmtId="2" fontId="0" fillId="0" borderId="53" xfId="0" applyBorder="1">
      <alignment horizontal="center" vertical="center"/>
    </xf>
    <xf numFmtId="2" fontId="0" fillId="0" borderId="4" xfId="0" applyBorder="1">
      <alignment horizontal="center" vertical="center"/>
    </xf>
    <xf numFmtId="166" fontId="8" fillId="0" borderId="0" xfId="0" applyNumberFormat="1" applyFont="1" applyBorder="1" applyAlignment="1">
      <alignment horizontal="center" vertical="center"/>
    </xf>
    <xf numFmtId="2" fontId="14" fillId="0" borderId="0" xfId="0" applyFont="1" applyBorder="1" applyAlignment="1">
      <alignment horizontal="left" vertical="center"/>
    </xf>
    <xf numFmtId="2" fontId="0" fillId="0" borderId="0" xfId="0" applyBorder="1" applyAlignment="1">
      <alignment horizontal="right" vertical="center"/>
    </xf>
    <xf numFmtId="170" fontId="8" fillId="0" borderId="2" xfId="0" applyNumberFormat="1" applyFont="1" applyBorder="1" applyAlignment="1" applyProtection="1">
      <alignment horizontal="center" vertical="center"/>
    </xf>
    <xf numFmtId="170" fontId="8" fillId="0" borderId="7" xfId="0" applyNumberFormat="1" applyFont="1" applyBorder="1" applyAlignment="1">
      <alignment horizontal="center" vertical="center"/>
    </xf>
    <xf numFmtId="170" fontId="8" fillId="0" borderId="67"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8" fillId="0" borderId="2" xfId="0" applyNumberFormat="1" applyFont="1" applyBorder="1" applyAlignment="1">
      <alignment horizontal="center" vertical="center"/>
    </xf>
    <xf numFmtId="2" fontId="3" fillId="0" borderId="23" xfId="0" applyFont="1" applyBorder="1" applyAlignment="1">
      <alignment horizontal="left" vertical="center"/>
    </xf>
    <xf numFmtId="2" fontId="3" fillId="0" borderId="5" xfId="0" quotePrefix="1" applyFont="1" applyBorder="1" applyAlignment="1">
      <alignment horizontal="center" vertical="center"/>
    </xf>
    <xf numFmtId="166" fontId="8" fillId="0" borderId="11" xfId="0" applyNumberFormat="1" applyFont="1" applyBorder="1" applyAlignment="1" applyProtection="1">
      <alignment horizontal="center" vertical="center"/>
    </xf>
    <xf numFmtId="166" fontId="8" fillId="0" borderId="2" xfId="0" applyNumberFormat="1" applyFont="1" applyBorder="1" applyAlignment="1" applyProtection="1">
      <alignment horizontal="center" vertical="center"/>
    </xf>
    <xf numFmtId="166" fontId="8" fillId="0" borderId="13" xfId="0" applyNumberFormat="1" applyFont="1" applyBorder="1" applyAlignment="1" applyProtection="1">
      <alignment horizontal="center" vertical="center"/>
    </xf>
    <xf numFmtId="2" fontId="9" fillId="1" borderId="1" xfId="0" applyFont="1" applyFill="1" applyBorder="1" applyAlignment="1">
      <alignment vertical="center"/>
    </xf>
    <xf numFmtId="1" fontId="9" fillId="0" borderId="2" xfId="0" applyNumberFormat="1" applyFont="1" applyBorder="1" applyAlignment="1" applyProtection="1">
      <alignment horizontal="left" vertical="center"/>
    </xf>
    <xf numFmtId="2" fontId="8" fillId="0" borderId="23" xfId="0" applyFont="1" applyBorder="1" applyAlignment="1">
      <alignment horizontal="centerContinuous" vertical="center"/>
    </xf>
    <xf numFmtId="2" fontId="0" fillId="0" borderId="81" xfId="0" applyBorder="1">
      <alignment horizontal="center" vertical="center"/>
    </xf>
    <xf numFmtId="2" fontId="8" fillId="0" borderId="81" xfId="0" applyFont="1" applyBorder="1" applyAlignment="1" applyProtection="1">
      <alignment horizontal="center" vertical="center"/>
    </xf>
    <xf numFmtId="170" fontId="8" fillId="0" borderId="54" xfId="0" applyNumberFormat="1" applyFont="1" applyBorder="1" applyAlignment="1" applyProtection="1">
      <alignment horizontal="center" vertical="center"/>
    </xf>
    <xf numFmtId="170" fontId="8" fillId="0" borderId="59" xfId="0" applyNumberFormat="1" applyFont="1" applyBorder="1" applyAlignment="1" applyProtection="1">
      <alignment horizontal="center" vertical="center"/>
    </xf>
    <xf numFmtId="170" fontId="8" fillId="0" borderId="15" xfId="0" applyNumberFormat="1" applyFont="1" applyBorder="1" applyAlignment="1" applyProtection="1">
      <alignment horizontal="center" vertical="center"/>
    </xf>
    <xf numFmtId="2" fontId="11" fillId="0" borderId="0" xfId="0" applyFont="1" applyBorder="1" applyAlignment="1" applyProtection="1">
      <alignment horizontal="right" vertical="center"/>
    </xf>
    <xf numFmtId="2" fontId="11" fillId="0" borderId="23" xfId="0" applyFont="1" applyBorder="1" applyAlignment="1" applyProtection="1">
      <alignment horizontal="center" vertical="center"/>
    </xf>
    <xf numFmtId="2" fontId="12" fillId="0" borderId="0" xfId="0" applyFont="1" applyBorder="1" applyAlignment="1" applyProtection="1">
      <alignment horizontal="centerContinuous" vertical="center"/>
    </xf>
    <xf numFmtId="2" fontId="8" fillId="0" borderId="23" xfId="0" applyFont="1" applyBorder="1" applyAlignment="1">
      <alignment horizontal="centerContinuous"/>
    </xf>
    <xf numFmtId="17" fontId="8" fillId="0" borderId="0" xfId="0" applyNumberFormat="1" applyFont="1" applyBorder="1" applyAlignment="1" applyProtection="1">
      <alignment horizontal="right" vertical="center"/>
    </xf>
    <xf numFmtId="14" fontId="8" fillId="0" borderId="0" xfId="0" applyNumberFormat="1" applyFont="1" applyBorder="1" applyAlignment="1" applyProtection="1">
      <alignment horizontal="right" vertical="center"/>
    </xf>
    <xf numFmtId="2" fontId="11" fillId="0" borderId="36" xfId="0" applyFont="1" applyBorder="1" applyAlignment="1">
      <alignment horizontal="right" vertical="center"/>
    </xf>
    <xf numFmtId="2" fontId="0" fillId="0" borderId="23" xfId="0" applyBorder="1" applyAlignment="1">
      <alignment horizontal="center"/>
    </xf>
    <xf numFmtId="2" fontId="11" fillId="0" borderId="23" xfId="0" applyFont="1" applyBorder="1" applyAlignment="1">
      <alignment horizontal="center" vertical="center"/>
    </xf>
    <xf numFmtId="1" fontId="11" fillId="0" borderId="23" xfId="0" applyNumberFormat="1" applyFont="1" applyBorder="1" applyAlignment="1">
      <alignment horizontal="center" vertical="center"/>
    </xf>
    <xf numFmtId="2" fontId="11" fillId="0" borderId="37" xfId="0" applyFont="1" applyBorder="1" applyAlignment="1">
      <alignment horizontal="center" vertical="center"/>
    </xf>
    <xf numFmtId="1" fontId="2" fillId="0" borderId="83" xfId="0" applyNumberFormat="1" applyFont="1" applyBorder="1" applyAlignment="1">
      <alignment horizontal="center" vertical="center"/>
    </xf>
    <xf numFmtId="166" fontId="2" fillId="0" borderId="84" xfId="0" applyNumberFormat="1" applyFont="1" applyBorder="1" applyAlignment="1">
      <alignment horizontal="center" vertical="center"/>
    </xf>
    <xf numFmtId="166" fontId="2" fillId="0" borderId="85" xfId="0" applyNumberFormat="1" applyFont="1" applyBorder="1" applyAlignment="1">
      <alignment horizontal="center" vertical="center"/>
    </xf>
    <xf numFmtId="2" fontId="14" fillId="0" borderId="62" xfId="0" applyFont="1" applyBorder="1">
      <alignment horizontal="center" vertical="center"/>
    </xf>
    <xf numFmtId="2" fontId="7" fillId="0" borderId="61" xfId="0" applyNumberFormat="1" applyFont="1" applyBorder="1" applyAlignment="1">
      <alignment horizontal="centerContinuous" vertical="center"/>
    </xf>
    <xf numFmtId="2" fontId="12" fillId="0" borderId="64" xfId="0" applyNumberFormat="1" applyFont="1" applyBorder="1" applyAlignment="1">
      <alignment horizontal="center" vertical="center"/>
    </xf>
    <xf numFmtId="2" fontId="14" fillId="0" borderId="17" xfId="0" applyFont="1" applyBorder="1">
      <alignment horizontal="center" vertical="center"/>
    </xf>
    <xf numFmtId="2" fontId="14" fillId="0" borderId="66" xfId="0" applyFont="1" applyBorder="1">
      <alignment horizontal="center" vertical="center"/>
    </xf>
    <xf numFmtId="2" fontId="3" fillId="0" borderId="64" xfId="0" applyFont="1" applyBorder="1" applyAlignment="1">
      <alignment horizontal="centerContinuous" vertical="center"/>
    </xf>
    <xf numFmtId="2" fontId="3" fillId="0" borderId="17" xfId="0" applyFont="1" applyBorder="1" applyAlignment="1">
      <alignment horizontal="right" vertical="center"/>
    </xf>
    <xf numFmtId="2" fontId="3" fillId="0" borderId="66"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8" fillId="0" borderId="13" xfId="0" applyNumberFormat="1" applyFont="1" applyFill="1" applyBorder="1" applyAlignment="1" applyProtection="1">
      <alignment horizontal="center" vertical="center"/>
    </xf>
    <xf numFmtId="165" fontId="8" fillId="0" borderId="16" xfId="0" applyNumberFormat="1" applyFont="1" applyFill="1" applyBorder="1" applyAlignment="1" applyProtection="1">
      <alignment horizontal="center" vertical="center"/>
    </xf>
    <xf numFmtId="10" fontId="8" fillId="0" borderId="9" xfId="0" applyNumberFormat="1" applyFont="1" applyBorder="1" applyAlignment="1">
      <alignment horizontal="center" vertical="center"/>
    </xf>
    <xf numFmtId="2" fontId="12" fillId="0" borderId="53" xfId="0" applyNumberFormat="1" applyFont="1" applyBorder="1" applyAlignment="1">
      <alignment horizontal="center" vertical="center"/>
    </xf>
    <xf numFmtId="2" fontId="3" fillId="0" borderId="65" xfId="0" applyNumberFormat="1" applyFont="1" applyBorder="1" applyAlignment="1">
      <alignment horizontal="center" vertical="center"/>
    </xf>
    <xf numFmtId="14" fontId="9"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8" fillId="0" borderId="13" xfId="0" applyNumberFormat="1" applyFont="1" applyBorder="1" applyAlignment="1">
      <alignment horizontal="center" vertical="center"/>
    </xf>
    <xf numFmtId="167" fontId="8" fillId="0" borderId="0" xfId="0" applyNumberFormat="1" applyFont="1" applyBorder="1" applyAlignment="1">
      <alignment horizontal="center" vertical="center"/>
    </xf>
    <xf numFmtId="167" fontId="8" fillId="0" borderId="1" xfId="0" applyNumberFormat="1" applyFont="1" applyBorder="1" applyAlignment="1">
      <alignment horizontal="center" vertical="center"/>
    </xf>
    <xf numFmtId="171" fontId="8"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2" fontId="2" fillId="0" borderId="30"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2" fillId="0" borderId="0" xfId="0" applyNumberFormat="1" applyFont="1" applyBorder="1" applyAlignment="1">
      <alignment horizontal="center" vertical="center"/>
    </xf>
    <xf numFmtId="166" fontId="12"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0" xfId="0" applyFont="1" applyBorder="1" applyAlignment="1">
      <alignment horizontal="left" vertical="center"/>
    </xf>
    <xf numFmtId="2" fontId="18" fillId="0" borderId="30" xfId="0" applyFont="1" applyBorder="1" applyAlignment="1" applyProtection="1">
      <alignment horizontal="left" vertical="center"/>
    </xf>
    <xf numFmtId="2" fontId="18" fillId="0" borderId="2" xfId="0" applyFont="1" applyBorder="1" applyAlignment="1" applyProtection="1">
      <alignment horizontal="left" vertical="center"/>
    </xf>
    <xf numFmtId="2" fontId="18" fillId="0" borderId="36" xfId="0" applyFont="1" applyBorder="1" applyAlignment="1" applyProtection="1">
      <alignment horizontal="left" vertical="center"/>
    </xf>
    <xf numFmtId="2" fontId="18" fillId="0" borderId="0" xfId="0" applyFont="1" applyAlignment="1">
      <alignment horizontal="left" vertical="center"/>
    </xf>
    <xf numFmtId="2" fontId="18" fillId="0" borderId="0" xfId="0" applyFont="1" applyBorder="1" applyAlignment="1" applyProtection="1">
      <alignment horizontal="left" vertical="center"/>
    </xf>
    <xf numFmtId="2" fontId="8" fillId="0" borderId="18" xfId="0" applyFont="1" applyFill="1" applyBorder="1" applyAlignment="1" applyProtection="1">
      <alignment horizontal="center" vertical="center"/>
    </xf>
    <xf numFmtId="2" fontId="8" fillId="0" borderId="7" xfId="0" applyFont="1" applyFill="1" applyBorder="1" applyAlignment="1" applyProtection="1">
      <alignment horizontal="center" vertical="center"/>
    </xf>
    <xf numFmtId="165" fontId="8" fillId="0" borderId="7" xfId="0" applyNumberFormat="1" applyFont="1" applyFill="1" applyBorder="1" applyAlignment="1" applyProtection="1">
      <alignment horizontal="center" vertical="center"/>
    </xf>
    <xf numFmtId="167" fontId="8" fillId="0" borderId="47" xfId="0" applyNumberFormat="1" applyFont="1" applyFill="1" applyBorder="1" applyAlignment="1" applyProtection="1">
      <alignment horizontal="center" vertical="center"/>
    </xf>
    <xf numFmtId="2" fontId="3" fillId="0" borderId="79"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7" xfId="0" applyNumberFormat="1" applyFont="1" applyFill="1" applyBorder="1" applyAlignment="1" applyProtection="1">
      <alignment horizontal="center" vertical="center"/>
    </xf>
    <xf numFmtId="2" fontId="3" fillId="0" borderId="66"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8" fillId="0" borderId="30" xfId="0" applyFont="1" applyBorder="1" applyAlignment="1">
      <alignment horizontal="left" vertical="center"/>
    </xf>
    <xf numFmtId="2" fontId="3" fillId="0" borderId="45" xfId="0" applyFont="1" applyBorder="1" applyAlignment="1">
      <alignment horizontal="center" vertical="center"/>
    </xf>
    <xf numFmtId="2" fontId="3" fillId="0" borderId="47" xfId="0" applyFont="1" applyBorder="1" applyAlignment="1">
      <alignment horizontal="center" vertical="center"/>
    </xf>
    <xf numFmtId="2" fontId="0" fillId="0" borderId="17" xfId="0" applyBorder="1">
      <alignment horizontal="center" vertical="center"/>
    </xf>
    <xf numFmtId="2" fontId="3" fillId="0" borderId="23" xfId="0" applyFont="1" applyBorder="1" applyAlignment="1" applyProtection="1">
      <alignment horizontal="center" vertical="center"/>
    </xf>
    <xf numFmtId="2" fontId="3" fillId="0" borderId="36" xfId="0" applyFont="1" applyBorder="1" applyAlignment="1" applyProtection="1">
      <alignment horizontal="center" vertical="center"/>
    </xf>
    <xf numFmtId="2" fontId="10" fillId="0" borderId="36" xfId="0" applyFont="1" applyBorder="1" applyAlignment="1" applyProtection="1">
      <alignment horizontal="center" vertical="center"/>
    </xf>
    <xf numFmtId="2" fontId="3" fillId="0" borderId="37" xfId="0" applyFont="1" applyBorder="1" applyAlignment="1" applyProtection="1">
      <alignment horizontal="center" vertical="center"/>
    </xf>
    <xf numFmtId="2" fontId="20" fillId="0" borderId="0" xfId="0" applyFont="1" applyFill="1" applyBorder="1" applyAlignment="1">
      <alignment horizontal="left" vertical="center"/>
    </xf>
    <xf numFmtId="2" fontId="21" fillId="0" borderId="0" xfId="0" applyFont="1" applyAlignment="1">
      <alignment horizontal="center" vertical="center"/>
    </xf>
    <xf numFmtId="2" fontId="8" fillId="0" borderId="11" xfId="0" applyNumberFormat="1" applyFont="1" applyFill="1" applyBorder="1" applyAlignment="1" applyProtection="1">
      <alignment horizontal="center" vertical="center"/>
    </xf>
    <xf numFmtId="165" fontId="8" fillId="0" borderId="11" xfId="0" applyNumberFormat="1" applyFont="1" applyFill="1" applyBorder="1" applyAlignment="1" applyProtection="1">
      <alignment horizontal="center" vertical="center"/>
    </xf>
    <xf numFmtId="167" fontId="8" fillId="0" borderId="19" xfId="0" applyNumberFormat="1" applyFont="1" applyFill="1" applyBorder="1" applyAlignment="1" applyProtection="1">
      <alignment horizontal="center" vertical="center"/>
    </xf>
    <xf numFmtId="171" fontId="8" fillId="0" borderId="67" xfId="0" applyNumberFormat="1" applyFont="1" applyBorder="1" applyAlignment="1" applyProtection="1">
      <alignment horizontal="center" vertical="center"/>
    </xf>
    <xf numFmtId="2" fontId="21" fillId="0" borderId="0" xfId="0" applyNumberFormat="1" applyFont="1" applyAlignment="1" applyProtection="1">
      <alignment horizontal="center" vertical="center"/>
    </xf>
    <xf numFmtId="2" fontId="0" fillId="0" borderId="0" xfId="0" applyAlignment="1">
      <alignment horizontal="centerContinuous"/>
    </xf>
    <xf numFmtId="2" fontId="21" fillId="0" borderId="0" xfId="0" applyFont="1" applyBorder="1" applyAlignment="1">
      <alignment horizontal="center" vertical="center"/>
    </xf>
    <xf numFmtId="2" fontId="21" fillId="0" borderId="0" xfId="0" applyFont="1" applyBorder="1" applyAlignment="1">
      <alignment horizontal="right" vertical="center"/>
    </xf>
    <xf numFmtId="2" fontId="4" fillId="0" borderId="62" xfId="0" applyFont="1" applyBorder="1" applyAlignment="1">
      <alignment horizontal="centerContinuous" vertical="center"/>
    </xf>
    <xf numFmtId="2" fontId="8" fillId="0" borderId="53" xfId="0" applyNumberFormat="1" applyFont="1" applyBorder="1" applyAlignment="1">
      <alignment horizontal="center" vertical="center"/>
    </xf>
    <xf numFmtId="2" fontId="17" fillId="0" borderId="17" xfId="0" applyFont="1" applyBorder="1" applyAlignment="1">
      <alignment horizontal="right" vertical="center"/>
    </xf>
    <xf numFmtId="166" fontId="8" fillId="0" borderId="36" xfId="0" applyNumberFormat="1" applyFont="1" applyBorder="1" applyAlignment="1">
      <alignment horizontal="center" vertical="center"/>
    </xf>
    <xf numFmtId="2" fontId="5" fillId="0" borderId="23" xfId="0" applyFont="1" applyBorder="1" applyAlignment="1">
      <alignment horizontal="centerContinuous"/>
    </xf>
    <xf numFmtId="165" fontId="8" fillId="0" borderId="47" xfId="0" applyNumberFormat="1" applyFont="1" applyBorder="1" applyAlignment="1">
      <alignment horizontal="center" vertical="center"/>
    </xf>
    <xf numFmtId="10" fontId="8" fillId="0" borderId="47" xfId="0" applyNumberFormat="1" applyFont="1" applyBorder="1" applyAlignment="1">
      <alignment horizontal="center" vertical="center"/>
    </xf>
    <xf numFmtId="2" fontId="8" fillId="0" borderId="24" xfId="0" applyFont="1" applyBorder="1" applyAlignment="1">
      <alignment horizontal="center" vertical="center"/>
    </xf>
    <xf numFmtId="166" fontId="8" fillId="0" borderId="18" xfId="0" applyNumberFormat="1" applyFont="1" applyBorder="1" applyAlignment="1">
      <alignment horizontal="center" vertical="center"/>
    </xf>
    <xf numFmtId="166" fontId="0" fillId="0" borderId="7" xfId="0" applyNumberFormat="1" applyBorder="1">
      <alignment horizontal="center" vertical="center"/>
    </xf>
    <xf numFmtId="166" fontId="21" fillId="0" borderId="7" xfId="0" applyNumberFormat="1" applyFont="1" applyBorder="1" applyAlignment="1">
      <alignment horizontal="center" vertical="center"/>
    </xf>
    <xf numFmtId="2" fontId="21" fillId="0" borderId="28" xfId="0" applyFont="1" applyBorder="1" applyAlignment="1">
      <alignment horizontal="centerContinuous" vertical="center"/>
    </xf>
    <xf numFmtId="2" fontId="18" fillId="0" borderId="18" xfId="0" applyFont="1" applyFill="1" applyBorder="1" applyAlignment="1" applyProtection="1">
      <alignment horizontal="left" vertical="center" wrapText="1"/>
    </xf>
    <xf numFmtId="2" fontId="18" fillId="0" borderId="22" xfId="0" applyFont="1" applyFill="1" applyBorder="1" applyAlignment="1" applyProtection="1">
      <alignment horizontal="left" vertical="center" wrapText="1"/>
    </xf>
    <xf numFmtId="1" fontId="18" fillId="0" borderId="7" xfId="0" applyNumberFormat="1" applyFont="1" applyBorder="1" applyAlignment="1">
      <alignment horizontal="center" vertical="center"/>
    </xf>
    <xf numFmtId="1" fontId="18" fillId="0" borderId="67" xfId="0" applyNumberFormat="1" applyFont="1" applyBorder="1" applyAlignment="1">
      <alignment horizontal="center" vertical="center"/>
    </xf>
    <xf numFmtId="2" fontId="18" fillId="0" borderId="5" xfId="0" applyFont="1" applyBorder="1" applyAlignment="1">
      <alignment horizontal="center" vertical="center"/>
    </xf>
    <xf numFmtId="2" fontId="18" fillId="0" borderId="7" xfId="0" applyFont="1" applyBorder="1" applyAlignment="1">
      <alignment horizontal="center" vertical="center"/>
    </xf>
    <xf numFmtId="2" fontId="24" fillId="0" borderId="3" xfId="0" applyFont="1" applyBorder="1" applyAlignment="1">
      <alignment horizontal="center" vertical="center"/>
    </xf>
    <xf numFmtId="2" fontId="24" fillId="0" borderId="5" xfId="0" applyFont="1" applyBorder="1" applyAlignment="1">
      <alignment horizontal="center" vertical="center"/>
    </xf>
    <xf numFmtId="170" fontId="8" fillId="0" borderId="7" xfId="0" applyNumberFormat="1" applyFont="1" applyFill="1" applyBorder="1" applyAlignment="1" applyProtection="1">
      <alignment horizontal="center" vertical="center"/>
    </xf>
    <xf numFmtId="2" fontId="8" fillId="0" borderId="7" xfId="0" applyFont="1" applyFill="1" applyBorder="1" applyAlignment="1">
      <alignment horizontal="center" vertical="center"/>
    </xf>
    <xf numFmtId="1" fontId="18" fillId="0" borderId="7" xfId="0" applyNumberFormat="1" applyFont="1" applyFill="1" applyBorder="1" applyAlignment="1" applyProtection="1">
      <alignment horizontal="center" vertical="center"/>
    </xf>
    <xf numFmtId="1" fontId="8" fillId="0" borderId="7" xfId="0" applyNumberFormat="1" applyFont="1" applyFill="1" applyBorder="1" applyAlignment="1" applyProtection="1">
      <alignment horizontal="center" vertical="center"/>
    </xf>
    <xf numFmtId="171" fontId="8" fillId="0" borderId="7" xfId="0" applyNumberFormat="1" applyFont="1" applyFill="1" applyBorder="1" applyAlignment="1" applyProtection="1">
      <alignment horizontal="center" vertical="center"/>
    </xf>
    <xf numFmtId="2" fontId="8" fillId="0" borderId="18" xfId="0" applyNumberFormat="1" applyFont="1" applyFill="1" applyBorder="1" applyAlignment="1" applyProtection="1">
      <alignment horizontal="center" vertical="center"/>
    </xf>
    <xf numFmtId="2" fontId="8" fillId="0" borderId="7" xfId="0" applyNumberFormat="1" applyFont="1" applyFill="1" applyBorder="1" applyAlignment="1" applyProtection="1">
      <alignment horizontal="center" vertical="center"/>
    </xf>
    <xf numFmtId="170" fontId="8" fillId="0" borderId="7" xfId="0" applyNumberFormat="1" applyFont="1" applyFill="1" applyBorder="1" applyAlignment="1">
      <alignment horizontal="center" vertical="center"/>
    </xf>
    <xf numFmtId="2" fontId="8" fillId="0" borderId="19" xfId="0" applyNumberFormat="1" applyFont="1" applyFill="1" applyBorder="1" applyAlignment="1" applyProtection="1">
      <alignment horizontal="center" vertical="center"/>
    </xf>
    <xf numFmtId="165" fontId="8" fillId="0" borderId="59" xfId="0" applyNumberFormat="1" applyFont="1" applyFill="1" applyBorder="1" applyAlignment="1" applyProtection="1">
      <alignment horizontal="center" vertical="center"/>
    </xf>
    <xf numFmtId="2" fontId="18" fillId="0" borderId="7" xfId="0" applyFont="1" applyFill="1" applyBorder="1" applyAlignment="1" applyProtection="1">
      <alignment horizontal="center" vertical="center"/>
    </xf>
    <xf numFmtId="170" fontId="8" fillId="0" borderId="5" xfId="0" applyNumberFormat="1" applyFont="1" applyFill="1" applyBorder="1" applyAlignment="1">
      <alignment horizontal="center" vertical="center"/>
    </xf>
    <xf numFmtId="2" fontId="8" fillId="0" borderId="5" xfId="0" applyFont="1" applyFill="1" applyBorder="1" applyAlignment="1">
      <alignment horizontal="center" vertical="center"/>
    </xf>
    <xf numFmtId="1" fontId="18" fillId="0" borderId="5" xfId="0" applyNumberFormat="1" applyFont="1" applyFill="1" applyBorder="1" applyAlignment="1" applyProtection="1">
      <alignment horizontal="center" vertical="center"/>
    </xf>
    <xf numFmtId="1" fontId="8" fillId="0" borderId="5" xfId="0" applyNumberFormat="1" applyFont="1" applyFill="1" applyBorder="1" applyAlignment="1" applyProtection="1">
      <alignment horizontal="center" vertical="center"/>
    </xf>
    <xf numFmtId="171" fontId="8" fillId="0" borderId="5" xfId="0" applyNumberFormat="1" applyFont="1" applyFill="1" applyBorder="1" applyAlignment="1" applyProtection="1">
      <alignment horizontal="center" vertical="center"/>
    </xf>
    <xf numFmtId="2" fontId="8" fillId="0" borderId="5" xfId="0" applyFont="1" applyFill="1" applyBorder="1" applyAlignment="1" applyProtection="1">
      <alignment horizontal="center" vertical="center"/>
    </xf>
    <xf numFmtId="165" fontId="8" fillId="0" borderId="5" xfId="0" applyNumberFormat="1" applyFont="1" applyFill="1" applyBorder="1" applyAlignment="1" applyProtection="1">
      <alignment horizontal="center" vertical="center"/>
    </xf>
    <xf numFmtId="167" fontId="8"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18"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18"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1" fillId="0" borderId="0" xfId="0" applyNumberFormat="1" applyFont="1" applyBorder="1" applyAlignment="1" applyProtection="1">
      <alignment horizontal="center" vertical="center"/>
    </xf>
    <xf numFmtId="2" fontId="12" fillId="0" borderId="0" xfId="0" applyFont="1" applyBorder="1" applyAlignment="1" applyProtection="1">
      <alignment horizontal="righ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0" fillId="0" borderId="36" xfId="0" applyBorder="1" applyProtection="1">
      <alignment horizontal="center" vertical="center"/>
    </xf>
    <xf numFmtId="2" fontId="9" fillId="0" borderId="0" xfId="0" applyFont="1" applyAlignment="1" applyProtection="1">
      <alignment horizontal="right" vertical="center"/>
    </xf>
    <xf numFmtId="2" fontId="21" fillId="0" borderId="0" xfId="0" applyFont="1" applyBorder="1" applyProtection="1">
      <alignment horizontal="center" vertical="center"/>
    </xf>
    <xf numFmtId="2" fontId="17" fillId="0" borderId="0" xfId="0" applyFont="1" applyBorder="1" applyAlignment="1" applyProtection="1">
      <alignment horizontal="left" vertical="center"/>
    </xf>
    <xf numFmtId="2" fontId="18" fillId="3" borderId="0" xfId="0" applyFont="1" applyFill="1" applyBorder="1" applyAlignment="1" applyProtection="1">
      <alignment horizontal="left" vertical="center"/>
    </xf>
    <xf numFmtId="2" fontId="8" fillId="3" borderId="0" xfId="0" applyFont="1" applyFill="1" applyBorder="1" applyAlignment="1" applyProtection="1">
      <alignment horizontal="center" vertical="center"/>
    </xf>
    <xf numFmtId="2" fontId="8" fillId="3" borderId="31" xfId="0" applyFont="1" applyFill="1" applyBorder="1" applyAlignment="1" applyProtection="1">
      <alignment horizontal="left" vertical="center"/>
    </xf>
    <xf numFmtId="2" fontId="8" fillId="3" borderId="2" xfId="0" applyFont="1" applyFill="1" applyBorder="1" applyAlignment="1" applyProtection="1">
      <alignment horizontal="center" vertical="center"/>
    </xf>
    <xf numFmtId="2" fontId="18" fillId="3" borderId="2" xfId="0" applyFont="1" applyFill="1" applyBorder="1" applyAlignment="1" applyProtection="1">
      <alignment horizontal="left" vertical="center"/>
    </xf>
    <xf numFmtId="2" fontId="18" fillId="3" borderId="31" xfId="0" applyFont="1" applyFill="1" applyBorder="1" applyAlignment="1" applyProtection="1">
      <alignment horizontal="left" vertical="center"/>
    </xf>
    <xf numFmtId="170" fontId="8" fillId="0" borderId="67" xfId="0" applyNumberFormat="1" applyFont="1" applyFill="1" applyBorder="1" applyAlignment="1">
      <alignment horizontal="center" vertical="center"/>
    </xf>
    <xf numFmtId="1" fontId="8" fillId="0" borderId="67" xfId="0" applyNumberFormat="1" applyFont="1" applyFill="1" applyBorder="1" applyAlignment="1" applyProtection="1">
      <alignment horizontal="center" vertical="center"/>
    </xf>
    <xf numFmtId="2" fontId="8" fillId="0" borderId="52" xfId="0" applyFont="1" applyBorder="1" applyAlignment="1">
      <alignment horizontal="center" vertical="center"/>
    </xf>
    <xf numFmtId="2" fontId="8" fillId="0" borderId="15" xfId="0" applyNumberFormat="1" applyFont="1" applyFill="1" applyBorder="1" applyAlignment="1" applyProtection="1">
      <alignment horizontal="center" vertical="center"/>
    </xf>
    <xf numFmtId="1" fontId="8" fillId="0" borderId="15" xfId="0" applyNumberFormat="1" applyFont="1" applyBorder="1" applyAlignment="1" applyProtection="1">
      <alignment horizontal="center" vertical="center"/>
    </xf>
    <xf numFmtId="1" fontId="8" fillId="0" borderId="18" xfId="0" applyNumberFormat="1" applyFont="1" applyBorder="1" applyAlignment="1" applyProtection="1">
      <alignment horizontal="center" vertical="center"/>
    </xf>
    <xf numFmtId="1" fontId="21" fillId="0" borderId="23" xfId="0" applyNumberFormat="1" applyFont="1" applyBorder="1" applyAlignment="1">
      <alignment horizontal="center" vertical="center"/>
    </xf>
    <xf numFmtId="1" fontId="21" fillId="0" borderId="36" xfId="0" applyNumberFormat="1" applyFont="1" applyBorder="1" applyAlignment="1">
      <alignment horizontal="center" vertical="center"/>
    </xf>
    <xf numFmtId="1" fontId="21" fillId="0" borderId="37" xfId="0" applyNumberFormat="1" applyFont="1" applyBorder="1" applyAlignment="1">
      <alignment horizontal="center" vertical="center"/>
    </xf>
    <xf numFmtId="2" fontId="17" fillId="0" borderId="0" xfId="0" applyFont="1" applyAlignment="1">
      <alignment horizontal="left"/>
    </xf>
    <xf numFmtId="2" fontId="12" fillId="0" borderId="0" xfId="0" applyNumberFormat="1" applyFont="1" applyBorder="1" applyAlignment="1">
      <alignment horizontal="center" vertical="center"/>
    </xf>
    <xf numFmtId="2" fontId="12" fillId="0" borderId="0" xfId="0" applyNumberFormat="1" applyFont="1" applyBorder="1" applyAlignment="1">
      <alignment horizontal="right" vertical="center"/>
    </xf>
    <xf numFmtId="2" fontId="12" fillId="0" borderId="4" xfId="0" applyNumberFormat="1" applyFont="1" applyBorder="1" applyAlignment="1">
      <alignment horizontal="center" vertical="center"/>
    </xf>
    <xf numFmtId="2" fontId="12" fillId="0" borderId="4" xfId="0" applyNumberFormat="1" applyFont="1" applyBorder="1" applyAlignment="1">
      <alignment horizontal="right" vertical="center"/>
    </xf>
    <xf numFmtId="2" fontId="12" fillId="0" borderId="65" xfId="0" applyNumberFormat="1" applyFont="1" applyBorder="1" applyAlignment="1">
      <alignment horizontal="center" vertical="center"/>
    </xf>
    <xf numFmtId="2" fontId="8" fillId="0" borderId="0" xfId="0" applyNumberFormat="1" applyFont="1" applyBorder="1" applyAlignment="1">
      <alignment horizontal="right" vertical="center"/>
    </xf>
    <xf numFmtId="2" fontId="21" fillId="0" borderId="66" xfId="0" applyFont="1" applyBorder="1" applyAlignment="1">
      <alignment horizontal="center" vertical="center"/>
    </xf>
    <xf numFmtId="9" fontId="19" fillId="0" borderId="7" xfId="0" quotePrefix="1" applyNumberFormat="1" applyFont="1" applyBorder="1" applyAlignment="1">
      <alignment horizontal="center" vertical="center"/>
    </xf>
    <xf numFmtId="1" fontId="19" fillId="0" borderId="3" xfId="0" quotePrefix="1" applyNumberFormat="1" applyFont="1" applyBorder="1" applyAlignment="1">
      <alignment horizontal="center" vertical="center"/>
    </xf>
    <xf numFmtId="2" fontId="21" fillId="0" borderId="0" xfId="0" applyFont="1" applyAlignment="1" applyProtection="1">
      <alignment horizontal="right" vertical="center"/>
    </xf>
    <xf numFmtId="2" fontId="21"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2" fillId="0" borderId="0" xfId="0" applyFont="1" applyAlignment="1" applyProtection="1">
      <alignment horizontal="center" vertical="center"/>
    </xf>
    <xf numFmtId="2" fontId="12" fillId="0" borderId="4" xfId="0" applyFont="1" applyBorder="1" applyAlignment="1" applyProtection="1">
      <alignment horizontal="center" vertical="center"/>
    </xf>
    <xf numFmtId="2" fontId="12" fillId="0" borderId="0" xfId="0" applyFont="1" applyAlignment="1" applyProtection="1">
      <alignment horizontal="right" vertical="center"/>
    </xf>
    <xf numFmtId="2" fontId="7" fillId="0" borderId="0" xfId="0" applyFont="1" applyBorder="1" applyAlignment="1" applyProtection="1">
      <alignment horizontal="center" vertical="center"/>
    </xf>
    <xf numFmtId="2" fontId="25" fillId="0" borderId="0" xfId="0" applyFont="1" applyAlignment="1" applyProtection="1">
      <alignment horizontal="center" vertical="center"/>
    </xf>
    <xf numFmtId="2" fontId="25" fillId="0" borderId="4" xfId="0" applyFont="1" applyBorder="1" applyAlignment="1" applyProtection="1">
      <alignment horizontal="center" vertical="center"/>
    </xf>
    <xf numFmtId="2" fontId="7" fillId="0" borderId="0" xfId="0" applyFont="1" applyFill="1" applyBorder="1" applyAlignment="1" applyProtection="1">
      <alignment horizontal="center" vertical="center"/>
    </xf>
    <xf numFmtId="2" fontId="26" fillId="0" borderId="0" xfId="0" applyFont="1" applyAlignment="1" applyProtection="1">
      <alignment horizontal="center" vertical="center"/>
    </xf>
    <xf numFmtId="2" fontId="21" fillId="0" borderId="0" xfId="0" applyFont="1" applyFill="1" applyAlignment="1" applyProtection="1">
      <alignment horizontal="right" vertical="center"/>
    </xf>
    <xf numFmtId="2" fontId="26" fillId="0" borderId="0" xfId="0" applyFont="1" applyAlignment="1" applyProtection="1">
      <alignment horizontal="right" vertical="center"/>
    </xf>
    <xf numFmtId="2" fontId="28" fillId="0" borderId="0" xfId="0" applyFont="1" applyAlignment="1" applyProtection="1">
      <alignment horizontal="center" vertical="center"/>
    </xf>
    <xf numFmtId="2" fontId="28" fillId="0" borderId="0" xfId="0" applyFont="1" applyAlignment="1" applyProtection="1">
      <alignment horizontal="left" vertical="center"/>
    </xf>
    <xf numFmtId="1" fontId="28" fillId="0" borderId="0" xfId="0" applyNumberFormat="1" applyFont="1" applyAlignment="1" applyProtection="1">
      <alignment horizontal="center" vertical="center"/>
    </xf>
    <xf numFmtId="2" fontId="28" fillId="0" borderId="0" xfId="0" applyFont="1" applyFill="1" applyBorder="1" applyAlignment="1" applyProtection="1">
      <alignment horizontal="center" vertical="center"/>
    </xf>
    <xf numFmtId="2" fontId="28" fillId="0" borderId="0" xfId="0" applyFont="1" applyBorder="1" applyAlignment="1" applyProtection="1">
      <alignment horizontal="left" vertical="center"/>
    </xf>
    <xf numFmtId="2" fontId="30" fillId="0" borderId="0" xfId="0" applyFont="1" applyFill="1" applyBorder="1" applyAlignment="1" applyProtection="1">
      <alignment horizontal="centerContinuous" vertical="center"/>
    </xf>
    <xf numFmtId="2" fontId="28" fillId="0" borderId="0" xfId="0" applyFont="1" applyAlignment="1" applyProtection="1">
      <alignment horizontal="centerContinuous" vertical="center"/>
    </xf>
    <xf numFmtId="2" fontId="28" fillId="0" borderId="0" xfId="0" applyFont="1" applyBorder="1" applyAlignment="1" applyProtection="1">
      <alignment horizontal="center" vertical="center"/>
    </xf>
    <xf numFmtId="2" fontId="30" fillId="0" borderId="0" xfId="0" applyFont="1" applyBorder="1" applyAlignment="1" applyProtection="1">
      <alignment horizontal="center" vertical="center"/>
    </xf>
    <xf numFmtId="2" fontId="30" fillId="0" borderId="9" xfId="0" applyFont="1" applyBorder="1" applyAlignment="1" applyProtection="1">
      <alignment horizontal="center" vertical="center"/>
    </xf>
    <xf numFmtId="2" fontId="30" fillId="0" borderId="3" xfId="0" applyFont="1" applyBorder="1" applyAlignment="1" applyProtection="1">
      <alignment horizontal="center" vertical="center"/>
    </xf>
    <xf numFmtId="2" fontId="30" fillId="0" borderId="11" xfId="0" applyFont="1" applyBorder="1" applyAlignment="1" applyProtection="1">
      <alignment horizontal="center" vertical="center"/>
    </xf>
    <xf numFmtId="2" fontId="30" fillId="0" borderId="13" xfId="0" applyFont="1" applyBorder="1" applyAlignment="1" applyProtection="1">
      <alignment horizontal="left" vertical="center"/>
    </xf>
    <xf numFmtId="2" fontId="30" fillId="0" borderId="7" xfId="0" applyFont="1" applyBorder="1" applyAlignment="1" applyProtection="1">
      <alignment horizontal="left" vertical="center"/>
    </xf>
    <xf numFmtId="1" fontId="30" fillId="0" borderId="8" xfId="0" applyNumberFormat="1" applyFont="1" applyBorder="1" applyAlignment="1" applyProtection="1">
      <alignment horizontal="center" vertical="center"/>
    </xf>
    <xf numFmtId="166" fontId="30" fillId="0" borderId="9" xfId="0" applyNumberFormat="1" applyFont="1" applyBorder="1" applyAlignment="1" applyProtection="1">
      <alignment horizontal="center" vertical="center"/>
    </xf>
    <xf numFmtId="166" fontId="30" fillId="0" borderId="3" xfId="0" applyNumberFormat="1" applyFont="1" applyBorder="1" applyAlignment="1" applyProtection="1">
      <alignment horizontal="center" vertical="center"/>
    </xf>
    <xf numFmtId="1" fontId="30" fillId="0" borderId="51" xfId="0" applyNumberFormat="1" applyFont="1" applyBorder="1" applyAlignment="1" applyProtection="1">
      <alignment horizontal="center" vertical="center"/>
    </xf>
    <xf numFmtId="166" fontId="30" fillId="0" borderId="16" xfId="0" applyNumberFormat="1" applyFont="1" applyBorder="1" applyAlignment="1" applyProtection="1">
      <alignment horizontal="center" vertical="center"/>
    </xf>
    <xf numFmtId="166" fontId="30" fillId="0" borderId="5" xfId="0" applyNumberFormat="1" applyFont="1" applyBorder="1" applyAlignment="1" applyProtection="1">
      <alignment horizontal="center" vertical="center"/>
    </xf>
    <xf numFmtId="166" fontId="30" fillId="0" borderId="0" xfId="0" applyNumberFormat="1" applyFont="1" applyBorder="1" applyAlignment="1" applyProtection="1">
      <alignment horizontal="center" vertical="center"/>
    </xf>
    <xf numFmtId="49" fontId="28" fillId="0" borderId="0" xfId="0" applyNumberFormat="1" applyFont="1" applyAlignment="1" applyProtection="1">
      <alignment horizontal="center" vertical="center"/>
    </xf>
    <xf numFmtId="174" fontId="21" fillId="0" borderId="0" xfId="0" applyNumberFormat="1" applyFont="1" applyAlignment="1" applyProtection="1">
      <alignment horizontal="center" vertical="center"/>
    </xf>
    <xf numFmtId="174" fontId="21" fillId="0" borderId="0" xfId="0" applyNumberFormat="1" applyFont="1" applyAlignment="1" applyProtection="1">
      <alignment horizontal="left" vertical="center"/>
    </xf>
    <xf numFmtId="49" fontId="21" fillId="0" borderId="0" xfId="0" applyNumberFormat="1" applyFont="1" applyAlignment="1" applyProtection="1">
      <alignment horizontal="center" vertical="center"/>
    </xf>
    <xf numFmtId="174" fontId="8" fillId="0" borderId="0" xfId="0" applyNumberFormat="1" applyFont="1" applyBorder="1" applyAlignment="1" applyProtection="1">
      <alignment horizontal="right" vertical="center"/>
    </xf>
    <xf numFmtId="174" fontId="0" fillId="0" borderId="0" xfId="0" applyNumberFormat="1">
      <alignment horizontal="center" vertical="center"/>
    </xf>
    <xf numFmtId="174" fontId="0" fillId="0" borderId="0" xfId="0" applyNumberFormat="1" applyBorder="1">
      <alignment horizontal="center" vertical="center"/>
    </xf>
    <xf numFmtId="174" fontId="18" fillId="3" borderId="31" xfId="0" applyNumberFormat="1" applyFont="1" applyFill="1" applyBorder="1" applyAlignment="1" applyProtection="1">
      <alignment horizontal="left" vertical="center"/>
    </xf>
    <xf numFmtId="174" fontId="18" fillId="3" borderId="0" xfId="0" applyNumberFormat="1" applyFont="1" applyFill="1" applyBorder="1" applyAlignment="1" applyProtection="1">
      <alignment horizontal="left" vertical="center"/>
    </xf>
    <xf numFmtId="174" fontId="18" fillId="3" borderId="2" xfId="0" applyNumberFormat="1" applyFont="1" applyFill="1" applyBorder="1" applyAlignment="1" applyProtection="1">
      <alignment horizontal="left" vertical="center"/>
    </xf>
    <xf numFmtId="174" fontId="8" fillId="0" borderId="36" xfId="0" applyNumberFormat="1" applyFont="1" applyBorder="1" applyAlignment="1" applyProtection="1">
      <alignment horizontal="center" vertical="center"/>
    </xf>
    <xf numFmtId="174" fontId="3" fillId="0" borderId="0" xfId="0" applyNumberFormat="1" applyFont="1" applyAlignment="1">
      <alignment horizontal="center" vertical="center"/>
    </xf>
    <xf numFmtId="174" fontId="0" fillId="0" borderId="0" xfId="0" applyNumberFormat="1" applyBorder="1" applyProtection="1">
      <alignment horizontal="center" vertical="center"/>
    </xf>
    <xf numFmtId="174" fontId="0" fillId="0" borderId="30" xfId="0" applyNumberFormat="1" applyBorder="1" applyProtection="1">
      <alignment horizontal="center" vertical="center"/>
    </xf>
    <xf numFmtId="2" fontId="21" fillId="0" borderId="0" xfId="0" applyFont="1" applyBorder="1" applyAlignment="1" applyProtection="1">
      <alignment horizontal="right" vertical="center"/>
    </xf>
    <xf numFmtId="2" fontId="31" fillId="0" borderId="0" xfId="0" applyFont="1" applyAlignment="1" applyProtection="1">
      <alignment horizontal="right" vertical="center"/>
    </xf>
    <xf numFmtId="2" fontId="32" fillId="0" borderId="0" xfId="0" applyFont="1" applyAlignment="1" applyProtection="1">
      <alignment horizontal="right" vertical="center"/>
    </xf>
    <xf numFmtId="2" fontId="32" fillId="0" borderId="0" xfId="0" applyFont="1" applyAlignment="1" applyProtection="1">
      <alignment horizontal="left" vertical="center"/>
    </xf>
    <xf numFmtId="2" fontId="28" fillId="0" borderId="30" xfId="0" applyFont="1" applyBorder="1" applyAlignment="1" applyProtection="1">
      <alignment horizontal="center" vertical="center"/>
    </xf>
    <xf numFmtId="2" fontId="28" fillId="0" borderId="36" xfId="0" applyFont="1" applyBorder="1" applyAlignment="1" applyProtection="1">
      <alignment horizontal="center" vertical="center"/>
    </xf>
    <xf numFmtId="2" fontId="8" fillId="0" borderId="32" xfId="0" applyFont="1" applyBorder="1" applyAlignment="1">
      <alignment horizontal="left" vertical="center"/>
    </xf>
    <xf numFmtId="168" fontId="8" fillId="0" borderId="90" xfId="0" applyNumberFormat="1" applyFont="1" applyBorder="1" applyAlignment="1" applyProtection="1">
      <alignment horizontal="center" vertical="center"/>
    </xf>
    <xf numFmtId="168" fontId="8" fillId="0" borderId="71" xfId="0" applyNumberFormat="1" applyFont="1" applyBorder="1" applyAlignment="1" applyProtection="1">
      <alignment horizontal="center" vertical="center"/>
    </xf>
    <xf numFmtId="179" fontId="9" fillId="0" borderId="89" xfId="0" applyNumberFormat="1" applyFont="1" applyBorder="1" applyAlignment="1" applyProtection="1">
      <alignment horizontal="left" vertical="center"/>
    </xf>
    <xf numFmtId="2" fontId="37" fillId="0" borderId="0" xfId="0" applyFont="1" applyBorder="1" applyAlignment="1">
      <alignment horizontal="right" vertical="center"/>
    </xf>
    <xf numFmtId="174" fontId="38" fillId="0" borderId="2" xfId="0" applyNumberFormat="1" applyFont="1" applyBorder="1" applyAlignment="1" applyProtection="1">
      <alignment horizontal="center" vertical="center"/>
    </xf>
    <xf numFmtId="1" fontId="21" fillId="0" borderId="0" xfId="0" applyNumberFormat="1" applyFont="1" applyAlignment="1">
      <alignment horizontal="center"/>
    </xf>
    <xf numFmtId="1" fontId="8" fillId="0" borderId="28" xfId="0" applyNumberFormat="1" applyFont="1" applyBorder="1" applyAlignment="1" applyProtection="1">
      <alignment horizontal="right" vertical="center"/>
    </xf>
    <xf numFmtId="1" fontId="8" fillId="0" borderId="28" xfId="0" applyNumberFormat="1" applyFont="1" applyBorder="1" applyAlignment="1" applyProtection="1">
      <alignment horizontal="center" vertical="center"/>
    </xf>
    <xf numFmtId="2" fontId="18" fillId="0" borderId="81" xfId="0" applyFont="1" applyBorder="1" applyAlignment="1" applyProtection="1">
      <alignment vertical="center"/>
    </xf>
    <xf numFmtId="2" fontId="18" fillId="0" borderId="92" xfId="0" applyFont="1" applyBorder="1" applyAlignment="1" applyProtection="1">
      <alignment vertical="center"/>
    </xf>
    <xf numFmtId="1" fontId="8" fillId="5" borderId="2" xfId="0" applyNumberFormat="1" applyFont="1" applyFill="1" applyBorder="1" applyAlignment="1" applyProtection="1">
      <alignment horizontal="center" vertical="center"/>
      <protection locked="0"/>
    </xf>
    <xf numFmtId="1" fontId="8" fillId="5" borderId="18" xfId="0" applyNumberFormat="1" applyFont="1" applyFill="1" applyBorder="1" applyAlignment="1" applyProtection="1">
      <alignment horizontal="center" vertical="center"/>
      <protection locked="0"/>
    </xf>
    <xf numFmtId="170" fontId="3" fillId="5" borderId="1" xfId="0" applyNumberFormat="1" applyFont="1" applyFill="1" applyBorder="1" applyAlignment="1" applyProtection="1">
      <alignment horizontal="center" vertical="center"/>
      <protection locked="0"/>
    </xf>
    <xf numFmtId="2" fontId="8" fillId="5" borderId="5" xfId="0" applyFont="1" applyFill="1" applyBorder="1" applyAlignment="1" applyProtection="1">
      <alignment horizontal="center" vertical="center"/>
      <protection locked="0"/>
    </xf>
    <xf numFmtId="1" fontId="18" fillId="5" borderId="7" xfId="0" applyNumberFormat="1" applyFont="1" applyFill="1" applyBorder="1" applyAlignment="1" applyProtection="1">
      <alignment horizontal="center" vertical="center"/>
      <protection locked="0"/>
    </xf>
    <xf numFmtId="1" fontId="8" fillId="5" borderId="7" xfId="0" applyNumberFormat="1" applyFont="1" applyFill="1" applyBorder="1" applyAlignment="1" applyProtection="1">
      <alignment horizontal="center" vertical="center"/>
      <protection locked="0"/>
    </xf>
    <xf numFmtId="2" fontId="8" fillId="5" borderId="18" xfId="0" applyNumberFormat="1" applyFont="1" applyFill="1" applyBorder="1" applyAlignment="1" applyProtection="1">
      <alignment horizontal="center" vertical="center"/>
      <protection locked="0"/>
    </xf>
    <xf numFmtId="2" fontId="8" fillId="5" borderId="7" xfId="0" applyNumberFormat="1" applyFont="1" applyFill="1" applyBorder="1" applyAlignment="1" applyProtection="1">
      <alignment horizontal="center" vertical="center"/>
      <protection locked="0"/>
    </xf>
    <xf numFmtId="165" fontId="8" fillId="5" borderId="7" xfId="0" applyNumberFormat="1" applyFont="1" applyFill="1" applyBorder="1" applyAlignment="1" applyProtection="1">
      <alignment horizontal="center" vertical="center"/>
      <protection locked="0"/>
    </xf>
    <xf numFmtId="167" fontId="8" fillId="5" borderId="47" xfId="0" applyNumberFormat="1" applyFont="1" applyFill="1" applyBorder="1" applyAlignment="1" applyProtection="1">
      <alignment horizontal="center" vertical="center"/>
      <protection locked="0"/>
    </xf>
    <xf numFmtId="1" fontId="3" fillId="5" borderId="7" xfId="0" applyNumberFormat="1" applyFont="1" applyFill="1" applyBorder="1" applyAlignment="1" applyProtection="1">
      <alignment horizontal="center" vertical="center"/>
      <protection locked="0"/>
    </xf>
    <xf numFmtId="2" fontId="8" fillId="5" borderId="18" xfId="0" applyFont="1" applyFill="1" applyBorder="1" applyAlignment="1" applyProtection="1">
      <alignment horizontal="center" vertical="center"/>
      <protection locked="0"/>
    </xf>
    <xf numFmtId="2" fontId="8" fillId="5" borderId="7" xfId="0" applyFont="1" applyFill="1" applyBorder="1" applyAlignment="1" applyProtection="1">
      <alignment horizontal="center" vertical="center"/>
      <protection locked="0"/>
    </xf>
    <xf numFmtId="2" fontId="8" fillId="5" borderId="22" xfId="0" applyFont="1" applyFill="1" applyBorder="1" applyAlignment="1" applyProtection="1">
      <alignment horizontal="center" vertical="center"/>
      <protection locked="0"/>
    </xf>
    <xf numFmtId="2" fontId="8" fillId="5" borderId="67" xfId="0" applyFont="1" applyFill="1" applyBorder="1" applyAlignment="1" applyProtection="1">
      <alignment horizontal="center" vertical="center"/>
      <protection locked="0"/>
    </xf>
    <xf numFmtId="165" fontId="8" fillId="5" borderId="67" xfId="0" applyNumberFormat="1" applyFont="1" applyFill="1" applyBorder="1" applyAlignment="1" applyProtection="1">
      <alignment horizontal="center" vertical="center"/>
      <protection locked="0"/>
    </xf>
    <xf numFmtId="167" fontId="8" fillId="5" borderId="85" xfId="0" applyNumberFormat="1" applyFont="1" applyFill="1" applyBorder="1" applyAlignment="1" applyProtection="1">
      <alignment horizontal="center" vertical="center"/>
      <protection locked="0"/>
    </xf>
    <xf numFmtId="2" fontId="8" fillId="5" borderId="15" xfId="0" applyNumberFormat="1" applyFont="1" applyFill="1" applyBorder="1" applyAlignment="1" applyProtection="1">
      <alignment horizontal="center" vertical="center"/>
      <protection locked="0"/>
    </xf>
    <xf numFmtId="2" fontId="8" fillId="5" borderId="11" xfId="0" applyNumberFormat="1" applyFont="1" applyFill="1" applyBorder="1" applyAlignment="1" applyProtection="1">
      <alignment horizontal="center" vertical="center"/>
      <protection locked="0"/>
    </xf>
    <xf numFmtId="165" fontId="8" fillId="5" borderId="11" xfId="0" applyNumberFormat="1" applyFont="1" applyFill="1" applyBorder="1" applyAlignment="1" applyProtection="1">
      <alignment horizontal="center" vertical="center"/>
      <protection locked="0"/>
    </xf>
    <xf numFmtId="167" fontId="8" fillId="5" borderId="19" xfId="0" applyNumberFormat="1" applyFont="1" applyFill="1" applyBorder="1" applyAlignment="1" applyProtection="1">
      <alignment horizontal="center" vertical="center"/>
      <protection locked="0"/>
    </xf>
    <xf numFmtId="2" fontId="8" fillId="5" borderId="22" xfId="0" applyNumberFormat="1" applyFont="1" applyFill="1" applyBorder="1" applyAlignment="1" applyProtection="1">
      <alignment horizontal="center" vertical="center"/>
      <protection locked="0"/>
    </xf>
    <xf numFmtId="2" fontId="8" fillId="5" borderId="67" xfId="0" applyNumberFormat="1" applyFont="1" applyFill="1" applyBorder="1" applyAlignment="1" applyProtection="1">
      <alignment horizontal="center" vertical="center"/>
      <protection locked="0"/>
    </xf>
    <xf numFmtId="165" fontId="8" fillId="5" borderId="59" xfId="0" applyNumberFormat="1" applyFont="1" applyFill="1" applyBorder="1" applyAlignment="1" applyProtection="1">
      <alignment horizontal="center" vertical="center"/>
      <protection locked="0"/>
    </xf>
    <xf numFmtId="165" fontId="8" fillId="5" borderId="93" xfId="0" applyNumberFormat="1" applyFont="1" applyFill="1" applyBorder="1" applyAlignment="1" applyProtection="1">
      <alignment horizontal="center" vertical="center"/>
      <protection locked="0"/>
    </xf>
    <xf numFmtId="2" fontId="8" fillId="5" borderId="94" xfId="0" applyFont="1" applyFill="1" applyBorder="1" applyAlignment="1" applyProtection="1">
      <alignment horizontal="center" vertical="center"/>
      <protection locked="0"/>
    </xf>
    <xf numFmtId="1" fontId="8" fillId="5" borderId="1" xfId="0" applyNumberFormat="1" applyFont="1" applyFill="1" applyBorder="1" applyAlignment="1" applyProtection="1">
      <alignment horizontal="center" vertical="center"/>
      <protection locked="0"/>
    </xf>
    <xf numFmtId="2" fontId="3" fillId="5" borderId="18" xfId="0" applyFont="1" applyFill="1" applyBorder="1" applyAlignment="1" applyProtection="1">
      <alignment horizontal="center" vertical="center"/>
      <protection locked="0"/>
    </xf>
    <xf numFmtId="2" fontId="3" fillId="5" borderId="79" xfId="0" applyFont="1" applyFill="1" applyBorder="1" applyAlignment="1" applyProtection="1">
      <alignment horizontal="center" vertical="center"/>
      <protection locked="0"/>
    </xf>
    <xf numFmtId="2" fontId="3" fillId="5" borderId="7" xfId="0" applyFont="1" applyFill="1" applyBorder="1" applyAlignment="1" applyProtection="1">
      <alignment horizontal="center" vertical="center"/>
      <protection locked="0"/>
    </xf>
    <xf numFmtId="165" fontId="3" fillId="5" borderId="7" xfId="0" applyNumberFormat="1" applyFont="1" applyFill="1" applyBorder="1" applyAlignment="1" applyProtection="1">
      <alignment horizontal="center" vertical="center"/>
      <protection locked="0"/>
    </xf>
    <xf numFmtId="167" fontId="3" fillId="5" borderId="47" xfId="0" applyNumberFormat="1" applyFont="1" applyFill="1" applyBorder="1" applyAlignment="1" applyProtection="1">
      <alignment horizontal="center" vertical="center"/>
      <protection locked="0"/>
    </xf>
    <xf numFmtId="2" fontId="3" fillId="5" borderId="66" xfId="0" applyFont="1" applyFill="1" applyBorder="1" applyAlignment="1" applyProtection="1">
      <alignment horizontal="center" vertical="center"/>
      <protection locked="0"/>
    </xf>
    <xf numFmtId="2" fontId="3" fillId="5" borderId="5" xfId="0" applyFont="1" applyFill="1" applyBorder="1" applyAlignment="1" applyProtection="1">
      <alignment horizontal="center" vertical="center"/>
      <protection locked="0"/>
    </xf>
    <xf numFmtId="165" fontId="3" fillId="5" borderId="5" xfId="0" applyNumberFormat="1" applyFont="1" applyFill="1" applyBorder="1" applyAlignment="1" applyProtection="1">
      <alignment horizontal="center" vertical="center"/>
      <protection locked="0"/>
    </xf>
    <xf numFmtId="167" fontId="3" fillId="5" borderId="14" xfId="0" applyNumberFormat="1" applyFont="1" applyFill="1" applyBorder="1" applyAlignment="1" applyProtection="1">
      <alignment horizontal="center" vertical="center"/>
      <protection locked="0"/>
    </xf>
    <xf numFmtId="49" fontId="8" fillId="5" borderId="2" xfId="0" applyNumberFormat="1" applyFont="1" applyFill="1" applyBorder="1" applyAlignment="1" applyProtection="1">
      <alignment horizontal="left" vertical="center"/>
      <protection locked="0"/>
    </xf>
    <xf numFmtId="2" fontId="11" fillId="0" borderId="37" xfId="0" applyFont="1" applyBorder="1" applyAlignment="1">
      <alignment horizontal="left" vertical="center"/>
    </xf>
    <xf numFmtId="2" fontId="0" fillId="0" borderId="28" xfId="0" applyBorder="1" applyAlignment="1" applyProtection="1">
      <alignment horizontal="left" vertical="center"/>
    </xf>
    <xf numFmtId="2" fontId="3" fillId="0" borderId="28" xfId="0" applyFont="1" applyBorder="1" applyAlignment="1" applyProtection="1">
      <alignment horizontal="left" vertical="center"/>
    </xf>
    <xf numFmtId="2" fontId="0" fillId="0" borderId="0" xfId="0" applyAlignment="1">
      <alignment horizontal="left" vertical="center"/>
    </xf>
    <xf numFmtId="2" fontId="8" fillId="0" borderId="27" xfId="0" applyFont="1" applyBorder="1" applyAlignment="1">
      <alignment horizontal="center" vertical="center"/>
    </xf>
    <xf numFmtId="2" fontId="21" fillId="0" borderId="0" xfId="0" applyFont="1" applyBorder="1" applyAlignment="1">
      <alignment horizontal="centerContinuous"/>
    </xf>
    <xf numFmtId="1" fontId="20" fillId="0" borderId="0" xfId="5" applyFont="1" applyFill="1" applyBorder="1" applyAlignment="1" applyProtection="1">
      <alignment horizontal="center" vertical="center"/>
    </xf>
    <xf numFmtId="2" fontId="21" fillId="0" borderId="1" xfId="0" applyFont="1" applyFill="1" applyBorder="1" applyAlignment="1" applyProtection="1">
      <alignment horizontal="center" vertical="center"/>
    </xf>
    <xf numFmtId="1" fontId="21" fillId="0" borderId="1" xfId="0" applyNumberFormat="1" applyFont="1" applyFill="1" applyBorder="1" applyAlignment="1" applyProtection="1">
      <alignment horizontal="center" vertical="center"/>
    </xf>
    <xf numFmtId="165" fontId="21" fillId="0" borderId="1" xfId="0" applyNumberFormat="1" applyFont="1" applyFill="1" applyBorder="1" applyAlignment="1" applyProtection="1">
      <alignment horizontal="center" vertical="center"/>
    </xf>
    <xf numFmtId="2" fontId="28" fillId="0" borderId="1" xfId="0" applyFont="1" applyFill="1" applyBorder="1" applyAlignment="1" applyProtection="1">
      <alignment horizontal="center" vertical="center"/>
    </xf>
    <xf numFmtId="2" fontId="28" fillId="0" borderId="1" xfId="0" applyNumberFormat="1" applyFont="1" applyFill="1" applyBorder="1" applyAlignment="1" applyProtection="1">
      <alignment horizontal="center" vertical="center"/>
    </xf>
    <xf numFmtId="2" fontId="21" fillId="0" borderId="1" xfId="0" applyFont="1" applyBorder="1" applyAlignment="1" applyProtection="1">
      <alignment horizontal="center" vertical="center"/>
    </xf>
    <xf numFmtId="1" fontId="21" fillId="0" borderId="1" xfId="0" applyNumberFormat="1" applyFont="1" applyBorder="1" applyAlignment="1" applyProtection="1">
      <alignment horizontal="center" vertical="center"/>
    </xf>
    <xf numFmtId="2" fontId="18" fillId="0" borderId="1" xfId="0" applyFont="1" applyBorder="1" applyAlignment="1" applyProtection="1">
      <alignment horizontal="center" vertical="center"/>
    </xf>
    <xf numFmtId="2" fontId="21" fillId="0" borderId="1" xfId="0" applyNumberFormat="1" applyFont="1" applyBorder="1" applyAlignment="1" applyProtection="1">
      <alignment horizontal="right" vertical="center"/>
    </xf>
    <xf numFmtId="165" fontId="21" fillId="0" borderId="1" xfId="0" applyNumberFormat="1" applyFont="1" applyBorder="1" applyAlignment="1" applyProtection="1">
      <alignment horizontal="right" vertical="center"/>
    </xf>
    <xf numFmtId="1" fontId="21" fillId="0" borderId="1" xfId="5" applyFont="1" applyFill="1" applyBorder="1" applyAlignment="1" applyProtection="1">
      <alignment horizontal="center" vertical="center"/>
    </xf>
    <xf numFmtId="2" fontId="8" fillId="0" borderId="1" xfId="0" applyFont="1" applyFill="1" applyBorder="1" applyAlignment="1" applyProtection="1">
      <alignment horizontal="center" vertical="center"/>
    </xf>
    <xf numFmtId="2" fontId="0" fillId="0" borderId="1" xfId="0" applyBorder="1" applyProtection="1">
      <alignment horizontal="center" vertical="center"/>
    </xf>
    <xf numFmtId="49" fontId="18" fillId="0" borderId="0" xfId="0" applyNumberFormat="1" applyFont="1" applyFill="1" applyBorder="1" applyAlignment="1" applyProtection="1">
      <alignment horizontal="center" vertical="center"/>
    </xf>
    <xf numFmtId="2" fontId="21" fillId="0" borderId="0" xfId="0" applyFont="1" applyFill="1" applyBorder="1" applyAlignment="1" applyProtection="1">
      <alignment horizontal="right" vertical="center"/>
    </xf>
    <xf numFmtId="2" fontId="0" fillId="0" borderId="0" xfId="0" quotePrefix="1">
      <alignment horizontal="center" vertical="center"/>
    </xf>
    <xf numFmtId="2" fontId="9" fillId="0" borderId="9" xfId="0" applyFont="1" applyBorder="1">
      <alignment horizontal="center" vertical="center"/>
    </xf>
    <xf numFmtId="2" fontId="3" fillId="0" borderId="0" xfId="0" applyFont="1" applyFill="1" applyBorder="1" applyAlignment="1" applyProtection="1">
      <alignment horizontal="right" vertical="center"/>
    </xf>
    <xf numFmtId="2" fontId="27" fillId="0" borderId="0" xfId="0" applyFont="1" applyAlignment="1" applyProtection="1">
      <alignment horizontal="left" vertical="center"/>
    </xf>
    <xf numFmtId="14" fontId="28" fillId="0" borderId="0" xfId="0" applyNumberFormat="1" applyFont="1" applyAlignment="1" applyProtection="1">
      <alignment horizontal="center" vertical="center"/>
    </xf>
    <xf numFmtId="14" fontId="28" fillId="0" borderId="0" xfId="0" applyNumberFormat="1" applyFont="1" applyAlignment="1" applyProtection="1">
      <alignment horizontal="left" vertical="center"/>
    </xf>
    <xf numFmtId="14" fontId="29" fillId="0" borderId="0" xfId="0" applyNumberFormat="1" applyFont="1" applyAlignment="1" applyProtection="1">
      <alignment horizontal="left" vertical="center"/>
    </xf>
    <xf numFmtId="14" fontId="28" fillId="0" borderId="0" xfId="0" applyNumberFormat="1" applyFont="1" applyAlignment="1" applyProtection="1">
      <alignment horizontal="right" vertical="center"/>
    </xf>
    <xf numFmtId="1" fontId="28" fillId="0" borderId="0" xfId="0" quotePrefix="1" applyNumberFormat="1" applyFont="1" applyAlignment="1" applyProtection="1">
      <alignment horizontal="center" vertical="center"/>
    </xf>
    <xf numFmtId="2" fontId="21" fillId="0" borderId="0" xfId="0" quotePrefix="1" applyFont="1" applyAlignment="1" applyProtection="1">
      <alignment horizontal="center" vertical="center"/>
    </xf>
    <xf numFmtId="2" fontId="21" fillId="4" borderId="48" xfId="0" applyFont="1" applyFill="1" applyBorder="1" applyAlignment="1" applyProtection="1">
      <alignment horizontal="right" vertical="center"/>
    </xf>
    <xf numFmtId="2" fontId="0" fillId="0" borderId="0" xfId="0" applyFont="1" applyProtection="1">
      <alignment horizontal="center" vertical="center"/>
    </xf>
    <xf numFmtId="2" fontId="22" fillId="0" borderId="0" xfId="0" applyFont="1" applyAlignment="1" applyProtection="1">
      <alignment horizontal="right" vertical="center"/>
    </xf>
    <xf numFmtId="2" fontId="22" fillId="0" borderId="0" xfId="0" applyFont="1" applyBorder="1" applyAlignment="1" applyProtection="1">
      <alignment horizontal="right" vertical="center"/>
    </xf>
    <xf numFmtId="2" fontId="0" fillId="0" borderId="0" xfId="0" quotePrefix="1" applyBorder="1" applyAlignment="1">
      <alignment horizontal="left" vertical="center"/>
    </xf>
    <xf numFmtId="2" fontId="36" fillId="0" borderId="82" xfId="0" applyFont="1" applyBorder="1" applyAlignment="1" applyProtection="1">
      <alignment horizontal="left" vertical="center"/>
    </xf>
    <xf numFmtId="174" fontId="38" fillId="0" borderId="20" xfId="0" applyNumberFormat="1" applyFont="1" applyBorder="1" applyAlignment="1" applyProtection="1">
      <alignment horizontal="center" vertical="center"/>
    </xf>
    <xf numFmtId="2" fontId="41" fillId="0" borderId="2" xfId="0" applyFont="1" applyBorder="1" applyAlignment="1" applyProtection="1">
      <alignment horizontal="left" vertical="center"/>
    </xf>
    <xf numFmtId="2" fontId="42" fillId="0" borderId="2" xfId="0" applyFont="1" applyBorder="1" applyAlignment="1" applyProtection="1">
      <alignment horizontal="center" vertical="center"/>
    </xf>
    <xf numFmtId="174" fontId="38" fillId="0" borderId="27" xfId="0" applyNumberFormat="1" applyFont="1" applyBorder="1" applyAlignment="1" applyProtection="1">
      <alignment horizontal="center" vertical="center"/>
    </xf>
    <xf numFmtId="2" fontId="43" fillId="0" borderId="30" xfId="0" applyFont="1" applyBorder="1" applyAlignment="1" applyProtection="1">
      <alignment horizontal="left" vertical="center"/>
    </xf>
    <xf numFmtId="2" fontId="22" fillId="0" borderId="0" xfId="0" applyFont="1" applyBorder="1" applyAlignment="1">
      <alignment horizontal="left" vertical="center"/>
    </xf>
    <xf numFmtId="170" fontId="8" fillId="7" borderId="2" xfId="0" applyNumberFormat="1" applyFont="1" applyFill="1" applyBorder="1" applyAlignment="1" applyProtection="1">
      <alignment horizontal="center" vertical="center"/>
    </xf>
    <xf numFmtId="174" fontId="8" fillId="7" borderId="2" xfId="0" applyNumberFormat="1" applyFont="1" applyFill="1" applyBorder="1" applyAlignment="1" applyProtection="1">
      <alignment horizontal="left" vertical="center"/>
    </xf>
    <xf numFmtId="174" fontId="8" fillId="7" borderId="2" xfId="0" applyNumberFormat="1" applyFont="1" applyFill="1" applyBorder="1" applyAlignment="1" applyProtection="1">
      <alignment horizontal="center" vertical="center"/>
    </xf>
    <xf numFmtId="170" fontId="8" fillId="7" borderId="2" xfId="0" applyNumberFormat="1" applyFont="1" applyFill="1" applyBorder="1" applyAlignment="1" applyProtection="1">
      <alignment horizontal="left" vertical="center"/>
    </xf>
    <xf numFmtId="174" fontId="21" fillId="8" borderId="1" xfId="1" applyNumberFormat="1" applyFont="1" applyFill="1" applyBorder="1" applyAlignment="1">
      <alignment horizontal="center" vertical="center"/>
      <protection locked="0"/>
    </xf>
    <xf numFmtId="165" fontId="21" fillId="8" borderId="1" xfId="1" applyNumberFormat="1" applyFont="1" applyFill="1" applyBorder="1" applyAlignment="1">
      <alignment horizontal="center" vertical="center"/>
      <protection locked="0"/>
    </xf>
    <xf numFmtId="170" fontId="21" fillId="8" borderId="1" xfId="1" applyNumberFormat="1" applyFont="1" applyFill="1" applyBorder="1" applyAlignment="1">
      <alignment horizontal="center" vertical="center"/>
      <protection locked="0"/>
    </xf>
    <xf numFmtId="1" fontId="8" fillId="9" borderId="1" xfId="0" applyNumberFormat="1" applyFont="1" applyFill="1" applyBorder="1" applyAlignment="1" applyProtection="1">
      <alignment horizontal="center" vertical="center"/>
      <protection locked="0"/>
    </xf>
    <xf numFmtId="1" fontId="21" fillId="8" borderId="88" xfId="0" applyNumberFormat="1" applyFont="1" applyFill="1" applyBorder="1" applyAlignment="1" applyProtection="1">
      <alignment horizontal="center" vertical="center"/>
      <protection locked="0"/>
    </xf>
    <xf numFmtId="1" fontId="21" fillId="8" borderId="97" xfId="0" applyNumberFormat="1" applyFont="1" applyFill="1" applyBorder="1" applyAlignment="1" applyProtection="1">
      <alignment horizontal="center" vertical="center"/>
      <protection locked="0"/>
    </xf>
    <xf numFmtId="1" fontId="21" fillId="8" borderId="98" xfId="0" applyNumberFormat="1" applyFont="1" applyFill="1" applyBorder="1" applyAlignment="1" applyProtection="1">
      <alignment horizontal="center" vertical="center"/>
      <protection locked="0"/>
    </xf>
    <xf numFmtId="1" fontId="21" fillId="8" borderId="99" xfId="0" applyNumberFormat="1" applyFont="1" applyFill="1" applyBorder="1" applyAlignment="1" applyProtection="1">
      <alignment horizontal="center" vertical="center"/>
      <protection locked="0"/>
    </xf>
    <xf numFmtId="1" fontId="21" fillId="8" borderId="18" xfId="0" applyNumberFormat="1" applyFont="1" applyFill="1" applyBorder="1" applyAlignment="1" applyProtection="1">
      <alignment horizontal="center" vertical="center"/>
      <protection locked="0"/>
    </xf>
    <xf numFmtId="1" fontId="21" fillId="8" borderId="100" xfId="0" applyNumberFormat="1" applyFont="1" applyFill="1" applyBorder="1" applyAlignment="1" applyProtection="1">
      <alignment horizontal="center" vertical="center"/>
      <protection locked="0"/>
    </xf>
    <xf numFmtId="2" fontId="12" fillId="7" borderId="50" xfId="0" applyFont="1" applyFill="1" applyBorder="1" applyAlignment="1">
      <alignment horizontal="right" vertical="center"/>
    </xf>
    <xf numFmtId="174" fontId="12" fillId="7" borderId="48" xfId="0" applyNumberFormat="1" applyFont="1" applyFill="1" applyBorder="1" applyAlignment="1">
      <alignment horizontal="left" vertical="center"/>
    </xf>
    <xf numFmtId="2" fontId="22" fillId="6" borderId="48" xfId="0" applyFont="1" applyFill="1" applyBorder="1" applyAlignment="1">
      <alignment horizontal="right" vertical="center"/>
    </xf>
    <xf numFmtId="2" fontId="9" fillId="0" borderId="69" xfId="0" applyFont="1" applyBorder="1" applyAlignment="1" applyProtection="1">
      <alignment horizontal="center" vertical="center"/>
    </xf>
    <xf numFmtId="2" fontId="3" fillId="6" borderId="88" xfId="0" applyFont="1" applyFill="1" applyBorder="1" applyAlignment="1">
      <alignment horizontal="center" vertical="center"/>
    </xf>
    <xf numFmtId="2" fontId="9" fillId="1" borderId="101" xfId="0" applyFont="1" applyFill="1" applyBorder="1" applyAlignment="1">
      <alignment vertical="center"/>
    </xf>
    <xf numFmtId="175" fontId="12" fillId="7" borderId="1" xfId="0" applyNumberFormat="1" applyFont="1" applyFill="1" applyBorder="1" applyAlignment="1">
      <alignment horizontal="center" vertical="center"/>
    </xf>
    <xf numFmtId="1" fontId="8" fillId="9" borderId="13" xfId="0" applyNumberFormat="1" applyFont="1" applyFill="1" applyBorder="1" applyAlignment="1" applyProtection="1">
      <alignment horizontal="center" vertical="center"/>
      <protection locked="0"/>
    </xf>
    <xf numFmtId="2" fontId="22" fillId="6" borderId="69" xfId="0" applyFont="1" applyFill="1" applyBorder="1" applyAlignment="1">
      <alignment horizontal="center" vertical="center"/>
    </xf>
    <xf numFmtId="2" fontId="8" fillId="10" borderId="0" xfId="0" applyFont="1" applyFill="1" applyBorder="1" applyAlignment="1">
      <alignment horizontal="right" vertical="center"/>
    </xf>
    <xf numFmtId="2" fontId="8" fillId="11" borderId="49" xfId="0" applyFont="1" applyFill="1" applyBorder="1" applyAlignment="1">
      <alignment horizontal="center" vertical="center"/>
    </xf>
    <xf numFmtId="2" fontId="3" fillId="0" borderId="0" xfId="0" applyFont="1" applyFill="1" applyBorder="1" applyAlignment="1" applyProtection="1">
      <alignment horizontal="centerContinuous" vertical="center"/>
    </xf>
    <xf numFmtId="2" fontId="9" fillId="0" borderId="23" xfId="0" applyFont="1" applyFill="1" applyBorder="1" applyAlignment="1">
      <alignment horizontal="centerContinuous"/>
    </xf>
    <xf numFmtId="2" fontId="9" fillId="0" borderId="57" xfId="0" applyFont="1" applyFill="1" applyBorder="1" applyAlignment="1" applyProtection="1">
      <alignment horizontal="center" vertical="center"/>
    </xf>
    <xf numFmtId="2" fontId="9" fillId="0" borderId="56" xfId="0" applyFont="1" applyFill="1" applyBorder="1" applyAlignment="1" applyProtection="1">
      <alignment horizontal="center" vertical="center"/>
    </xf>
    <xf numFmtId="2" fontId="8" fillId="0" borderId="0" xfId="0" applyFont="1" applyFill="1" applyBorder="1" applyAlignment="1">
      <alignment horizontal="center" vertical="center"/>
    </xf>
    <xf numFmtId="2" fontId="8" fillId="0" borderId="23" xfId="0" applyFont="1" applyFill="1" applyBorder="1" applyAlignment="1">
      <alignment horizontal="center" vertical="center"/>
    </xf>
    <xf numFmtId="2" fontId="8" fillId="0" borderId="16" xfId="0" applyFont="1" applyFill="1" applyBorder="1" applyAlignment="1">
      <alignment horizontal="center" vertical="center"/>
    </xf>
    <xf numFmtId="2" fontId="8" fillId="0" borderId="14" xfId="0" applyFont="1" applyFill="1" applyBorder="1" applyAlignment="1">
      <alignment horizontal="center" vertical="center"/>
    </xf>
    <xf numFmtId="1" fontId="8" fillId="6" borderId="1" xfId="0" applyNumberFormat="1" applyFont="1" applyFill="1" applyBorder="1" applyAlignment="1" applyProtection="1">
      <alignment horizontal="center" vertical="center"/>
      <protection locked="0"/>
    </xf>
    <xf numFmtId="174" fontId="21" fillId="7" borderId="0" xfId="0" applyNumberFormat="1" applyFont="1" applyFill="1" applyBorder="1" applyAlignment="1">
      <alignment horizontal="left" vertical="center"/>
    </xf>
    <xf numFmtId="2" fontId="22" fillId="6" borderId="103" xfId="0" applyFont="1" applyFill="1" applyBorder="1" applyAlignment="1">
      <alignment horizontal="left" vertical="center"/>
    </xf>
    <xf numFmtId="2" fontId="8" fillId="6" borderId="104" xfId="0" applyFont="1" applyFill="1" applyBorder="1" applyAlignment="1">
      <alignment horizontal="center" vertical="center"/>
    </xf>
    <xf numFmtId="2" fontId="3" fillId="8" borderId="1" xfId="0" applyFont="1" applyFill="1" applyBorder="1" applyAlignment="1" applyProtection="1">
      <alignment horizontal="left" vertical="center"/>
      <protection locked="0"/>
    </xf>
    <xf numFmtId="174" fontId="8" fillId="8"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left" vertical="center"/>
      <protection locked="0"/>
    </xf>
    <xf numFmtId="174" fontId="8" fillId="6"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center" vertical="center"/>
      <protection locked="0"/>
    </xf>
    <xf numFmtId="170" fontId="8" fillId="6" borderId="1" xfId="0" quotePrefix="1" applyNumberFormat="1" applyFont="1" applyFill="1" applyBorder="1" applyAlignment="1" applyProtection="1">
      <alignment horizontal="center" vertical="center"/>
      <protection locked="0"/>
    </xf>
    <xf numFmtId="170" fontId="8" fillId="6" borderId="13" xfId="0" quotePrefix="1" applyNumberFormat="1" applyFont="1" applyFill="1" applyBorder="1" applyAlignment="1" applyProtection="1">
      <alignment horizontal="center" vertical="center"/>
      <protection locked="0"/>
    </xf>
    <xf numFmtId="2" fontId="8" fillId="0" borderId="13" xfId="4" applyNumberFormat="1" applyFont="1" applyBorder="1" applyAlignment="1">
      <alignment horizontal="center" vertical="center"/>
    </xf>
    <xf numFmtId="177" fontId="3" fillId="0" borderId="105" xfId="0" applyNumberFormat="1" applyFont="1" applyBorder="1" applyAlignment="1">
      <alignment horizontal="center" vertical="center"/>
    </xf>
    <xf numFmtId="2" fontId="3" fillId="12" borderId="2" xfId="0" applyFont="1" applyFill="1" applyBorder="1" applyAlignment="1" applyProtection="1">
      <alignment horizontal="center" vertical="center"/>
    </xf>
    <xf numFmtId="165" fontId="3" fillId="12" borderId="13" xfId="0" applyNumberFormat="1" applyFont="1" applyFill="1" applyBorder="1" applyAlignment="1">
      <alignment horizontal="center" vertical="center"/>
    </xf>
    <xf numFmtId="2" fontId="8" fillId="12" borderId="0" xfId="0" applyFont="1" applyFill="1" applyBorder="1" applyAlignment="1" applyProtection="1">
      <alignment horizontal="left" vertical="center"/>
    </xf>
    <xf numFmtId="2" fontId="8" fillId="13" borderId="107" xfId="0" applyFont="1" applyFill="1" applyBorder="1" applyAlignment="1">
      <alignment horizontal="center" vertical="center"/>
    </xf>
    <xf numFmtId="2" fontId="8" fillId="13" borderId="1" xfId="0" applyFont="1" applyFill="1" applyBorder="1" applyAlignment="1">
      <alignment horizontal="center" vertical="center"/>
    </xf>
    <xf numFmtId="2" fontId="8" fillId="13" borderId="13" xfId="0" applyNumberFormat="1" applyFont="1" applyFill="1" applyBorder="1" applyAlignment="1">
      <alignment horizontal="center" vertical="center"/>
    </xf>
    <xf numFmtId="165" fontId="8" fillId="13" borderId="13" xfId="0" applyNumberFormat="1" applyFont="1" applyFill="1" applyBorder="1" applyAlignment="1">
      <alignment horizontal="center" vertical="center"/>
    </xf>
    <xf numFmtId="2" fontId="8" fillId="13" borderId="79" xfId="0" applyFont="1" applyFill="1" applyBorder="1" applyAlignment="1">
      <alignment horizontal="center" vertical="center"/>
    </xf>
    <xf numFmtId="164" fontId="8" fillId="13" borderId="13" xfId="0" applyNumberFormat="1" applyFont="1" applyFill="1" applyBorder="1" applyAlignment="1">
      <alignment horizontal="center" vertical="center"/>
    </xf>
    <xf numFmtId="164" fontId="8" fillId="13" borderId="1" xfId="0" applyNumberFormat="1" applyFont="1" applyFill="1" applyBorder="1" applyAlignment="1">
      <alignment horizontal="center" vertical="center"/>
    </xf>
    <xf numFmtId="165" fontId="8" fillId="13" borderId="77" xfId="0" applyNumberFormat="1" applyFont="1" applyFill="1" applyBorder="1" applyAlignment="1">
      <alignment horizontal="center" vertical="center"/>
    </xf>
    <xf numFmtId="164" fontId="8" fillId="13" borderId="77" xfId="0" applyNumberFormat="1" applyFont="1" applyFill="1" applyBorder="1" applyAlignment="1">
      <alignment horizontal="center" vertical="center"/>
    </xf>
    <xf numFmtId="2" fontId="9" fillId="0" borderId="101" xfId="0" applyFont="1" applyBorder="1" applyAlignment="1">
      <alignment horizontal="center" vertical="center"/>
    </xf>
    <xf numFmtId="2" fontId="21" fillId="13" borderId="1" xfId="0" applyFont="1" applyFill="1" applyBorder="1" applyAlignment="1" applyProtection="1">
      <alignment horizontal="center" vertical="center"/>
    </xf>
    <xf numFmtId="1" fontId="21" fillId="13" borderId="1" xfId="0" applyNumberFormat="1" applyFont="1" applyFill="1" applyBorder="1" applyAlignment="1" applyProtection="1">
      <alignment horizontal="center" vertical="center"/>
    </xf>
    <xf numFmtId="165" fontId="21" fillId="13" borderId="1" xfId="0" applyNumberFormat="1" applyFont="1" applyFill="1" applyBorder="1" applyAlignment="1" applyProtection="1">
      <alignment horizontal="center" vertical="center"/>
    </xf>
    <xf numFmtId="165" fontId="28" fillId="13" borderId="1" xfId="0" applyNumberFormat="1" applyFont="1" applyFill="1" applyBorder="1" applyAlignment="1" applyProtection="1">
      <alignment horizontal="center" vertical="center"/>
    </xf>
    <xf numFmtId="2" fontId="28" fillId="13" borderId="1" xfId="0" applyFont="1" applyFill="1" applyBorder="1" applyAlignment="1" applyProtection="1">
      <alignment horizontal="center" vertical="center"/>
    </xf>
    <xf numFmtId="2" fontId="28" fillId="13" borderId="1" xfId="0" applyNumberFormat="1" applyFont="1" applyFill="1" applyBorder="1" applyAlignment="1" applyProtection="1">
      <alignment horizontal="center" vertical="center"/>
    </xf>
    <xf numFmtId="2" fontId="18" fillId="13" borderId="1" xfId="0" applyFont="1" applyFill="1" applyBorder="1" applyAlignment="1" applyProtection="1">
      <alignment horizontal="center" vertical="center"/>
    </xf>
    <xf numFmtId="2" fontId="21" fillId="13" borderId="1" xfId="0" applyNumberFormat="1" applyFont="1" applyFill="1" applyBorder="1" applyAlignment="1" applyProtection="1">
      <alignment horizontal="right" vertical="center"/>
    </xf>
    <xf numFmtId="165" fontId="21" fillId="13" borderId="1" xfId="0" applyNumberFormat="1" applyFont="1" applyFill="1" applyBorder="1" applyAlignment="1" applyProtection="1">
      <alignment horizontal="right" vertical="center"/>
    </xf>
    <xf numFmtId="167" fontId="21" fillId="13" borderId="1" xfId="0" applyNumberFormat="1" applyFont="1" applyFill="1" applyBorder="1" applyAlignment="1" applyProtection="1">
      <alignment horizontal="right" vertical="center"/>
    </xf>
    <xf numFmtId="2" fontId="3" fillId="13" borderId="1" xfId="0" applyFont="1" applyFill="1" applyBorder="1" applyAlignment="1" applyProtection="1">
      <alignment horizontal="center" vertical="center"/>
    </xf>
    <xf numFmtId="1" fontId="22" fillId="7" borderId="1" xfId="0" applyNumberFormat="1" applyFont="1" applyFill="1" applyBorder="1" applyAlignment="1" applyProtection="1">
      <alignment horizontal="center" vertical="center"/>
    </xf>
    <xf numFmtId="1" fontId="44" fillId="7" borderId="13" xfId="0" applyNumberFormat="1" applyFont="1" applyFill="1" applyBorder="1" applyAlignment="1" applyProtection="1">
      <alignment horizontal="center" vertical="center"/>
    </xf>
    <xf numFmtId="165" fontId="44" fillId="7" borderId="13" xfId="0" applyNumberFormat="1" applyFont="1" applyFill="1" applyBorder="1" applyAlignment="1" applyProtection="1">
      <alignment horizontal="center" vertical="center"/>
    </xf>
    <xf numFmtId="2" fontId="44" fillId="7" borderId="13" xfId="0" applyNumberFormat="1" applyFont="1" applyFill="1" applyBorder="1" applyAlignment="1" applyProtection="1">
      <alignment horizontal="center" vertical="center"/>
    </xf>
    <xf numFmtId="170" fontId="44" fillId="7" borderId="50" xfId="0" applyNumberFormat="1" applyFont="1" applyFill="1" applyBorder="1" applyAlignment="1" applyProtection="1">
      <alignment horizontal="center" vertical="center"/>
    </xf>
    <xf numFmtId="170" fontId="44" fillId="7" borderId="77" xfId="0" applyNumberFormat="1" applyFont="1" applyFill="1" applyBorder="1" applyAlignment="1" applyProtection="1">
      <alignment horizontal="center" vertical="center"/>
    </xf>
    <xf numFmtId="170" fontId="22" fillId="7" borderId="1" xfId="0" applyNumberFormat="1" applyFont="1" applyFill="1" applyBorder="1" applyAlignment="1" applyProtection="1">
      <alignment horizontal="center" vertical="center"/>
    </xf>
    <xf numFmtId="2" fontId="22" fillId="7" borderId="15" xfId="0" applyNumberFormat="1" applyFont="1" applyFill="1" applyBorder="1" applyAlignment="1" applyProtection="1">
      <alignment horizontal="center" vertical="center"/>
    </xf>
    <xf numFmtId="2" fontId="21" fillId="7" borderId="2" xfId="0" applyFont="1" applyFill="1" applyBorder="1" applyAlignment="1">
      <alignment horizontal="right" vertical="center"/>
    </xf>
    <xf numFmtId="2" fontId="21" fillId="7" borderId="0" xfId="0" applyFont="1" applyFill="1" applyBorder="1" applyAlignment="1">
      <alignment horizontal="right" vertical="center"/>
    </xf>
    <xf numFmtId="174" fontId="22" fillId="7" borderId="88" xfId="0" applyNumberFormat="1" applyFont="1" applyFill="1" applyBorder="1" applyAlignment="1" applyProtection="1">
      <alignment horizontal="center" vertical="center"/>
    </xf>
    <xf numFmtId="174" fontId="22" fillId="7" borderId="27" xfId="0" applyNumberFormat="1" applyFont="1" applyFill="1" applyBorder="1" applyAlignment="1" applyProtection="1">
      <alignment horizontal="center" vertical="center"/>
    </xf>
    <xf numFmtId="1" fontId="22" fillId="7" borderId="110" xfId="0" applyNumberFormat="1" applyFont="1" applyFill="1" applyBorder="1" applyAlignment="1">
      <alignment horizontal="center" vertical="center"/>
    </xf>
    <xf numFmtId="1" fontId="22" fillId="7" borderId="95" xfId="0" applyNumberFormat="1" applyFont="1" applyFill="1" applyBorder="1" applyAlignment="1">
      <alignment horizontal="center" vertical="center"/>
    </xf>
    <xf numFmtId="1" fontId="22" fillId="7" borderId="111" xfId="0" applyNumberFormat="1" applyFont="1" applyFill="1" applyBorder="1" applyAlignment="1">
      <alignment horizontal="center" vertical="center"/>
    </xf>
    <xf numFmtId="1" fontId="22" fillId="7" borderId="21" xfId="0" applyNumberFormat="1" applyFont="1" applyFill="1" applyBorder="1" applyAlignment="1">
      <alignment horizontal="center" vertical="center"/>
    </xf>
    <xf numFmtId="1" fontId="22" fillId="7" borderId="112" xfId="0" applyNumberFormat="1" applyFont="1" applyFill="1" applyBorder="1" applyAlignment="1">
      <alignment horizontal="center" vertical="center"/>
    </xf>
    <xf numFmtId="1" fontId="22" fillId="7" borderId="113" xfId="0" applyNumberFormat="1" applyFont="1" applyFill="1" applyBorder="1" applyAlignment="1">
      <alignment horizontal="center" vertical="center"/>
    </xf>
    <xf numFmtId="2" fontId="14" fillId="0" borderId="0" xfId="0" applyFont="1" applyBorder="1" applyAlignment="1">
      <alignment horizontal="right" vertical="center"/>
    </xf>
    <xf numFmtId="2" fontId="33" fillId="0" borderId="0" xfId="0" applyFont="1" applyBorder="1" applyAlignment="1">
      <alignment horizontal="left" vertical="center"/>
    </xf>
    <xf numFmtId="2" fontId="39" fillId="0" borderId="0" xfId="0" applyFont="1" applyBorder="1" applyAlignment="1">
      <alignment horizontal="right" vertical="center"/>
    </xf>
    <xf numFmtId="2" fontId="25" fillId="0" borderId="0" xfId="0" applyFont="1" applyBorder="1" applyAlignment="1">
      <alignment horizontal="left" vertical="center"/>
    </xf>
    <xf numFmtId="2" fontId="12" fillId="0" borderId="0" xfId="0" applyFont="1" applyFill="1" applyBorder="1" applyAlignment="1">
      <alignment horizontal="right" vertical="center"/>
    </xf>
    <xf numFmtId="2" fontId="13" fillId="0" borderId="33" xfId="0" applyFont="1" applyBorder="1" applyAlignment="1">
      <alignment horizontal="right" vertical="center"/>
    </xf>
    <xf numFmtId="2" fontId="21" fillId="0" borderId="0" xfId="0" applyFont="1">
      <alignment horizontal="center" vertical="center"/>
    </xf>
    <xf numFmtId="2" fontId="3" fillId="13" borderId="29" xfId="0" applyFont="1" applyFill="1" applyBorder="1" applyAlignment="1">
      <alignment horizontal="center" vertical="center"/>
    </xf>
    <xf numFmtId="2" fontId="3" fillId="0" borderId="26" xfId="0" applyFont="1" applyBorder="1" applyAlignment="1">
      <alignment horizontal="center" vertical="center"/>
    </xf>
    <xf numFmtId="2" fontId="3" fillId="0" borderId="49" xfId="0" applyFont="1" applyBorder="1" applyAlignment="1">
      <alignment horizontal="center" vertical="center"/>
    </xf>
    <xf numFmtId="2" fontId="3" fillId="0" borderId="91" xfId="0" applyFont="1" applyBorder="1" applyAlignment="1">
      <alignment horizontal="center" vertical="center"/>
    </xf>
    <xf numFmtId="2" fontId="3" fillId="0" borderId="111" xfId="0" applyFont="1" applyBorder="1" applyAlignment="1">
      <alignment horizontal="center" vertical="center"/>
    </xf>
    <xf numFmtId="2" fontId="3" fillId="0" borderId="97" xfId="0" applyFont="1" applyBorder="1" applyAlignment="1">
      <alignment horizontal="center" vertical="center"/>
    </xf>
    <xf numFmtId="2" fontId="3" fillId="0" borderId="114" xfId="0" applyFont="1" applyBorder="1" applyAlignment="1">
      <alignment horizontal="center" vertical="center"/>
    </xf>
    <xf numFmtId="2" fontId="3" fillId="0" borderId="115" xfId="0" applyFont="1" applyBorder="1" applyAlignment="1">
      <alignment horizontal="center" vertical="center"/>
    </xf>
    <xf numFmtId="2" fontId="3" fillId="13" borderId="1" xfId="0" applyNumberFormat="1" applyFont="1" applyFill="1" applyBorder="1" applyAlignment="1">
      <alignment horizontal="center" vertical="center"/>
    </xf>
    <xf numFmtId="2" fontId="3" fillId="7" borderId="1" xfId="0" applyFont="1" applyFill="1" applyBorder="1" applyAlignment="1" applyProtection="1">
      <alignment horizontal="center" vertical="center"/>
    </xf>
    <xf numFmtId="2" fontId="21" fillId="0" borderId="0" xfId="0" applyFont="1" applyProtection="1">
      <alignment horizontal="center" vertical="center"/>
    </xf>
    <xf numFmtId="2" fontId="44" fillId="0" borderId="0" xfId="0" applyFont="1" applyBorder="1" applyAlignment="1">
      <alignment horizontal="center" vertical="center"/>
    </xf>
    <xf numFmtId="1" fontId="37" fillId="0" borderId="0" xfId="0" applyNumberFormat="1" applyFont="1" applyBorder="1" applyAlignment="1">
      <alignment horizontal="center" vertical="center"/>
    </xf>
    <xf numFmtId="1" fontId="37" fillId="0" borderId="27" xfId="0" applyNumberFormat="1" applyFont="1" applyBorder="1" applyAlignment="1">
      <alignment horizontal="center" vertical="center"/>
    </xf>
    <xf numFmtId="2" fontId="18" fillId="0" borderId="2" xfId="0" applyFont="1" applyBorder="1" applyAlignment="1" applyProtection="1">
      <alignment vertical="center"/>
    </xf>
    <xf numFmtId="2" fontId="18" fillId="0" borderId="27" xfId="0" applyFont="1" applyBorder="1" applyAlignment="1" applyProtection="1">
      <alignment vertical="center"/>
    </xf>
    <xf numFmtId="2" fontId="21" fillId="2" borderId="1" xfId="0" applyFont="1" applyFill="1" applyBorder="1" applyAlignment="1">
      <alignment horizontal="left" vertical="center"/>
    </xf>
    <xf numFmtId="2" fontId="21" fillId="0" borderId="61" xfId="0" applyFont="1" applyBorder="1" applyAlignment="1">
      <alignment horizontal="right" vertical="center"/>
    </xf>
    <xf numFmtId="2" fontId="21" fillId="0" borderId="4" xfId="0" applyFont="1" applyBorder="1" applyAlignment="1">
      <alignment horizontal="right" vertical="center"/>
    </xf>
    <xf numFmtId="1" fontId="22" fillId="0" borderId="0" xfId="0" applyNumberFormat="1" applyFont="1" applyBorder="1" applyAlignment="1">
      <alignment horizontal="right" vertical="center"/>
    </xf>
    <xf numFmtId="2" fontId="21" fillId="0" borderId="40" xfId="0" applyFont="1" applyBorder="1" applyAlignment="1">
      <alignment horizontal="center" vertical="center"/>
    </xf>
    <xf numFmtId="1" fontId="22" fillId="0" borderId="0" xfId="0" applyNumberFormat="1" applyFont="1" applyBorder="1" applyAlignment="1">
      <alignment horizontal="center" vertical="center"/>
    </xf>
    <xf numFmtId="1" fontId="22" fillId="0" borderId="80" xfId="0" applyNumberFormat="1" applyFont="1" applyBorder="1" applyAlignment="1">
      <alignment horizontal="center" vertical="center"/>
    </xf>
    <xf numFmtId="2" fontId="21" fillId="0" borderId="62" xfId="0" applyFont="1" applyBorder="1" applyAlignment="1">
      <alignment horizontal="center" vertical="center"/>
    </xf>
    <xf numFmtId="2" fontId="21" fillId="0" borderId="61" xfId="0" applyFont="1" applyBorder="1" applyAlignment="1">
      <alignment horizontal="center" vertical="center"/>
    </xf>
    <xf numFmtId="2" fontId="21" fillId="0" borderId="64" xfId="0" applyFont="1" applyBorder="1" applyAlignment="1">
      <alignment horizontal="center" vertical="center"/>
    </xf>
    <xf numFmtId="2" fontId="21" fillId="0" borderId="17" xfId="0" applyFont="1" applyBorder="1" applyAlignment="1">
      <alignment horizontal="center" vertical="center"/>
    </xf>
    <xf numFmtId="1" fontId="22" fillId="0" borderId="96" xfId="0" applyNumberFormat="1" applyFont="1" applyBorder="1" applyAlignment="1" applyProtection="1">
      <alignment horizontal="center" vertical="center"/>
    </xf>
    <xf numFmtId="2" fontId="21" fillId="0" borderId="4" xfId="0" applyFont="1" applyBorder="1" applyAlignment="1">
      <alignment horizontal="center" vertical="center"/>
    </xf>
    <xf numFmtId="1" fontId="22" fillId="0" borderId="71" xfId="0" applyNumberFormat="1" applyFont="1" applyBorder="1" applyAlignment="1" applyProtection="1">
      <alignment horizontal="center" vertical="center"/>
    </xf>
    <xf numFmtId="1" fontId="21" fillId="0" borderId="0" xfId="0" applyNumberFormat="1" applyFont="1" applyBorder="1" applyAlignment="1">
      <alignment horizontal="center"/>
    </xf>
    <xf numFmtId="2" fontId="21" fillId="13" borderId="2" xfId="0" applyFont="1" applyFill="1" applyBorder="1" applyAlignment="1">
      <alignment horizontal="left" vertical="center"/>
    </xf>
    <xf numFmtId="2" fontId="21" fillId="13" borderId="2" xfId="0" applyFont="1" applyFill="1" applyBorder="1" applyAlignment="1">
      <alignment horizontal="center" vertical="center"/>
    </xf>
    <xf numFmtId="2" fontId="28" fillId="13" borderId="2" xfId="0" applyFont="1" applyFill="1" applyBorder="1" applyAlignment="1" applyProtection="1">
      <alignment horizontal="center" vertical="center"/>
    </xf>
    <xf numFmtId="2" fontId="0" fillId="13" borderId="2" xfId="0" applyFill="1" applyBorder="1">
      <alignment horizontal="center" vertical="center"/>
    </xf>
    <xf numFmtId="2" fontId="26" fillId="0" borderId="53" xfId="0" applyFont="1" applyBorder="1" applyAlignment="1">
      <alignment horizontal="center" vertical="center"/>
    </xf>
    <xf numFmtId="2" fontId="26" fillId="0" borderId="65" xfId="0" applyFont="1" applyBorder="1" applyAlignment="1">
      <alignment horizontal="center" vertical="center"/>
    </xf>
    <xf numFmtId="1" fontId="22" fillId="0" borderId="53" xfId="0" applyNumberFormat="1" applyFont="1" applyBorder="1" applyAlignment="1" applyProtection="1">
      <alignment horizontal="center" vertical="center"/>
    </xf>
    <xf numFmtId="2" fontId="36" fillId="14" borderId="106" xfId="0" applyFont="1" applyFill="1" applyBorder="1" applyAlignment="1">
      <alignment horizontal="center" vertical="center"/>
    </xf>
    <xf numFmtId="2" fontId="36" fillId="14" borderId="108" xfId="0" applyFont="1" applyFill="1" applyBorder="1" applyAlignment="1">
      <alignment horizontal="center" vertical="center"/>
    </xf>
    <xf numFmtId="2" fontId="43" fillId="0" borderId="0" xfId="0" applyFont="1" applyBorder="1" applyAlignment="1">
      <alignment horizontal="left" vertical="center"/>
    </xf>
    <xf numFmtId="2" fontId="25" fillId="0" borderId="0" xfId="0" applyFont="1" applyBorder="1" applyAlignment="1">
      <alignment horizontal="right" vertical="center"/>
    </xf>
    <xf numFmtId="1" fontId="45" fillId="0" borderId="0" xfId="0" applyNumberFormat="1" applyFont="1" applyBorder="1" applyAlignment="1">
      <alignment horizontal="center" vertical="center"/>
    </xf>
    <xf numFmtId="1" fontId="45" fillId="0" borderId="66" xfId="0" applyNumberFormat="1" applyFont="1" applyBorder="1" applyAlignment="1">
      <alignment horizontal="center" vertical="center"/>
    </xf>
    <xf numFmtId="1" fontId="46" fillId="0" borderId="0" xfId="0" applyNumberFormat="1" applyFont="1" applyBorder="1" applyAlignment="1">
      <alignment horizontal="center" vertical="center"/>
    </xf>
    <xf numFmtId="1" fontId="25" fillId="0" borderId="0" xfId="0" applyNumberFormat="1" applyFont="1" applyBorder="1" applyAlignment="1">
      <alignment horizontal="left" vertical="center"/>
    </xf>
    <xf numFmtId="2" fontId="0" fillId="0" borderId="23" xfId="0" quotePrefix="1" applyBorder="1">
      <alignment horizontal="center" vertical="center"/>
    </xf>
    <xf numFmtId="2" fontId="3" fillId="0" borderId="61" xfId="0" applyFont="1" applyBorder="1" applyAlignment="1">
      <alignment horizontal="center" vertical="center"/>
    </xf>
    <xf numFmtId="2" fontId="8" fillId="0" borderId="64" xfId="0" applyFont="1" applyBorder="1" applyAlignment="1" applyProtection="1">
      <alignment horizontal="centerContinuous" vertical="center"/>
    </xf>
    <xf numFmtId="2" fontId="3" fillId="0" borderId="117"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3" fillId="0" borderId="62" xfId="0" applyFont="1" applyBorder="1" applyAlignment="1" applyProtection="1">
      <alignment horizontal="centerContinuous" vertical="center"/>
    </xf>
    <xf numFmtId="2" fontId="47" fillId="0" borderId="38" xfId="0" applyFont="1" applyBorder="1" applyAlignment="1" applyProtection="1">
      <alignment horizontal="left" vertical="center"/>
    </xf>
    <xf numFmtId="2" fontId="47" fillId="0" borderId="0" xfId="0" applyFont="1" applyBorder="1" applyAlignment="1" applyProtection="1">
      <alignment horizontal="left" vertical="center"/>
    </xf>
    <xf numFmtId="2" fontId="47" fillId="0" borderId="43" xfId="0" applyFont="1" applyBorder="1" applyAlignment="1" applyProtection="1">
      <alignment horizontal="left" vertical="center"/>
    </xf>
    <xf numFmtId="1" fontId="7" fillId="0" borderId="32" xfId="5" applyBorder="1" applyAlignment="1">
      <alignment horizontal="left" vertical="center"/>
    </xf>
    <xf numFmtId="2" fontId="3" fillId="0" borderId="30" xfId="0" applyFont="1" applyBorder="1">
      <alignment horizontal="center" vertical="center"/>
    </xf>
    <xf numFmtId="169" fontId="21" fillId="7" borderId="2" xfId="0" applyNumberFormat="1" applyFont="1" applyFill="1" applyBorder="1" applyAlignment="1" applyProtection="1">
      <alignment horizontal="left" vertical="center"/>
    </xf>
    <xf numFmtId="174" fontId="9" fillId="12" borderId="1" xfId="1" applyNumberFormat="1" applyFont="1" applyFill="1" applyBorder="1" applyProtection="1">
      <alignment horizontal="left" vertical="center"/>
    </xf>
    <xf numFmtId="2" fontId="48" fillId="0" borderId="38" xfId="0" applyFont="1" applyBorder="1" applyAlignment="1">
      <alignment horizontal="left" vertical="center"/>
    </xf>
    <xf numFmtId="2" fontId="48" fillId="0" borderId="39" xfId="0" applyFont="1" applyBorder="1" applyAlignment="1">
      <alignment horizontal="left" vertical="center"/>
    </xf>
    <xf numFmtId="2" fontId="18" fillId="0" borderId="0" xfId="0" applyFont="1">
      <alignment horizontal="center" vertical="center"/>
    </xf>
    <xf numFmtId="2" fontId="48" fillId="0" borderId="0" xfId="0" applyFont="1" applyBorder="1" applyAlignment="1">
      <alignment horizontal="left" vertical="center"/>
    </xf>
    <xf numFmtId="2" fontId="48" fillId="0" borderId="41" xfId="0" applyFont="1" applyBorder="1" applyAlignment="1">
      <alignment horizontal="left" vertical="center"/>
    </xf>
    <xf numFmtId="2" fontId="48" fillId="0" borderId="43" xfId="0" applyFont="1" applyBorder="1" applyAlignment="1">
      <alignment horizontal="left" vertical="center"/>
    </xf>
    <xf numFmtId="2" fontId="48" fillId="0" borderId="44" xfId="0" applyFont="1" applyBorder="1" applyAlignment="1">
      <alignment horizontal="left" vertical="center"/>
    </xf>
    <xf numFmtId="2" fontId="22" fillId="0" borderId="0" xfId="0" applyFont="1" applyAlignment="1">
      <alignment horizontal="left" vertical="center"/>
    </xf>
    <xf numFmtId="2" fontId="22" fillId="0" borderId="0" xfId="0" applyNumberFormat="1" applyFont="1" applyBorder="1" applyAlignment="1" applyProtection="1">
      <alignment horizontal="center" vertical="center"/>
    </xf>
    <xf numFmtId="2" fontId="22" fillId="0" borderId="0" xfId="0" applyFont="1" applyAlignment="1">
      <alignment horizontal="center" vertical="center"/>
    </xf>
    <xf numFmtId="2" fontId="12" fillId="7" borderId="1" xfId="0" applyFont="1" applyFill="1" applyBorder="1" applyAlignment="1" applyProtection="1">
      <alignment horizontal="center" vertical="center"/>
    </xf>
    <xf numFmtId="1" fontId="21" fillId="7" borderId="1" xfId="0" applyNumberFormat="1" applyFont="1" applyFill="1" applyBorder="1" applyAlignment="1" applyProtection="1">
      <alignment horizontal="center" vertical="center"/>
    </xf>
    <xf numFmtId="165" fontId="21" fillId="7" borderId="1" xfId="0" applyNumberFormat="1" applyFont="1" applyFill="1" applyBorder="1" applyAlignment="1" applyProtection="1">
      <alignment horizontal="center" vertical="center"/>
    </xf>
    <xf numFmtId="2" fontId="21" fillId="7" borderId="1" xfId="0" applyFont="1" applyFill="1" applyBorder="1" applyAlignment="1" applyProtection="1">
      <alignment horizontal="center" vertical="center"/>
    </xf>
    <xf numFmtId="2" fontId="28" fillId="7" borderId="1" xfId="0" applyFont="1" applyFill="1" applyBorder="1" applyAlignment="1" applyProtection="1">
      <alignment horizontal="center" vertical="center"/>
    </xf>
    <xf numFmtId="2" fontId="28" fillId="7" borderId="1" xfId="0" applyNumberFormat="1" applyFont="1" applyFill="1" applyBorder="1" applyAlignment="1" applyProtection="1">
      <alignment horizontal="center" vertical="center"/>
    </xf>
    <xf numFmtId="2" fontId="21" fillId="7" borderId="1" xfId="0" quotePrefix="1" applyFont="1" applyFill="1" applyBorder="1" applyAlignment="1" applyProtection="1">
      <alignment horizontal="center" vertical="center"/>
    </xf>
    <xf numFmtId="2" fontId="18" fillId="7" borderId="1" xfId="0" applyFont="1" applyFill="1" applyBorder="1" applyAlignment="1" applyProtection="1">
      <alignment horizontal="center" vertical="center"/>
    </xf>
    <xf numFmtId="2" fontId="21" fillId="7" borderId="1" xfId="0" applyNumberFormat="1" applyFont="1" applyFill="1" applyBorder="1" applyAlignment="1" applyProtection="1">
      <alignment horizontal="right" vertical="center"/>
    </xf>
    <xf numFmtId="165" fontId="21" fillId="7" borderId="1" xfId="0" applyNumberFormat="1" applyFont="1" applyFill="1" applyBorder="1" applyAlignment="1" applyProtection="1">
      <alignment horizontal="right" vertical="center"/>
    </xf>
    <xf numFmtId="166" fontId="12" fillId="7" borderId="1" xfId="0" applyNumberFormat="1" applyFont="1" applyFill="1" applyBorder="1" applyAlignment="1" applyProtection="1">
      <alignment horizontal="center" vertical="center"/>
    </xf>
    <xf numFmtId="165" fontId="28" fillId="7" borderId="1" xfId="0" applyNumberFormat="1" applyFont="1" applyFill="1" applyBorder="1" applyAlignment="1" applyProtection="1">
      <alignment horizontal="center" vertical="center"/>
    </xf>
    <xf numFmtId="2" fontId="3" fillId="7" borderId="1" xfId="0" applyFont="1" applyFill="1" applyBorder="1" applyAlignment="1" applyProtection="1">
      <alignment horizontal="left" vertical="center"/>
    </xf>
    <xf numFmtId="2" fontId="23" fillId="0" borderId="0" xfId="0" applyFont="1" applyBorder="1" applyAlignment="1" applyProtection="1">
      <alignment horizontal="left" vertical="center"/>
    </xf>
    <xf numFmtId="2" fontId="22" fillId="0" borderId="0" xfId="0" quotePrefix="1" applyFont="1" applyAlignment="1">
      <alignment horizontal="left" vertical="center"/>
    </xf>
    <xf numFmtId="2" fontId="47" fillId="0" borderId="1" xfId="0" applyFont="1" applyBorder="1" applyAlignment="1" applyProtection="1">
      <alignment horizontal="right" vertical="center"/>
    </xf>
    <xf numFmtId="2" fontId="47" fillId="7" borderId="1" xfId="0" applyFont="1" applyFill="1" applyBorder="1" applyAlignment="1" applyProtection="1">
      <alignment horizontal="right" vertical="center"/>
    </xf>
    <xf numFmtId="2" fontId="49" fillId="0" borderId="1" xfId="0" applyFont="1" applyBorder="1" applyAlignment="1" applyProtection="1">
      <alignment horizontal="left" vertical="center"/>
    </xf>
    <xf numFmtId="2" fontId="50" fillId="13" borderId="1" xfId="0" applyFont="1" applyFill="1" applyBorder="1" applyAlignment="1" applyProtection="1">
      <alignment horizontal="left" vertical="center"/>
    </xf>
    <xf numFmtId="2" fontId="50" fillId="0" borderId="1" xfId="0" applyFont="1" applyBorder="1" applyAlignment="1" applyProtection="1">
      <alignment horizontal="left" vertical="center"/>
    </xf>
    <xf numFmtId="2" fontId="51" fillId="7" borderId="1" xfId="0" applyFont="1" applyFill="1" applyBorder="1" applyAlignment="1" applyProtection="1">
      <alignment horizontal="left" vertical="center"/>
    </xf>
    <xf numFmtId="2" fontId="52" fillId="0" borderId="1" xfId="0" applyFont="1" applyBorder="1" applyAlignment="1" applyProtection="1">
      <alignment horizontal="left" vertical="center"/>
    </xf>
    <xf numFmtId="2" fontId="8" fillId="0" borderId="50" xfId="0" applyFont="1" applyBorder="1" applyAlignment="1">
      <alignment horizontal="center" vertical="center"/>
    </xf>
    <xf numFmtId="2" fontId="20" fillId="0" borderId="0" xfId="0" applyFont="1" applyBorder="1" applyAlignment="1">
      <alignment horizontal="right" vertical="center"/>
    </xf>
    <xf numFmtId="2" fontId="34" fillId="0" borderId="23" xfId="0" applyFont="1" applyBorder="1" applyAlignment="1">
      <alignment horizontal="right" vertical="center"/>
    </xf>
    <xf numFmtId="2" fontId="54" fillId="0" borderId="0" xfId="0" applyFont="1" applyAlignment="1" applyProtection="1">
      <alignment horizontal="left" vertical="center"/>
      <protection locked="0"/>
    </xf>
    <xf numFmtId="2" fontId="8" fillId="13" borderId="101" xfId="0" applyFont="1" applyFill="1" applyBorder="1" applyAlignment="1">
      <alignment horizontal="center" vertical="center"/>
    </xf>
    <xf numFmtId="2" fontId="8" fillId="13" borderId="9" xfId="0" applyNumberFormat="1" applyFont="1" applyFill="1" applyBorder="1" applyAlignment="1">
      <alignment horizontal="center" vertical="center"/>
    </xf>
    <xf numFmtId="2" fontId="9" fillId="1" borderId="50" xfId="0" applyFont="1" applyFill="1" applyBorder="1" applyAlignment="1">
      <alignment vertical="center"/>
    </xf>
    <xf numFmtId="164" fontId="8" fillId="13" borderId="9" xfId="0" applyNumberFormat="1" applyFont="1" applyFill="1" applyBorder="1" applyAlignment="1">
      <alignment horizontal="center" vertical="center"/>
    </xf>
    <xf numFmtId="2" fontId="22" fillId="7" borderId="68" xfId="0" applyNumberFormat="1" applyFont="1" applyFill="1" applyBorder="1" applyAlignment="1" applyProtection="1">
      <alignment horizontal="center" vertical="center"/>
    </xf>
    <xf numFmtId="2" fontId="8" fillId="13" borderId="102" xfId="0" applyFont="1" applyFill="1" applyBorder="1" applyAlignment="1">
      <alignment horizontal="center" vertical="center"/>
    </xf>
    <xf numFmtId="2" fontId="8" fillId="13" borderId="69" xfId="0" applyFont="1" applyFill="1" applyBorder="1" applyAlignment="1">
      <alignment horizontal="center" vertical="center"/>
    </xf>
    <xf numFmtId="2" fontId="8" fillId="13" borderId="69" xfId="0" applyNumberFormat="1" applyFont="1" applyFill="1" applyBorder="1" applyAlignment="1">
      <alignment horizontal="center" vertical="center"/>
    </xf>
    <xf numFmtId="165" fontId="8" fillId="13" borderId="69" xfId="0" applyNumberFormat="1" applyFont="1" applyFill="1" applyBorder="1" applyAlignment="1">
      <alignment horizontal="center" vertical="center"/>
    </xf>
    <xf numFmtId="2" fontId="44" fillId="0" borderId="26" xfId="0" applyFont="1" applyFill="1" applyBorder="1" applyAlignment="1" applyProtection="1">
      <alignment horizontal="center" vertical="center"/>
    </xf>
    <xf numFmtId="178" fontId="8" fillId="7" borderId="25" xfId="0" applyNumberFormat="1" applyFont="1" applyFill="1" applyBorder="1" applyAlignment="1" applyProtection="1">
      <alignment horizontal="center" vertical="center"/>
    </xf>
    <xf numFmtId="168" fontId="55" fillId="0" borderId="66" xfId="0" applyNumberFormat="1" applyFont="1" applyBorder="1" applyAlignment="1">
      <alignment horizontal="center" vertical="center"/>
    </xf>
    <xf numFmtId="168" fontId="55" fillId="0" borderId="5" xfId="0" applyNumberFormat="1" applyFont="1" applyBorder="1" applyAlignment="1">
      <alignment horizontal="center" vertical="center"/>
    </xf>
    <xf numFmtId="178" fontId="8" fillId="7" borderId="87" xfId="0" applyNumberFormat="1" applyFont="1" applyFill="1" applyBorder="1" applyAlignment="1" applyProtection="1">
      <alignment horizontal="center" vertical="center"/>
    </xf>
    <xf numFmtId="168" fontId="55" fillId="0" borderId="56" xfId="0" applyNumberFormat="1" applyFont="1" applyBorder="1" applyAlignment="1">
      <alignment horizontal="center" vertical="center"/>
    </xf>
    <xf numFmtId="178" fontId="8" fillId="7" borderId="78" xfId="0" applyNumberFormat="1" applyFont="1" applyFill="1" applyBorder="1" applyAlignment="1" applyProtection="1">
      <alignment horizontal="center" vertical="center"/>
    </xf>
    <xf numFmtId="2" fontId="56" fillId="0" borderId="62" xfId="0" applyFont="1" applyBorder="1" applyAlignment="1">
      <alignment horizontal="center" vertical="center"/>
    </xf>
    <xf numFmtId="2" fontId="56" fillId="0" borderId="118" xfId="0" applyFont="1" applyBorder="1" applyAlignment="1">
      <alignment horizontal="center" vertical="center"/>
    </xf>
    <xf numFmtId="2" fontId="56" fillId="0" borderId="119" xfId="0" applyFont="1" applyBorder="1" applyAlignment="1">
      <alignment horizontal="center" vertical="center"/>
    </xf>
    <xf numFmtId="2" fontId="12" fillId="0" borderId="8" xfId="0" applyFont="1" applyFill="1" applyBorder="1" applyAlignment="1">
      <alignment horizontal="right" vertical="center"/>
    </xf>
    <xf numFmtId="174" fontId="12" fillId="7" borderId="1" xfId="0" applyNumberFormat="1" applyFont="1" applyFill="1" applyBorder="1" applyAlignment="1">
      <alignment horizontal="left" vertical="center"/>
    </xf>
    <xf numFmtId="170" fontId="8" fillId="8" borderId="13" xfId="0" applyNumberFormat="1" applyFont="1" applyFill="1" applyBorder="1" applyAlignment="1" applyProtection="1">
      <alignment horizontal="left" vertical="center"/>
      <protection locked="0"/>
    </xf>
    <xf numFmtId="2" fontId="8" fillId="0" borderId="21" xfId="0" applyFont="1" applyBorder="1" applyAlignment="1">
      <alignment horizontal="center" vertical="center"/>
    </xf>
    <xf numFmtId="2" fontId="34" fillId="0" borderId="0" xfId="0" applyFont="1" applyAlignment="1">
      <alignment horizontal="left" vertical="center"/>
    </xf>
    <xf numFmtId="2" fontId="21" fillId="0" borderId="0" xfId="0" applyFont="1" applyAlignment="1">
      <alignment horizontal="right" vertical="center"/>
    </xf>
    <xf numFmtId="2" fontId="0" fillId="0" borderId="7" xfId="0" applyBorder="1">
      <alignment horizontal="center" vertical="center"/>
    </xf>
    <xf numFmtId="1" fontId="21" fillId="7" borderId="29" xfId="0" applyNumberFormat="1" applyFont="1" applyFill="1" applyBorder="1" applyAlignment="1" applyProtection="1">
      <alignment horizontal="center" vertical="center"/>
    </xf>
    <xf numFmtId="49" fontId="21" fillId="15" borderId="2" xfId="0" applyNumberFormat="1" applyFont="1" applyFill="1" applyBorder="1" applyAlignment="1" applyProtection="1">
      <alignment horizontal="left" vertical="center"/>
    </xf>
    <xf numFmtId="174" fontId="8" fillId="6" borderId="1" xfId="0" applyNumberFormat="1" applyFont="1" applyFill="1" applyBorder="1" applyAlignment="1" applyProtection="1">
      <alignment horizontal="left" vertical="center"/>
      <protection locked="0"/>
    </xf>
    <xf numFmtId="0" fontId="8" fillId="0" borderId="2" xfId="0" applyNumberFormat="1" applyFont="1" applyBorder="1" applyAlignment="1" applyProtection="1">
      <alignment horizontal="left" vertical="center"/>
    </xf>
    <xf numFmtId="0" fontId="18" fillId="0" borderId="2" xfId="0" applyNumberFormat="1" applyFont="1" applyBorder="1" applyAlignment="1">
      <alignment horizontal="center" vertical="center"/>
    </xf>
    <xf numFmtId="14" fontId="18" fillId="0" borderId="2" xfId="0" applyNumberFormat="1" applyFont="1" applyBorder="1" applyAlignment="1" applyProtection="1">
      <alignment horizontal="left" vertical="center"/>
    </xf>
    <xf numFmtId="0" fontId="18" fillId="0" borderId="2" xfId="0" applyNumberFormat="1" applyFont="1" applyBorder="1" applyAlignment="1" applyProtection="1">
      <alignment horizontal="center" vertical="center"/>
    </xf>
    <xf numFmtId="0" fontId="21" fillId="7" borderId="2" xfId="0" applyNumberFormat="1" applyFont="1" applyFill="1" applyBorder="1" applyAlignment="1" applyProtection="1">
      <alignment horizontal="left" vertical="center"/>
    </xf>
    <xf numFmtId="0" fontId="21" fillId="7" borderId="2" xfId="0" applyNumberFormat="1" applyFont="1" applyFill="1" applyBorder="1" applyAlignment="1" applyProtection="1">
      <alignment horizontal="center" vertical="center"/>
    </xf>
    <xf numFmtId="166" fontId="21" fillId="7" borderId="2" xfId="0" applyNumberFormat="1" applyFont="1" applyFill="1" applyBorder="1" applyAlignment="1" applyProtection="1">
      <alignment horizontal="center" vertical="center"/>
    </xf>
    <xf numFmtId="173" fontId="21" fillId="7" borderId="2" xfId="0" applyNumberFormat="1" applyFont="1" applyFill="1" applyBorder="1" applyAlignment="1" applyProtection="1">
      <alignment horizontal="center" vertical="center"/>
    </xf>
    <xf numFmtId="2" fontId="21" fillId="7" borderId="2" xfId="0" applyNumberFormat="1" applyFont="1" applyFill="1" applyBorder="1" applyAlignment="1" applyProtection="1">
      <alignment horizontal="center" vertical="center"/>
    </xf>
    <xf numFmtId="174" fontId="21" fillId="7" borderId="2" xfId="1" applyNumberFormat="1" applyFont="1" applyFill="1" applyBorder="1" applyAlignment="1" applyProtection="1">
      <alignment horizontal="left" vertical="center"/>
    </xf>
    <xf numFmtId="174" fontId="21" fillId="7" borderId="27" xfId="1" applyNumberFormat="1" applyFont="1" applyFill="1" applyBorder="1" applyAlignment="1" applyProtection="1">
      <alignment horizontal="left" vertical="center"/>
    </xf>
    <xf numFmtId="2" fontId="21" fillId="7" borderId="2" xfId="4" applyNumberFormat="1" applyFont="1" applyFill="1" applyBorder="1" applyAlignment="1" applyProtection="1">
      <alignment horizontal="left" vertical="center"/>
    </xf>
    <xf numFmtId="2" fontId="21" fillId="7" borderId="27" xfId="4" applyNumberFormat="1" applyFont="1" applyFill="1" applyBorder="1" applyAlignment="1" applyProtection="1">
      <alignment horizontal="left" vertical="center"/>
    </xf>
    <xf numFmtId="1" fontId="21" fillId="7" borderId="2" xfId="4" applyNumberFormat="1" applyFont="1" applyFill="1" applyBorder="1" applyAlignment="1" applyProtection="1">
      <alignment horizontal="center" vertical="center"/>
    </xf>
    <xf numFmtId="1" fontId="21" fillId="7" borderId="27" xfId="4" applyNumberFormat="1" applyFont="1" applyFill="1" applyBorder="1" applyAlignment="1" applyProtection="1">
      <alignment horizontal="center" vertical="center"/>
    </xf>
    <xf numFmtId="1" fontId="21" fillId="7" borderId="2" xfId="4" applyNumberFormat="1" applyFont="1" applyFill="1" applyBorder="1" applyAlignment="1" applyProtection="1">
      <alignment horizontal="left" vertical="center"/>
    </xf>
    <xf numFmtId="14" fontId="21" fillId="15" borderId="2" xfId="0" applyNumberFormat="1" applyFont="1" applyFill="1" applyBorder="1" applyAlignment="1" applyProtection="1">
      <alignment horizontal="left" vertical="center"/>
    </xf>
    <xf numFmtId="49" fontId="21" fillId="15" borderId="2" xfId="0" applyNumberFormat="1" applyFont="1" applyFill="1" applyBorder="1" applyAlignment="1" applyProtection="1">
      <alignment horizontal="center" vertical="center"/>
    </xf>
    <xf numFmtId="2" fontId="22" fillId="0" borderId="0" xfId="0" applyFont="1" applyBorder="1" applyAlignment="1" applyProtection="1">
      <alignment horizontal="center" vertical="center"/>
    </xf>
    <xf numFmtId="1" fontId="21" fillId="15" borderId="2" xfId="0" applyNumberFormat="1" applyFont="1" applyFill="1" applyBorder="1" applyAlignment="1" applyProtection="1">
      <alignment horizontal="center" vertical="center"/>
    </xf>
    <xf numFmtId="2" fontId="21" fillId="15" borderId="2" xfId="0" applyNumberFormat="1" applyFont="1" applyFill="1" applyBorder="1" applyAlignment="1" applyProtection="1">
      <alignment horizontal="center" vertical="center"/>
    </xf>
    <xf numFmtId="166" fontId="21" fillId="15" borderId="2" xfId="0"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center" vertical="center"/>
    </xf>
    <xf numFmtId="172" fontId="21" fillId="15" borderId="2" xfId="0" applyNumberFormat="1" applyFont="1" applyFill="1" applyBorder="1" applyAlignment="1" applyProtection="1">
      <alignment horizontal="center" vertical="center"/>
    </xf>
    <xf numFmtId="165" fontId="21" fillId="15" borderId="2" xfId="0" applyNumberFormat="1" applyFont="1" applyFill="1" applyBorder="1" applyAlignment="1" applyProtection="1">
      <alignment horizontal="center" vertical="center"/>
    </xf>
    <xf numFmtId="180" fontId="21" fillId="15" borderId="2" xfId="0" applyNumberFormat="1" applyFont="1" applyFill="1" applyBorder="1" applyAlignment="1" applyProtection="1">
      <alignment horizontal="center" vertical="center"/>
    </xf>
    <xf numFmtId="178" fontId="21" fillId="15" borderId="2" xfId="4"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left" vertical="center"/>
    </xf>
    <xf numFmtId="174" fontId="21" fillId="0" borderId="0" xfId="0" applyNumberFormat="1" applyFont="1" applyAlignment="1" applyProtection="1">
      <alignment horizontal="left"/>
    </xf>
    <xf numFmtId="175" fontId="21" fillId="15" borderId="2" xfId="0" applyNumberFormat="1" applyFont="1" applyFill="1" applyBorder="1" applyAlignment="1" applyProtection="1">
      <alignment horizontal="left" vertical="center"/>
    </xf>
    <xf numFmtId="174" fontId="21" fillId="0" borderId="0" xfId="0" applyNumberFormat="1" applyFont="1" applyFill="1" applyBorder="1" applyAlignment="1" applyProtection="1">
      <alignment horizontal="left" vertical="center"/>
    </xf>
    <xf numFmtId="170" fontId="8" fillId="0" borderId="2" xfId="0" applyNumberFormat="1" applyFont="1" applyBorder="1" applyAlignment="1" applyProtection="1">
      <alignment horizontal="left" vertical="center"/>
    </xf>
    <xf numFmtId="10" fontId="21" fillId="7" borderId="2" xfId="0" applyNumberFormat="1" applyFont="1" applyFill="1" applyBorder="1" applyAlignment="1" applyProtection="1">
      <alignment horizontal="center" vertical="center"/>
    </xf>
    <xf numFmtId="2" fontId="21" fillId="0" borderId="17" xfId="0" applyNumberFormat="1" applyFont="1" applyBorder="1" applyAlignment="1" applyProtection="1">
      <alignment horizontal="center" vertical="center"/>
    </xf>
    <xf numFmtId="2" fontId="21" fillId="0" borderId="53" xfId="0" applyNumberFormat="1" applyFont="1" applyBorder="1" applyAlignment="1" applyProtection="1">
      <alignment horizontal="center" vertical="center"/>
    </xf>
    <xf numFmtId="165" fontId="21" fillId="0" borderId="120" xfId="0" applyNumberFormat="1" applyFont="1" applyBorder="1" applyAlignment="1" applyProtection="1">
      <alignment horizontal="right" vertical="center"/>
    </xf>
    <xf numFmtId="0" fontId="21" fillId="0" borderId="108" xfId="0" applyNumberFormat="1" applyFont="1" applyBorder="1" applyAlignment="1" applyProtection="1">
      <alignment horizontal="right" vertical="center"/>
    </xf>
    <xf numFmtId="165" fontId="21" fillId="13" borderId="120" xfId="0" applyNumberFormat="1" applyFont="1" applyFill="1" applyBorder="1" applyAlignment="1" applyProtection="1">
      <alignment horizontal="right" vertical="center"/>
    </xf>
    <xf numFmtId="0" fontId="21" fillId="13" borderId="108" xfId="0" applyNumberFormat="1" applyFont="1" applyFill="1" applyBorder="1" applyAlignment="1" applyProtection="1">
      <alignment horizontal="right" vertical="center"/>
    </xf>
    <xf numFmtId="2" fontId="21" fillId="13" borderId="120" xfId="0" applyNumberFormat="1" applyFont="1" applyFill="1" applyBorder="1" applyAlignment="1" applyProtection="1">
      <alignment horizontal="right" vertical="center"/>
    </xf>
    <xf numFmtId="2" fontId="21" fillId="0" borderId="120" xfId="0" applyNumberFormat="1" applyFont="1" applyBorder="1" applyAlignment="1" applyProtection="1">
      <alignment horizontal="right" vertical="center"/>
    </xf>
    <xf numFmtId="2" fontId="21" fillId="7" borderId="120" xfId="0" applyNumberFormat="1" applyFont="1" applyFill="1" applyBorder="1" applyAlignment="1" applyProtection="1">
      <alignment horizontal="right" vertical="center"/>
    </xf>
    <xf numFmtId="0" fontId="21" fillId="7" borderId="108" xfId="0" applyNumberFormat="1" applyFont="1" applyFill="1" applyBorder="1" applyAlignment="1" applyProtection="1">
      <alignment horizontal="right" vertical="center"/>
    </xf>
    <xf numFmtId="2" fontId="21" fillId="0" borderId="60" xfId="0" applyNumberFormat="1" applyFont="1" applyBorder="1" applyAlignment="1" applyProtection="1">
      <alignment horizontal="right" vertical="center"/>
    </xf>
    <xf numFmtId="165" fontId="21" fillId="0" borderId="69" xfId="0" applyNumberFormat="1" applyFont="1" applyBorder="1" applyAlignment="1" applyProtection="1">
      <alignment horizontal="right" vertical="center"/>
    </xf>
    <xf numFmtId="0" fontId="21" fillId="0" borderId="63" xfId="0" applyNumberFormat="1" applyFont="1" applyBorder="1" applyAlignment="1" applyProtection="1">
      <alignment horizontal="right" vertical="center"/>
    </xf>
    <xf numFmtId="2" fontId="21" fillId="0" borderId="0" xfId="0" applyFont="1" applyAlignment="1">
      <alignment vertical="center"/>
    </xf>
    <xf numFmtId="2" fontId="21" fillId="0" borderId="3" xfId="0" applyNumberFormat="1" applyFont="1" applyBorder="1" applyAlignment="1" applyProtection="1">
      <alignment horizontal="center" vertical="center"/>
    </xf>
    <xf numFmtId="2" fontId="21" fillId="0" borderId="69" xfId="0" applyNumberFormat="1" applyFont="1" applyBorder="1" applyAlignment="1" applyProtection="1">
      <alignment horizontal="right" vertical="center"/>
    </xf>
    <xf numFmtId="2" fontId="28" fillId="0" borderId="50" xfId="0" applyFont="1" applyFill="1" applyBorder="1" applyAlignment="1" applyProtection="1">
      <alignment horizontal="center" vertical="center"/>
    </xf>
    <xf numFmtId="2" fontId="28" fillId="13" borderId="50" xfId="0" applyFont="1" applyFill="1" applyBorder="1" applyAlignment="1" applyProtection="1">
      <alignment horizontal="center" vertical="center"/>
    </xf>
    <xf numFmtId="2" fontId="28" fillId="7" borderId="50" xfId="0" applyFont="1" applyFill="1" applyBorder="1" applyAlignment="1" applyProtection="1">
      <alignment horizontal="center" vertical="center"/>
    </xf>
    <xf numFmtId="2" fontId="21" fillId="0" borderId="116" xfId="0" applyNumberFormat="1" applyFont="1" applyBorder="1" applyAlignment="1" applyProtection="1">
      <alignment horizontal="right" vertical="center"/>
    </xf>
    <xf numFmtId="2" fontId="21" fillId="13" borderId="116" xfId="0" applyNumberFormat="1" applyFont="1" applyFill="1" applyBorder="1" applyAlignment="1" applyProtection="1">
      <alignment horizontal="right" vertical="center"/>
    </xf>
    <xf numFmtId="2" fontId="21" fillId="7" borderId="116" xfId="0" applyNumberFormat="1" applyFont="1" applyFill="1" applyBorder="1" applyAlignment="1" applyProtection="1">
      <alignment horizontal="right" vertical="center"/>
    </xf>
    <xf numFmtId="2" fontId="21" fillId="0" borderId="102" xfId="0" applyNumberFormat="1" applyFont="1" applyBorder="1" applyAlignment="1" applyProtection="1">
      <alignment horizontal="right" vertical="center"/>
    </xf>
    <xf numFmtId="174" fontId="8" fillId="6" borderId="13" xfId="0" applyNumberFormat="1" applyFont="1" applyFill="1" applyBorder="1" applyAlignment="1" applyProtection="1">
      <alignment horizontal="left" vertical="center"/>
      <protection locked="0"/>
    </xf>
    <xf numFmtId="0" fontId="8" fillId="6" borderId="13" xfId="0" applyNumberFormat="1" applyFont="1" applyFill="1" applyBorder="1" applyAlignment="1" applyProtection="1">
      <alignment horizontal="left" vertical="center"/>
      <protection locked="0"/>
    </xf>
    <xf numFmtId="181" fontId="21" fillId="15" borderId="2" xfId="0" applyNumberFormat="1" applyFont="1" applyFill="1" applyBorder="1" applyAlignment="1" applyProtection="1">
      <alignment horizontal="left" vertical="center"/>
    </xf>
    <xf numFmtId="181" fontId="8" fillId="6" borderId="13" xfId="0" quotePrefix="1" applyNumberFormat="1" applyFont="1" applyFill="1" applyBorder="1" applyAlignment="1" applyProtection="1">
      <alignment horizontal="left" vertical="center"/>
      <protection locked="0"/>
    </xf>
    <xf numFmtId="181" fontId="8" fillId="7" borderId="2" xfId="0" applyNumberFormat="1" applyFont="1" applyFill="1" applyBorder="1" applyAlignment="1" applyProtection="1">
      <alignment horizontal="left" vertical="center"/>
    </xf>
    <xf numFmtId="181" fontId="8" fillId="6" borderId="1" xfId="0" quotePrefix="1" applyNumberFormat="1" applyFont="1" applyFill="1" applyBorder="1" applyAlignment="1" applyProtection="1">
      <alignment horizontal="left" vertical="center"/>
      <protection locked="0"/>
    </xf>
    <xf numFmtId="0" fontId="21" fillId="16" borderId="2" xfId="0" applyNumberFormat="1" applyFont="1" applyFill="1" applyBorder="1">
      <alignment horizontal="center" vertical="center"/>
    </xf>
    <xf numFmtId="169" fontId="8" fillId="0" borderId="2" xfId="0" applyNumberFormat="1" applyFont="1" applyBorder="1" applyAlignment="1" applyProtection="1">
      <alignment horizontal="left" vertical="center"/>
    </xf>
    <xf numFmtId="174" fontId="8" fillId="5" borderId="1" xfId="1" applyNumberFormat="1" applyFont="1" applyFill="1" applyBorder="1" applyProtection="1">
      <alignment horizontal="left" vertical="center"/>
      <protection locked="0"/>
    </xf>
    <xf numFmtId="174" fontId="57" fillId="0" borderId="2" xfId="0" applyNumberFormat="1" applyFont="1" applyBorder="1" applyAlignment="1" applyProtection="1">
      <alignment horizontal="center" vertical="center"/>
    </xf>
    <xf numFmtId="2" fontId="8" fillId="0" borderId="17" xfId="0" applyNumberFormat="1" applyFont="1" applyBorder="1" applyAlignment="1" applyProtection="1">
      <alignment horizontal="center" vertical="center"/>
    </xf>
    <xf numFmtId="2" fontId="8" fillId="0" borderId="0" xfId="0" applyNumberFormat="1" applyFont="1" applyBorder="1" applyAlignment="1" applyProtection="1">
      <alignment horizontal="center" vertical="center"/>
    </xf>
    <xf numFmtId="2" fontId="12" fillId="0" borderId="89" xfId="0" applyFont="1" applyBorder="1" applyAlignment="1">
      <alignment horizontal="left" vertical="center"/>
    </xf>
    <xf numFmtId="2" fontId="8" fillId="0" borderId="0" xfId="0" applyFont="1" applyBorder="1" applyAlignment="1">
      <alignment horizontal="center" vertical="center"/>
    </xf>
    <xf numFmtId="2" fontId="8" fillId="0" borderId="53" xfId="0" applyNumberFormat="1" applyFont="1" applyBorder="1" applyAlignment="1" applyProtection="1">
      <alignment horizontal="center" vertical="center"/>
    </xf>
    <xf numFmtId="1" fontId="21" fillId="0" borderId="121" xfId="0" applyNumberFormat="1" applyFont="1" applyFill="1" applyBorder="1" applyAlignment="1" applyProtection="1">
      <alignment horizontal="center" vertical="center"/>
    </xf>
    <xf numFmtId="165" fontId="21" fillId="0" borderId="121" xfId="0" applyNumberFormat="1" applyFont="1" applyFill="1" applyBorder="1" applyAlignment="1" applyProtection="1">
      <alignment horizontal="center" vertical="center"/>
    </xf>
    <xf numFmtId="2" fontId="21" fillId="0" borderId="121" xfId="0" applyFont="1" applyFill="1" applyBorder="1" applyAlignment="1" applyProtection="1">
      <alignment horizontal="center" vertical="center"/>
    </xf>
    <xf numFmtId="2" fontId="28" fillId="0" borderId="122" xfId="0" applyFont="1" applyFill="1" applyBorder="1" applyAlignment="1" applyProtection="1">
      <alignment horizontal="center" vertical="center"/>
    </xf>
    <xf numFmtId="2" fontId="21" fillId="0" borderId="123" xfId="0" applyNumberFormat="1" applyFont="1" applyBorder="1" applyAlignment="1" applyProtection="1">
      <alignment horizontal="right" vertical="center"/>
    </xf>
    <xf numFmtId="2" fontId="21" fillId="0" borderId="121" xfId="0" applyNumberFormat="1" applyFont="1" applyBorder="1" applyAlignment="1" applyProtection="1">
      <alignment horizontal="right" vertical="center"/>
    </xf>
    <xf numFmtId="165" fontId="21" fillId="0" borderId="121" xfId="0" applyNumberFormat="1" applyFont="1" applyBorder="1" applyAlignment="1" applyProtection="1">
      <alignment horizontal="right" vertical="center"/>
    </xf>
    <xf numFmtId="0" fontId="21" fillId="0" borderId="124" xfId="0" applyNumberFormat="1" applyFont="1" applyBorder="1" applyAlignment="1" applyProtection="1">
      <alignment horizontal="right" vertical="center"/>
    </xf>
    <xf numFmtId="2" fontId="21" fillId="0" borderId="125" xfId="0" applyNumberFormat="1" applyFont="1" applyBorder="1" applyAlignment="1" applyProtection="1">
      <alignment horizontal="right" vertical="center"/>
    </xf>
    <xf numFmtId="0" fontId="8" fillId="0" borderId="17" xfId="3" applyFont="1" applyBorder="1" applyAlignment="1">
      <alignment horizontal="center" vertical="center"/>
    </xf>
    <xf numFmtId="0" fontId="8" fillId="0" borderId="0" xfId="3" applyFont="1" applyBorder="1" applyAlignment="1">
      <alignment horizontal="center" vertical="center"/>
    </xf>
    <xf numFmtId="0" fontId="8" fillId="0" borderId="53" xfId="3" applyFont="1" applyBorder="1" applyAlignment="1">
      <alignment horizontal="center" vertical="center"/>
    </xf>
    <xf numFmtId="2" fontId="28" fillId="0" borderId="121" xfId="0" applyFont="1" applyFill="1" applyBorder="1" applyAlignment="1" applyProtection="1">
      <alignment horizontal="center" vertical="center"/>
    </xf>
    <xf numFmtId="2" fontId="28" fillId="0" borderId="121" xfId="0" applyNumberFormat="1" applyFont="1" applyFill="1" applyBorder="1" applyAlignment="1" applyProtection="1">
      <alignment horizontal="center" vertical="center"/>
    </xf>
    <xf numFmtId="2" fontId="21" fillId="0" borderId="121" xfId="0" applyFont="1" applyBorder="1" applyAlignment="1" applyProtection="1">
      <alignment horizontal="center" vertical="center"/>
    </xf>
    <xf numFmtId="1" fontId="21" fillId="0" borderId="121" xfId="0" applyNumberFormat="1" applyFont="1" applyBorder="1" applyAlignment="1" applyProtection="1">
      <alignment horizontal="center" vertical="center"/>
    </xf>
    <xf numFmtId="2" fontId="18" fillId="0" borderId="121" xfId="0" applyFont="1" applyBorder="1" applyAlignment="1" applyProtection="1">
      <alignment horizontal="center" vertical="center"/>
    </xf>
    <xf numFmtId="2" fontId="3" fillId="0" borderId="12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49" fillId="0" borderId="121" xfId="0" applyFont="1" applyBorder="1" applyAlignment="1" applyProtection="1">
      <alignment horizontal="left" vertical="center"/>
    </xf>
    <xf numFmtId="164" fontId="21" fillId="0" borderId="121" xfId="0" applyNumberFormat="1" applyFont="1" applyBorder="1" applyAlignment="1" applyProtection="1">
      <alignment horizontal="center" vertical="center"/>
    </xf>
    <xf numFmtId="164" fontId="21" fillId="0" borderId="1" xfId="0" applyNumberFormat="1" applyFont="1" applyBorder="1" applyAlignment="1" applyProtection="1">
      <alignment horizontal="center" vertical="center"/>
    </xf>
    <xf numFmtId="164" fontId="21" fillId="13" borderId="1" xfId="0" applyNumberFormat="1" applyFont="1" applyFill="1" applyBorder="1" applyAlignment="1" applyProtection="1">
      <alignment horizontal="center" vertical="center"/>
    </xf>
    <xf numFmtId="164" fontId="21" fillId="7" borderId="1" xfId="0" applyNumberFormat="1" applyFont="1" applyFill="1" applyBorder="1" applyAlignment="1" applyProtection="1">
      <alignment horizontal="center" vertical="center"/>
    </xf>
    <xf numFmtId="2" fontId="28" fillId="0" borderId="1" xfId="0" applyFont="1" applyBorder="1" applyAlignment="1" applyProtection="1">
      <alignment horizontal="center" vertical="center"/>
    </xf>
    <xf numFmtId="173" fontId="8" fillId="0" borderId="1" xfId="0" applyNumberFormat="1" applyFont="1" applyBorder="1" applyAlignment="1">
      <alignment horizontal="center" vertical="center"/>
    </xf>
    <xf numFmtId="173" fontId="8" fillId="0" borderId="69" xfId="0" applyNumberFormat="1" applyFont="1" applyBorder="1" applyAlignment="1">
      <alignment horizontal="center" vertical="center"/>
    </xf>
    <xf numFmtId="173" fontId="8" fillId="0" borderId="48" xfId="0" applyNumberFormat="1" applyFont="1" applyBorder="1" applyAlignment="1">
      <alignment horizontal="center" vertical="center"/>
    </xf>
    <xf numFmtId="173" fontId="8" fillId="0" borderId="13" xfId="0" applyNumberFormat="1" applyFont="1" applyBorder="1" applyAlignment="1">
      <alignment horizontal="center" vertical="center"/>
    </xf>
    <xf numFmtId="173" fontId="8" fillId="0" borderId="13" xfId="0" applyNumberFormat="1" applyFont="1" applyBorder="1" applyAlignment="1" applyProtection="1">
      <alignment horizontal="center" vertical="center"/>
    </xf>
    <xf numFmtId="2" fontId="8" fillId="0" borderId="13" xfId="0" applyNumberFormat="1" applyFont="1" applyFill="1" applyBorder="1" applyAlignment="1" applyProtection="1">
      <alignment horizontal="center" vertical="center"/>
    </xf>
    <xf numFmtId="2" fontId="8" fillId="0" borderId="16" xfId="0" applyNumberFormat="1" applyFont="1" applyFill="1" applyBorder="1" applyAlignment="1" applyProtection="1">
      <alignment horizontal="center" vertical="center"/>
    </xf>
    <xf numFmtId="2" fontId="22" fillId="0" borderId="62" xfId="0" applyFont="1" applyBorder="1" applyAlignment="1">
      <alignment horizontal="center" vertical="center"/>
    </xf>
    <xf numFmtId="2" fontId="22" fillId="0" borderId="61" xfId="0" applyFont="1" applyBorder="1" applyAlignment="1">
      <alignment horizontal="center" vertical="center"/>
    </xf>
    <xf numFmtId="2" fontId="22" fillId="0" borderId="64" xfId="0" applyFont="1" applyBorder="1" applyAlignment="1">
      <alignment horizontal="center" vertical="center"/>
    </xf>
    <xf numFmtId="173" fontId="22" fillId="7" borderId="13" xfId="0" applyNumberFormat="1" applyFont="1" applyFill="1" applyBorder="1" applyAlignment="1" applyProtection="1">
      <alignment horizontal="center" vertical="center"/>
    </xf>
    <xf numFmtId="173" fontId="8" fillId="13" borderId="106" xfId="0" applyNumberFormat="1" applyFont="1" applyFill="1" applyBorder="1" applyAlignment="1" applyProtection="1">
      <alignment horizontal="center" vertical="center"/>
    </xf>
    <xf numFmtId="173" fontId="8" fillId="13" borderId="108" xfId="0" applyNumberFormat="1" applyFont="1" applyFill="1" applyBorder="1" applyAlignment="1" applyProtection="1">
      <alignment horizontal="center" vertical="center"/>
    </xf>
    <xf numFmtId="173" fontId="22" fillId="7" borderId="69" xfId="0" applyNumberFormat="1" applyFont="1" applyFill="1" applyBorder="1" applyAlignment="1" applyProtection="1">
      <alignment horizontal="center" vertical="center"/>
    </xf>
    <xf numFmtId="173" fontId="8" fillId="13" borderId="63" xfId="0" applyNumberFormat="1" applyFont="1" applyFill="1" applyBorder="1" applyAlignment="1" applyProtection="1">
      <alignment horizontal="center" vertical="center"/>
    </xf>
    <xf numFmtId="173" fontId="8" fillId="13" borderId="10" xfId="0" applyNumberFormat="1" applyFont="1" applyFill="1" applyBorder="1" applyAlignment="1" applyProtection="1">
      <alignment horizontal="center" vertical="center"/>
    </xf>
    <xf numFmtId="173" fontId="8" fillId="13" borderId="107" xfId="0" applyNumberFormat="1" applyFont="1" applyFill="1" applyBorder="1" applyAlignment="1">
      <alignment horizontal="center" vertical="center"/>
    </xf>
    <xf numFmtId="173" fontId="8" fillId="13" borderId="79" xfId="0" applyNumberFormat="1" applyFont="1" applyFill="1" applyBorder="1" applyAlignment="1">
      <alignment horizontal="center" vertical="center"/>
    </xf>
    <xf numFmtId="173" fontId="8" fillId="13" borderId="17" xfId="0" applyNumberFormat="1" applyFont="1" applyFill="1" applyBorder="1" applyAlignment="1">
      <alignment horizontal="center" vertical="center"/>
    </xf>
    <xf numFmtId="173" fontId="21" fillId="15" borderId="2" xfId="0" applyNumberFormat="1" applyFont="1" applyFill="1" applyBorder="1" applyAlignment="1" applyProtection="1">
      <alignment horizontal="center" vertical="center"/>
    </xf>
    <xf numFmtId="165" fontId="8" fillId="0" borderId="121" xfId="0" applyNumberFormat="1" applyFont="1" applyBorder="1" applyAlignment="1" applyProtection="1">
      <alignment horizontal="right" vertical="center"/>
    </xf>
    <xf numFmtId="165" fontId="8" fillId="0" borderId="124" xfId="0" applyNumberFormat="1" applyFont="1" applyBorder="1" applyAlignment="1" applyProtection="1">
      <alignment horizontal="right" vertical="center"/>
    </xf>
    <xf numFmtId="165" fontId="8" fillId="13" borderId="1" xfId="0" applyNumberFormat="1" applyFont="1" applyFill="1" applyBorder="1" applyAlignment="1" applyProtection="1">
      <alignment horizontal="right" vertical="center"/>
    </xf>
    <xf numFmtId="165" fontId="8" fillId="13" borderId="108" xfId="0" applyNumberFormat="1" applyFont="1" applyFill="1" applyBorder="1" applyAlignment="1" applyProtection="1">
      <alignment horizontal="right" vertical="center"/>
    </xf>
    <xf numFmtId="165" fontId="8" fillId="0" borderId="1" xfId="0" applyNumberFormat="1" applyFont="1" applyBorder="1" applyAlignment="1" applyProtection="1">
      <alignment horizontal="right" vertical="center"/>
    </xf>
    <xf numFmtId="165" fontId="8" fillId="0" borderId="108" xfId="0" applyNumberFormat="1" applyFont="1" applyBorder="1" applyAlignment="1" applyProtection="1">
      <alignment horizontal="right" vertical="center"/>
    </xf>
    <xf numFmtId="165" fontId="8" fillId="7" borderId="1" xfId="0" applyNumberFormat="1" applyFont="1" applyFill="1" applyBorder="1" applyAlignment="1" applyProtection="1">
      <alignment horizontal="right" vertical="center"/>
    </xf>
    <xf numFmtId="165" fontId="8" fillId="7" borderId="108" xfId="0" applyNumberFormat="1" applyFont="1" applyFill="1" applyBorder="1" applyAlignment="1" applyProtection="1">
      <alignment horizontal="right" vertical="center"/>
    </xf>
    <xf numFmtId="165" fontId="8" fillId="0" borderId="69" xfId="0" applyNumberFormat="1" applyFont="1" applyBorder="1" applyAlignment="1" applyProtection="1">
      <alignment horizontal="right" vertical="center"/>
    </xf>
    <xf numFmtId="165" fontId="8" fillId="0" borderId="63" xfId="0" applyNumberFormat="1" applyFont="1" applyBorder="1" applyAlignment="1" applyProtection="1">
      <alignment horizontal="right" vertical="center"/>
    </xf>
    <xf numFmtId="164" fontId="8" fillId="0" borderId="125" xfId="0" applyNumberFormat="1" applyFont="1" applyBorder="1" applyAlignment="1" applyProtection="1">
      <alignment horizontal="right" vertical="center"/>
    </xf>
    <xf numFmtId="164" fontId="8" fillId="0" borderId="121" xfId="0" applyNumberFormat="1" applyFont="1" applyBorder="1" applyAlignment="1" applyProtection="1">
      <alignment horizontal="right" vertical="center"/>
    </xf>
    <xf numFmtId="164" fontId="8" fillId="13" borderId="120" xfId="0" applyNumberFormat="1" applyFont="1" applyFill="1" applyBorder="1" applyAlignment="1" applyProtection="1">
      <alignment horizontal="right" vertical="center"/>
    </xf>
    <xf numFmtId="164" fontId="8" fillId="13" borderId="1" xfId="0" applyNumberFormat="1" applyFont="1" applyFill="1" applyBorder="1" applyAlignment="1" applyProtection="1">
      <alignment horizontal="right" vertical="center"/>
    </xf>
    <xf numFmtId="164" fontId="8" fillId="0" borderId="120" xfId="0" applyNumberFormat="1" applyFont="1" applyBorder="1" applyAlignment="1" applyProtection="1">
      <alignment horizontal="right" vertical="center"/>
    </xf>
    <xf numFmtId="164" fontId="8" fillId="0" borderId="1" xfId="0" applyNumberFormat="1" applyFont="1" applyBorder="1" applyAlignment="1" applyProtection="1">
      <alignment horizontal="right" vertical="center"/>
    </xf>
    <xf numFmtId="164" fontId="8" fillId="7" borderId="120" xfId="0" applyNumberFormat="1" applyFont="1" applyFill="1" applyBorder="1" applyAlignment="1" applyProtection="1">
      <alignment horizontal="right" vertical="center"/>
    </xf>
    <xf numFmtId="164" fontId="8" fillId="7" borderId="1" xfId="0" applyNumberFormat="1" applyFont="1" applyFill="1" applyBorder="1" applyAlignment="1" applyProtection="1">
      <alignment horizontal="right" vertical="center"/>
    </xf>
    <xf numFmtId="164" fontId="8" fillId="0" borderId="60" xfId="0" applyNumberFormat="1" applyFont="1" applyBorder="1" applyAlignment="1" applyProtection="1">
      <alignment horizontal="right" vertical="center"/>
    </xf>
    <xf numFmtId="164" fontId="8" fillId="0" borderId="69" xfId="0" applyNumberFormat="1" applyFont="1" applyBorder="1" applyAlignment="1" applyProtection="1">
      <alignment horizontal="right" vertical="center"/>
    </xf>
    <xf numFmtId="164" fontId="21" fillId="0" borderId="121" xfId="0" applyNumberFormat="1" applyFont="1" applyBorder="1" applyAlignment="1" applyProtection="1">
      <alignment horizontal="right" vertical="center"/>
    </xf>
    <xf numFmtId="164" fontId="21" fillId="0" borderId="1" xfId="0" applyNumberFormat="1" applyFont="1" applyBorder="1" applyAlignment="1" applyProtection="1">
      <alignment horizontal="right" vertical="center"/>
    </xf>
    <xf numFmtId="164" fontId="21" fillId="13" borderId="1" xfId="0" applyNumberFormat="1" applyFont="1" applyFill="1" applyBorder="1" applyAlignment="1" applyProtection="1">
      <alignment horizontal="right" vertical="center"/>
    </xf>
    <xf numFmtId="164" fontId="21" fillId="7" borderId="1" xfId="0" applyNumberFormat="1" applyFont="1" applyFill="1" applyBorder="1" applyAlignment="1" applyProtection="1">
      <alignment horizontal="right" vertical="center"/>
    </xf>
    <xf numFmtId="1" fontId="11" fillId="0" borderId="0" xfId="0" applyNumberFormat="1" applyFont="1" applyBorder="1" applyAlignment="1">
      <alignment horizontal="center" vertical="center"/>
    </xf>
    <xf numFmtId="2" fontId="11" fillId="0" borderId="0" xfId="2" applyFont="1" applyFill="1" applyBorder="1" applyAlignment="1" applyProtection="1">
      <alignment horizontal="center" vertical="center"/>
    </xf>
    <xf numFmtId="1" fontId="8" fillId="8" borderId="48" xfId="1" applyFont="1" applyFill="1" applyBorder="1">
      <alignment horizontal="left" vertical="center"/>
      <protection locked="0"/>
    </xf>
    <xf numFmtId="49" fontId="8" fillId="15" borderId="2" xfId="0" applyNumberFormat="1" applyFont="1" applyFill="1" applyBorder="1" applyAlignment="1" applyProtection="1">
      <alignment horizontal="center" vertical="center"/>
    </xf>
    <xf numFmtId="2" fontId="0" fillId="0" borderId="1" xfId="0" applyBorder="1">
      <alignment horizontal="center" vertical="center"/>
    </xf>
    <xf numFmtId="2" fontId="0" fillId="0" borderId="101" xfId="0" applyBorder="1">
      <alignment horizontal="center" vertical="center"/>
    </xf>
    <xf numFmtId="2" fontId="8" fillId="0" borderId="0" xfId="0" applyFont="1" applyAlignment="1" applyProtection="1">
      <alignment horizontal="left" vertical="center"/>
    </xf>
    <xf numFmtId="173" fontId="21" fillId="0" borderId="1" xfId="0" applyNumberFormat="1" applyFont="1" applyFill="1" applyBorder="1" applyAlignment="1" applyProtection="1">
      <alignment horizontal="center" vertical="center"/>
    </xf>
    <xf numFmtId="164" fontId="21" fillId="0" borderId="1" xfId="0" applyNumberFormat="1" applyFont="1" applyFill="1" applyBorder="1" applyAlignment="1" applyProtection="1">
      <alignment horizontal="center" vertical="center"/>
    </xf>
    <xf numFmtId="2" fontId="18" fillId="0" borderId="1" xfId="0" applyFont="1" applyFill="1" applyBorder="1" applyAlignment="1" applyProtection="1">
      <alignment horizontal="center" vertical="center"/>
    </xf>
    <xf numFmtId="164" fontId="21" fillId="0" borderId="1" xfId="0" applyNumberFormat="1" applyFont="1" applyFill="1" applyBorder="1" applyAlignment="1" applyProtection="1">
      <alignment horizontal="right" vertical="center"/>
    </xf>
    <xf numFmtId="2" fontId="21" fillId="0" borderId="116" xfId="0" applyNumberFormat="1" applyFont="1" applyFill="1" applyBorder="1" applyAlignment="1" applyProtection="1">
      <alignment horizontal="right" vertical="center"/>
    </xf>
    <xf numFmtId="165" fontId="21" fillId="0" borderId="1" xfId="0" applyNumberFormat="1" applyFont="1" applyFill="1" applyBorder="1" applyAlignment="1" applyProtection="1">
      <alignment horizontal="right" vertical="center"/>
    </xf>
    <xf numFmtId="0" fontId="21" fillId="0" borderId="108" xfId="0" applyNumberFormat="1" applyFont="1" applyFill="1" applyBorder="1" applyAlignment="1" applyProtection="1">
      <alignment horizontal="right" vertical="center"/>
    </xf>
    <xf numFmtId="165" fontId="21" fillId="0" borderId="120" xfId="0" applyNumberFormat="1" applyFont="1" applyFill="1" applyBorder="1" applyAlignment="1" applyProtection="1">
      <alignment horizontal="right" vertical="center"/>
    </xf>
    <xf numFmtId="164" fontId="8" fillId="0" borderId="120" xfId="0" applyNumberFormat="1" applyFont="1" applyFill="1" applyBorder="1" applyAlignment="1" applyProtection="1">
      <alignment horizontal="right" vertical="center"/>
    </xf>
    <xf numFmtId="164" fontId="8" fillId="0" borderId="1" xfId="0" applyNumberFormat="1" applyFont="1" applyFill="1" applyBorder="1" applyAlignment="1" applyProtection="1">
      <alignment horizontal="right" vertical="center"/>
    </xf>
    <xf numFmtId="165" fontId="8" fillId="0" borderId="1" xfId="0" applyNumberFormat="1" applyFont="1" applyFill="1" applyBorder="1" applyAlignment="1" applyProtection="1">
      <alignment horizontal="right" vertical="center"/>
    </xf>
    <xf numFmtId="165" fontId="8" fillId="0" borderId="108" xfId="0" applyNumberFormat="1" applyFont="1" applyFill="1" applyBorder="1" applyAlignment="1" applyProtection="1">
      <alignment horizontal="right" vertical="center"/>
    </xf>
    <xf numFmtId="2" fontId="21" fillId="0" borderId="1" xfId="0" applyNumberFormat="1" applyFont="1" applyFill="1" applyBorder="1" applyAlignment="1" applyProtection="1">
      <alignment horizontal="right" vertical="center"/>
    </xf>
    <xf numFmtId="2" fontId="21" fillId="0" borderId="120" xfId="0" applyNumberFormat="1" applyFont="1" applyFill="1" applyBorder="1" applyAlignment="1" applyProtection="1">
      <alignment horizontal="right" vertical="center"/>
    </xf>
    <xf numFmtId="183" fontId="8" fillId="8" borderId="1" xfId="0" applyNumberFormat="1" applyFont="1" applyFill="1" applyBorder="1" applyAlignment="1" applyProtection="1">
      <alignment horizontal="left" vertical="center"/>
      <protection locked="0"/>
    </xf>
    <xf numFmtId="183" fontId="21" fillId="7" borderId="2" xfId="0" applyNumberFormat="1" applyFont="1" applyFill="1" applyBorder="1" applyAlignment="1">
      <alignment horizontal="left" vertical="center"/>
    </xf>
    <xf numFmtId="183" fontId="9" fillId="0" borderId="2" xfId="0" applyNumberFormat="1" applyFont="1" applyBorder="1" applyAlignment="1" applyProtection="1">
      <alignment horizontal="left" vertical="center"/>
    </xf>
    <xf numFmtId="183" fontId="8" fillId="0" borderId="2" xfId="0" applyNumberFormat="1" applyFont="1" applyBorder="1" applyAlignment="1" applyProtection="1">
      <alignment horizontal="center" vertical="center"/>
    </xf>
    <xf numFmtId="183" fontId="3" fillId="5" borderId="2" xfId="0" applyNumberFormat="1" applyFont="1" applyFill="1" applyBorder="1" applyAlignment="1" applyProtection="1">
      <alignment horizontal="left" vertical="center"/>
      <protection locked="0"/>
    </xf>
    <xf numFmtId="2" fontId="8" fillId="0" borderId="70" xfId="0" applyFont="1" applyBorder="1" applyAlignment="1">
      <alignment horizontal="center" vertical="center"/>
    </xf>
    <xf numFmtId="2" fontId="8" fillId="0" borderId="73" xfId="0" applyFont="1" applyBorder="1" applyAlignment="1">
      <alignment horizontal="center" vertical="center"/>
    </xf>
    <xf numFmtId="183" fontId="21" fillId="7" borderId="2" xfId="0" applyNumberFormat="1" applyFont="1" applyFill="1" applyBorder="1" applyAlignment="1" applyProtection="1">
      <alignment horizontal="left" vertical="center"/>
    </xf>
    <xf numFmtId="183" fontId="21" fillId="15" borderId="2" xfId="0" applyNumberFormat="1" applyFont="1" applyFill="1" applyBorder="1" applyAlignment="1" applyProtection="1">
      <alignment horizontal="left" vertical="center"/>
    </xf>
    <xf numFmtId="2" fontId="8" fillId="0" borderId="0" xfId="0" applyFont="1" applyBorder="1" applyAlignment="1">
      <alignment horizontal="center" vertical="center"/>
    </xf>
    <xf numFmtId="2" fontId="58" fillId="0" borderId="0" xfId="0" applyFont="1" applyAlignment="1">
      <alignment horizontal="right" vertical="center"/>
    </xf>
    <xf numFmtId="182" fontId="21" fillId="8" borderId="2" xfId="1" applyNumberFormat="1" applyFont="1" applyFill="1" applyBorder="1" applyAlignment="1">
      <alignment horizontal="center" vertical="center"/>
      <protection locked="0"/>
    </xf>
    <xf numFmtId="182" fontId="21" fillId="8" borderId="27" xfId="1" applyNumberFormat="1" applyFont="1" applyFill="1" applyBorder="1" applyAlignment="1">
      <alignment horizontal="center" vertical="center"/>
      <protection locked="0"/>
    </xf>
    <xf numFmtId="182" fontId="8" fillId="0" borderId="2" xfId="0" applyNumberFormat="1" applyFont="1" applyBorder="1" applyAlignment="1">
      <alignment horizontal="center" vertical="center" shrinkToFit="1"/>
    </xf>
    <xf numFmtId="182" fontId="8" fillId="0" borderId="19" xfId="0" applyNumberFormat="1" applyFont="1" applyBorder="1" applyAlignment="1">
      <alignment horizontal="center" vertical="center" shrinkToFit="1"/>
    </xf>
    <xf numFmtId="174" fontId="8" fillId="8" borderId="1" xfId="1" applyNumberFormat="1" applyFont="1" applyFill="1" applyBorder="1" applyAlignment="1">
      <alignment horizontal="center" vertical="center"/>
      <protection locked="0"/>
    </xf>
    <xf numFmtId="2" fontId="3" fillId="0" borderId="105" xfId="0" applyFont="1" applyBorder="1" applyAlignment="1">
      <alignment horizontal="center" vertical="center"/>
    </xf>
    <xf numFmtId="2" fontId="8" fillId="0" borderId="0" xfId="0" applyFont="1" applyAlignment="1" applyProtection="1">
      <alignment horizontal="right" vertical="center"/>
    </xf>
    <xf numFmtId="1" fontId="8" fillId="5" borderId="98" xfId="0" applyNumberFormat="1" applyFont="1" applyFill="1" applyBorder="1" applyAlignment="1" applyProtection="1">
      <alignment horizontal="center" vertical="center"/>
      <protection locked="0"/>
    </xf>
    <xf numFmtId="2" fontId="8" fillId="0" borderId="36" xfId="0" applyFont="1" applyBorder="1" applyAlignment="1">
      <alignment vertical="center"/>
    </xf>
    <xf numFmtId="2" fontId="8" fillId="0" borderId="0" xfId="0" applyFont="1" applyBorder="1" applyAlignment="1">
      <alignment horizontal="center" vertical="center"/>
    </xf>
    <xf numFmtId="2" fontId="8" fillId="5" borderId="79" xfId="0" applyFont="1" applyFill="1" applyBorder="1" applyAlignment="1" applyProtection="1">
      <alignment horizontal="center" vertical="center"/>
      <protection locked="0"/>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8" fillId="0" borderId="5" xfId="0" applyFont="1" applyBorder="1" applyAlignment="1">
      <alignment horizontal="center" vertical="center"/>
    </xf>
    <xf numFmtId="2" fontId="8" fillId="0" borderId="51" xfId="0" applyFont="1" applyBorder="1" applyAlignment="1">
      <alignment horizontal="center" vertical="center"/>
    </xf>
    <xf numFmtId="2" fontId="16" fillId="0" borderId="28" xfId="0" applyFont="1" applyBorder="1" applyAlignment="1">
      <alignment horizontal="left" vertical="center"/>
    </xf>
    <xf numFmtId="0" fontId="8" fillId="15" borderId="2" xfId="0" applyNumberFormat="1" applyFont="1" applyFill="1" applyBorder="1" applyAlignment="1" applyProtection="1">
      <alignment horizontal="left" vertical="center"/>
    </xf>
    <xf numFmtId="17" fontId="8" fillId="7" borderId="2" xfId="0" applyNumberFormat="1" applyFont="1" applyFill="1" applyBorder="1" applyAlignment="1" applyProtection="1">
      <alignment horizontal="left" vertical="center"/>
    </xf>
    <xf numFmtId="2" fontId="0" fillId="0" borderId="34" xfId="0" applyBorder="1">
      <alignment horizontal="center" vertical="center"/>
    </xf>
    <xf numFmtId="2" fontId="14" fillId="0" borderId="0" xfId="0" applyFont="1">
      <alignment horizontal="center" vertical="center"/>
    </xf>
    <xf numFmtId="2" fontId="0" fillId="0" borderId="6" xfId="0" applyBorder="1">
      <alignment horizontal="center" vertical="center"/>
    </xf>
    <xf numFmtId="2" fontId="0" fillId="0" borderId="86" xfId="0" applyBorder="1">
      <alignment horizontal="center" vertical="center"/>
    </xf>
    <xf numFmtId="1" fontId="8" fillId="0" borderId="0" xfId="0" applyNumberFormat="1" applyFont="1" applyBorder="1" applyAlignment="1" applyProtection="1">
      <alignment horizontal="center" vertical="center"/>
    </xf>
    <xf numFmtId="2" fontId="12" fillId="7" borderId="0" xfId="0" applyFont="1" applyFill="1" applyBorder="1" applyAlignment="1">
      <alignment horizontal="right" vertical="center"/>
    </xf>
    <xf numFmtId="0" fontId="8" fillId="15" borderId="2" xfId="0" applyNumberFormat="1" applyFont="1" applyFill="1" applyBorder="1" applyAlignment="1" applyProtection="1">
      <alignment horizontal="center" vertical="center"/>
    </xf>
    <xf numFmtId="181" fontId="8" fillId="15" borderId="2" xfId="0" applyNumberFormat="1" applyFont="1" applyFill="1" applyBorder="1" applyAlignment="1" applyProtection="1">
      <alignment horizontal="center" vertical="center"/>
    </xf>
    <xf numFmtId="181" fontId="21" fillId="7" borderId="2" xfId="0" applyNumberFormat="1" applyFont="1" applyFill="1" applyBorder="1" applyAlignment="1" applyProtection="1">
      <alignment horizontal="left" vertical="center"/>
    </xf>
    <xf numFmtId="174" fontId="22" fillId="7" borderId="18" xfId="0" applyNumberFormat="1" applyFont="1" applyFill="1" applyBorder="1" applyAlignment="1" applyProtection="1">
      <alignment horizontal="center" vertical="center"/>
    </xf>
    <xf numFmtId="1" fontId="8" fillId="8" borderId="2" xfId="0" applyNumberFormat="1" applyFont="1" applyFill="1" applyBorder="1" applyAlignment="1" applyProtection="1">
      <alignment horizontal="center" vertical="center"/>
      <protection locked="0"/>
    </xf>
    <xf numFmtId="1" fontId="8" fillId="8" borderId="27" xfId="0" applyNumberFormat="1" applyFont="1" applyFill="1" applyBorder="1" applyAlignment="1" applyProtection="1">
      <alignment horizontal="center" vertical="center"/>
      <protection locked="0"/>
    </xf>
    <xf numFmtId="170" fontId="22" fillId="7" borderId="18" xfId="0" applyNumberFormat="1" applyFont="1" applyFill="1" applyBorder="1" applyAlignment="1" applyProtection="1">
      <alignment horizontal="center" vertical="center"/>
    </xf>
    <xf numFmtId="176" fontId="8" fillId="9" borderId="2" xfId="0" applyNumberFormat="1" applyFont="1" applyFill="1" applyBorder="1" applyAlignment="1" applyProtection="1">
      <alignment horizontal="center" vertical="center"/>
      <protection locked="0"/>
    </xf>
    <xf numFmtId="170" fontId="22" fillId="7" borderId="88" xfId="0" applyNumberFormat="1" applyFont="1" applyFill="1" applyBorder="1" applyAlignment="1" applyProtection="1">
      <alignment horizontal="center" vertical="center"/>
    </xf>
    <xf numFmtId="176" fontId="8" fillId="9" borderId="27" xfId="0" applyNumberFormat="1" applyFont="1" applyFill="1" applyBorder="1" applyAlignment="1" applyProtection="1">
      <alignment horizontal="center" vertical="center"/>
      <protection locked="0"/>
    </xf>
    <xf numFmtId="170" fontId="21" fillId="12" borderId="2" xfId="0" applyNumberFormat="1" applyFont="1" applyFill="1" applyBorder="1" applyAlignment="1">
      <alignment horizontal="center" vertical="center"/>
    </xf>
    <xf numFmtId="170" fontId="22" fillId="7" borderId="27" xfId="0" applyNumberFormat="1" applyFont="1" applyFill="1" applyBorder="1" applyAlignment="1">
      <alignment horizontal="center" vertical="center"/>
    </xf>
    <xf numFmtId="170" fontId="8" fillId="8" borderId="27" xfId="0" applyNumberFormat="1" applyFont="1" applyFill="1" applyBorder="1" applyAlignment="1" applyProtection="1">
      <alignment horizontal="center" vertical="center"/>
      <protection locked="0"/>
    </xf>
    <xf numFmtId="2" fontId="12" fillId="7" borderId="2" xfId="0" applyFont="1" applyFill="1" applyBorder="1" applyAlignment="1">
      <alignment horizontal="right" vertical="center"/>
    </xf>
    <xf numFmtId="170" fontId="22" fillId="7" borderId="2" xfId="0" applyNumberFormat="1" applyFont="1" applyFill="1" applyBorder="1" applyAlignment="1">
      <alignment horizontal="center" vertical="center"/>
    </xf>
    <xf numFmtId="170" fontId="22" fillId="12" borderId="2" xfId="0" applyNumberFormat="1" applyFont="1" applyFill="1" applyBorder="1" applyAlignment="1" applyProtection="1">
      <alignment horizontal="centerContinuous" vertical="center"/>
      <protection locked="0"/>
    </xf>
    <xf numFmtId="2" fontId="9" fillId="0" borderId="23" xfId="0" applyFont="1" applyBorder="1" applyAlignment="1" applyProtection="1">
      <alignment horizontal="center" vertical="center"/>
    </xf>
    <xf numFmtId="168" fontId="8" fillId="0" borderId="23" xfId="0" applyNumberFormat="1" applyFont="1" applyBorder="1" applyAlignment="1" applyProtection="1">
      <alignment horizontal="center" vertical="center"/>
    </xf>
    <xf numFmtId="2" fontId="9" fillId="0" borderId="23" xfId="0" applyFont="1" applyFill="1" applyBorder="1" applyAlignment="1" applyProtection="1">
      <alignment horizontal="center" vertical="center"/>
    </xf>
    <xf numFmtId="2" fontId="0" fillId="0" borderId="23" xfId="0" applyFill="1" applyBorder="1" applyAlignment="1">
      <alignment horizontal="center" vertical="center"/>
    </xf>
    <xf numFmtId="2" fontId="9" fillId="0" borderId="0" xfId="0" applyFont="1" applyFill="1" applyBorder="1" applyAlignment="1" applyProtection="1">
      <alignment horizontal="center" vertical="center"/>
    </xf>
    <xf numFmtId="0" fontId="8" fillId="7" borderId="2" xfId="0" applyNumberFormat="1" applyFont="1" applyFill="1" applyBorder="1" applyAlignment="1" applyProtection="1">
      <alignment horizontal="center" vertical="center"/>
    </xf>
    <xf numFmtId="2" fontId="3" fillId="0" borderId="26" xfId="0" applyFont="1" applyFill="1" applyBorder="1" applyAlignment="1">
      <alignment horizontal="right" vertical="center"/>
    </xf>
    <xf numFmtId="2" fontId="8" fillId="0" borderId="49" xfId="0" applyFont="1" applyFill="1" applyBorder="1" applyAlignment="1">
      <alignment horizontal="center" vertical="center"/>
    </xf>
    <xf numFmtId="2" fontId="0" fillId="0" borderId="0" xfId="0" applyFill="1">
      <alignment horizontal="center" vertical="center"/>
    </xf>
    <xf numFmtId="2" fontId="3" fillId="0" borderId="26" xfId="0" applyFont="1" applyFill="1" applyBorder="1" applyAlignment="1">
      <alignment horizontal="center" vertical="center"/>
    </xf>
    <xf numFmtId="2" fontId="3" fillId="0" borderId="73" xfId="0" applyFont="1" applyFill="1" applyBorder="1" applyAlignment="1">
      <alignment horizontal="center" vertical="center"/>
    </xf>
    <xf numFmtId="2" fontId="3" fillId="0" borderId="4" xfId="0" applyFont="1" applyFill="1" applyBorder="1" applyAlignment="1">
      <alignment horizontal="center" vertical="center"/>
    </xf>
    <xf numFmtId="2" fontId="3" fillId="0" borderId="66" xfId="0" applyFont="1" applyFill="1" applyBorder="1" applyAlignment="1">
      <alignment horizontal="center" vertical="center"/>
    </xf>
    <xf numFmtId="2" fontId="3" fillId="0" borderId="75" xfId="0" applyFont="1" applyFill="1" applyBorder="1" applyAlignment="1">
      <alignment horizontal="center" vertical="center"/>
    </xf>
    <xf numFmtId="2" fontId="3" fillId="0" borderId="70" xfId="0" applyFont="1" applyFill="1" applyBorder="1" applyAlignment="1">
      <alignment horizontal="center" vertical="center"/>
    </xf>
    <xf numFmtId="2" fontId="53" fillId="0" borderId="72" xfId="0" applyFont="1" applyFill="1" applyBorder="1" applyAlignment="1">
      <alignment horizontal="center" vertical="center"/>
    </xf>
    <xf numFmtId="2" fontId="8" fillId="0" borderId="71" xfId="0" applyFont="1" applyFill="1" applyBorder="1" applyAlignment="1">
      <alignment horizontal="center" vertical="center"/>
    </xf>
    <xf numFmtId="2" fontId="3" fillId="0" borderId="25" xfId="0" applyFont="1" applyFill="1" applyBorder="1" applyAlignment="1">
      <alignment horizontal="right" vertical="center"/>
    </xf>
    <xf numFmtId="2" fontId="8" fillId="0" borderId="13" xfId="0" applyFont="1" applyFill="1" applyBorder="1" applyAlignment="1">
      <alignment horizontal="center" vertical="center"/>
    </xf>
    <xf numFmtId="2" fontId="8" fillId="0" borderId="47" xfId="0" applyFont="1" applyFill="1" applyBorder="1" applyAlignment="1">
      <alignment horizontal="center" vertical="center"/>
    </xf>
    <xf numFmtId="0" fontId="8"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2" fontId="8" fillId="0" borderId="0" xfId="0" applyFont="1" applyAlignment="1">
      <alignment horizontal="right" vertical="center"/>
    </xf>
    <xf numFmtId="2" fontId="8" fillId="0" borderId="0" xfId="0" applyFont="1" applyAlignment="1">
      <alignment vertical="center"/>
    </xf>
    <xf numFmtId="0" fontId="12" fillId="7" borderId="1" xfId="0" applyNumberFormat="1" applyFont="1" applyFill="1" applyBorder="1" applyAlignment="1">
      <alignment horizontal="center" vertical="center"/>
    </xf>
    <xf numFmtId="0" fontId="8" fillId="8" borderId="13" xfId="0" applyNumberFormat="1" applyFont="1" applyFill="1" applyBorder="1" applyAlignment="1" applyProtection="1">
      <alignment horizontal="center" vertical="center"/>
      <protection locked="0"/>
    </xf>
    <xf numFmtId="2" fontId="8" fillId="0" borderId="1" xfId="0" applyFont="1" applyBorder="1" applyAlignment="1">
      <alignment vertical="center"/>
    </xf>
    <xf numFmtId="0" fontId="12" fillId="7" borderId="1" xfId="0" applyNumberFormat="1" applyFont="1" applyFill="1" applyBorder="1" applyAlignment="1">
      <alignment horizontal="left" vertical="center"/>
    </xf>
    <xf numFmtId="2" fontId="8" fillId="0" borderId="0" xfId="0" applyFont="1" applyFill="1" applyBorder="1" applyAlignment="1">
      <alignment horizontal="right" vertical="center"/>
    </xf>
    <xf numFmtId="2" fontId="0" fillId="0" borderId="0" xfId="0" applyFont="1" applyBorder="1" applyAlignment="1">
      <alignment vertical="center"/>
    </xf>
    <xf numFmtId="2" fontId="8" fillId="0" borderId="1" xfId="0" applyFont="1" applyFill="1" applyBorder="1" applyAlignment="1">
      <alignment horizontal="center" vertical="center"/>
    </xf>
    <xf numFmtId="2" fontId="8" fillId="0" borderId="65" xfId="0" applyFont="1" applyBorder="1" applyAlignment="1">
      <alignment horizontal="center" vertical="center"/>
    </xf>
    <xf numFmtId="2" fontId="8" fillId="0" borderId="127" xfId="0" applyFont="1" applyBorder="1" applyAlignment="1">
      <alignment horizontal="center" vertical="center"/>
    </xf>
    <xf numFmtId="2" fontId="8" fillId="0" borderId="128" xfId="0" applyFont="1" applyBorder="1" applyAlignment="1">
      <alignment horizontal="center" vertical="center"/>
    </xf>
    <xf numFmtId="2" fontId="8" fillId="0" borderId="78" xfId="0" applyFont="1" applyBorder="1" applyAlignment="1">
      <alignment horizontal="center" vertical="center"/>
    </xf>
    <xf numFmtId="2" fontId="8" fillId="0" borderId="120" xfId="0" applyNumberFormat="1" applyFont="1" applyBorder="1" applyAlignment="1">
      <alignment horizontal="center" vertical="center"/>
    </xf>
    <xf numFmtId="2" fontId="8" fillId="0" borderId="1" xfId="0" applyNumberFormat="1" applyFont="1" applyBorder="1" applyAlignment="1">
      <alignment horizontal="center" vertical="center"/>
    </xf>
    <xf numFmtId="2" fontId="8" fillId="0" borderId="108" xfId="0" applyNumberFormat="1" applyFont="1" applyBorder="1" applyAlignment="1">
      <alignment horizontal="center" vertical="center"/>
    </xf>
    <xf numFmtId="10" fontId="8" fillId="0" borderId="129" xfId="0" applyNumberFormat="1" applyFont="1" applyBorder="1" applyAlignment="1">
      <alignment horizontal="center" vertical="center"/>
    </xf>
    <xf numFmtId="10" fontId="8" fillId="0" borderId="10" xfId="0" applyNumberFormat="1" applyFont="1" applyBorder="1" applyAlignment="1">
      <alignment horizontal="center" vertical="center"/>
    </xf>
    <xf numFmtId="10" fontId="8" fillId="0" borderId="106" xfId="0" applyNumberFormat="1" applyFont="1" applyBorder="1" applyAlignment="1">
      <alignment horizontal="center" vertical="center"/>
    </xf>
    <xf numFmtId="10" fontId="8" fillId="0" borderId="60" xfId="0" applyNumberFormat="1" applyFont="1" applyBorder="1" applyAlignment="1">
      <alignment horizontal="center" vertical="center"/>
    </xf>
    <xf numFmtId="10" fontId="8" fillId="0" borderId="69" xfId="0" applyNumberFormat="1" applyFont="1" applyBorder="1" applyAlignment="1">
      <alignment horizontal="center" vertical="center"/>
    </xf>
    <xf numFmtId="10" fontId="8" fillId="0" borderId="63" xfId="0" applyNumberFormat="1" applyFont="1" applyBorder="1" applyAlignment="1">
      <alignment horizontal="center" vertical="center"/>
    </xf>
    <xf numFmtId="2" fontId="8" fillId="0" borderId="0" xfId="0" applyFont="1" applyBorder="1" applyAlignment="1">
      <alignment horizontal="center" vertical="center" wrapText="1"/>
    </xf>
    <xf numFmtId="2" fontId="8" fillId="0" borderId="53" xfId="0" applyFont="1" applyBorder="1" applyAlignment="1">
      <alignment horizontal="center" vertical="center" wrapText="1"/>
    </xf>
    <xf numFmtId="2" fontId="8" fillId="5" borderId="1" xfId="0" applyFont="1" applyFill="1" applyBorder="1" applyAlignment="1" applyProtection="1">
      <alignment horizontal="center" vertical="center"/>
      <protection locked="0"/>
    </xf>
    <xf numFmtId="10" fontId="8" fillId="0" borderId="1" xfId="0" applyNumberFormat="1" applyFont="1" applyBorder="1" applyAlignment="1">
      <alignment horizontal="center" vertical="center"/>
    </xf>
    <xf numFmtId="2" fontId="8" fillId="0" borderId="62" xfId="0" applyFont="1" applyBorder="1" applyAlignment="1">
      <alignment horizontal="center" vertical="center"/>
    </xf>
    <xf numFmtId="2" fontId="8" fillId="0" borderId="90" xfId="0" applyFont="1" applyBorder="1" applyAlignment="1">
      <alignment horizontal="right" vertical="center"/>
    </xf>
    <xf numFmtId="2" fontId="8" fillId="0" borderId="10" xfId="0" applyFont="1" applyBorder="1" applyAlignment="1">
      <alignment horizontal="center" vertical="center"/>
    </xf>
    <xf numFmtId="2" fontId="8" fillId="0" borderId="106" xfId="0" applyFont="1" applyBorder="1" applyAlignment="1">
      <alignment horizontal="center" vertical="center"/>
    </xf>
    <xf numFmtId="2" fontId="8" fillId="0" borderId="130" xfId="0" applyFont="1" applyBorder="1" applyAlignment="1">
      <alignment horizontal="right" vertical="center"/>
    </xf>
    <xf numFmtId="2" fontId="8" fillId="0" borderId="108" xfId="0" applyFont="1" applyBorder="1" applyAlignment="1">
      <alignment horizontal="center" vertical="center"/>
    </xf>
    <xf numFmtId="2" fontId="8" fillId="0" borderId="131" xfId="0" applyFont="1" applyBorder="1" applyAlignment="1">
      <alignment horizontal="right" vertical="center"/>
    </xf>
    <xf numFmtId="2" fontId="8" fillId="0" borderId="69" xfId="0" applyFont="1" applyBorder="1" applyAlignment="1">
      <alignment horizontal="center" vertical="center"/>
    </xf>
    <xf numFmtId="2" fontId="12" fillId="0" borderId="0" xfId="0" applyFont="1" applyBorder="1" applyAlignment="1">
      <alignment vertical="center"/>
    </xf>
    <xf numFmtId="166" fontId="8" fillId="0" borderId="1" xfId="0" applyNumberFormat="1" applyFont="1" applyBorder="1" applyAlignment="1">
      <alignment horizontal="center" vertical="center"/>
    </xf>
    <xf numFmtId="2" fontId="7" fillId="0" borderId="0" xfId="0" applyFont="1" applyBorder="1" applyAlignment="1">
      <alignment vertical="center"/>
    </xf>
    <xf numFmtId="2" fontId="8" fillId="0" borderId="1" xfId="0" applyFont="1" applyBorder="1">
      <alignment horizontal="center" vertical="center"/>
    </xf>
    <xf numFmtId="2" fontId="14" fillId="0" borderId="28" xfId="0" applyFont="1" applyBorder="1" applyAlignment="1">
      <alignment vertical="center"/>
    </xf>
    <xf numFmtId="2" fontId="7" fillId="0" borderId="28" xfId="0" applyFont="1" applyBorder="1" applyAlignment="1">
      <alignment vertical="center"/>
    </xf>
    <xf numFmtId="2" fontId="8" fillId="0" borderId="23" xfId="0" applyFont="1" applyBorder="1" applyAlignment="1">
      <alignment vertical="center"/>
    </xf>
    <xf numFmtId="2" fontId="8" fillId="0" borderId="28" xfId="0" applyFont="1" applyBorder="1" applyAlignment="1">
      <alignment vertical="center"/>
    </xf>
    <xf numFmtId="2" fontId="0" fillId="0" borderId="0" xfId="0" applyBorder="1" applyAlignment="1">
      <alignment vertical="center"/>
    </xf>
    <xf numFmtId="2" fontId="8" fillId="0" borderId="46" xfId="0" applyFont="1" applyBorder="1" applyAlignment="1">
      <alignment horizontal="right" vertical="center"/>
    </xf>
    <xf numFmtId="0" fontId="8" fillId="0" borderId="1" xfId="0" applyNumberFormat="1" applyFont="1" applyBorder="1">
      <alignment horizontal="center" vertical="center"/>
    </xf>
    <xf numFmtId="2" fontId="7" fillId="0" borderId="28" xfId="0" applyFont="1" applyBorder="1" applyAlignment="1">
      <alignment horizontal="left" vertical="center"/>
    </xf>
    <xf numFmtId="2" fontId="8" fillId="0" borderId="29" xfId="0" applyFont="1" applyBorder="1" applyAlignment="1">
      <alignment horizontal="center" vertical="center"/>
    </xf>
    <xf numFmtId="2" fontId="8" fillId="0" borderId="129" xfId="0" applyFont="1" applyBorder="1" applyAlignment="1">
      <alignment horizontal="center" vertical="center" shrinkToFit="1"/>
    </xf>
    <xf numFmtId="2" fontId="8" fillId="0" borderId="10" xfId="0" applyFont="1" applyBorder="1" applyAlignment="1">
      <alignment horizontal="center" vertical="center" shrinkToFit="1"/>
    </xf>
    <xf numFmtId="2" fontId="8" fillId="0" borderId="120" xfId="0" applyFont="1" applyBorder="1" applyAlignment="1">
      <alignment horizontal="center" vertical="center" shrinkToFit="1"/>
    </xf>
    <xf numFmtId="2" fontId="8" fillId="0" borderId="1" xfId="0" applyFont="1" applyBorder="1" applyAlignment="1">
      <alignment horizontal="center" vertical="center" shrinkToFit="1"/>
    </xf>
    <xf numFmtId="2" fontId="8" fillId="0" borderId="60" xfId="0" applyFont="1" applyBorder="1" applyAlignment="1">
      <alignment horizontal="center" vertical="center" shrinkToFit="1"/>
    </xf>
    <xf numFmtId="2" fontId="8" fillId="0" borderId="69" xfId="0" applyFont="1" applyBorder="1" applyAlignment="1">
      <alignment horizontal="center" vertical="center" shrinkToFit="1"/>
    </xf>
    <xf numFmtId="2" fontId="8" fillId="0" borderId="106" xfId="0" applyFont="1" applyBorder="1" applyAlignment="1">
      <alignment horizontal="center" vertical="center" shrinkToFit="1"/>
    </xf>
    <xf numFmtId="2" fontId="8" fillId="0" borderId="108" xfId="0" applyFont="1" applyBorder="1" applyAlignment="1">
      <alignment horizontal="center" vertical="center" shrinkToFit="1"/>
    </xf>
    <xf numFmtId="2" fontId="8" fillId="0" borderId="63" xfId="0" applyFont="1" applyBorder="1" applyAlignment="1">
      <alignment horizontal="center" vertical="center" shrinkToFit="1"/>
    </xf>
    <xf numFmtId="2" fontId="8" fillId="0" borderId="129" xfId="0" applyNumberFormat="1" applyFont="1" applyBorder="1" applyAlignment="1">
      <alignment horizontal="center" vertical="center"/>
    </xf>
    <xf numFmtId="2" fontId="8" fillId="0" borderId="10" xfId="0" applyNumberFormat="1" applyFont="1" applyBorder="1" applyAlignment="1">
      <alignment horizontal="center" vertical="center"/>
    </xf>
    <xf numFmtId="2" fontId="8" fillId="0" borderId="106" xfId="0" applyNumberFormat="1" applyFont="1" applyBorder="1" applyAlignment="1">
      <alignment horizontal="center" vertical="center"/>
    </xf>
    <xf numFmtId="2" fontId="8" fillId="0" borderId="132" xfId="0" applyNumberFormat="1" applyFont="1" applyBorder="1" applyAlignment="1">
      <alignment horizontal="center" vertical="center"/>
    </xf>
    <xf numFmtId="2" fontId="8" fillId="0" borderId="9" xfId="0" applyNumberFormat="1" applyFont="1" applyBorder="1" applyAlignment="1">
      <alignment horizontal="center" vertical="center"/>
    </xf>
    <xf numFmtId="2" fontId="8" fillId="0" borderId="133" xfId="0" applyNumberFormat="1" applyFont="1" applyBorder="1" applyAlignment="1">
      <alignment horizontal="center" vertical="center"/>
    </xf>
    <xf numFmtId="2" fontId="8" fillId="0" borderId="129" xfId="0" applyFont="1" applyBorder="1" applyAlignment="1">
      <alignment horizontal="center" vertical="center"/>
    </xf>
    <xf numFmtId="2" fontId="8" fillId="0" borderId="127" xfId="0" applyNumberFormat="1" applyFont="1" applyBorder="1" applyAlignment="1">
      <alignment horizontal="center" vertical="center"/>
    </xf>
    <xf numFmtId="2" fontId="8" fillId="0" borderId="128" xfId="0" applyNumberFormat="1" applyFont="1" applyBorder="1" applyAlignment="1">
      <alignment horizontal="center" vertical="center"/>
    </xf>
    <xf numFmtId="2" fontId="8" fillId="0" borderId="78" xfId="0" applyNumberFormat="1" applyFont="1" applyBorder="1" applyAlignment="1">
      <alignment horizontal="center" vertical="center"/>
    </xf>
    <xf numFmtId="2" fontId="8" fillId="0" borderId="134" xfId="0" applyFont="1" applyBorder="1" applyAlignment="1">
      <alignment horizontal="center" vertical="center"/>
    </xf>
    <xf numFmtId="2" fontId="8" fillId="0" borderId="86" xfId="0" applyFont="1" applyBorder="1" applyAlignment="1">
      <alignment horizontal="center" vertical="center"/>
    </xf>
    <xf numFmtId="2" fontId="8" fillId="0" borderId="4" xfId="0" applyFont="1" applyBorder="1" applyAlignment="1">
      <alignment vertical="center"/>
    </xf>
    <xf numFmtId="2" fontId="8" fillId="0" borderId="120" xfId="0" applyFont="1" applyBorder="1" applyAlignment="1">
      <alignment horizontal="center" vertical="center"/>
    </xf>
    <xf numFmtId="166" fontId="8" fillId="0" borderId="60" xfId="0" applyNumberFormat="1" applyFont="1" applyBorder="1" applyAlignment="1">
      <alignment horizontal="center" vertical="center"/>
    </xf>
    <xf numFmtId="166" fontId="8" fillId="0" borderId="69" xfId="0" applyNumberFormat="1" applyFont="1" applyBorder="1" applyAlignment="1">
      <alignment horizontal="center" vertical="center"/>
    </xf>
    <xf numFmtId="166" fontId="8" fillId="0" borderId="63" xfId="0" applyNumberFormat="1" applyFont="1" applyBorder="1" applyAlignment="1">
      <alignment horizontal="center" vertical="center"/>
    </xf>
    <xf numFmtId="2" fontId="8" fillId="0" borderId="61" xfId="0" applyFont="1" applyBorder="1" applyAlignment="1">
      <alignment horizontal="center" vertical="center"/>
    </xf>
    <xf numFmtId="2" fontId="8" fillId="0" borderId="30" xfId="0" applyFont="1" applyBorder="1" applyAlignment="1">
      <alignment vertical="center"/>
    </xf>
    <xf numFmtId="2" fontId="5" fillId="0" borderId="28" xfId="0" applyFont="1" applyBorder="1" applyAlignment="1">
      <alignment horizontal="right" vertical="center"/>
    </xf>
    <xf numFmtId="2" fontId="8" fillId="0" borderId="0" xfId="0" applyFont="1" applyBorder="1" applyAlignment="1">
      <alignment vertical="center" wrapText="1"/>
    </xf>
    <xf numFmtId="2" fontId="5" fillId="0" borderId="18" xfId="0" applyFont="1" applyBorder="1" applyAlignment="1">
      <alignment horizontal="center" vertical="center"/>
    </xf>
    <xf numFmtId="0" fontId="8" fillId="0" borderId="129" xfId="0" applyNumberFormat="1" applyFont="1" applyBorder="1" applyAlignment="1">
      <alignment horizontal="center" vertical="center"/>
    </xf>
    <xf numFmtId="0" fontId="8" fillId="0" borderId="10" xfId="0" applyNumberFormat="1" applyFont="1" applyBorder="1" applyAlignment="1">
      <alignment horizontal="center" vertical="center"/>
    </xf>
    <xf numFmtId="0" fontId="8" fillId="0" borderId="106" xfId="0" applyNumberFormat="1" applyFont="1" applyBorder="1" applyAlignment="1">
      <alignment horizontal="center" vertical="center"/>
    </xf>
    <xf numFmtId="2" fontId="8" fillId="0" borderId="90" xfId="0" applyFont="1" applyBorder="1" applyAlignment="1">
      <alignment horizontal="center" vertical="center"/>
    </xf>
    <xf numFmtId="2" fontId="8" fillId="0" borderId="130" xfId="0" applyFont="1" applyBorder="1" applyAlignment="1">
      <alignment horizontal="center" vertical="center"/>
    </xf>
    <xf numFmtId="2" fontId="8" fillId="0" borderId="131" xfId="0" applyNumberFormat="1" applyFont="1" applyBorder="1" applyAlignment="1">
      <alignment horizontal="center" vertical="center"/>
    </xf>
    <xf numFmtId="2" fontId="8" fillId="0" borderId="137" xfId="0" applyFont="1" applyBorder="1" applyAlignment="1">
      <alignment horizontal="center" vertical="center"/>
    </xf>
    <xf numFmtId="2" fontId="7" fillId="0" borderId="32" xfId="0" applyFont="1" applyBorder="1" applyAlignment="1">
      <alignment vertical="center"/>
    </xf>
    <xf numFmtId="2" fontId="8" fillId="0" borderId="138" xfId="0" applyFont="1" applyBorder="1" applyAlignment="1">
      <alignment horizontal="center" vertical="center"/>
    </xf>
    <xf numFmtId="2" fontId="8" fillId="0" borderId="0" xfId="0" applyFont="1" applyBorder="1" applyAlignment="1">
      <alignment horizontal="center" vertical="center"/>
    </xf>
    <xf numFmtId="2" fontId="8" fillId="5" borderId="2" xfId="0" applyFont="1" applyFill="1" applyBorder="1" applyAlignment="1" applyProtection="1">
      <alignment horizontal="center" vertical="center"/>
      <protection locked="0"/>
    </xf>
    <xf numFmtId="170" fontId="8" fillId="8" borderId="1" xfId="0" applyNumberFormat="1" applyFont="1" applyFill="1" applyBorder="1" applyAlignment="1" applyProtection="1">
      <alignment horizontal="center" vertical="center"/>
      <protection locked="0"/>
    </xf>
    <xf numFmtId="2" fontId="8" fillId="0" borderId="0" xfId="0" applyFont="1" applyBorder="1" applyAlignment="1">
      <alignment horizontal="center" vertical="center"/>
    </xf>
    <xf numFmtId="0" fontId="8" fillId="5" borderId="1" xfId="0" applyNumberFormat="1" applyFont="1" applyFill="1" applyBorder="1" applyAlignment="1" applyProtection="1">
      <alignment horizontal="center" vertical="center"/>
      <protection locked="0"/>
    </xf>
    <xf numFmtId="173" fontId="8" fillId="0" borderId="0" xfId="0" applyNumberFormat="1" applyFont="1" applyBorder="1" applyAlignment="1">
      <alignment horizontal="center" vertical="center"/>
    </xf>
    <xf numFmtId="164" fontId="8" fillId="0" borderId="1" xfId="0" applyNumberFormat="1" applyFont="1" applyBorder="1">
      <alignment horizontal="center" vertical="center"/>
    </xf>
    <xf numFmtId="2" fontId="8" fillId="0" borderId="29" xfId="0" applyFont="1" applyBorder="1">
      <alignment horizontal="center" vertical="center"/>
    </xf>
    <xf numFmtId="10" fontId="8" fillId="0" borderId="1" xfId="4" applyNumberFormat="1" applyFont="1" applyBorder="1" applyAlignment="1">
      <alignment horizontal="center" vertical="center"/>
    </xf>
    <xf numFmtId="166" fontId="8" fillId="8" borderId="18" xfId="0" applyNumberFormat="1" applyFont="1" applyFill="1" applyBorder="1" applyAlignment="1" applyProtection="1">
      <alignment horizontal="center" vertical="center"/>
      <protection locked="0"/>
    </xf>
    <xf numFmtId="166" fontId="8" fillId="8" borderId="13" xfId="0" applyNumberFormat="1" applyFont="1" applyFill="1" applyBorder="1" applyAlignment="1" applyProtection="1">
      <alignment horizontal="center" vertical="center"/>
      <protection locked="0"/>
    </xf>
    <xf numFmtId="166" fontId="22" fillId="7" borderId="54" xfId="0" applyNumberFormat="1" applyFont="1" applyFill="1" applyBorder="1" applyAlignment="1" applyProtection="1">
      <alignment horizontal="center" vertical="center"/>
    </xf>
    <xf numFmtId="166" fontId="22" fillId="7" borderId="59" xfId="0" applyNumberFormat="1" applyFont="1" applyFill="1" applyBorder="1" applyAlignment="1" applyProtection="1">
      <alignment horizontal="center" vertical="center"/>
    </xf>
    <xf numFmtId="166" fontId="8" fillId="5" borderId="54" xfId="0" applyNumberFormat="1" applyFont="1" applyFill="1" applyBorder="1" applyAlignment="1" applyProtection="1">
      <alignment horizontal="center" vertical="center"/>
      <protection locked="0"/>
    </xf>
    <xf numFmtId="166" fontId="8" fillId="5" borderId="59" xfId="0" applyNumberFormat="1" applyFont="1" applyFill="1" applyBorder="1" applyAlignment="1" applyProtection="1">
      <alignment horizontal="center" vertical="center"/>
      <protection locked="0"/>
    </xf>
    <xf numFmtId="166" fontId="8" fillId="8" borderId="1" xfId="0" applyNumberFormat="1" applyFont="1" applyFill="1" applyBorder="1" applyAlignment="1" applyProtection="1">
      <alignment horizontal="center" vertical="center"/>
      <protection locked="0"/>
    </xf>
    <xf numFmtId="2" fontId="12" fillId="0" borderId="0" xfId="0" applyFont="1" applyFill="1" applyBorder="1" applyAlignment="1" applyProtection="1">
      <alignment vertical="center"/>
    </xf>
    <xf numFmtId="0" fontId="8" fillId="5" borderId="29" xfId="0" applyNumberFormat="1" applyFont="1" applyFill="1" applyBorder="1" applyAlignment="1" applyProtection="1">
      <alignment horizontal="center" vertical="center"/>
      <protection locked="0"/>
    </xf>
    <xf numFmtId="0" fontId="8" fillId="0" borderId="60" xfId="0" applyNumberFormat="1" applyFont="1" applyBorder="1" applyAlignment="1">
      <alignment horizontal="center" vertical="center"/>
    </xf>
    <xf numFmtId="0" fontId="8" fillId="0" borderId="69" xfId="0" applyNumberFormat="1" applyFont="1" applyBorder="1" applyAlignment="1">
      <alignment horizontal="center" vertical="center"/>
    </xf>
    <xf numFmtId="0" fontId="8" fillId="0" borderId="63" xfId="0" applyNumberFormat="1" applyFont="1" applyBorder="1" applyAlignment="1">
      <alignment horizontal="center" vertical="center"/>
    </xf>
    <xf numFmtId="0" fontId="8" fillId="0" borderId="135" xfId="0" applyNumberFormat="1" applyFont="1" applyBorder="1" applyAlignment="1">
      <alignment horizontal="center" vertical="center"/>
    </xf>
    <xf numFmtId="0" fontId="8" fillId="0" borderId="77" xfId="0" applyNumberFormat="1" applyFont="1" applyBorder="1" applyAlignment="1">
      <alignment horizontal="center" vertical="center"/>
    </xf>
    <xf numFmtId="0" fontId="8" fillId="0" borderId="136" xfId="0" applyNumberFormat="1"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center" vertical="center"/>
    </xf>
    <xf numFmtId="2" fontId="22" fillId="6" borderId="109" xfId="0" applyFont="1" applyFill="1" applyBorder="1" applyAlignment="1">
      <alignment horizontal="center" vertical="center"/>
    </xf>
    <xf numFmtId="2" fontId="22" fillId="6" borderId="95" xfId="0" applyFont="1" applyFill="1" applyBorder="1" applyAlignment="1">
      <alignment horizontal="center" vertical="center"/>
    </xf>
    <xf numFmtId="2" fontId="8" fillId="0" borderId="0" xfId="0" applyFont="1" applyBorder="1" applyAlignment="1">
      <alignment horizontal="center" vertical="center" wrapText="1"/>
    </xf>
    <xf numFmtId="2" fontId="8" fillId="0" borderId="2" xfId="0" applyFont="1" applyBorder="1" applyAlignment="1">
      <alignment horizontal="center" vertical="center" wrapText="1"/>
    </xf>
    <xf numFmtId="2" fontId="0" fillId="0" borderId="62" xfId="0" applyBorder="1" applyAlignment="1">
      <alignment horizontal="center" vertical="center"/>
    </xf>
    <xf numFmtId="2" fontId="0" fillId="0" borderId="64" xfId="0" applyBorder="1" applyAlignment="1">
      <alignment horizontal="center" vertical="center"/>
    </xf>
    <xf numFmtId="2" fontId="3" fillId="0" borderId="17" xfId="0" applyFont="1" applyBorder="1" applyAlignment="1" applyProtection="1">
      <alignment horizontal="center" vertical="center"/>
    </xf>
    <xf numFmtId="2" fontId="3" fillId="0" borderId="53" xfId="0" applyFont="1" applyBorder="1" applyAlignment="1" applyProtection="1">
      <alignment horizontal="center" vertical="center"/>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3" fillId="0" borderId="17" xfId="0" applyFont="1" applyFill="1" applyBorder="1" applyAlignment="1">
      <alignment horizontal="center" vertical="center"/>
    </xf>
    <xf numFmtId="2" fontId="3" fillId="0" borderId="53" xfId="0" applyFont="1" applyFill="1" applyBorder="1" applyAlignment="1">
      <alignment horizontal="center" vertical="center"/>
    </xf>
    <xf numFmtId="2" fontId="22" fillId="6" borderId="88" xfId="0" applyFont="1" applyFill="1" applyBorder="1" applyAlignment="1">
      <alignment horizontal="center" vertical="center"/>
    </xf>
    <xf numFmtId="2" fontId="22" fillId="6" borderId="126" xfId="0" applyFont="1" applyFill="1" applyBorder="1" applyAlignment="1">
      <alignment horizontal="center" vertical="center"/>
    </xf>
    <xf numFmtId="2" fontId="9" fillId="0" borderId="17" xfId="0" applyFont="1" applyBorder="1" applyAlignment="1" applyProtection="1">
      <alignment horizontal="center" vertical="center"/>
    </xf>
    <xf numFmtId="2" fontId="9" fillId="0" borderId="53" xfId="0" applyFont="1" applyBorder="1" applyAlignment="1" applyProtection="1">
      <alignment horizontal="center" vertical="center"/>
    </xf>
    <xf numFmtId="2" fontId="3" fillId="0" borderId="17" xfId="0" applyFont="1" applyBorder="1" applyAlignment="1">
      <alignment horizontal="center" vertical="center"/>
    </xf>
    <xf numFmtId="2" fontId="3" fillId="0" borderId="53" xfId="0" applyFont="1" applyBorder="1" applyAlignment="1">
      <alignment horizontal="center" vertical="center"/>
    </xf>
    <xf numFmtId="2" fontId="8" fillId="0" borderId="0" xfId="0" applyFont="1" applyBorder="1" applyAlignment="1">
      <alignment horizontal="center" vertical="center"/>
    </xf>
    <xf numFmtId="2" fontId="3" fillId="0" borderId="4" xfId="0" applyFont="1" applyBorder="1" applyAlignment="1">
      <alignment horizontal="center" vertical="center"/>
    </xf>
    <xf numFmtId="2" fontId="5" fillId="0" borderId="62" xfId="0" applyFont="1" applyBorder="1" applyAlignment="1" applyProtection="1">
      <alignment horizontal="center" vertical="center"/>
    </xf>
    <xf numFmtId="2" fontId="5" fillId="0" borderId="64" xfId="0" applyFont="1" applyBorder="1" applyAlignment="1" applyProtection="1">
      <alignment horizontal="center" vertical="center"/>
    </xf>
    <xf numFmtId="2" fontId="8" fillId="0" borderId="8" xfId="0" applyFont="1" applyBorder="1" applyAlignment="1">
      <alignment horizontal="center" vertical="center" wrapText="1"/>
    </xf>
    <xf numFmtId="2" fontId="8" fillId="0" borderId="28" xfId="0" applyFont="1" applyBorder="1" applyAlignment="1">
      <alignment horizontal="center" vertical="center" wrapText="1"/>
    </xf>
    <xf numFmtId="2" fontId="8" fillId="0" borderId="101" xfId="0" applyFont="1" applyBorder="1" applyAlignment="1">
      <alignment horizontal="center" vertical="center" wrapText="1"/>
    </xf>
    <xf numFmtId="2" fontId="0" fillId="0" borderId="13" xfId="0" applyBorder="1" applyAlignment="1">
      <alignment horizontal="center" vertical="center" wrapText="1"/>
    </xf>
    <xf numFmtId="2" fontId="8" fillId="0" borderId="13" xfId="0" applyFont="1" applyBorder="1" applyAlignment="1">
      <alignment horizontal="center" vertical="center" wrapText="1"/>
    </xf>
    <xf numFmtId="2" fontId="0" fillId="0" borderId="0" xfId="0" applyAlignment="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6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Gen_form!$C$697:$C$706</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Gen_form!$D$697:$D$706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Gen_form!$H$697:$H$706</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Gen_form!$I$697:$I$706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Contrast Detail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Gen_form!$C$628:$C$639</c:f>
              <c:numCache>
                <c:formatCode>0.00</c:formatCode>
                <c:ptCount val="12"/>
                <c:pt idx="0">
                  <c:v>11.1</c:v>
                </c:pt>
                <c:pt idx="1">
                  <c:v>8</c:v>
                </c:pt>
                <c:pt idx="2">
                  <c:v>5.6</c:v>
                </c:pt>
                <c:pt idx="3">
                  <c:v>4</c:v>
                </c:pt>
                <c:pt idx="4">
                  <c:v>2.8</c:v>
                </c:pt>
                <c:pt idx="5">
                  <c:v>2</c:v>
                </c:pt>
                <c:pt idx="6">
                  <c:v>1.4</c:v>
                </c:pt>
                <c:pt idx="7">
                  <c:v>1</c:v>
                </c:pt>
                <c:pt idx="8">
                  <c:v>0.7</c:v>
                </c:pt>
                <c:pt idx="9">
                  <c:v>0.5</c:v>
                </c:pt>
                <c:pt idx="10">
                  <c:v>0.35</c:v>
                </c:pt>
                <c:pt idx="11">
                  <c:v>0.25</c:v>
                </c:pt>
              </c:numCache>
            </c:numRef>
          </c:xVal>
          <c:yVal>
            <c:numRef>
              <c:f>Gen_form!$E$628:$E$639</c:f>
              <c:numCache>
                <c:formatCode>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yVal>
          <c:smooth val="1"/>
          <c:extLst>
            <c:ext xmlns:c16="http://schemas.microsoft.com/office/drawing/2014/chart" uri="{C3380CC4-5D6E-409C-BE32-E72D297353CC}">
              <c16:uniqueId val="{0000000A-4C60-4606-9736-E0EEC004F94C}"/>
            </c:ext>
          </c:extLst>
        </c:ser>
        <c:dLbls>
          <c:showLegendKey val="0"/>
          <c:showVal val="0"/>
          <c:showCatName val="0"/>
          <c:showSerName val="0"/>
          <c:showPercent val="0"/>
          <c:showBubbleSize val="0"/>
        </c:dLbls>
        <c:axId val="516131584"/>
        <c:axId val="444275648"/>
      </c:scatterChart>
      <c:valAx>
        <c:axId val="51613158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Detail diameter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75648"/>
        <c:crossesAt val="1.0000000000000002E-3"/>
        <c:crossBetween val="midCat"/>
      </c:valAx>
      <c:valAx>
        <c:axId val="44427564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3158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Threshold detection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Gen_form!$D$628:$D$639</c:f>
              <c:numCache>
                <c:formatCode>0.000</c:formatCode>
                <c:ptCount val="12"/>
                <c:pt idx="0">
                  <c:v>9.8371188725256129</c:v>
                </c:pt>
                <c:pt idx="1">
                  <c:v>7.0898154036220635</c:v>
                </c:pt>
                <c:pt idx="2">
                  <c:v>4.9628707825354441</c:v>
                </c:pt>
                <c:pt idx="3">
                  <c:v>3.5449077018110318</c:v>
                </c:pt>
                <c:pt idx="4">
                  <c:v>2.4814353912677221</c:v>
                </c:pt>
                <c:pt idx="5">
                  <c:v>1.7724538509055159</c:v>
                </c:pt>
                <c:pt idx="6">
                  <c:v>1.240717695633861</c:v>
                </c:pt>
                <c:pt idx="7">
                  <c:v>0.88622692545275794</c:v>
                </c:pt>
                <c:pt idx="8">
                  <c:v>0.62035884781693051</c:v>
                </c:pt>
                <c:pt idx="9">
                  <c:v>0.44311346272637897</c:v>
                </c:pt>
                <c:pt idx="10">
                  <c:v>0.31017942390846526</c:v>
                </c:pt>
                <c:pt idx="11">
                  <c:v>0.22155673136318949</c:v>
                </c:pt>
              </c:numCache>
            </c:numRef>
          </c:xVal>
          <c:yVal>
            <c:numRef>
              <c:f>Gen_form!$F$628:$F$639</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yVal>
          <c:smooth val="1"/>
          <c:extLst>
            <c:ext xmlns:c16="http://schemas.microsoft.com/office/drawing/2014/chart" uri="{C3380CC4-5D6E-409C-BE32-E72D297353CC}">
              <c16:uniqueId val="{00000000-83D5-4E39-B546-7A9CAB5FF9B3}"/>
            </c:ext>
          </c:extLst>
        </c:ser>
        <c:dLbls>
          <c:showLegendKey val="0"/>
          <c:showVal val="0"/>
          <c:showCatName val="0"/>
          <c:showSerName val="0"/>
          <c:showPercent val="0"/>
          <c:showBubbleSize val="0"/>
        </c:dLbls>
        <c:axId val="434246272"/>
        <c:axId val="497854000"/>
      </c:scatterChart>
      <c:valAx>
        <c:axId val="434246272"/>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sqrt(Detail 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54000"/>
        <c:crosses val="autoZero"/>
        <c:crossBetween val="midCat"/>
      </c:valAx>
      <c:valAx>
        <c:axId val="497854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246272"/>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33410</xdr:colOff>
      <xdr:row>268</xdr:row>
      <xdr:rowOff>33945</xdr:rowOff>
    </xdr:from>
    <xdr:to>
      <xdr:col>10</xdr:col>
      <xdr:colOff>623206</xdr:colOff>
      <xdr:row>303</xdr:row>
      <xdr:rowOff>51706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475</xdr:row>
      <xdr:rowOff>36214</xdr:rowOff>
    </xdr:from>
    <xdr:to>
      <xdr:col>32</xdr:col>
      <xdr:colOff>479834</xdr:colOff>
      <xdr:row>493</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494</xdr:row>
      <xdr:rowOff>36214</xdr:rowOff>
    </xdr:from>
    <xdr:to>
      <xdr:col>32</xdr:col>
      <xdr:colOff>488887</xdr:colOff>
      <xdr:row>512</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27160</xdr:colOff>
      <xdr:row>706</xdr:row>
      <xdr:rowOff>27160</xdr:rowOff>
    </xdr:from>
    <xdr:to>
      <xdr:col>5</xdr:col>
      <xdr:colOff>534154</xdr:colOff>
      <xdr:row>723</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615636</xdr:colOff>
      <xdr:row>706</xdr:row>
      <xdr:rowOff>27160</xdr:rowOff>
    </xdr:from>
    <xdr:to>
      <xdr:col>10</xdr:col>
      <xdr:colOff>688063</xdr:colOff>
      <xdr:row>723</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50801</xdr:colOff>
      <xdr:row>639</xdr:row>
      <xdr:rowOff>98424</xdr:rowOff>
    </xdr:from>
    <xdr:to>
      <xdr:col>5</xdr:col>
      <xdr:colOff>571501</xdr:colOff>
      <xdr:row>657</xdr:row>
      <xdr:rowOff>95250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3174</xdr:colOff>
      <xdr:row>639</xdr:row>
      <xdr:rowOff>107949</xdr:rowOff>
    </xdr:from>
    <xdr:to>
      <xdr:col>10</xdr:col>
      <xdr:colOff>571499</xdr:colOff>
      <xdr:row>657</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858"/>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649" customWidth="1"/>
    <col min="13" max="13" width="11.625" customWidth="1"/>
    <col min="14" max="23" width="8.125" customWidth="1"/>
    <col min="24" max="24" width="1.625" customWidth="1"/>
    <col min="25" max="25" width="8.125" customWidth="1"/>
    <col min="26" max="26" width="7.625" customWidth="1"/>
    <col min="27" max="27" width="9.5" customWidth="1"/>
    <col min="28" max="28" width="7.75" customWidth="1"/>
    <col min="29" max="29" width="6.625" style="329" customWidth="1"/>
    <col min="30" max="30" width="7.75" style="329" customWidth="1"/>
    <col min="31" max="31" width="8.25" style="557" customWidth="1"/>
    <col min="32" max="32" width="7.5" style="557" customWidth="1"/>
    <col min="33" max="33" width="6.75" style="557" customWidth="1"/>
    <col min="34" max="34" width="7.5" style="557" customWidth="1"/>
    <col min="35" max="35" width="6.125" style="557" customWidth="1"/>
    <col min="36" max="36" width="9" customWidth="1"/>
  </cols>
  <sheetData>
    <row r="1" spans="1:36" ht="11.25" customHeight="1" thickTop="1">
      <c r="A1" s="604">
        <v>1</v>
      </c>
      <c r="B1" s="601"/>
      <c r="C1" s="81"/>
      <c r="D1" s="81"/>
      <c r="E1" s="81"/>
      <c r="F1" s="81"/>
      <c r="G1" s="81"/>
      <c r="H1" s="81"/>
      <c r="I1" s="81"/>
      <c r="J1" s="81"/>
      <c r="K1" s="87"/>
      <c r="L1" s="682" t="s">
        <v>336</v>
      </c>
      <c r="M1" s="977" t="s">
        <v>689</v>
      </c>
      <c r="N1" s="81"/>
      <c r="O1" s="81"/>
      <c r="P1" s="81"/>
      <c r="Q1" s="81"/>
      <c r="R1" s="81"/>
      <c r="S1" s="81"/>
      <c r="T1" s="837" t="str">
        <f t="shared" ref="T1:T6" si="0">IF(OR(AB246="",AB246=0),"",AB246)</f>
        <v/>
      </c>
      <c r="U1" s="844"/>
      <c r="V1" s="844"/>
      <c r="W1" s="845"/>
      <c r="X1" s="668" t="s">
        <v>336</v>
      </c>
      <c r="Y1" s="442" t="s">
        <v>287</v>
      </c>
      <c r="AC1"/>
      <c r="AD1"/>
      <c r="AE1"/>
    </row>
    <row r="2" spans="1:36" ht="11.25" customHeight="1">
      <c r="A2" s="604">
        <v>2</v>
      </c>
      <c r="B2" s="90"/>
      <c r="C2" s="3"/>
      <c r="D2" s="3"/>
      <c r="E2" s="3"/>
      <c r="F2" s="77" t="s">
        <v>635</v>
      </c>
      <c r="G2" s="3"/>
      <c r="H2" s="3"/>
      <c r="I2" s="3"/>
      <c r="J2" s="3"/>
      <c r="K2" s="89"/>
      <c r="L2" s="682" t="s">
        <v>336</v>
      </c>
      <c r="M2" s="88"/>
      <c r="N2" s="3"/>
      <c r="O2" s="3"/>
      <c r="P2" s="3"/>
      <c r="Q2" s="134" t="str">
        <f>$F$2</f>
        <v>Medical University of South Carolina</v>
      </c>
      <c r="S2" s="3"/>
      <c r="T2" s="838" t="str">
        <f t="shared" si="0"/>
        <v/>
      </c>
      <c r="U2" s="846"/>
      <c r="V2" s="847"/>
      <c r="W2" s="848"/>
      <c r="X2" s="668" t="s">
        <v>336</v>
      </c>
      <c r="Y2" s="645" t="s">
        <v>985</v>
      </c>
      <c r="AC2"/>
      <c r="AD2"/>
      <c r="AE2"/>
    </row>
    <row r="3" spans="1:36" ht="11.25" customHeight="1">
      <c r="A3" s="604">
        <v>3</v>
      </c>
      <c r="B3" s="90"/>
      <c r="C3" s="3"/>
      <c r="D3" s="3"/>
      <c r="E3" s="3"/>
      <c r="F3" s="77" t="s">
        <v>636</v>
      </c>
      <c r="G3" s="3"/>
      <c r="H3" s="3"/>
      <c r="I3" s="3"/>
      <c r="J3" s="3"/>
      <c r="K3" s="89"/>
      <c r="L3" s="682" t="s">
        <v>336</v>
      </c>
      <c r="M3" s="88"/>
      <c r="N3" s="3"/>
      <c r="O3" s="3"/>
      <c r="P3" s="3"/>
      <c r="Q3" s="77" t="str">
        <f>$F$3</f>
        <v>Charleston, South Carolina</v>
      </c>
      <c r="S3" s="78"/>
      <c r="T3" s="838" t="str">
        <f t="shared" si="0"/>
        <v/>
      </c>
      <c r="U3" s="846"/>
      <c r="V3" s="847"/>
      <c r="W3" s="848"/>
      <c r="X3" s="668" t="s">
        <v>336</v>
      </c>
      <c r="Y3" s="670" t="s">
        <v>288</v>
      </c>
      <c r="Z3" s="1055" t="s">
        <v>985</v>
      </c>
      <c r="AA3" s="329"/>
      <c r="AB3" s="329"/>
      <c r="AJ3" s="329"/>
    </row>
    <row r="4" spans="1:36" ht="11.25" customHeight="1">
      <c r="A4" s="604">
        <v>4</v>
      </c>
      <c r="B4" s="90"/>
      <c r="C4" s="49"/>
      <c r="D4" s="49"/>
      <c r="E4" s="49"/>
      <c r="F4" s="49"/>
      <c r="G4" s="49"/>
      <c r="H4" s="49"/>
      <c r="I4" s="49"/>
      <c r="J4" s="49"/>
      <c r="K4" s="89"/>
      <c r="L4" s="682" t="s">
        <v>336</v>
      </c>
      <c r="M4" s="88"/>
      <c r="N4" s="49"/>
      <c r="O4" s="49"/>
      <c r="P4" s="49"/>
      <c r="Q4" s="49"/>
      <c r="R4" s="49"/>
      <c r="S4" s="49"/>
      <c r="T4" s="838" t="str">
        <f t="shared" si="0"/>
        <v/>
      </c>
      <c r="U4" s="846"/>
      <c r="V4" s="847"/>
      <c r="W4" s="848"/>
      <c r="X4" s="668" t="s">
        <v>336</v>
      </c>
      <c r="Y4" s="543"/>
      <c r="AA4" s="556" t="s">
        <v>289</v>
      </c>
      <c r="AB4" s="671" t="s">
        <v>592</v>
      </c>
      <c r="AC4" s="543"/>
      <c r="AD4" s="543"/>
      <c r="AJ4" s="329"/>
    </row>
    <row r="5" spans="1:36" ht="11.25" customHeight="1">
      <c r="A5" s="604">
        <v>5</v>
      </c>
      <c r="B5" s="90"/>
      <c r="C5" s="49"/>
      <c r="D5" s="49"/>
      <c r="E5" s="3"/>
      <c r="F5" s="79" t="s">
        <v>688</v>
      </c>
      <c r="G5" s="49"/>
      <c r="H5" s="49"/>
      <c r="I5" s="3"/>
      <c r="J5" s="3"/>
      <c r="K5" s="91"/>
      <c r="L5" s="682" t="s">
        <v>336</v>
      </c>
      <c r="M5" s="88"/>
      <c r="N5" s="49"/>
      <c r="O5" s="49"/>
      <c r="P5" s="79" t="str">
        <f>$F$5</f>
        <v>Radiation Oncology IGRT Compliance Inspection</v>
      </c>
      <c r="S5" s="49"/>
      <c r="T5" s="838" t="str">
        <f t="shared" si="0"/>
        <v/>
      </c>
      <c r="U5" s="846"/>
      <c r="V5" s="847"/>
      <c r="W5" s="848"/>
      <c r="X5" s="668" t="s">
        <v>336</v>
      </c>
      <c r="Y5" s="543"/>
      <c r="AA5" s="329"/>
      <c r="AB5" s="671" t="s">
        <v>290</v>
      </c>
      <c r="AJ5" s="329"/>
    </row>
    <row r="6" spans="1:36" ht="11.25" customHeight="1" thickBot="1">
      <c r="A6" s="604">
        <v>6</v>
      </c>
      <c r="B6" s="92"/>
      <c r="C6" s="93"/>
      <c r="D6" s="93"/>
      <c r="E6" s="93"/>
      <c r="F6" s="94"/>
      <c r="G6" s="93"/>
      <c r="H6" s="93"/>
      <c r="I6" s="93"/>
      <c r="J6" s="93"/>
      <c r="K6" s="95"/>
      <c r="L6" s="682" t="s">
        <v>336</v>
      </c>
      <c r="M6" s="96"/>
      <c r="N6" s="94"/>
      <c r="O6" s="94"/>
      <c r="P6" s="94"/>
      <c r="Q6" s="94"/>
      <c r="R6" s="94"/>
      <c r="S6" s="94"/>
      <c r="T6" s="839" t="str">
        <f t="shared" si="0"/>
        <v/>
      </c>
      <c r="U6" s="849"/>
      <c r="V6" s="849"/>
      <c r="W6" s="850"/>
      <c r="X6" s="668" t="s">
        <v>336</v>
      </c>
      <c r="Y6" s="543"/>
      <c r="Z6" s="543"/>
      <c r="AA6" s="329"/>
      <c r="AB6" s="551" t="s">
        <v>291</v>
      </c>
      <c r="AC6" s="593" t="s">
        <v>593</v>
      </c>
      <c r="AD6" s="547" t="s">
        <v>292</v>
      </c>
      <c r="AJ6" s="329"/>
    </row>
    <row r="7" spans="1:36" ht="11.25" customHeight="1" thickTop="1" thickBot="1">
      <c r="A7" s="604">
        <v>7</v>
      </c>
      <c r="B7" s="97"/>
      <c r="C7" s="49"/>
      <c r="D7" s="49"/>
      <c r="E7" s="49"/>
      <c r="F7" s="49"/>
      <c r="G7" s="42"/>
      <c r="H7" s="42"/>
      <c r="I7" s="42"/>
      <c r="J7" s="42"/>
      <c r="K7" s="42"/>
      <c r="L7" s="682" t="s">
        <v>336</v>
      </c>
      <c r="M7" s="3"/>
      <c r="N7" s="49"/>
      <c r="O7" s="49"/>
      <c r="P7" s="49"/>
      <c r="Q7" s="49"/>
      <c r="R7" s="49"/>
      <c r="S7" s="49"/>
      <c r="T7" s="32"/>
      <c r="U7" s="3"/>
      <c r="V7" s="3"/>
      <c r="W7" s="3"/>
      <c r="X7" s="668" t="s">
        <v>336</v>
      </c>
      <c r="Y7" s="542"/>
      <c r="Z7" s="542"/>
      <c r="AA7" s="549" t="s">
        <v>293</v>
      </c>
      <c r="AB7" s="552" t="s">
        <v>294</v>
      </c>
      <c r="AD7" s="548" t="s">
        <v>294</v>
      </c>
      <c r="AE7" s="558" t="s">
        <v>295</v>
      </c>
      <c r="AF7" s="594" t="s">
        <v>296</v>
      </c>
      <c r="AG7" s="595" t="s">
        <v>594</v>
      </c>
      <c r="AJ7" s="329"/>
    </row>
    <row r="8" spans="1:36" ht="11.25" customHeight="1">
      <c r="A8" s="604">
        <v>8</v>
      </c>
      <c r="B8" s="97"/>
      <c r="C8" s="49"/>
      <c r="D8" s="49"/>
      <c r="E8" s="49"/>
      <c r="F8" s="79" t="s">
        <v>297</v>
      </c>
      <c r="G8" s="47"/>
      <c r="H8" s="42"/>
      <c r="I8" s="48"/>
      <c r="J8" s="42"/>
      <c r="K8" s="42"/>
      <c r="L8" s="682" t="s">
        <v>336</v>
      </c>
      <c r="M8" s="3"/>
      <c r="N8" s="32" t="s">
        <v>298</v>
      </c>
      <c r="O8" s="1070"/>
      <c r="P8" s="49"/>
      <c r="Q8" s="49"/>
      <c r="R8" s="79" t="str">
        <f>$F$8</f>
        <v>System Information</v>
      </c>
      <c r="S8" s="49"/>
      <c r="T8" s="49"/>
      <c r="U8" s="32" t="s">
        <v>299</v>
      </c>
      <c r="V8" s="727" t="s">
        <v>14</v>
      </c>
      <c r="W8" s="3"/>
      <c r="X8" s="668" t="s">
        <v>336</v>
      </c>
      <c r="Y8" s="542"/>
      <c r="Z8" s="542"/>
      <c r="AA8" s="542" t="s">
        <v>300</v>
      </c>
      <c r="AB8" s="913"/>
      <c r="AC8" s="554" t="str">
        <f>IF(AND(OR(AB8="",AB8=0),OR(AD8="",AD8=0)),"",IF(AB8&lt;&gt;AD8,"Change",""))</f>
        <v>Change</v>
      </c>
      <c r="AD8" s="925" t="str">
        <f>IF(Y2="","",Y2)</f>
        <v>FIRST,COMPG1,COMPG2,EXP_BLD,FS_KV,TIM,REPRO,LIN,HVL_IMGQUAL,OUTPUT,CTPG1,CTPG2</v>
      </c>
      <c r="AE8" s="557" t="s">
        <v>470</v>
      </c>
      <c r="AG8" s="595" t="s">
        <v>595</v>
      </c>
      <c r="AJ8" s="329"/>
    </row>
    <row r="9" spans="1:36" ht="11.25" customHeight="1" thickBot="1">
      <c r="A9" s="604">
        <v>9</v>
      </c>
      <c r="B9" s="97"/>
      <c r="C9" s="49"/>
      <c r="D9" s="49"/>
      <c r="E9" s="49"/>
      <c r="F9" s="49"/>
      <c r="G9" s="49"/>
      <c r="H9" s="42"/>
      <c r="I9" s="42"/>
      <c r="J9" s="42"/>
      <c r="K9" s="42"/>
      <c r="L9" s="682" t="s">
        <v>336</v>
      </c>
      <c r="M9" s="3"/>
      <c r="N9" s="768" t="s">
        <v>301</v>
      </c>
      <c r="O9" s="1071" t="str">
        <f>IF(OR(AB9=0,AB9=""),"",AB9)</f>
        <v/>
      </c>
      <c r="P9" s="3"/>
      <c r="Q9" s="3"/>
      <c r="R9" s="3"/>
      <c r="S9" s="3"/>
      <c r="T9" s="3"/>
      <c r="U9" s="769" t="s">
        <v>301</v>
      </c>
      <c r="V9" s="724" t="str">
        <f>IF(OR(AB10=0,AB10=""),"",AB10)</f>
        <v/>
      </c>
      <c r="W9" s="3"/>
      <c r="X9" s="668"/>
      <c r="Y9" s="542"/>
      <c r="Z9" s="329"/>
      <c r="AA9" s="542" t="s">
        <v>298</v>
      </c>
      <c r="AB9" s="1077"/>
      <c r="AC9" s="554" t="str">
        <f t="shared" ref="AC9:AC20" si="1">IF(AND(OR(AB9="",AB9=0),OR(AD9="",AD9=0)),"",IF(AB9&lt;&gt;AD9,"Change",""))</f>
        <v/>
      </c>
      <c r="AD9" s="1078" t="str">
        <f>IF(O8="","",O8)</f>
        <v/>
      </c>
      <c r="AE9" s="557" t="s">
        <v>471</v>
      </c>
      <c r="AJ9" s="329"/>
    </row>
    <row r="10" spans="1:36" ht="11.25" customHeight="1" thickTop="1">
      <c r="A10" s="604">
        <v>10</v>
      </c>
      <c r="B10" s="60"/>
      <c r="C10" s="117" t="s">
        <v>302</v>
      </c>
      <c r="D10" s="58"/>
      <c r="E10" s="58"/>
      <c r="F10" s="58"/>
      <c r="G10" s="58"/>
      <c r="H10" s="118"/>
      <c r="I10" s="118"/>
      <c r="J10" s="118"/>
      <c r="K10" s="61"/>
      <c r="L10" s="682" t="s">
        <v>336</v>
      </c>
      <c r="M10" s="139"/>
      <c r="N10" s="117" t="s">
        <v>302</v>
      </c>
      <c r="O10" s="118"/>
      <c r="P10" s="118"/>
      <c r="Q10" s="725" t="s">
        <v>258</v>
      </c>
      <c r="R10" s="726"/>
      <c r="S10" s="118"/>
      <c r="T10" s="118"/>
      <c r="U10" s="725" t="s">
        <v>258</v>
      </c>
      <c r="V10" s="726"/>
      <c r="W10" s="61"/>
      <c r="X10" s="668" t="s">
        <v>336</v>
      </c>
      <c r="Y10" s="542"/>
      <c r="Z10" s="542"/>
      <c r="AA10" s="542" t="s">
        <v>299</v>
      </c>
      <c r="AB10" s="913"/>
      <c r="AC10" s="554" t="str">
        <f t="shared" si="1"/>
        <v>Change</v>
      </c>
      <c r="AD10" s="925" t="str">
        <f>IF(V8="","",V8)</f>
        <v>Eugene Mah</v>
      </c>
      <c r="AE10" s="557" t="s">
        <v>472</v>
      </c>
      <c r="AF10"/>
      <c r="AG10"/>
      <c r="AH10"/>
      <c r="AI10"/>
    </row>
    <row r="11" spans="1:36" ht="11.25" customHeight="1">
      <c r="A11" s="604">
        <v>11</v>
      </c>
      <c r="B11" s="62"/>
      <c r="C11" s="49"/>
      <c r="D11" s="48" t="s">
        <v>303</v>
      </c>
      <c r="E11" s="52" t="str">
        <f>IF(P11="","",P11)</f>
        <v/>
      </c>
      <c r="F11" s="41"/>
      <c r="G11" s="42"/>
      <c r="H11" s="48" t="s">
        <v>638</v>
      </c>
      <c r="I11" s="909" t="str">
        <f>IF(T11="","",T11)</f>
        <v/>
      </c>
      <c r="J11" s="49"/>
      <c r="K11" s="65"/>
      <c r="L11" s="682" t="s">
        <v>336</v>
      </c>
      <c r="M11" s="129"/>
      <c r="N11" s="42"/>
      <c r="O11" s="48" t="s">
        <v>303</v>
      </c>
      <c r="P11" s="691" t="str">
        <f>IF(Q11&lt;&gt;"",Q11,IF(OR(AB11=0,AB11=""),"",AB11))</f>
        <v/>
      </c>
      <c r="Q11" s="728"/>
      <c r="R11" s="244"/>
      <c r="S11" s="246" t="s">
        <v>20</v>
      </c>
      <c r="T11" s="691" t="str">
        <f>IF(U11&lt;&gt;"",U11,IF(OR(AB38=0,AB38=""),"",AB38))</f>
        <v/>
      </c>
      <c r="U11" s="730"/>
      <c r="V11" s="44"/>
      <c r="W11" s="65"/>
      <c r="X11" s="668" t="s">
        <v>336</v>
      </c>
      <c r="Y11" s="542"/>
      <c r="Z11" s="542"/>
      <c r="AA11" s="542" t="str">
        <f>IF(O11="","",O11)</f>
        <v>Facility:</v>
      </c>
      <c r="AB11" s="913"/>
      <c r="AC11" s="554" t="str">
        <f t="shared" si="1"/>
        <v/>
      </c>
      <c r="AD11" s="907" t="str">
        <f t="shared" ref="AD11:AD21" si="2">IF(P11="","",P11)</f>
        <v/>
      </c>
      <c r="AE11" s="557" t="s">
        <v>473</v>
      </c>
      <c r="AF11"/>
      <c r="AG11"/>
      <c r="AH11"/>
      <c r="AI11"/>
    </row>
    <row r="12" spans="1:36" ht="11.25" customHeight="1">
      <c r="A12" s="604">
        <v>12</v>
      </c>
      <c r="B12" s="62"/>
      <c r="C12" s="49"/>
      <c r="D12" s="48" t="s">
        <v>304</v>
      </c>
      <c r="E12" s="52" t="str">
        <f>IF(P12="","",P12)</f>
        <v/>
      </c>
      <c r="F12" s="53"/>
      <c r="G12" s="49"/>
      <c r="H12" s="48" t="s">
        <v>305</v>
      </c>
      <c r="I12" s="52" t="str">
        <f>IF(T12="","",T12)</f>
        <v/>
      </c>
      <c r="J12" s="41"/>
      <c r="K12" s="66"/>
      <c r="L12" s="682" t="s">
        <v>336</v>
      </c>
      <c r="M12" s="129"/>
      <c r="N12" s="42"/>
      <c r="O12" s="48" t="s">
        <v>304</v>
      </c>
      <c r="P12" s="691" t="str">
        <f>IF(Q12&lt;&gt;"",Q12,IF(OR(AB12=0,AB12=""),"",AB12))</f>
        <v/>
      </c>
      <c r="Q12" s="729"/>
      <c r="R12" s="243"/>
      <c r="S12" s="246" t="s">
        <v>305</v>
      </c>
      <c r="T12" s="691" t="str">
        <f>IF(U12&lt;&gt;"",U12,IF(OR(AB39=0,AB39=""),"",AB39))</f>
        <v/>
      </c>
      <c r="U12" s="965"/>
      <c r="V12" s="42"/>
      <c r="W12" s="65"/>
      <c r="X12" s="668" t="s">
        <v>336</v>
      </c>
      <c r="Y12" s="542"/>
      <c r="Z12" s="542"/>
      <c r="AA12" s="542" t="str">
        <f t="shared" ref="AA12:AA21" si="3">IF(O12="","",O12)</f>
        <v>Department:</v>
      </c>
      <c r="AB12" s="913"/>
      <c r="AC12" s="554" t="str">
        <f t="shared" si="1"/>
        <v/>
      </c>
      <c r="AD12" s="907" t="str">
        <f t="shared" si="2"/>
        <v/>
      </c>
      <c r="AE12" s="557" t="s">
        <v>474</v>
      </c>
      <c r="AF12"/>
      <c r="AG12"/>
      <c r="AH12"/>
      <c r="AI12"/>
    </row>
    <row r="13" spans="1:36" ht="11.25" customHeight="1">
      <c r="A13" s="604">
        <v>13</v>
      </c>
      <c r="B13" s="62"/>
      <c r="C13" s="49"/>
      <c r="D13" s="48" t="s">
        <v>306</v>
      </c>
      <c r="E13" s="52" t="str">
        <f>IF(P13="","",P13)</f>
        <v/>
      </c>
      <c r="F13" s="41"/>
      <c r="G13" s="42"/>
      <c r="H13" s="48" t="s">
        <v>307</v>
      </c>
      <c r="I13" s="972" t="str">
        <f>IF(T13="","",T13)</f>
        <v/>
      </c>
      <c r="J13" s="42"/>
      <c r="K13" s="65"/>
      <c r="L13" s="682" t="s">
        <v>336</v>
      </c>
      <c r="M13" s="129"/>
      <c r="N13" s="42"/>
      <c r="O13" s="48" t="s">
        <v>306</v>
      </c>
      <c r="P13" s="691" t="str">
        <f>IF(Q13&lt;&gt;"",Q13,IF(OR(AB13=0,AB13=""),"",AB13))</f>
        <v/>
      </c>
      <c r="Q13" s="965"/>
      <c r="R13" s="243"/>
      <c r="S13" s="246" t="s">
        <v>307</v>
      </c>
      <c r="T13" s="1098" t="str">
        <f>IF(U13&lt;&gt;"",U13,IF(OR(AB40=0,AB40=""),"",AB40))</f>
        <v/>
      </c>
      <c r="U13" s="968"/>
      <c r="V13" s="42"/>
      <c r="W13" s="65"/>
      <c r="X13" s="668" t="s">
        <v>336</v>
      </c>
      <c r="Y13" s="542"/>
      <c r="Z13" s="542"/>
      <c r="AA13" s="542" t="str">
        <f t="shared" si="3"/>
        <v>Area/Division:</v>
      </c>
      <c r="AB13" s="913"/>
      <c r="AC13" s="554" t="str">
        <f t="shared" si="1"/>
        <v/>
      </c>
      <c r="AD13" s="907" t="str">
        <f t="shared" si="2"/>
        <v/>
      </c>
      <c r="AE13" s="557" t="s">
        <v>475</v>
      </c>
      <c r="AF13"/>
      <c r="AG13"/>
      <c r="AH13"/>
      <c r="AI13"/>
    </row>
    <row r="14" spans="1:36" ht="11.25" customHeight="1">
      <c r="A14" s="604">
        <v>14</v>
      </c>
      <c r="B14" s="62"/>
      <c r="C14" s="42"/>
      <c r="D14" s="48" t="s">
        <v>637</v>
      </c>
      <c r="E14" s="909" t="str">
        <f>IF(P14="","",P14)</f>
        <v/>
      </c>
      <c r="F14" s="49"/>
      <c r="G14" s="49"/>
      <c r="H14" s="48" t="s">
        <v>308</v>
      </c>
      <c r="I14" s="57" t="str">
        <f>IF(T14="","",T14)</f>
        <v/>
      </c>
      <c r="J14" s="42"/>
      <c r="K14" s="65"/>
      <c r="L14" s="682" t="s">
        <v>336</v>
      </c>
      <c r="M14" s="129"/>
      <c r="N14" s="42"/>
      <c r="O14" s="48" t="s">
        <v>637</v>
      </c>
      <c r="P14" s="691" t="str">
        <f>IF(Q14&lt;&gt;"",Q14,IF(OR(AB14=0,AB14=""),"",AB14))</f>
        <v/>
      </c>
      <c r="Q14" s="729"/>
      <c r="R14" s="243"/>
      <c r="S14" s="246" t="s">
        <v>308</v>
      </c>
      <c r="T14" s="691" t="str">
        <f>IF(U14&lt;&gt;"",U14,IF(OR(AB41=0,AB41=""),"",AB41))</f>
        <v/>
      </c>
      <c r="U14" s="731"/>
      <c r="V14" s="42"/>
      <c r="W14" s="65"/>
      <c r="X14" s="668" t="s">
        <v>336</v>
      </c>
      <c r="Y14" s="542"/>
      <c r="Z14" s="542"/>
      <c r="AA14" s="542" t="str">
        <f t="shared" si="3"/>
        <v>Survey ID:</v>
      </c>
      <c r="AB14" s="913"/>
      <c r="AC14" s="554" t="str">
        <f t="shared" si="1"/>
        <v/>
      </c>
      <c r="AD14" s="907" t="str">
        <f t="shared" si="2"/>
        <v/>
      </c>
      <c r="AE14" s="557" t="s">
        <v>476</v>
      </c>
      <c r="AF14"/>
      <c r="AG14"/>
      <c r="AH14"/>
      <c r="AI14"/>
    </row>
    <row r="15" spans="1:36" ht="11.25" customHeight="1">
      <c r="A15" s="604">
        <v>15</v>
      </c>
      <c r="B15" s="62"/>
      <c r="C15" s="42"/>
      <c r="D15" s="48"/>
      <c r="E15" s="54"/>
      <c r="F15" s="42"/>
      <c r="G15" s="49"/>
      <c r="H15" s="49"/>
      <c r="I15" s="49"/>
      <c r="J15" s="42"/>
      <c r="K15" s="65"/>
      <c r="L15" s="682" t="s">
        <v>336</v>
      </c>
      <c r="M15" s="129"/>
      <c r="N15" s="42"/>
      <c r="O15" s="48" t="s">
        <v>309</v>
      </c>
      <c r="P15" s="691" t="str">
        <f>IF(Q15&lt;&gt;"",Q15,IF(OR(AB15=0,AB15=""),"",AB15))</f>
        <v/>
      </c>
      <c r="Q15" s="965"/>
      <c r="R15" s="243"/>
      <c r="S15" s="246" t="s">
        <v>19</v>
      </c>
      <c r="T15" s="691" t="str">
        <f>IF(U15&lt;&gt;"",U15,IF(OR(AB42=0,AB42=""),"",AB42))</f>
        <v/>
      </c>
      <c r="U15" s="731"/>
      <c r="V15" s="44"/>
      <c r="W15" s="65"/>
      <c r="X15" s="668" t="s">
        <v>336</v>
      </c>
      <c r="Y15" s="542"/>
      <c r="Z15" s="542"/>
      <c r="AA15" s="542" t="str">
        <f t="shared" si="3"/>
        <v>Room Number:</v>
      </c>
      <c r="AB15" s="913"/>
      <c r="AC15" s="554" t="str">
        <f t="shared" si="1"/>
        <v/>
      </c>
      <c r="AD15" s="907" t="str">
        <f t="shared" si="2"/>
        <v/>
      </c>
      <c r="AE15" s="557" t="s">
        <v>477</v>
      </c>
      <c r="AI15"/>
    </row>
    <row r="16" spans="1:36" ht="11.25" customHeight="1">
      <c r="A16" s="604">
        <v>16</v>
      </c>
      <c r="B16" s="63"/>
      <c r="C16" s="71"/>
      <c r="D16" s="59"/>
      <c r="E16" s="59"/>
      <c r="F16" s="59"/>
      <c r="G16" s="59"/>
      <c r="H16" s="71"/>
      <c r="I16" s="72"/>
      <c r="J16" s="72"/>
      <c r="K16" s="73"/>
      <c r="L16" s="682" t="s">
        <v>336</v>
      </c>
      <c r="M16" s="129"/>
      <c r="N16" s="42"/>
      <c r="O16" s="42"/>
      <c r="P16" s="243"/>
      <c r="Q16" s="243"/>
      <c r="R16" s="243"/>
      <c r="S16" s="243"/>
      <c r="T16" s="42"/>
      <c r="U16" s="42"/>
      <c r="V16" s="42"/>
      <c r="W16" s="65"/>
      <c r="X16" s="668" t="s">
        <v>336</v>
      </c>
      <c r="Y16" s="542"/>
      <c r="Z16" s="329"/>
      <c r="AA16" s="542" t="str">
        <f t="shared" si="3"/>
        <v/>
      </c>
      <c r="AB16" s="542"/>
      <c r="AC16" s="554" t="str">
        <f t="shared" si="1"/>
        <v/>
      </c>
      <c r="AD16" s="511"/>
      <c r="AI16"/>
    </row>
    <row r="17" spans="1:36" ht="11.25" customHeight="1">
      <c r="A17" s="604">
        <v>17</v>
      </c>
      <c r="B17" s="62"/>
      <c r="C17" s="101" t="s">
        <v>310</v>
      </c>
      <c r="D17" s="99"/>
      <c r="E17" s="49"/>
      <c r="F17" s="49"/>
      <c r="G17" s="49"/>
      <c r="H17" s="42"/>
      <c r="I17" s="48"/>
      <c r="J17" s="44"/>
      <c r="K17" s="66"/>
      <c r="L17" s="682" t="s">
        <v>336</v>
      </c>
      <c r="M17" s="129"/>
      <c r="N17" s="101" t="s">
        <v>310</v>
      </c>
      <c r="O17" s="100"/>
      <c r="P17" s="243"/>
      <c r="Q17" s="243"/>
      <c r="R17" s="243"/>
      <c r="S17" s="243"/>
      <c r="T17" s="42"/>
      <c r="U17" s="42"/>
      <c r="V17" s="42"/>
      <c r="W17" s="65"/>
      <c r="X17" s="668" t="s">
        <v>336</v>
      </c>
      <c r="Y17" s="542"/>
      <c r="Z17" s="542"/>
      <c r="AA17" s="549" t="s">
        <v>310</v>
      </c>
      <c r="AB17" s="542"/>
      <c r="AC17" s="554" t="str">
        <f t="shared" si="1"/>
        <v/>
      </c>
      <c r="AD17" s="592"/>
      <c r="AI17"/>
    </row>
    <row r="18" spans="1:36" ht="11.25" customHeight="1">
      <c r="A18" s="604">
        <v>18</v>
      </c>
      <c r="B18" s="62"/>
      <c r="C18" s="42"/>
      <c r="D18" s="48" t="s">
        <v>311</v>
      </c>
      <c r="E18" s="52" t="str">
        <f>IF(P18="","",P18)</f>
        <v/>
      </c>
      <c r="F18" s="42"/>
      <c r="G18" s="49"/>
      <c r="H18" s="48" t="s">
        <v>312</v>
      </c>
      <c r="I18" s="972" t="str">
        <f>IF(T18="","",T18)</f>
        <v/>
      </c>
      <c r="J18" s="44"/>
      <c r="K18" s="65"/>
      <c r="L18" s="682" t="s">
        <v>336</v>
      </c>
      <c r="M18" s="129"/>
      <c r="N18" s="42"/>
      <c r="O18" s="48" t="s">
        <v>311</v>
      </c>
      <c r="P18" s="691" t="str">
        <f>IF(Q18&lt;&gt;"",Q18,IF(OR(AB18=0,AB18=""),"",AB18))</f>
        <v/>
      </c>
      <c r="Q18" s="908"/>
      <c r="R18" s="243"/>
      <c r="S18" s="246" t="s">
        <v>312</v>
      </c>
      <c r="T18" s="969" t="str">
        <f>IF(U18&lt;&gt;"",U18,IF(OR(AB22=0,AB22=""),"",AB22))</f>
        <v/>
      </c>
      <c r="U18" s="970"/>
      <c r="V18" s="42"/>
      <c r="W18" s="65"/>
      <c r="X18" s="668" t="s">
        <v>336</v>
      </c>
      <c r="Y18" s="542"/>
      <c r="Z18" s="542"/>
      <c r="AA18" s="542" t="str">
        <f t="shared" si="3"/>
        <v>Manufacturer:</v>
      </c>
      <c r="AB18" s="913"/>
      <c r="AC18" s="554" t="str">
        <f t="shared" si="1"/>
        <v/>
      </c>
      <c r="AD18" s="907" t="str">
        <f t="shared" si="2"/>
        <v/>
      </c>
      <c r="AE18" s="557" t="s">
        <v>478</v>
      </c>
      <c r="AI18"/>
    </row>
    <row r="19" spans="1:36" ht="11.25" customHeight="1">
      <c r="A19" s="604">
        <v>19</v>
      </c>
      <c r="B19" s="62"/>
      <c r="C19" s="42"/>
      <c r="D19" s="48" t="s">
        <v>313</v>
      </c>
      <c r="E19" s="52" t="str">
        <f>IF(P19="","",P19)</f>
        <v/>
      </c>
      <c r="F19" s="42"/>
      <c r="G19" s="49"/>
      <c r="H19" s="48" t="s">
        <v>314</v>
      </c>
      <c r="I19" s="909" t="str">
        <f>IF(T19="","",T19)</f>
        <v/>
      </c>
      <c r="J19" s="51"/>
      <c r="K19" s="65"/>
      <c r="L19" s="682" t="s">
        <v>336</v>
      </c>
      <c r="M19" s="129"/>
      <c r="N19" s="42"/>
      <c r="O19" s="48" t="s">
        <v>313</v>
      </c>
      <c r="P19" s="691" t="str">
        <f>IF(Q19&lt;&gt;"",Q19,IF(OR(AB19=0,AB19=""),"",AB19))</f>
        <v/>
      </c>
      <c r="Q19" s="965"/>
      <c r="R19" s="243"/>
      <c r="S19" s="246" t="s">
        <v>314</v>
      </c>
      <c r="T19" s="969" t="str">
        <f t="shared" ref="T19:T20" si="4">IF(U19&lt;&gt;"",U19,IF(OR(AB23=0,AB23=""),"",AB23))</f>
        <v/>
      </c>
      <c r="U19" s="966"/>
      <c r="V19" s="42"/>
      <c r="W19" s="65"/>
      <c r="X19" s="668" t="s">
        <v>336</v>
      </c>
      <c r="Y19" s="542"/>
      <c r="Z19" s="542"/>
      <c r="AA19" s="542" t="str">
        <f t="shared" si="3"/>
        <v>Model:</v>
      </c>
      <c r="AB19" s="913"/>
      <c r="AC19" s="554" t="str">
        <f t="shared" si="1"/>
        <v/>
      </c>
      <c r="AD19" s="907" t="str">
        <f t="shared" si="2"/>
        <v/>
      </c>
      <c r="AE19" s="557" t="s">
        <v>479</v>
      </c>
      <c r="AF19" s="558"/>
      <c r="AI19"/>
    </row>
    <row r="20" spans="1:36" ht="11.25" customHeight="1">
      <c r="A20" s="604">
        <v>20</v>
      </c>
      <c r="B20" s="62"/>
      <c r="C20" s="42"/>
      <c r="D20" s="48" t="s">
        <v>315</v>
      </c>
      <c r="E20" s="57" t="str">
        <f>IF(P20="","",P20)</f>
        <v/>
      </c>
      <c r="F20" s="105"/>
      <c r="G20" s="42"/>
      <c r="H20" s="48" t="s">
        <v>316</v>
      </c>
      <c r="I20" s="57" t="str">
        <f>IF(T20="","",T20)</f>
        <v/>
      </c>
      <c r="J20" s="42"/>
      <c r="K20" s="65"/>
      <c r="L20" s="682" t="s">
        <v>336</v>
      </c>
      <c r="M20" s="129"/>
      <c r="N20" s="42"/>
      <c r="O20" s="48" t="s">
        <v>315</v>
      </c>
      <c r="P20" s="692" t="str">
        <f>IF(Q20&lt;&gt;"",Q20,IF(OR(AB20=0,AB20=""),"",AB20))</f>
        <v/>
      </c>
      <c r="Q20" s="731"/>
      <c r="R20" s="243"/>
      <c r="S20" s="246" t="s">
        <v>316</v>
      </c>
      <c r="T20" s="969" t="str">
        <f t="shared" si="4"/>
        <v/>
      </c>
      <c r="U20" s="731"/>
      <c r="V20" s="49"/>
      <c r="W20" s="65"/>
      <c r="X20" s="668" t="s">
        <v>336</v>
      </c>
      <c r="Y20" s="542"/>
      <c r="Z20" s="542"/>
      <c r="AA20" s="542" t="str">
        <f t="shared" si="3"/>
        <v>Max. kVp:</v>
      </c>
      <c r="AB20" s="913"/>
      <c r="AC20" s="554" t="str">
        <f t="shared" si="1"/>
        <v/>
      </c>
      <c r="AD20" s="926" t="str">
        <f t="shared" si="2"/>
        <v/>
      </c>
      <c r="AE20" s="557" t="s">
        <v>480</v>
      </c>
      <c r="AI20"/>
    </row>
    <row r="21" spans="1:36" ht="11.25" customHeight="1">
      <c r="A21" s="604">
        <v>21</v>
      </c>
      <c r="B21" s="62"/>
      <c r="C21" s="42"/>
      <c r="D21" s="48" t="s">
        <v>668</v>
      </c>
      <c r="E21" s="57" t="str">
        <f>IF(P21="","",P21)</f>
        <v/>
      </c>
      <c r="F21" s="42"/>
      <c r="G21" s="42"/>
      <c r="H21" s="42"/>
      <c r="I21" s="42"/>
      <c r="J21" s="44"/>
      <c r="K21" s="65"/>
      <c r="L21" s="682" t="s">
        <v>336</v>
      </c>
      <c r="M21" s="129"/>
      <c r="N21" s="42"/>
      <c r="O21" s="48" t="s">
        <v>668</v>
      </c>
      <c r="P21" s="692" t="str">
        <f>IF(Q21&lt;&gt;"",Q21,IF(OR(AB21=0,AB21=""),"",AB21))</f>
        <v/>
      </c>
      <c r="Q21" s="731"/>
      <c r="R21" s="243"/>
      <c r="S21" s="243"/>
      <c r="T21" s="246"/>
      <c r="U21" s="144"/>
      <c r="V21" s="42"/>
      <c r="W21" s="65"/>
      <c r="X21" s="668" t="s">
        <v>336</v>
      </c>
      <c r="Y21" s="542"/>
      <c r="Z21" s="542"/>
      <c r="AA21" s="542" t="str">
        <f t="shared" si="3"/>
        <v>Software Version:</v>
      </c>
      <c r="AB21" s="913"/>
      <c r="AC21" s="554" t="str">
        <f t="shared" ref="AC21" si="5">IF(AND(OR(AB21="",AB21=0),OR(AD21="",AD21=0)),"",IF(AB21&lt;&gt;AD21,"Change",""))</f>
        <v/>
      </c>
      <c r="AD21" s="1052" t="str">
        <f t="shared" si="2"/>
        <v/>
      </c>
      <c r="AE21" s="557" t="s">
        <v>714</v>
      </c>
      <c r="AI21"/>
    </row>
    <row r="22" spans="1:36" ht="11.25" customHeight="1">
      <c r="A22" s="604">
        <v>22</v>
      </c>
      <c r="B22" s="63"/>
      <c r="C22" s="59"/>
      <c r="D22" s="74"/>
      <c r="E22" s="71"/>
      <c r="F22" s="71"/>
      <c r="G22" s="71"/>
      <c r="H22" s="71"/>
      <c r="I22" s="72"/>
      <c r="J22" s="71"/>
      <c r="K22" s="64"/>
      <c r="L22" s="682" t="s">
        <v>336</v>
      </c>
      <c r="M22" s="129"/>
      <c r="N22" s="42"/>
      <c r="O22" s="48"/>
      <c r="P22" s="243"/>
      <c r="Q22" s="243"/>
      <c r="R22" s="243"/>
      <c r="S22" s="243"/>
      <c r="T22" s="244"/>
      <c r="U22" s="44"/>
      <c r="V22" s="42"/>
      <c r="W22" s="65"/>
      <c r="X22" s="668" t="s">
        <v>336</v>
      </c>
      <c r="Y22" s="542"/>
      <c r="Z22" s="329"/>
      <c r="AA22" s="542" t="str">
        <f>IF(S18="","",S18)</f>
        <v>Date of Manufacture:</v>
      </c>
      <c r="AB22" s="1107"/>
      <c r="AC22" s="554" t="str">
        <f t="shared" ref="AC22:AC24" si="6">IF(AND(OR(AB22="",AB22=0),OR(AD22="",AD22=0)),"",IF(AB22&lt;&gt;AD22,"Change",""))</f>
        <v/>
      </c>
      <c r="AD22" s="1106" t="str">
        <f>IF(T18="","",T18)</f>
        <v/>
      </c>
      <c r="AE22" s="557" t="s">
        <v>493</v>
      </c>
      <c r="AI22"/>
    </row>
    <row r="23" spans="1:36" ht="11.25" customHeight="1">
      <c r="A23" s="604">
        <v>23</v>
      </c>
      <c r="B23" s="62"/>
      <c r="C23" s="101" t="str">
        <f>IF(N23="","",N23)</f>
        <v>X-Ray Tube 1</v>
      </c>
      <c r="D23" s="100"/>
      <c r="E23" s="42"/>
      <c r="F23" s="42"/>
      <c r="G23" s="49"/>
      <c r="H23" s="44"/>
      <c r="I23" s="100" t="s">
        <v>317</v>
      </c>
      <c r="J23" s="44"/>
      <c r="K23" s="65"/>
      <c r="L23" s="682" t="s">
        <v>336</v>
      </c>
      <c r="M23" s="129"/>
      <c r="N23" s="101" t="s">
        <v>318</v>
      </c>
      <c r="O23" s="42"/>
      <c r="P23" s="243"/>
      <c r="Q23" s="243"/>
      <c r="R23" s="243"/>
      <c r="S23" s="243"/>
      <c r="T23" s="1246" t="s">
        <v>319</v>
      </c>
      <c r="U23" s="44"/>
      <c r="V23" s="42"/>
      <c r="W23" s="65"/>
      <c r="X23" s="668" t="s">
        <v>336</v>
      </c>
      <c r="Y23" s="542"/>
      <c r="Z23" s="542"/>
      <c r="AA23" s="542" t="str">
        <f t="shared" ref="AA23:AA24" si="7">IF(S19="","",S19)</f>
        <v>Serial Number:</v>
      </c>
      <c r="AB23" s="913"/>
      <c r="AC23" s="554" t="str">
        <f t="shared" si="6"/>
        <v/>
      </c>
      <c r="AD23" s="1105" t="str">
        <f>IF(T19="","",T19)</f>
        <v/>
      </c>
      <c r="AE23" s="557" t="s">
        <v>494</v>
      </c>
      <c r="AI23"/>
    </row>
    <row r="24" spans="1:36" ht="11.25" customHeight="1">
      <c r="A24" s="604">
        <v>24</v>
      </c>
      <c r="B24" s="62"/>
      <c r="C24" s="42"/>
      <c r="D24" s="48" t="s">
        <v>320</v>
      </c>
      <c r="E24" s="52" t="str">
        <f>IF(P24="","",P24)</f>
        <v/>
      </c>
      <c r="F24" s="42"/>
      <c r="G24" s="49"/>
      <c r="H24" s="48" t="str">
        <f t="shared" ref="H24:I26" si="8">IF(S24="","",S24)</f>
        <v>Large:</v>
      </c>
      <c r="I24" s="351" t="str">
        <f t="shared" si="8"/>
        <v/>
      </c>
      <c r="J24" s="44"/>
      <c r="K24" s="65"/>
      <c r="L24" s="682" t="s">
        <v>336</v>
      </c>
      <c r="M24" s="129"/>
      <c r="N24" s="42"/>
      <c r="O24" s="48" t="s">
        <v>320</v>
      </c>
      <c r="P24" s="691" t="str">
        <f>IF(Q24&lt;&gt;"",Q24,IF(OR(AB27=0,AB27=""),"",AB27))</f>
        <v/>
      </c>
      <c r="Q24" s="908"/>
      <c r="R24" s="243"/>
      <c r="S24" s="246" t="s">
        <v>321</v>
      </c>
      <c r="T24" s="690" t="str">
        <f>IF(U24&lt;&gt;"",U24,IF(OR(AB45=0,AB45=""),"",AB45))</f>
        <v/>
      </c>
      <c r="U24" s="732"/>
      <c r="V24" s="42"/>
      <c r="W24" s="65"/>
      <c r="X24" s="668" t="s">
        <v>336</v>
      </c>
      <c r="Y24" s="542"/>
      <c r="Z24" s="542"/>
      <c r="AA24" s="542" t="str">
        <f t="shared" si="7"/>
        <v>Max. mA:</v>
      </c>
      <c r="AB24" s="913"/>
      <c r="AC24" s="554" t="str">
        <f t="shared" si="6"/>
        <v/>
      </c>
      <c r="AD24" s="1105" t="str">
        <f>IF(T20="","",T20)</f>
        <v/>
      </c>
      <c r="AE24" s="557" t="s">
        <v>495</v>
      </c>
      <c r="AI24" s="443"/>
      <c r="AJ24" s="443"/>
    </row>
    <row r="25" spans="1:36" ht="11.25" customHeight="1">
      <c r="A25" s="604">
        <v>25</v>
      </c>
      <c r="B25" s="62"/>
      <c r="C25" s="42"/>
      <c r="D25" s="48" t="s">
        <v>312</v>
      </c>
      <c r="E25" s="972" t="str">
        <f>IF(P25="","",P25)</f>
        <v/>
      </c>
      <c r="F25" s="42"/>
      <c r="G25" s="49"/>
      <c r="H25" s="48" t="str">
        <f t="shared" si="8"/>
        <v>Small:</v>
      </c>
      <c r="I25" s="351" t="str">
        <f t="shared" si="8"/>
        <v/>
      </c>
      <c r="J25" s="44"/>
      <c r="K25" s="65"/>
      <c r="L25" s="682" t="s">
        <v>336</v>
      </c>
      <c r="M25" s="129"/>
      <c r="N25" s="42"/>
      <c r="O25" s="48" t="s">
        <v>312</v>
      </c>
      <c r="P25" s="969" t="str">
        <f>IF(Q25&lt;&gt;"",Q25,IF(OR(AB28=0,AB28=""),"",AB28))</f>
        <v/>
      </c>
      <c r="Q25" s="968"/>
      <c r="R25" s="243"/>
      <c r="S25" s="246" t="s">
        <v>322</v>
      </c>
      <c r="T25" s="690" t="str">
        <f>IF(U25&lt;&gt;"",U25,IF(OR(AB46=0,AB46=""),"",AB46))</f>
        <v/>
      </c>
      <c r="U25" s="733"/>
      <c r="V25" s="42"/>
      <c r="W25" s="65"/>
      <c r="X25" s="668" t="s">
        <v>336</v>
      </c>
      <c r="Y25" s="542"/>
      <c r="Z25" s="542"/>
      <c r="AI25" s="443"/>
      <c r="AJ25" s="443"/>
    </row>
    <row r="26" spans="1:36" ht="11.25" customHeight="1">
      <c r="A26" s="604">
        <v>26</v>
      </c>
      <c r="B26" s="62"/>
      <c r="C26" s="42"/>
      <c r="D26" s="48"/>
      <c r="E26" s="49"/>
      <c r="F26" s="49"/>
      <c r="G26" s="49"/>
      <c r="H26" s="48" t="str">
        <f>IF(T26="","",S26)</f>
        <v/>
      </c>
      <c r="I26" s="351" t="str">
        <f t="shared" si="8"/>
        <v/>
      </c>
      <c r="J26" s="44"/>
      <c r="K26" s="65"/>
      <c r="L26" s="682" t="s">
        <v>336</v>
      </c>
      <c r="M26" s="129"/>
      <c r="N26" s="42"/>
      <c r="O26" s="48"/>
      <c r="P26" s="243"/>
      <c r="Q26" s="243"/>
      <c r="R26" s="243"/>
      <c r="S26" s="246" t="s">
        <v>323</v>
      </c>
      <c r="T26" s="690" t="str">
        <f>IF(U26&lt;&gt;"",U26,IF(OR(AB47=0,AB47=""),"",AB47))</f>
        <v/>
      </c>
      <c r="U26" s="733"/>
      <c r="V26" s="42"/>
      <c r="W26" s="65"/>
      <c r="X26" s="668" t="s">
        <v>336</v>
      </c>
      <c r="Y26" s="542"/>
      <c r="Z26" s="542"/>
      <c r="AA26" s="549" t="s">
        <v>318</v>
      </c>
      <c r="AB26" s="542"/>
      <c r="AC26" s="554" t="str">
        <f t="shared" ref="AC26:AC37" si="9">IF(AND(OR(AB26="",AB26=0),OR(AD26="",AD26=0)),"",IF(AB26&lt;&gt;AD26,"Change",""))</f>
        <v/>
      </c>
      <c r="AD26" s="511"/>
      <c r="AI26" s="443"/>
      <c r="AJ26" s="443"/>
    </row>
    <row r="27" spans="1:36" ht="11.25" customHeight="1">
      <c r="A27" s="604">
        <v>27</v>
      </c>
      <c r="B27" s="62"/>
      <c r="C27" s="42"/>
      <c r="D27" s="48" t="s">
        <v>324</v>
      </c>
      <c r="E27" s="52" t="str">
        <f>IF(P27="","",P27)</f>
        <v/>
      </c>
      <c r="F27" s="42"/>
      <c r="G27" s="49"/>
      <c r="H27" s="49"/>
      <c r="I27" s="100" t="s">
        <v>325</v>
      </c>
      <c r="J27" s="49"/>
      <c r="K27" s="65"/>
      <c r="L27" s="682" t="s">
        <v>336</v>
      </c>
      <c r="M27" s="129"/>
      <c r="N27" s="42"/>
      <c r="O27" s="48" t="s">
        <v>324</v>
      </c>
      <c r="P27" s="691" t="str">
        <f>IF(Q27&lt;&gt;"",Q27,IF(OR(AB30=0,AB30=""),"",AB30))</f>
        <v/>
      </c>
      <c r="Q27" s="908"/>
      <c r="R27" s="243"/>
      <c r="S27" s="243"/>
      <c r="T27" s="1246" t="s">
        <v>325</v>
      </c>
      <c r="U27" s="44"/>
      <c r="V27" s="42"/>
      <c r="W27" s="65"/>
      <c r="X27" s="668" t="s">
        <v>336</v>
      </c>
      <c r="Y27" s="542"/>
      <c r="Z27" s="542"/>
      <c r="AA27" s="542" t="str">
        <f t="shared" ref="AA27:AA37" si="10">IF(O24="","",O24)</f>
        <v>Tube Designation/Use:</v>
      </c>
      <c r="AB27" s="913"/>
      <c r="AC27" s="554" t="str">
        <f t="shared" si="9"/>
        <v/>
      </c>
      <c r="AD27" s="907" t="str">
        <f>IF(P24="","",P24)</f>
        <v/>
      </c>
      <c r="AE27" s="557" t="s">
        <v>481</v>
      </c>
      <c r="AI27" s="443"/>
      <c r="AJ27" s="443"/>
    </row>
    <row r="28" spans="1:36" ht="11.25" customHeight="1">
      <c r="A28" s="604">
        <v>28</v>
      </c>
      <c r="B28" s="62"/>
      <c r="C28" s="48"/>
      <c r="D28" s="48" t="s">
        <v>326</v>
      </c>
      <c r="E28" s="56" t="str">
        <f>IF(P28="","",P28)</f>
        <v/>
      </c>
      <c r="F28" s="42"/>
      <c r="G28" s="42"/>
      <c r="H28" s="48" t="s">
        <v>327</v>
      </c>
      <c r="I28" s="940" t="str">
        <f>IF(T28="","",T28)</f>
        <v/>
      </c>
      <c r="J28" s="49"/>
      <c r="K28" s="65"/>
      <c r="L28" s="682" t="s">
        <v>336</v>
      </c>
      <c r="M28" s="129"/>
      <c r="N28" s="48"/>
      <c r="O28" s="48" t="s">
        <v>326</v>
      </c>
      <c r="P28" s="691" t="str">
        <f>IF(Q28&lt;&gt;"",Q28,IF(OR(AB31=0,AB31=""),"",AB31))</f>
        <v/>
      </c>
      <c r="Q28" s="729"/>
      <c r="R28" s="243"/>
      <c r="S28" s="246" t="s">
        <v>327</v>
      </c>
      <c r="T28" s="693" t="str">
        <f>IF(U28&lt;&gt;"",U28,IF(OR(AB49=0,AB49=""),"",AB49))</f>
        <v/>
      </c>
      <c r="U28" s="908"/>
      <c r="V28" s="44"/>
      <c r="W28" s="65"/>
      <c r="X28" s="668" t="s">
        <v>336</v>
      </c>
      <c r="Y28" s="542"/>
      <c r="Z28" s="542"/>
      <c r="AA28" s="542" t="str">
        <f t="shared" si="10"/>
        <v>Date of Manufacture:</v>
      </c>
      <c r="AB28" s="842"/>
      <c r="AC28" s="554" t="str">
        <f t="shared" si="9"/>
        <v/>
      </c>
      <c r="AD28" s="967" t="str">
        <f>IF(P25="","",P25)</f>
        <v/>
      </c>
      <c r="AE28" s="557" t="s">
        <v>482</v>
      </c>
      <c r="AI28" s="443"/>
      <c r="AJ28" s="443"/>
    </row>
    <row r="29" spans="1:36" ht="11.25" customHeight="1">
      <c r="A29" s="604">
        <v>29</v>
      </c>
      <c r="B29" s="62"/>
      <c r="C29" s="42"/>
      <c r="D29" s="48" t="s">
        <v>328</v>
      </c>
      <c r="E29" s="56" t="str">
        <f>IF(P29="","",P29)</f>
        <v/>
      </c>
      <c r="F29" s="42"/>
      <c r="G29" s="42"/>
      <c r="H29" s="48" t="s">
        <v>329</v>
      </c>
      <c r="I29" s="940" t="str">
        <f>IF(T29="","",T29)</f>
        <v/>
      </c>
      <c r="J29" s="44"/>
      <c r="K29" s="66"/>
      <c r="L29" s="682" t="s">
        <v>336</v>
      </c>
      <c r="M29" s="129"/>
      <c r="N29" s="42"/>
      <c r="O29" s="48" t="s">
        <v>328</v>
      </c>
      <c r="P29" s="691" t="str">
        <f>IF(Q29&lt;&gt;"",Q29,IF(OR(AB32=0,AB32=""),"",AB32))</f>
        <v/>
      </c>
      <c r="Q29" s="965"/>
      <c r="R29" s="243"/>
      <c r="S29" s="246" t="s">
        <v>329</v>
      </c>
      <c r="T29" s="693" t="str">
        <f>IF(U29&lt;&gt;"",U29,IF(OR(AB50=0,AB50=""),"",AB50))</f>
        <v/>
      </c>
      <c r="U29" s="729"/>
      <c r="V29" s="44"/>
      <c r="W29" s="65"/>
      <c r="X29" s="668" t="s">
        <v>336</v>
      </c>
      <c r="Y29" s="542"/>
      <c r="Z29" s="542"/>
      <c r="AA29" s="542" t="str">
        <f t="shared" si="10"/>
        <v/>
      </c>
      <c r="AB29" s="542"/>
      <c r="AC29" s="554" t="str">
        <f t="shared" si="9"/>
        <v/>
      </c>
      <c r="AD29" s="592"/>
      <c r="AI29" s="443"/>
      <c r="AJ29" s="443"/>
    </row>
    <row r="30" spans="1:36" ht="11.25" customHeight="1">
      <c r="A30" s="604">
        <v>30</v>
      </c>
      <c r="B30" s="62"/>
      <c r="C30" s="49"/>
      <c r="D30" s="42"/>
      <c r="E30" s="42"/>
      <c r="F30" s="42"/>
      <c r="G30" s="50"/>
      <c r="H30" s="42"/>
      <c r="I30" s="44"/>
      <c r="J30" s="44"/>
      <c r="K30" s="66"/>
      <c r="L30" s="682" t="s">
        <v>336</v>
      </c>
      <c r="M30" s="129"/>
      <c r="N30" s="42"/>
      <c r="O30" s="42"/>
      <c r="P30" s="243"/>
      <c r="Q30" s="243"/>
      <c r="R30" s="243"/>
      <c r="S30" s="246"/>
      <c r="T30" s="243"/>
      <c r="U30" s="42"/>
      <c r="V30" s="42"/>
      <c r="W30" s="65"/>
      <c r="X30" s="668" t="s">
        <v>336</v>
      </c>
      <c r="Y30" s="542"/>
      <c r="Z30" s="542"/>
      <c r="AA30" s="542" t="str">
        <f t="shared" si="10"/>
        <v>Insert Manufacturer:</v>
      </c>
      <c r="AB30" s="913"/>
      <c r="AC30" s="554" t="str">
        <f t="shared" si="9"/>
        <v/>
      </c>
      <c r="AD30" s="907" t="str">
        <f>IF(P27="","",P27)</f>
        <v/>
      </c>
      <c r="AE30" s="557" t="s">
        <v>483</v>
      </c>
      <c r="AI30" s="443"/>
      <c r="AJ30" s="443"/>
    </row>
    <row r="31" spans="1:36" ht="11.25" customHeight="1">
      <c r="A31" s="604">
        <v>31</v>
      </c>
      <c r="B31" s="62"/>
      <c r="C31" s="48"/>
      <c r="D31" s="48" t="s">
        <v>330</v>
      </c>
      <c r="E31" s="52" t="str">
        <f>IF(P31="","",P31)</f>
        <v/>
      </c>
      <c r="F31" s="42"/>
      <c r="G31" s="49"/>
      <c r="H31" s="49"/>
      <c r="I31" s="102" t="s">
        <v>331</v>
      </c>
      <c r="J31" s="47"/>
      <c r="K31" s="65"/>
      <c r="L31" s="682" t="s">
        <v>336</v>
      </c>
      <c r="M31" s="129"/>
      <c r="N31" s="48"/>
      <c r="O31" s="48" t="s">
        <v>330</v>
      </c>
      <c r="P31" s="691" t="str">
        <f>IF(Q31&lt;&gt;"",Q31,IF(OR(AB34=0,AB34=""),"",AB34))</f>
        <v/>
      </c>
      <c r="Q31" s="908"/>
      <c r="R31" s="553"/>
      <c r="S31" s="243"/>
      <c r="T31" s="1246" t="s">
        <v>331</v>
      </c>
      <c r="U31" s="137"/>
      <c r="V31" s="44"/>
      <c r="W31" s="65"/>
      <c r="X31" s="668" t="s">
        <v>336</v>
      </c>
      <c r="Y31" s="542"/>
      <c r="Z31" s="542"/>
      <c r="AA31" s="542" t="str">
        <f t="shared" si="10"/>
        <v>Insert Model:</v>
      </c>
      <c r="AB31" s="913"/>
      <c r="AC31" s="554" t="str">
        <f t="shared" si="9"/>
        <v/>
      </c>
      <c r="AD31" s="926" t="str">
        <f>IF(P28="","",P28)</f>
        <v/>
      </c>
      <c r="AE31" s="557" t="s">
        <v>484</v>
      </c>
      <c r="AI31" s="443"/>
      <c r="AJ31" s="443"/>
    </row>
    <row r="32" spans="1:36" ht="11.25" customHeight="1">
      <c r="A32" s="604">
        <v>32</v>
      </c>
      <c r="B32" s="62"/>
      <c r="C32" s="42"/>
      <c r="D32" s="48" t="s">
        <v>332</v>
      </c>
      <c r="E32" s="56" t="str">
        <f>IF(P32="","",P32)</f>
        <v/>
      </c>
      <c r="F32" s="42"/>
      <c r="G32" s="49"/>
      <c r="H32" s="48" t="s">
        <v>333</v>
      </c>
      <c r="I32" s="52" t="str">
        <f>IF(T32="","",T32)</f>
        <v/>
      </c>
      <c r="J32" s="41"/>
      <c r="K32" s="66"/>
      <c r="L32" s="682" t="s">
        <v>336</v>
      </c>
      <c r="M32" s="129"/>
      <c r="N32" s="42"/>
      <c r="O32" s="48" t="s">
        <v>332</v>
      </c>
      <c r="P32" s="691" t="str">
        <f>IF(Q32&lt;&gt;"",Q32,IF(OR(AB35=0,AB35=""),"",AB35))</f>
        <v/>
      </c>
      <c r="Q32" s="729"/>
      <c r="R32" s="243"/>
      <c r="S32" s="246" t="s">
        <v>333</v>
      </c>
      <c r="T32" s="693" t="str">
        <f>IF(U32&lt;&gt;"",U32,IF(OR(AB53=0,AB53=""),"",AB53))</f>
        <v/>
      </c>
      <c r="U32" s="908"/>
      <c r="V32" s="49"/>
      <c r="W32" s="65"/>
      <c r="X32" s="668" t="s">
        <v>336</v>
      </c>
      <c r="Y32" s="542"/>
      <c r="Z32" s="542"/>
      <c r="AA32" s="542" t="str">
        <f t="shared" si="10"/>
        <v>Insert Serial Number:</v>
      </c>
      <c r="AB32" s="913"/>
      <c r="AC32" s="554" t="str">
        <f t="shared" si="9"/>
        <v/>
      </c>
      <c r="AD32" s="926" t="str">
        <f>IF(P29="","",P29)</f>
        <v/>
      </c>
      <c r="AE32" s="557" t="s">
        <v>485</v>
      </c>
      <c r="AI32" s="443"/>
      <c r="AJ32" s="443"/>
    </row>
    <row r="33" spans="1:36" ht="11.25" customHeight="1">
      <c r="A33" s="604">
        <v>33</v>
      </c>
      <c r="B33" s="62"/>
      <c r="C33" s="42"/>
      <c r="D33" s="48" t="s">
        <v>334</v>
      </c>
      <c r="E33" s="56" t="str">
        <f>IF(P33="","",P33)</f>
        <v/>
      </c>
      <c r="F33" s="42"/>
      <c r="G33" s="49"/>
      <c r="H33" s="48" t="s">
        <v>335</v>
      </c>
      <c r="I33" s="52" t="str">
        <f>IF(T33="","",T33)</f>
        <v/>
      </c>
      <c r="J33" s="41"/>
      <c r="K33" s="65"/>
      <c r="L33" s="682" t="s">
        <v>336</v>
      </c>
      <c r="M33" s="129"/>
      <c r="N33" s="42"/>
      <c r="O33" s="48" t="s">
        <v>334</v>
      </c>
      <c r="P33" s="691" t="str">
        <f>IF(Q33&lt;&gt;"",Q33,IF(OR(AB36=0,AB36=""),"",AB36))</f>
        <v/>
      </c>
      <c r="Q33" s="965"/>
      <c r="R33" s="243"/>
      <c r="S33" s="246" t="s">
        <v>335</v>
      </c>
      <c r="T33" s="693" t="str">
        <f>IF(U33&lt;&gt;"",U33,IF(OR(AB54=0,AB54=""),"",AB54))</f>
        <v/>
      </c>
      <c r="U33" s="729"/>
      <c r="V33" s="49"/>
      <c r="W33" s="65"/>
      <c r="X33" s="668" t="s">
        <v>336</v>
      </c>
      <c r="Y33" s="542"/>
      <c r="Z33" s="542"/>
      <c r="AA33" s="542" t="str">
        <f t="shared" si="10"/>
        <v/>
      </c>
      <c r="AB33" s="542"/>
      <c r="AC33" s="554" t="str">
        <f t="shared" si="9"/>
        <v/>
      </c>
      <c r="AD33" s="511"/>
      <c r="AI33" s="443"/>
      <c r="AJ33" s="443"/>
    </row>
    <row r="34" spans="1:36" ht="11.25" customHeight="1">
      <c r="A34" s="604">
        <v>34</v>
      </c>
      <c r="B34" s="62"/>
      <c r="C34" s="42"/>
      <c r="D34" s="48"/>
      <c r="E34" s="48"/>
      <c r="F34" s="42"/>
      <c r="G34" s="42"/>
      <c r="H34" s="48"/>
      <c r="I34" s="42"/>
      <c r="J34" s="49"/>
      <c r="K34" s="65"/>
      <c r="L34" s="682" t="s">
        <v>336</v>
      </c>
      <c r="M34" s="129"/>
      <c r="N34" s="42"/>
      <c r="O34" s="48"/>
      <c r="P34" s="243"/>
      <c r="Q34" s="243"/>
      <c r="R34" s="243"/>
      <c r="S34" s="243"/>
      <c r="T34" s="243" t="s">
        <v>336</v>
      </c>
      <c r="U34" s="42"/>
      <c r="V34" s="42"/>
      <c r="W34" s="65"/>
      <c r="X34" s="668" t="s">
        <v>336</v>
      </c>
      <c r="Y34" s="542"/>
      <c r="Z34" s="542"/>
      <c r="AA34" s="542" t="str">
        <f t="shared" si="10"/>
        <v>Housing Manufacturer:</v>
      </c>
      <c r="AB34" s="913"/>
      <c r="AC34" s="554" t="str">
        <f t="shared" si="9"/>
        <v/>
      </c>
      <c r="AD34" s="907" t="str">
        <f>IF(P31="","",P31)</f>
        <v/>
      </c>
      <c r="AE34" s="557" t="s">
        <v>486</v>
      </c>
      <c r="AI34" s="443"/>
      <c r="AJ34" s="443"/>
    </row>
    <row r="35" spans="1:36" ht="11.25" customHeight="1">
      <c r="A35" s="604">
        <v>35</v>
      </c>
      <c r="B35" s="63"/>
      <c r="C35" s="59"/>
      <c r="D35" s="74"/>
      <c r="E35" s="59"/>
      <c r="F35" s="59"/>
      <c r="G35" s="59"/>
      <c r="H35" s="71"/>
      <c r="I35" s="59"/>
      <c r="J35" s="59"/>
      <c r="K35" s="64"/>
      <c r="L35" s="682" t="s">
        <v>336</v>
      </c>
      <c r="M35" s="129"/>
      <c r="N35" s="42"/>
      <c r="O35" s="48"/>
      <c r="P35" s="243"/>
      <c r="Q35" s="243"/>
      <c r="R35" s="243"/>
      <c r="S35" s="246"/>
      <c r="T35" s="243" t="s">
        <v>336</v>
      </c>
      <c r="U35" s="42"/>
      <c r="V35" s="42"/>
      <c r="W35" s="65"/>
      <c r="X35" s="668" t="s">
        <v>336</v>
      </c>
      <c r="Y35" s="542"/>
      <c r="Z35" s="329"/>
      <c r="AA35" s="542" t="str">
        <f t="shared" si="10"/>
        <v>Housing Model:</v>
      </c>
      <c r="AB35" s="913"/>
      <c r="AC35" s="554" t="str">
        <f t="shared" si="9"/>
        <v/>
      </c>
      <c r="AD35" s="907" t="str">
        <f>IF(P32="","",P32)</f>
        <v/>
      </c>
      <c r="AE35" s="557" t="s">
        <v>487</v>
      </c>
      <c r="AJ35" s="443"/>
    </row>
    <row r="36" spans="1:36" ht="11.25" customHeight="1">
      <c r="A36" s="604">
        <v>36</v>
      </c>
      <c r="B36" s="62"/>
      <c r="K36" s="65"/>
      <c r="L36" s="682" t="s">
        <v>336</v>
      </c>
      <c r="M36" s="129"/>
      <c r="N36" s="101"/>
      <c r="V36" s="44"/>
      <c r="W36" s="65"/>
      <c r="X36" s="668" t="s">
        <v>336</v>
      </c>
      <c r="Y36" s="542"/>
      <c r="Z36" s="542"/>
      <c r="AA36" s="542" t="str">
        <f t="shared" si="10"/>
        <v>Housing Serial Number:</v>
      </c>
      <c r="AB36" s="913"/>
      <c r="AC36" s="554" t="str">
        <f t="shared" si="9"/>
        <v/>
      </c>
      <c r="AD36" s="907" t="str">
        <f>IF(P33="","",P33)</f>
        <v/>
      </c>
      <c r="AE36" s="557" t="s">
        <v>488</v>
      </c>
      <c r="AJ36" s="443"/>
    </row>
    <row r="37" spans="1:36" ht="11.25" customHeight="1">
      <c r="A37" s="604">
        <v>37</v>
      </c>
      <c r="B37" s="62"/>
      <c r="K37" s="67"/>
      <c r="L37" s="682" t="s">
        <v>336</v>
      </c>
      <c r="M37" s="129"/>
      <c r="N37" s="48"/>
      <c r="V37" s="44"/>
      <c r="W37" s="65"/>
      <c r="X37" s="668" t="s">
        <v>336</v>
      </c>
      <c r="Y37" s="542"/>
      <c r="Z37" s="542"/>
      <c r="AA37" s="542" t="str">
        <f t="shared" si="10"/>
        <v/>
      </c>
      <c r="AB37" s="542"/>
      <c r="AC37" s="554" t="str">
        <f t="shared" si="9"/>
        <v/>
      </c>
      <c r="AD37" s="592"/>
      <c r="AG37" s="955"/>
      <c r="AJ37" s="443"/>
    </row>
    <row r="38" spans="1:36" ht="11.25" customHeight="1">
      <c r="A38" s="604">
        <v>38</v>
      </c>
      <c r="B38" s="62"/>
      <c r="K38" s="67"/>
      <c r="L38" s="682" t="s">
        <v>336</v>
      </c>
      <c r="M38" s="129"/>
      <c r="N38" s="48"/>
      <c r="V38" s="44"/>
      <c r="W38" s="65"/>
      <c r="X38" s="668" t="s">
        <v>336</v>
      </c>
      <c r="Y38" s="542"/>
      <c r="Z38" s="542"/>
      <c r="AA38" s="1087" t="str">
        <f>IF(S11="","",S11)</f>
        <v>Site Number:</v>
      </c>
      <c r="AB38" s="913"/>
      <c r="AC38" s="554" t="str">
        <f t="shared" ref="AC38:AC42" si="11">IF(AND(OR(AB38="",AB38=0),OR(AD38="",AD38=0)),"",IF(AB38&lt;&gt;AD38,"Change",""))</f>
        <v/>
      </c>
      <c r="AD38" s="1097" t="str">
        <f>IF(T11="","",T11)</f>
        <v/>
      </c>
      <c r="AE38" s="557" t="s">
        <v>489</v>
      </c>
      <c r="AG38" s="955"/>
      <c r="AJ38" s="443"/>
    </row>
    <row r="39" spans="1:36" ht="11.25" customHeight="1">
      <c r="A39" s="604">
        <v>39</v>
      </c>
      <c r="B39" s="62"/>
      <c r="K39" s="67"/>
      <c r="L39" s="682" t="s">
        <v>336</v>
      </c>
      <c r="M39" s="129"/>
      <c r="N39" s="48"/>
      <c r="V39" s="42"/>
      <c r="W39" s="65"/>
      <c r="X39" s="668" t="s">
        <v>336</v>
      </c>
      <c r="Y39" s="542"/>
      <c r="Z39" s="542"/>
      <c r="AA39" s="1087" t="str">
        <f>IF(S12="","",S12)</f>
        <v>Authorized Use:</v>
      </c>
      <c r="AB39" s="913"/>
      <c r="AC39" s="554" t="str">
        <f t="shared" si="11"/>
        <v/>
      </c>
      <c r="AD39" s="1097" t="str">
        <f>IF(T12="","",T12)</f>
        <v/>
      </c>
      <c r="AE39" s="557" t="s">
        <v>490</v>
      </c>
      <c r="AG39" s="955"/>
    </row>
    <row r="40" spans="1:36" ht="11.25" customHeight="1">
      <c r="A40" s="604">
        <v>40</v>
      </c>
      <c r="B40" s="62"/>
      <c r="K40" s="65"/>
      <c r="L40" s="682" t="s">
        <v>336</v>
      </c>
      <c r="M40" s="129"/>
      <c r="N40" s="48"/>
      <c r="V40" s="42"/>
      <c r="W40" s="65"/>
      <c r="X40" s="668" t="s">
        <v>336</v>
      </c>
      <c r="Y40" s="542"/>
      <c r="Z40" s="542"/>
      <c r="AA40" s="1087" t="str">
        <f>IF(S13="","",S13)</f>
        <v>Date of Installation:</v>
      </c>
      <c r="AB40" s="913"/>
      <c r="AC40" s="554" t="str">
        <f t="shared" si="11"/>
        <v/>
      </c>
      <c r="AD40" s="1097" t="str">
        <f>IF(T13="","",T13)</f>
        <v/>
      </c>
      <c r="AE40" s="557" t="s">
        <v>491</v>
      </c>
      <c r="AG40" s="955"/>
    </row>
    <row r="41" spans="1:36" ht="11.25" customHeight="1">
      <c r="A41" s="604">
        <v>41</v>
      </c>
      <c r="B41" s="62"/>
      <c r="K41" s="65"/>
      <c r="L41" s="682" t="s">
        <v>336</v>
      </c>
      <c r="M41" s="129"/>
      <c r="N41" s="48"/>
      <c r="V41" s="44"/>
      <c r="W41" s="65"/>
      <c r="X41" s="668" t="s">
        <v>336</v>
      </c>
      <c r="Y41" s="542"/>
      <c r="Z41" s="542"/>
      <c r="AA41" s="1087" t="str">
        <f>IF(S14="","",S14)</f>
        <v>Number of X-ray Tubes:</v>
      </c>
      <c r="AB41" s="913"/>
      <c r="AC41" s="554" t="str">
        <f t="shared" si="11"/>
        <v/>
      </c>
      <c r="AD41" s="1097" t="str">
        <f>IF(T14="","",T14)</f>
        <v/>
      </c>
      <c r="AE41" s="557" t="s">
        <v>492</v>
      </c>
      <c r="AG41" s="955"/>
    </row>
    <row r="42" spans="1:36" ht="11.25" customHeight="1">
      <c r="A42" s="604">
        <v>42</v>
      </c>
      <c r="B42" s="62"/>
      <c r="K42" s="66"/>
      <c r="L42" s="682" t="s">
        <v>336</v>
      </c>
      <c r="M42" s="129"/>
      <c r="N42" s="48"/>
      <c r="V42" s="44"/>
      <c r="W42" s="65"/>
      <c r="X42" s="668" t="s">
        <v>336</v>
      </c>
      <c r="Y42" s="542"/>
      <c r="Z42" s="542"/>
      <c r="AA42" s="1087" t="str">
        <f>IF(S15="","",S15)</f>
        <v>Accession Number:</v>
      </c>
      <c r="AB42" s="913"/>
      <c r="AC42" s="554" t="str">
        <f t="shared" si="11"/>
        <v/>
      </c>
      <c r="AD42" s="1097" t="str">
        <f>IF(T15="","",T15)</f>
        <v/>
      </c>
      <c r="AE42" s="557" t="s">
        <v>21</v>
      </c>
      <c r="AG42" s="955"/>
    </row>
    <row r="43" spans="1:36" ht="11.25" customHeight="1">
      <c r="A43" s="604">
        <v>43</v>
      </c>
      <c r="B43" s="62"/>
      <c r="K43" s="66"/>
      <c r="L43" s="682" t="s">
        <v>336</v>
      </c>
      <c r="M43" s="129"/>
      <c r="N43" s="48"/>
      <c r="V43" s="44"/>
      <c r="W43" s="65"/>
      <c r="X43" s="668" t="s">
        <v>336</v>
      </c>
      <c r="Y43" s="542"/>
      <c r="Z43" s="542"/>
      <c r="AG43" s="955"/>
    </row>
    <row r="44" spans="1:36" ht="11.25" customHeight="1">
      <c r="A44" s="604">
        <v>44</v>
      </c>
      <c r="B44" s="62"/>
      <c r="K44" s="66"/>
      <c r="L44" s="682" t="s">
        <v>336</v>
      </c>
      <c r="M44" s="129"/>
      <c r="N44" s="48"/>
      <c r="V44" s="42"/>
      <c r="W44" s="65"/>
      <c r="X44" s="668" t="s">
        <v>336</v>
      </c>
      <c r="Y44" s="542"/>
      <c r="Z44" s="542"/>
      <c r="AA44" s="549" t="s">
        <v>317</v>
      </c>
      <c r="AB44" s="543"/>
      <c r="AC44" s="554" t="str">
        <f t="shared" ref="AC44:AC55" si="12">IF(AND(OR(AB44="",AB44=0),OR(AD44="",AD44=0)),"",IF(AB44&lt;&gt;AD44,"Change",""))</f>
        <v/>
      </c>
      <c r="AD44" s="927"/>
      <c r="AG44" s="955"/>
    </row>
    <row r="45" spans="1:36" ht="11.25" customHeight="1">
      <c r="A45" s="604">
        <v>45</v>
      </c>
      <c r="B45" s="62"/>
      <c r="K45" s="65"/>
      <c r="L45" s="682" t="s">
        <v>336</v>
      </c>
      <c r="M45" s="129"/>
      <c r="N45" s="48"/>
      <c r="V45" s="42"/>
      <c r="W45" s="65"/>
      <c r="X45" s="668" t="s">
        <v>336</v>
      </c>
      <c r="Y45" s="542"/>
      <c r="Z45" s="542"/>
      <c r="AA45" s="542" t="str">
        <f>IF(S24="","",S24)</f>
        <v>Large:</v>
      </c>
      <c r="AB45" s="914"/>
      <c r="AC45" s="554" t="str">
        <f t="shared" si="12"/>
        <v/>
      </c>
      <c r="AD45" s="926" t="str">
        <f>IF(T24="","",T24)</f>
        <v/>
      </c>
      <c r="AE45" s="557" t="s">
        <v>496</v>
      </c>
      <c r="AG45" s="955"/>
    </row>
    <row r="46" spans="1:36" ht="11.25" customHeight="1">
      <c r="A46" s="604">
        <v>46</v>
      </c>
      <c r="B46" s="62"/>
      <c r="K46" s="65"/>
      <c r="L46" s="682" t="s">
        <v>336</v>
      </c>
      <c r="M46" s="129"/>
      <c r="N46" s="48"/>
      <c r="V46" s="42"/>
      <c r="W46" s="65"/>
      <c r="X46" s="668" t="s">
        <v>336</v>
      </c>
      <c r="Y46" s="542"/>
      <c r="Z46" s="542"/>
      <c r="AA46" s="542" t="str">
        <f>IF(S25="","",S25)</f>
        <v>Small:</v>
      </c>
      <c r="AB46" s="914"/>
      <c r="AC46" s="554" t="str">
        <f t="shared" si="12"/>
        <v/>
      </c>
      <c r="AD46" s="926" t="str">
        <f>IF(T25="","",T25)</f>
        <v/>
      </c>
      <c r="AE46" s="557" t="s">
        <v>497</v>
      </c>
    </row>
    <row r="47" spans="1:36" ht="11.25" customHeight="1" thickBot="1">
      <c r="A47" s="604">
        <v>47</v>
      </c>
      <c r="B47" s="68"/>
      <c r="C47" s="80"/>
      <c r="D47" s="80"/>
      <c r="E47" s="80"/>
      <c r="F47" s="80"/>
      <c r="G47" s="80"/>
      <c r="H47" s="80"/>
      <c r="I47" s="80"/>
      <c r="J47" s="69"/>
      <c r="K47" s="70"/>
      <c r="L47" s="682" t="s">
        <v>336</v>
      </c>
      <c r="M47" s="145"/>
      <c r="N47" s="146"/>
      <c r="O47" s="69"/>
      <c r="P47" s="69"/>
      <c r="Q47" s="69"/>
      <c r="R47" s="147"/>
      <c r="S47" s="69"/>
      <c r="T47" s="148"/>
      <c r="U47" s="148"/>
      <c r="V47" s="148"/>
      <c r="W47" s="70"/>
      <c r="X47" s="668" t="s">
        <v>336</v>
      </c>
      <c r="Y47" s="542"/>
      <c r="Z47" s="104"/>
      <c r="AA47" s="542" t="str">
        <f>IF(S26="","",S26)</f>
        <v>Micro:</v>
      </c>
      <c r="AB47" s="914"/>
      <c r="AC47" s="554" t="str">
        <f t="shared" si="12"/>
        <v/>
      </c>
      <c r="AD47" s="926" t="str">
        <f>IF(T26="","",T26)</f>
        <v/>
      </c>
      <c r="AE47" s="557" t="s">
        <v>498</v>
      </c>
    </row>
    <row r="48" spans="1:36" ht="11.25" customHeight="1" thickTop="1">
      <c r="A48" s="604">
        <v>48</v>
      </c>
      <c r="B48" s="84"/>
      <c r="C48" s="84"/>
      <c r="D48" s="84"/>
      <c r="E48" s="84"/>
      <c r="F48" s="84"/>
      <c r="G48" s="84"/>
      <c r="H48" s="84"/>
      <c r="I48" s="84"/>
      <c r="J48" s="84"/>
      <c r="K48" s="49"/>
      <c r="L48" s="682" t="s">
        <v>336</v>
      </c>
      <c r="M48" s="84"/>
      <c r="N48" s="84"/>
      <c r="O48" s="84"/>
      <c r="P48" s="84"/>
      <c r="Q48" s="84"/>
      <c r="R48" s="84"/>
      <c r="S48" s="84"/>
      <c r="T48" s="84"/>
      <c r="U48" s="84"/>
      <c r="V48" s="84"/>
      <c r="W48" s="84"/>
      <c r="X48" s="668" t="s">
        <v>336</v>
      </c>
      <c r="Y48" s="542"/>
      <c r="Z48" s="105"/>
      <c r="AA48" s="549" t="s">
        <v>325</v>
      </c>
      <c r="AB48" s="543"/>
      <c r="AC48" s="554" t="str">
        <f t="shared" si="12"/>
        <v/>
      </c>
      <c r="AD48" s="927"/>
    </row>
    <row r="49" spans="1:36" ht="11.25" customHeight="1">
      <c r="A49" s="604">
        <v>49</v>
      </c>
      <c r="B49" s="49"/>
      <c r="C49" s="49"/>
      <c r="D49" s="49"/>
      <c r="E49" s="49"/>
      <c r="F49" s="252" t="s">
        <v>337</v>
      </c>
      <c r="G49" s="49"/>
      <c r="H49" s="49"/>
      <c r="I49" s="49"/>
      <c r="J49" s="49"/>
      <c r="K49" s="49"/>
      <c r="L49" s="682" t="s">
        <v>336</v>
      </c>
      <c r="M49" s="97"/>
      <c r="N49" s="49"/>
      <c r="O49" s="49"/>
      <c r="P49" s="49"/>
      <c r="Q49" s="49"/>
      <c r="R49" s="252" t="str">
        <f>$F$49</f>
        <v>Inspection Results</v>
      </c>
      <c r="S49" s="49"/>
      <c r="T49" s="49"/>
      <c r="U49" s="49"/>
      <c r="V49" s="49"/>
      <c r="W49" s="49"/>
      <c r="X49" s="668" t="s">
        <v>336</v>
      </c>
      <c r="Y49" s="542"/>
      <c r="Z49" s="105"/>
      <c r="AA49" s="542" t="str">
        <f>IF(S28="","",S28)</f>
        <v>Inherent:</v>
      </c>
      <c r="AB49" s="914"/>
      <c r="AC49" s="554" t="str">
        <f t="shared" si="12"/>
        <v/>
      </c>
      <c r="AD49" s="907" t="str">
        <f>IF(T28="","",T28)</f>
        <v/>
      </c>
      <c r="AE49" s="557" t="s">
        <v>499</v>
      </c>
    </row>
    <row r="50" spans="1:36" ht="11.25" customHeight="1" thickBot="1">
      <c r="A50" s="604">
        <v>50</v>
      </c>
      <c r="B50" s="49"/>
      <c r="C50" s="49"/>
      <c r="D50" s="49"/>
      <c r="E50" s="49"/>
      <c r="F50" s="49"/>
      <c r="G50" s="49"/>
      <c r="H50" s="49"/>
      <c r="I50" s="49"/>
      <c r="J50" s="49"/>
      <c r="K50" s="49"/>
      <c r="L50" s="682" t="s">
        <v>336</v>
      </c>
      <c r="N50" s="86"/>
      <c r="O50" s="86"/>
      <c r="P50" s="3"/>
      <c r="Q50" s="49"/>
      <c r="R50" s="49"/>
      <c r="S50" s="49"/>
      <c r="T50" s="49"/>
      <c r="U50" s="49"/>
      <c r="V50" s="49"/>
      <c r="W50" s="49"/>
      <c r="X50" s="668" t="s">
        <v>336</v>
      </c>
      <c r="Y50" s="542"/>
      <c r="Z50" s="105"/>
      <c r="AA50" s="542" t="str">
        <f>IF(S29="","",S29)</f>
        <v>Added:</v>
      </c>
      <c r="AB50" s="914"/>
      <c r="AC50" s="554" t="str">
        <f t="shared" si="12"/>
        <v/>
      </c>
      <c r="AD50" s="907" t="str">
        <f>IF(T29="","",T29)</f>
        <v/>
      </c>
      <c r="AE50" s="557" t="s">
        <v>500</v>
      </c>
    </row>
    <row r="51" spans="1:36" ht="11.25" customHeight="1" thickTop="1">
      <c r="A51" s="604">
        <v>51</v>
      </c>
      <c r="B51" s="139"/>
      <c r="C51" s="118"/>
      <c r="D51" s="118"/>
      <c r="E51" s="118"/>
      <c r="F51" s="118"/>
      <c r="G51" s="118"/>
      <c r="H51" s="118"/>
      <c r="I51" s="118"/>
      <c r="J51" s="118"/>
      <c r="K51" s="61"/>
      <c r="L51" s="682" t="s">
        <v>336</v>
      </c>
      <c r="M51" s="141" t="s">
        <v>341</v>
      </c>
      <c r="N51" s="118"/>
      <c r="O51" s="118"/>
      <c r="P51" s="118"/>
      <c r="Q51" s="118"/>
      <c r="R51" s="118"/>
      <c r="S51" s="118"/>
      <c r="T51" s="118"/>
      <c r="U51" s="118"/>
      <c r="V51" s="118"/>
      <c r="W51" s="61"/>
      <c r="X51" s="668" t="s">
        <v>336</v>
      </c>
      <c r="Y51" s="542"/>
      <c r="Z51" s="105"/>
      <c r="AA51" s="542" t="str">
        <f>IF(S30="","",S30)</f>
        <v/>
      </c>
      <c r="AB51" s="543"/>
      <c r="AC51" s="554" t="str">
        <f t="shared" si="12"/>
        <v/>
      </c>
      <c r="AD51" s="511"/>
    </row>
    <row r="52" spans="1:36" ht="11.25" customHeight="1">
      <c r="A52" s="604">
        <v>52</v>
      </c>
      <c r="B52" s="113" t="s">
        <v>338</v>
      </c>
      <c r="C52" s="138"/>
      <c r="D52" s="42"/>
      <c r="E52" s="42"/>
      <c r="F52" s="103" t="s">
        <v>339</v>
      </c>
      <c r="G52" s="105"/>
      <c r="H52" s="105"/>
      <c r="I52" s="105"/>
      <c r="J52" s="372" t="s">
        <v>340</v>
      </c>
      <c r="K52" s="364"/>
      <c r="L52" s="682" t="s">
        <v>336</v>
      </c>
      <c r="M52" s="770">
        <f>IF(N52&lt;&gt;"",N52,IF(OR(AB56=0,AB56=""),"",AB56))</f>
        <v>2</v>
      </c>
      <c r="N52" s="723">
        <v>2</v>
      </c>
      <c r="O52" s="341" t="s">
        <v>685</v>
      </c>
      <c r="P52" s="42"/>
      <c r="Q52" s="49"/>
      <c r="R52" s="713"/>
      <c r="V52" s="42"/>
      <c r="W52" s="65"/>
      <c r="X52" s="668" t="s">
        <v>336</v>
      </c>
      <c r="Y52" s="542"/>
      <c r="Z52" s="105"/>
      <c r="AA52" s="549" t="s">
        <v>331</v>
      </c>
      <c r="AB52" s="543"/>
      <c r="AC52" s="554" t="str">
        <f t="shared" si="12"/>
        <v/>
      </c>
      <c r="AD52" s="927"/>
    </row>
    <row r="53" spans="1:36" ht="11.25" customHeight="1">
      <c r="A53" s="604">
        <v>53</v>
      </c>
      <c r="B53" s="115"/>
      <c r="C53" s="137"/>
      <c r="D53" s="104"/>
      <c r="E53" s="105"/>
      <c r="F53" s="105"/>
      <c r="G53" s="105"/>
      <c r="H53" s="105"/>
      <c r="I53" s="105"/>
      <c r="J53" s="370"/>
      <c r="K53" s="371" t="str">
        <f>IF($M$53=1,"",IF(M55=2,"NO",""))</f>
        <v/>
      </c>
      <c r="L53" s="682" t="s">
        <v>336</v>
      </c>
      <c r="M53" s="1099"/>
      <c r="P53" s="49"/>
      <c r="Q53" s="49"/>
      <c r="R53" s="49"/>
      <c r="S53" s="49"/>
      <c r="T53" s="49"/>
      <c r="U53" s="49"/>
      <c r="V53" s="49"/>
      <c r="W53" s="67"/>
      <c r="X53" s="668" t="s">
        <v>336</v>
      </c>
      <c r="Y53" s="542"/>
      <c r="Z53" s="105"/>
      <c r="AA53" s="542" t="str">
        <f>IF(S32="","",S32)</f>
        <v>Film:</v>
      </c>
      <c r="AB53" s="913"/>
      <c r="AC53" s="554" t="str">
        <f t="shared" si="12"/>
        <v/>
      </c>
      <c r="AD53" s="907" t="str">
        <f>IF(T32="","",T32)</f>
        <v/>
      </c>
      <c r="AE53" s="557" t="s">
        <v>501</v>
      </c>
    </row>
    <row r="54" spans="1:36" ht="11.25" customHeight="1">
      <c r="A54" s="604">
        <v>54</v>
      </c>
      <c r="B54" s="115" t="s">
        <v>29</v>
      </c>
      <c r="C54" s="137"/>
      <c r="D54" s="104" t="s">
        <v>30</v>
      </c>
      <c r="E54" s="105"/>
      <c r="F54" s="105"/>
      <c r="G54" s="105"/>
      <c r="H54" s="105"/>
      <c r="I54" s="105"/>
      <c r="J54" s="119" t="str">
        <f>IF($M$53=1,$T$52,IF(M56="","TBD",IF(M56=1,"YES",IF(M56=3,"NA",""))))</f>
        <v>TBD</v>
      </c>
      <c r="K54" s="371" t="str">
        <f>IF($M$53=1,"",IF(M56=2,"NO",""))</f>
        <v/>
      </c>
      <c r="L54" s="682" t="s">
        <v>336</v>
      </c>
      <c r="M54" s="136"/>
      <c r="N54" s="49"/>
      <c r="O54" s="49"/>
      <c r="P54" s="49"/>
      <c r="Q54" s="103" t="s">
        <v>339</v>
      </c>
      <c r="R54" s="49"/>
      <c r="S54" s="49"/>
      <c r="T54" s="723">
        <v>1</v>
      </c>
      <c r="U54" s="771">
        <f>IF(T54&lt;&gt;"",T54,IF(OR(AB57=0,AB57=""),"",AB57))</f>
        <v>1</v>
      </c>
      <c r="V54" s="101" t="s">
        <v>342</v>
      </c>
      <c r="W54" s="67"/>
      <c r="X54" s="668" t="s">
        <v>336</v>
      </c>
      <c r="Y54" s="542"/>
      <c r="Z54" s="105"/>
      <c r="AA54" s="542" t="str">
        <f>IF(S33="","",S33)</f>
        <v>Screen:</v>
      </c>
      <c r="AB54" s="913"/>
      <c r="AC54" s="554" t="str">
        <f t="shared" si="12"/>
        <v/>
      </c>
      <c r="AD54" s="907" t="str">
        <f>IF(T33="","",T33)</f>
        <v/>
      </c>
      <c r="AE54" s="557" t="s">
        <v>502</v>
      </c>
    </row>
    <row r="55" spans="1:36" ht="11.25" customHeight="1">
      <c r="A55" s="604">
        <v>55</v>
      </c>
      <c r="B55" s="115" t="s">
        <v>27</v>
      </c>
      <c r="C55" s="137"/>
      <c r="D55" s="104" t="s">
        <v>23</v>
      </c>
      <c r="E55" s="105"/>
      <c r="F55" s="105"/>
      <c r="G55" s="105"/>
      <c r="H55" s="105"/>
      <c r="I55" s="105"/>
      <c r="J55" s="119" t="str">
        <f>IF($M$53=1,$T$52,IF(M57="","TBD",IF(M57=1,"YES",IF(M57=3,"NA",""))))</f>
        <v>TBD</v>
      </c>
      <c r="K55" s="371" t="str">
        <f>IF($M$53=1,"",IF(M57=2,"NO",""))</f>
        <v/>
      </c>
      <c r="L55" s="682" t="s">
        <v>336</v>
      </c>
      <c r="M55" s="610"/>
      <c r="N55" s="44"/>
      <c r="O55" s="104"/>
      <c r="P55" s="42"/>
      <c r="Q55" s="42"/>
      <c r="R55" s="42"/>
      <c r="S55" s="42"/>
      <c r="T55" s="42"/>
      <c r="U55" s="49"/>
      <c r="V55" s="101" t="s">
        <v>343</v>
      </c>
      <c r="W55" s="65"/>
      <c r="X55" s="668" t="s">
        <v>336</v>
      </c>
      <c r="Y55" s="542"/>
      <c r="Z55" s="105"/>
      <c r="AA55" s="542" t="str">
        <f>IF(S34="","",S34)</f>
        <v/>
      </c>
      <c r="AB55" s="543"/>
      <c r="AC55" s="554" t="str">
        <f t="shared" si="12"/>
        <v/>
      </c>
      <c r="AD55" s="511"/>
    </row>
    <row r="56" spans="1:36" ht="11.25" customHeight="1">
      <c r="A56" s="604">
        <v>56</v>
      </c>
      <c r="B56" s="115" t="s">
        <v>675</v>
      </c>
      <c r="C56" s="137"/>
      <c r="D56" s="104" t="s">
        <v>28</v>
      </c>
      <c r="E56" s="105"/>
      <c r="F56" s="105"/>
      <c r="G56" s="105"/>
      <c r="H56" s="105"/>
      <c r="I56" s="105"/>
      <c r="J56" s="119" t="str">
        <f>IF($M$53=1,$T$52,IF(M58="","TBD",IF(M58=1,"YES",IF(M58=3,"NA",""))))</f>
        <v>NA</v>
      </c>
      <c r="K56" s="371" t="str">
        <f>IF($M$53=1,"",IF(M58=2,"NO",""))</f>
        <v/>
      </c>
      <c r="L56" s="682" t="s">
        <v>336</v>
      </c>
      <c r="M56" s="610"/>
      <c r="N56" s="44"/>
      <c r="O56" s="104" t="str">
        <f>IF(M53=1,"","DHEC registration sticker is present, clearly visible and legible.")</f>
        <v>DHEC registration sticker is present, clearly visible and legible.</v>
      </c>
      <c r="P56" s="42"/>
      <c r="Q56" s="42"/>
      <c r="R56" s="42"/>
      <c r="S56" s="42"/>
      <c r="T56" s="42"/>
      <c r="U56" s="49"/>
      <c r="V56" s="101" t="s">
        <v>344</v>
      </c>
      <c r="W56" s="65"/>
      <c r="X56" s="668" t="s">
        <v>336</v>
      </c>
      <c r="Y56" s="542"/>
      <c r="Z56" s="105"/>
      <c r="AA56" s="1087" t="s">
        <v>686</v>
      </c>
      <c r="AB56" s="914"/>
      <c r="AC56" s="554" t="str">
        <f t="shared" ref="AC56" si="13">IF(AND(OR(AB56="",AB56=0),OR(AD56="",AD56=0)),"",IF(AB56&lt;&gt;AD56,"Change",""))</f>
        <v>Change</v>
      </c>
      <c r="AD56" s="926">
        <f>IF(M52="","",M52)</f>
        <v>2</v>
      </c>
      <c r="AE56" s="557" t="s">
        <v>687</v>
      </c>
    </row>
    <row r="57" spans="1:36" ht="11.25" customHeight="1">
      <c r="A57" s="604">
        <v>57</v>
      </c>
      <c r="B57" s="115" t="s">
        <v>639</v>
      </c>
      <c r="C57" s="137"/>
      <c r="D57" s="104" t="s">
        <v>345</v>
      </c>
      <c r="E57" s="105"/>
      <c r="F57" s="105"/>
      <c r="G57" s="105"/>
      <c r="H57" s="105"/>
      <c r="I57" s="105"/>
      <c r="J57" s="119" t="str">
        <f>IF($M$53=1,$T$52,IF(M59="","TBD",IF(M59=1,"YES",IF(M59=3,"NA",""))))</f>
        <v>TBD</v>
      </c>
      <c r="K57" s="371" t="str">
        <f>IF($M$53=1,"",IF(M59=2,"NO",""))</f>
        <v/>
      </c>
      <c r="L57" s="682" t="s">
        <v>336</v>
      </c>
      <c r="M57" s="610"/>
      <c r="N57" s="44"/>
      <c r="O57" s="104" t="str">
        <f>IF(M53=1,"","DHEC form SC-RHA-20 ""Notice to Employees"" posted or referenced.")</f>
        <v>DHEC form SC-RHA-20 "Notice to Employees" posted or referenced.</v>
      </c>
      <c r="P57" s="42"/>
      <c r="Q57" s="42"/>
      <c r="R57" s="42"/>
      <c r="S57" s="42"/>
      <c r="T57" s="42"/>
      <c r="U57" s="44" t="s">
        <v>346</v>
      </c>
      <c r="V57" s="42"/>
      <c r="W57" s="65"/>
      <c r="X57" s="668" t="s">
        <v>336</v>
      </c>
      <c r="Y57" s="542"/>
      <c r="Z57" s="105"/>
      <c r="AA57" s="160" t="s">
        <v>359</v>
      </c>
      <c r="AB57" s="914"/>
      <c r="AC57" s="554" t="str">
        <f>IF(AND(OR(AB57="",AB57=0),OR(AD57="",AD57=0)),"",IF(AB57&lt;&gt;AD57,"Change",""))</f>
        <v>Change</v>
      </c>
      <c r="AD57" s="926">
        <f>IF(U54="","",U54)</f>
        <v>1</v>
      </c>
      <c r="AE57" s="557" t="s">
        <v>503</v>
      </c>
      <c r="AH57"/>
      <c r="AI57"/>
    </row>
    <row r="58" spans="1:36" ht="11.25" customHeight="1" thickBot="1">
      <c r="A58" s="604">
        <v>58</v>
      </c>
      <c r="B58" s="115" t="s">
        <v>676</v>
      </c>
      <c r="C58" s="137"/>
      <c r="D58" s="104" t="s">
        <v>347</v>
      </c>
      <c r="E58" s="105"/>
      <c r="F58" s="105"/>
      <c r="G58" s="105"/>
      <c r="H58" s="374" t="s">
        <v>348</v>
      </c>
      <c r="I58" s="1073" t="str">
        <f>IF(O60="","",O60)</f>
        <v/>
      </c>
      <c r="J58" s="119" t="str">
        <f>IF(M60="","TBD",IF(M60=1,"YES",IF(M60=3,"NA","")))</f>
        <v>NA</v>
      </c>
      <c r="K58" s="371" t="str">
        <f>IF(M60=2,"NO","")</f>
        <v/>
      </c>
      <c r="L58" s="682" t="s">
        <v>336</v>
      </c>
      <c r="M58" s="610">
        <v>3</v>
      </c>
      <c r="N58" s="42"/>
      <c r="O58" s="104" t="s">
        <v>28</v>
      </c>
      <c r="P58" s="42"/>
      <c r="Q58" s="42"/>
      <c r="R58" s="42"/>
      <c r="S58" s="42"/>
      <c r="T58" s="42"/>
      <c r="U58" s="44" t="s">
        <v>349</v>
      </c>
      <c r="V58" s="42"/>
      <c r="W58" s="65"/>
      <c r="X58" s="668" t="s">
        <v>336</v>
      </c>
      <c r="Y58" s="542"/>
      <c r="Z58" s="105"/>
      <c r="AC58"/>
      <c r="AD58"/>
      <c r="AE58"/>
      <c r="AH58"/>
      <c r="AI58"/>
    </row>
    <row r="59" spans="1:36" ht="11.25" customHeight="1" thickTop="1">
      <c r="A59" s="604">
        <v>59</v>
      </c>
      <c r="B59" s="115" t="s">
        <v>640</v>
      </c>
      <c r="C59" s="137"/>
      <c r="D59" s="104" t="s">
        <v>350</v>
      </c>
      <c r="E59" s="105"/>
      <c r="F59" s="105"/>
      <c r="G59" s="105"/>
      <c r="H59" s="375" t="s">
        <v>348</v>
      </c>
      <c r="I59" s="1073" t="str">
        <f>IF(O61="","",O61)</f>
        <v/>
      </c>
      <c r="J59" s="119" t="str">
        <f>IF(M61="","TBD",IF(M61=1,"YES",IF(M61=3,"NA","")))</f>
        <v>NA</v>
      </c>
      <c r="K59" s="371" t="str">
        <f>IF(M61=2,"NO","")</f>
        <v/>
      </c>
      <c r="L59" s="682" t="s">
        <v>336</v>
      </c>
      <c r="M59" s="610"/>
      <c r="N59" s="44"/>
      <c r="O59" s="104" t="str">
        <f>IF(M53=1,"","Radiation warning label present on the generator control panel.")</f>
        <v>Radiation warning label present on the generator control panel.</v>
      </c>
      <c r="P59" s="42"/>
      <c r="Q59" s="42"/>
      <c r="R59" s="42"/>
      <c r="S59" s="42"/>
      <c r="T59" s="42"/>
      <c r="U59" s="772">
        <f>IF(U68&lt;&gt;"",U68,IF(AB222="",1,AB222))</f>
        <v>1</v>
      </c>
      <c r="V59" s="773">
        <f>IF(V68&lt;&gt;"",V68,IF(AB230="",2,AB230))</f>
        <v>2</v>
      </c>
      <c r="W59" s="529"/>
      <c r="X59" s="668" t="s">
        <v>336</v>
      </c>
      <c r="Y59" s="542"/>
      <c r="Z59" s="105"/>
      <c r="AA59" s="510" t="s">
        <v>357</v>
      </c>
      <c r="AB59" s="543"/>
      <c r="AC59" s="554" t="str">
        <f t="shared" ref="AC59:AC67" si="14">IF(AND(OR(AB59="",AB59=0),OR(AD59="",AD59=0)),"",IF(AB59&lt;&gt;AD59,"Change",""))</f>
        <v/>
      </c>
      <c r="AD59" s="795"/>
      <c r="AH59"/>
      <c r="AI59"/>
    </row>
    <row r="60" spans="1:36" ht="11.25" customHeight="1">
      <c r="A60" s="604">
        <v>60</v>
      </c>
      <c r="B60" s="115"/>
      <c r="C60" s="137"/>
      <c r="D60" s="104" t="s">
        <v>351</v>
      </c>
      <c r="E60" s="105"/>
      <c r="F60" s="105"/>
      <c r="G60" s="105"/>
      <c r="H60" s="105"/>
      <c r="I60" s="105"/>
      <c r="J60" s="119" t="str">
        <f>IF(M62="","TBD",IF(M62=1,"YES",IF(M62=3,"NA","")))</f>
        <v>NA</v>
      </c>
      <c r="K60" s="371" t="str">
        <f>IF(M62=2,"NO","")</f>
        <v/>
      </c>
      <c r="L60" s="682" t="s">
        <v>336</v>
      </c>
      <c r="M60" s="610">
        <v>3</v>
      </c>
      <c r="N60" s="48" t="s">
        <v>348</v>
      </c>
      <c r="O60" s="1074"/>
      <c r="P60" s="104" t="s">
        <v>352</v>
      </c>
      <c r="Q60" s="42"/>
      <c r="R60" s="42"/>
      <c r="S60" s="42"/>
      <c r="T60" s="42"/>
      <c r="U60" s="774" t="str">
        <f>IF(U69&lt;&gt;"",U69,IF(AB223="","AP",AB223))</f>
        <v>AP</v>
      </c>
      <c r="V60" s="775">
        <f>IF(V69&lt;&gt;"",V69,IF(AB231="",3,AB231))</f>
        <v>3</v>
      </c>
      <c r="W60" s="529"/>
      <c r="X60" s="668" t="s">
        <v>336</v>
      </c>
      <c r="Y60" s="542"/>
      <c r="Z60" s="105"/>
      <c r="AA60" s="105" t="s">
        <v>360</v>
      </c>
      <c r="AB60" s="914"/>
      <c r="AC60" s="554" t="str">
        <f t="shared" si="14"/>
        <v>Change</v>
      </c>
      <c r="AD60" s="928">
        <f>M175</f>
        <v>1</v>
      </c>
      <c r="AE60" s="559" t="s">
        <v>282</v>
      </c>
      <c r="AH60"/>
      <c r="AI60"/>
    </row>
    <row r="61" spans="1:36" ht="11.25" customHeight="1">
      <c r="A61" s="604">
        <v>61</v>
      </c>
      <c r="B61" s="115"/>
      <c r="C61" s="137"/>
      <c r="D61" s="104" t="s">
        <v>353</v>
      </c>
      <c r="E61" s="42"/>
      <c r="F61" s="42"/>
      <c r="G61" s="42"/>
      <c r="H61" s="42"/>
      <c r="I61" s="42"/>
      <c r="J61" s="119" t="str">
        <f>IF(M63="","TBD",IF(M63=1,"YES",IF(M63=3,"NA","")))</f>
        <v>NA</v>
      </c>
      <c r="K61" s="371" t="str">
        <f>IF(M63=2,"NO","")</f>
        <v/>
      </c>
      <c r="L61" s="682" t="s">
        <v>336</v>
      </c>
      <c r="M61" s="610">
        <v>3</v>
      </c>
      <c r="N61" s="48" t="s">
        <v>348</v>
      </c>
      <c r="O61" s="1074"/>
      <c r="P61" s="104" t="s">
        <v>354</v>
      </c>
      <c r="Q61" s="42"/>
      <c r="R61" s="42"/>
      <c r="S61" s="42"/>
      <c r="T61" s="42"/>
      <c r="U61" s="774" t="str">
        <f>IF(U70&lt;&gt;"",U70,IF(AB224="","Front",AB224))</f>
        <v>Front</v>
      </c>
      <c r="V61" s="775" t="str">
        <f>IF(V70&lt;&gt;"",V70,IF(AB232="","Lat",AB232))</f>
        <v>Lat</v>
      </c>
      <c r="W61" s="529"/>
      <c r="X61" s="668" t="s">
        <v>336</v>
      </c>
      <c r="Y61" s="542"/>
      <c r="Z61" s="105"/>
      <c r="AA61" s="160" t="s">
        <v>361</v>
      </c>
      <c r="AB61" s="914"/>
      <c r="AC61" s="554" t="str">
        <f t="shared" si="14"/>
        <v>Change</v>
      </c>
      <c r="AD61" s="928">
        <f>M176</f>
        <v>2</v>
      </c>
      <c r="AE61" s="559" t="s">
        <v>283</v>
      </c>
      <c r="AH61"/>
      <c r="AI61"/>
    </row>
    <row r="62" spans="1:36" ht="11.25" customHeight="1">
      <c r="A62" s="604">
        <v>62</v>
      </c>
      <c r="B62" s="115"/>
      <c r="C62" s="137"/>
      <c r="D62" s="104" t="s">
        <v>355</v>
      </c>
      <c r="E62" s="105"/>
      <c r="F62" s="105"/>
      <c r="G62" s="105"/>
      <c r="H62" s="105"/>
      <c r="I62" s="105"/>
      <c r="J62" s="119" t="str">
        <f>IF($M$53=1,$T$52,IF(M64="","TBD",IF(M64=1,"YES",IF(M64=3,"NA",""))))</f>
        <v>TBD</v>
      </c>
      <c r="K62" s="371" t="str">
        <f>IF($M$53=1,"",IF(M64=2,"NO",""))</f>
        <v/>
      </c>
      <c r="L62" s="682" t="s">
        <v>336</v>
      </c>
      <c r="M62" s="610">
        <v>3</v>
      </c>
      <c r="N62" s="44"/>
      <c r="O62" s="104" t="s">
        <v>351</v>
      </c>
      <c r="P62" s="42"/>
      <c r="Q62" s="42"/>
      <c r="R62" s="42"/>
      <c r="S62" s="42"/>
      <c r="T62" s="42"/>
      <c r="U62" s="774" t="str">
        <f>IF(U71&lt;&gt;"",U71,IF(AB225="","Frontal",AB225))</f>
        <v>Frontal</v>
      </c>
      <c r="V62" s="775" t="str">
        <f>IF(V71&lt;&gt;"",V71,IF(AB233="","Lateral",AB233))</f>
        <v>Lateral</v>
      </c>
      <c r="W62" s="529"/>
      <c r="X62" s="668" t="s">
        <v>336</v>
      </c>
      <c r="Y62" s="542"/>
      <c r="Z62" s="105"/>
      <c r="AA62" s="542"/>
      <c r="AB62" s="543"/>
      <c r="AC62" s="554" t="str">
        <f t="shared" si="14"/>
        <v/>
      </c>
      <c r="AD62" s="795"/>
      <c r="AH62"/>
      <c r="AI62"/>
    </row>
    <row r="63" spans="1:36" ht="11.25" customHeight="1">
      <c r="A63" s="604">
        <v>63</v>
      </c>
      <c r="B63" s="115"/>
      <c r="C63" s="137"/>
      <c r="D63" s="44" t="s">
        <v>356</v>
      </c>
      <c r="E63" s="42"/>
      <c r="F63" s="42"/>
      <c r="G63" s="42"/>
      <c r="H63" s="42"/>
      <c r="I63" s="42"/>
      <c r="J63" s="119" t="str">
        <f>IF($M$53=1,$T$52,IF(M65="","TBD",IF(M65=1,"YES",IF(M65=3,"NA",""))))</f>
        <v>TBD</v>
      </c>
      <c r="K63" s="371" t="str">
        <f>IF($M$53=1,"",IF(M65=2,"NO",""))</f>
        <v/>
      </c>
      <c r="L63" s="682" t="s">
        <v>336</v>
      </c>
      <c r="M63" s="610">
        <v>3</v>
      </c>
      <c r="N63" s="42"/>
      <c r="O63" s="104" t="s">
        <v>353</v>
      </c>
      <c r="P63" s="42"/>
      <c r="Q63" s="42"/>
      <c r="R63" s="42"/>
      <c r="S63" s="42"/>
      <c r="T63" s="42"/>
      <c r="U63" s="774" t="str">
        <f>IF(U72&lt;&gt;"",U72,IF(AB226="","Ceph",AB226))</f>
        <v>Ceph</v>
      </c>
      <c r="V63" s="775" t="str">
        <f>IF(V72&lt;&gt;"",V72,IF(AB234="","Pan",AB234))</f>
        <v>Pan</v>
      </c>
      <c r="W63" s="529"/>
      <c r="X63" s="668" t="s">
        <v>336</v>
      </c>
      <c r="Y63" s="542"/>
      <c r="Z63" s="105"/>
      <c r="AA63" s="160" t="s">
        <v>365</v>
      </c>
      <c r="AB63" s="915"/>
      <c r="AC63" s="554" t="str">
        <f t="shared" si="14"/>
        <v>Change</v>
      </c>
      <c r="AD63" s="930">
        <f>M179</f>
        <v>100</v>
      </c>
      <c r="AE63" s="557" t="s">
        <v>284</v>
      </c>
      <c r="AH63" s="328"/>
      <c r="AI63" s="328"/>
      <c r="AJ63" s="328"/>
    </row>
    <row r="64" spans="1:36" ht="11.25" customHeight="1" thickBot="1">
      <c r="A64" s="604">
        <v>64</v>
      </c>
      <c r="B64" s="98"/>
      <c r="C64" s="80"/>
      <c r="D64" s="80"/>
      <c r="E64" s="80"/>
      <c r="F64" s="80"/>
      <c r="G64" s="80"/>
      <c r="H64" s="80"/>
      <c r="I64" s="80"/>
      <c r="J64" s="154"/>
      <c r="K64" s="646"/>
      <c r="L64" s="682" t="s">
        <v>336</v>
      </c>
      <c r="M64" s="610"/>
      <c r="N64" s="44"/>
      <c r="O64" s="104" t="str">
        <f>IF(M53=1,"","Operators manuals are available.")</f>
        <v>Operators manuals are available.</v>
      </c>
      <c r="P64" s="42"/>
      <c r="Q64" s="42"/>
      <c r="R64" s="42"/>
      <c r="S64" s="42"/>
      <c r="T64" s="42"/>
      <c r="U64" s="774" t="str">
        <f>IF(U73&lt;&gt;"",U73,IF(AB227="","Mobile",AB227))</f>
        <v>Mobile</v>
      </c>
      <c r="V64" s="775" t="str">
        <f>IF(V73&lt;&gt;"",V73,IF(AB235="","BCM",AB235))</f>
        <v>BCM</v>
      </c>
      <c r="W64" s="529"/>
      <c r="X64" s="668" t="s">
        <v>336</v>
      </c>
      <c r="Y64" s="542"/>
      <c r="Z64" s="105"/>
      <c r="AA64" s="160" t="s">
        <v>366</v>
      </c>
      <c r="AB64" s="915"/>
      <c r="AC64" s="554" t="str">
        <f t="shared" si="14"/>
        <v>Change</v>
      </c>
      <c r="AD64" s="930">
        <f>M180</f>
        <v>50</v>
      </c>
      <c r="AE64" s="557" t="s">
        <v>285</v>
      </c>
    </row>
    <row r="65" spans="1:33" ht="11.25" customHeight="1" thickTop="1" thickBot="1">
      <c r="A65" s="604">
        <v>65</v>
      </c>
      <c r="B65" s="46" t="s">
        <v>298</v>
      </c>
      <c r="C65" s="1072" t="str">
        <f>IF($O$8="","",$O$8)</f>
        <v/>
      </c>
      <c r="D65" s="38"/>
      <c r="E65" s="38"/>
      <c r="F65" s="38"/>
      <c r="G65" s="38" t="str">
        <f>""</f>
        <v/>
      </c>
      <c r="H65" s="38" t="str">
        <f>""</f>
        <v/>
      </c>
      <c r="I65" s="46" t="s">
        <v>299</v>
      </c>
      <c r="J65" s="401" t="str">
        <f>IF($V$8="","",$V$8)</f>
        <v>Eugene Mah</v>
      </c>
      <c r="L65" s="682" t="s">
        <v>336</v>
      </c>
      <c r="M65" s="610"/>
      <c r="N65" s="42"/>
      <c r="O65" s="44" t="str">
        <f>IF(M53=1,"","Monthly radiation monitoring reports are posted.")</f>
        <v>Monthly radiation monitoring reports are posted.</v>
      </c>
      <c r="P65" s="42"/>
      <c r="Q65" s="42"/>
      <c r="R65" s="42"/>
      <c r="S65" s="42"/>
      <c r="T65" s="42"/>
      <c r="U65" s="776" t="str">
        <f>IF(U74&lt;&gt;"",U74,IF(AB228="","",AB228))</f>
        <v/>
      </c>
      <c r="V65" s="777" t="str">
        <f>IF(V74&lt;&gt;"",V74,IF(AB236="","",AB236))</f>
        <v/>
      </c>
      <c r="W65" s="529"/>
      <c r="X65" s="668" t="s">
        <v>336</v>
      </c>
      <c r="Y65" s="542"/>
      <c r="Z65" s="105"/>
      <c r="AA65" s="104"/>
      <c r="AB65" s="543"/>
      <c r="AC65" s="554" t="str">
        <f t="shared" si="14"/>
        <v/>
      </c>
      <c r="AD65" s="543"/>
    </row>
    <row r="66" spans="1:33" ht="11.25" customHeight="1" thickTop="1" thickBot="1">
      <c r="A66" s="604">
        <v>66</v>
      </c>
      <c r="B66" s="46" t="s">
        <v>309</v>
      </c>
      <c r="C66" s="363" t="str">
        <f>IF($P$15="","",$P$15&amp;IF(U54="",""," - Tube "&amp;U54))</f>
        <v/>
      </c>
      <c r="D66" s="38"/>
      <c r="E66" s="38"/>
      <c r="F66" s="38"/>
      <c r="G66" s="38"/>
      <c r="H66" s="38"/>
      <c r="I66" s="46" t="s">
        <v>637</v>
      </c>
      <c r="J66" s="910" t="str">
        <f>IF($E$14="","",$E$14)</f>
        <v/>
      </c>
      <c r="L66" s="682" t="s">
        <v>336</v>
      </c>
      <c r="M66" s="145"/>
      <c r="N66" s="80"/>
      <c r="O66" s="80"/>
      <c r="P66" s="80"/>
      <c r="Q66" s="80"/>
      <c r="R66" s="80"/>
      <c r="S66" s="80"/>
      <c r="T66" s="80"/>
      <c r="U66" s="530"/>
      <c r="V66" s="530"/>
      <c r="W66" s="531"/>
      <c r="X66" s="668" t="s">
        <v>336</v>
      </c>
      <c r="Y66" s="542"/>
      <c r="Z66" s="105"/>
      <c r="AA66" s="542" t="s">
        <v>367</v>
      </c>
      <c r="AB66" s="1126"/>
      <c r="AC66" s="554" t="str">
        <f t="shared" si="14"/>
        <v>Change</v>
      </c>
      <c r="AD66" s="926" t="str">
        <f>V182</f>
        <v>cm</v>
      </c>
      <c r="AE66" s="557" t="s">
        <v>504</v>
      </c>
    </row>
    <row r="67" spans="1:33" ht="11.25" customHeight="1" thickTop="1">
      <c r="A67" s="604">
        <v>1</v>
      </c>
      <c r="B67" s="49"/>
      <c r="C67" s="49"/>
      <c r="D67" s="49"/>
      <c r="E67" s="49"/>
      <c r="G67" s="49"/>
      <c r="H67" s="49"/>
      <c r="I67" s="49"/>
      <c r="J67" s="49"/>
      <c r="K67" s="142" t="str">
        <f>$F$2</f>
        <v>Medical University of South Carolina</v>
      </c>
      <c r="L67" s="682" t="s">
        <v>336</v>
      </c>
      <c r="U67" s="1256" t="s">
        <v>261</v>
      </c>
      <c r="V67" s="1257"/>
      <c r="X67" s="668" t="s">
        <v>336</v>
      </c>
      <c r="Y67" s="542"/>
      <c r="Z67" s="550"/>
      <c r="AA67" s="542" t="s">
        <v>368</v>
      </c>
      <c r="AB67" s="915"/>
      <c r="AC67" s="554" t="str">
        <f t="shared" si="14"/>
        <v>Change</v>
      </c>
      <c r="AD67" s="930">
        <f>U182</f>
        <v>150</v>
      </c>
      <c r="AE67" s="557" t="s">
        <v>505</v>
      </c>
    </row>
    <row r="68" spans="1:33" ht="11.25" customHeight="1">
      <c r="A68" s="604">
        <v>2</v>
      </c>
      <c r="B68" s="49"/>
      <c r="C68" s="49"/>
      <c r="D68" s="49"/>
      <c r="E68" s="49"/>
      <c r="F68" s="252" t="str">
        <f>$F$49</f>
        <v>Inspection Results</v>
      </c>
      <c r="G68" s="49"/>
      <c r="H68" s="49"/>
      <c r="I68" s="49"/>
      <c r="J68" s="49"/>
      <c r="K68" s="143" t="str">
        <f>$F$5</f>
        <v>Radiation Oncology IGRT Compliance Inspection</v>
      </c>
      <c r="L68" s="682" t="s">
        <v>336</v>
      </c>
      <c r="U68" s="702"/>
      <c r="V68" s="703"/>
      <c r="X68" s="668" t="s">
        <v>336</v>
      </c>
      <c r="Y68" s="542"/>
      <c r="Z68" s="105"/>
    </row>
    <row r="69" spans="1:33" ht="11.25" customHeight="1" thickBot="1">
      <c r="A69" s="604">
        <v>3</v>
      </c>
      <c r="K69" s="194"/>
      <c r="L69" s="682" t="s">
        <v>336</v>
      </c>
      <c r="P69" s="879"/>
      <c r="U69" s="698"/>
      <c r="V69" s="699"/>
      <c r="X69" s="668" t="s">
        <v>336</v>
      </c>
      <c r="Y69" s="542"/>
      <c r="Z69" s="105"/>
      <c r="AA69" s="549" t="s">
        <v>715</v>
      </c>
    </row>
    <row r="70" spans="1:33" ht="11.25" customHeight="1" thickTop="1">
      <c r="A70" s="604">
        <v>4</v>
      </c>
      <c r="B70" s="75"/>
      <c r="C70" s="58"/>
      <c r="D70" s="58"/>
      <c r="E70" s="58"/>
      <c r="F70" s="58"/>
      <c r="G70" s="58"/>
      <c r="H70" s="58"/>
      <c r="I70" s="58"/>
      <c r="J70" s="58"/>
      <c r="K70" s="76"/>
      <c r="L70" s="682" t="s">
        <v>336</v>
      </c>
      <c r="U70" s="698"/>
      <c r="V70" s="699"/>
      <c r="X70" s="668" t="s">
        <v>336</v>
      </c>
      <c r="Y70" s="542"/>
      <c r="Z70" s="105"/>
      <c r="AA70" s="1087" t="s">
        <v>716</v>
      </c>
      <c r="AB70" s="915"/>
      <c r="AC70" s="554" t="str">
        <f t="shared" ref="AC70:AC73" si="15">IF(AND(OR(AB70="",AB70=0),OR(AD70="",AD70=0)),"",IF(AB70&lt;&gt;AD70,"Change",""))</f>
        <v>Change</v>
      </c>
      <c r="AD70" s="930">
        <f>O189</f>
        <v>5</v>
      </c>
      <c r="AE70" s="557" t="s">
        <v>720</v>
      </c>
    </row>
    <row r="71" spans="1:33" ht="11.25" customHeight="1">
      <c r="A71" s="604">
        <v>5</v>
      </c>
      <c r="B71" s="136"/>
      <c r="C71" s="49"/>
      <c r="D71" s="49"/>
      <c r="E71" s="49"/>
      <c r="F71" s="103" t="s">
        <v>364</v>
      </c>
      <c r="G71" s="49"/>
      <c r="H71" s="49"/>
      <c r="I71" s="49"/>
      <c r="J71" s="1254" t="s">
        <v>340</v>
      </c>
      <c r="K71" s="1255"/>
      <c r="L71" s="682" t="s">
        <v>336</v>
      </c>
      <c r="U71" s="698"/>
      <c r="V71" s="699"/>
      <c r="X71" s="668" t="s">
        <v>336</v>
      </c>
      <c r="Y71" s="542"/>
      <c r="Z71" s="105"/>
      <c r="AA71" s="1087" t="s">
        <v>717</v>
      </c>
      <c r="AB71" s="915"/>
      <c r="AC71" s="554" t="str">
        <f t="shared" si="15"/>
        <v>Change</v>
      </c>
      <c r="AD71" s="930">
        <f>P189</f>
        <v>5</v>
      </c>
      <c r="AE71" s="557" t="s">
        <v>721</v>
      </c>
    </row>
    <row r="72" spans="1:33" ht="11.25" customHeight="1">
      <c r="A72" s="604">
        <v>6</v>
      </c>
      <c r="B72" s="292" t="s">
        <v>0</v>
      </c>
      <c r="C72" s="137"/>
      <c r="D72" s="44" t="str">
        <f t="shared" ref="D72:D78" si="16">D583</f>
        <v>Means are provided to indicate technique factors prior to exposure.</v>
      </c>
      <c r="E72" s="1090"/>
      <c r="F72" s="1090"/>
      <c r="G72" s="1090"/>
      <c r="H72" s="1090"/>
      <c r="I72" s="1090"/>
      <c r="J72" s="153" t="str">
        <f t="shared" ref="J72:J78" si="17">IF($M$53=1,$T$52,J583)</f>
        <v>TBD</v>
      </c>
      <c r="K72" s="378" t="str">
        <f t="shared" ref="K72:K78" si="18">IF($M$53=1,"",K583)</f>
        <v/>
      </c>
      <c r="L72" s="682" t="s">
        <v>336</v>
      </c>
      <c r="U72" s="698"/>
      <c r="V72" s="699"/>
      <c r="X72" s="668" t="s">
        <v>336</v>
      </c>
      <c r="Y72" s="542"/>
      <c r="Z72" s="105"/>
      <c r="AA72" s="1087" t="s">
        <v>718</v>
      </c>
      <c r="AB72" s="915"/>
      <c r="AC72" s="554" t="str">
        <f t="shared" si="15"/>
        <v/>
      </c>
      <c r="AD72" s="930" t="str">
        <f>O190</f>
        <v/>
      </c>
      <c r="AE72" s="557" t="s">
        <v>722</v>
      </c>
    </row>
    <row r="73" spans="1:33" ht="11.25" customHeight="1">
      <c r="A73" s="604">
        <v>7</v>
      </c>
      <c r="B73" s="292"/>
      <c r="C73" s="47"/>
      <c r="D73" s="44" t="str">
        <f t="shared" si="16"/>
        <v>All technique indicators functional and are free of excessive wear.</v>
      </c>
      <c r="E73" s="49"/>
      <c r="F73" s="1090"/>
      <c r="G73" s="1090"/>
      <c r="H73" s="1090"/>
      <c r="I73" s="1090"/>
      <c r="J73" s="153" t="str">
        <f t="shared" si="17"/>
        <v>TBD</v>
      </c>
      <c r="K73" s="378" t="str">
        <f t="shared" si="18"/>
        <v/>
      </c>
      <c r="L73" s="682" t="s">
        <v>336</v>
      </c>
      <c r="U73" s="698"/>
      <c r="V73" s="699"/>
      <c r="X73" s="668" t="s">
        <v>336</v>
      </c>
      <c r="Y73" s="542"/>
      <c r="Z73" s="105"/>
      <c r="AA73" s="1087" t="s">
        <v>719</v>
      </c>
      <c r="AB73" s="915"/>
      <c r="AC73" s="554" t="str">
        <f t="shared" si="15"/>
        <v/>
      </c>
      <c r="AD73" s="930" t="str">
        <f>P190</f>
        <v/>
      </c>
      <c r="AE73" s="557" t="s">
        <v>723</v>
      </c>
    </row>
    <row r="74" spans="1:33" ht="11.25" customHeight="1" thickBot="1">
      <c r="A74" s="604">
        <v>8</v>
      </c>
      <c r="B74" s="292"/>
      <c r="C74" s="47"/>
      <c r="D74" s="44" t="str">
        <f t="shared" si="16"/>
        <v>Technique overload circuits function to block excessive technique.</v>
      </c>
      <c r="E74" s="49"/>
      <c r="F74" s="1090"/>
      <c r="G74" s="1090"/>
      <c r="H74" s="1090"/>
      <c r="I74" s="1090"/>
      <c r="J74" s="153" t="str">
        <f t="shared" si="17"/>
        <v>TBD</v>
      </c>
      <c r="K74" s="378" t="str">
        <f t="shared" si="18"/>
        <v/>
      </c>
      <c r="L74" s="682" t="s">
        <v>336</v>
      </c>
      <c r="U74" s="700"/>
      <c r="V74" s="701"/>
      <c r="X74" s="668" t="s">
        <v>336</v>
      </c>
      <c r="Y74" s="542"/>
      <c r="Z74" s="105"/>
    </row>
    <row r="75" spans="1:33" ht="11.25" customHeight="1" thickTop="1">
      <c r="A75" s="604">
        <v>9</v>
      </c>
      <c r="B75" s="292"/>
      <c r="C75" s="47"/>
      <c r="D75" s="44" t="str">
        <f t="shared" si="16"/>
        <v>Anode heat calculator/indicator is functioning properly.</v>
      </c>
      <c r="E75" s="49"/>
      <c r="F75" s="1090"/>
      <c r="G75" s="1090"/>
      <c r="H75" s="1090"/>
      <c r="I75" s="1090"/>
      <c r="J75" s="153" t="str">
        <f t="shared" si="17"/>
        <v>NA</v>
      </c>
      <c r="K75" s="378" t="str">
        <f t="shared" si="18"/>
        <v/>
      </c>
      <c r="L75" s="682" t="s">
        <v>336</v>
      </c>
      <c r="X75" s="668" t="s">
        <v>336</v>
      </c>
      <c r="Y75" s="542"/>
      <c r="Z75" s="105"/>
      <c r="AA75" s="549" t="s">
        <v>390</v>
      </c>
      <c r="AB75" s="543"/>
      <c r="AC75" s="554" t="str">
        <f t="shared" ref="AC75:AC105" si="19">IF(AND(OR(AB75="",AB75=0),OR(AD75="",AD75=0)),"",IF(AB75&lt;&gt;AD75,"Change",""))</f>
        <v/>
      </c>
      <c r="AD75" s="542"/>
    </row>
    <row r="76" spans="1:33" ht="11.25" customHeight="1">
      <c r="A76" s="604">
        <v>10</v>
      </c>
      <c r="B76" s="292" t="s">
        <v>2</v>
      </c>
      <c r="C76" s="47"/>
      <c r="D76" s="44" t="str">
        <f t="shared" si="16"/>
        <v xml:space="preserve">Indicator of the individual x-ray tube selected present and operational. </v>
      </c>
      <c r="E76" s="49"/>
      <c r="F76" s="1090"/>
      <c r="G76" s="1090"/>
      <c r="H76" s="1090"/>
      <c r="I76" s="1090"/>
      <c r="J76" s="153" t="str">
        <f t="shared" si="17"/>
        <v>TBD</v>
      </c>
      <c r="K76" s="378" t="str">
        <f t="shared" si="18"/>
        <v/>
      </c>
      <c r="L76" s="682" t="s">
        <v>336</v>
      </c>
      <c r="M76" s="168"/>
      <c r="N76" s="168"/>
      <c r="O76" s="168"/>
      <c r="P76" s="168"/>
      <c r="Q76" s="168"/>
      <c r="R76" s="193" t="s">
        <v>447</v>
      </c>
      <c r="S76" s="168"/>
      <c r="T76" s="168"/>
      <c r="U76" s="168"/>
      <c r="V76" s="168"/>
      <c r="W76" s="168"/>
      <c r="X76" s="668" t="s">
        <v>336</v>
      </c>
      <c r="Y76" s="542"/>
      <c r="Z76" s="105" t="s">
        <v>391</v>
      </c>
      <c r="AA76" s="542" t="s">
        <v>392</v>
      </c>
      <c r="AB76" s="1126"/>
      <c r="AC76" s="554" t="str">
        <f t="shared" si="19"/>
        <v>Change</v>
      </c>
      <c r="AD76" s="926" t="str">
        <f>P207</f>
        <v>mAs</v>
      </c>
      <c r="AE76" s="557" t="s">
        <v>692</v>
      </c>
    </row>
    <row r="77" spans="1:33" ht="11.25" customHeight="1" thickBot="1">
      <c r="A77" s="604">
        <v>11</v>
      </c>
      <c r="B77" s="292" t="s">
        <v>1</v>
      </c>
      <c r="C77" s="47"/>
      <c r="D77" s="44" t="str">
        <f t="shared" si="16"/>
        <v>Visible "beam on" indicator present and operational.</v>
      </c>
      <c r="E77" s="49"/>
      <c r="F77" s="1090"/>
      <c r="G77" s="1090"/>
      <c r="H77" s="1090"/>
      <c r="I77" s="1090"/>
      <c r="J77" s="153" t="str">
        <f t="shared" si="17"/>
        <v>TBD</v>
      </c>
      <c r="K77" s="378" t="str">
        <f t="shared" si="18"/>
        <v/>
      </c>
      <c r="L77" s="682" t="s">
        <v>336</v>
      </c>
      <c r="M77" s="168"/>
      <c r="N77" s="148" t="s">
        <v>256</v>
      </c>
      <c r="O77" s="168"/>
      <c r="P77" s="168"/>
      <c r="Q77" s="168"/>
      <c r="R77" s="168"/>
      <c r="S77" s="168"/>
      <c r="T77" s="168"/>
      <c r="U77" s="168"/>
      <c r="V77" s="168"/>
      <c r="W77" s="168"/>
      <c r="X77" s="668" t="s">
        <v>336</v>
      </c>
      <c r="Y77" s="542"/>
      <c r="Z77" s="105"/>
      <c r="AA77" s="542" t="s">
        <v>369</v>
      </c>
      <c r="AB77" s="914"/>
      <c r="AC77" s="554" t="str">
        <f t="shared" si="19"/>
        <v/>
      </c>
      <c r="AD77" s="928" t="str">
        <f>O209</f>
        <v/>
      </c>
      <c r="AE77" s="557" t="s">
        <v>548</v>
      </c>
      <c r="AF77" s="672"/>
      <c r="AG77" s="672"/>
    </row>
    <row r="78" spans="1:33" ht="11.25" customHeight="1" thickTop="1">
      <c r="A78" s="604">
        <v>12</v>
      </c>
      <c r="B78" s="292" t="s">
        <v>7</v>
      </c>
      <c r="C78" s="47"/>
      <c r="D78" s="44" t="str">
        <f t="shared" si="16"/>
        <v>Audible exposure end indicator present and operational.</v>
      </c>
      <c r="E78" s="49"/>
      <c r="F78" s="1090"/>
      <c r="G78" s="1090"/>
      <c r="H78" s="1090"/>
      <c r="I78" s="1090"/>
      <c r="J78" s="153" t="str">
        <f t="shared" si="17"/>
        <v>TBD</v>
      </c>
      <c r="K78" s="378" t="str">
        <f t="shared" si="18"/>
        <v/>
      </c>
      <c r="L78" s="682" t="s">
        <v>336</v>
      </c>
      <c r="M78" s="325"/>
      <c r="N78" s="326"/>
      <c r="O78" s="326"/>
      <c r="P78" s="417"/>
      <c r="Q78" s="688" t="s">
        <v>286</v>
      </c>
      <c r="R78" s="326"/>
      <c r="S78" s="326"/>
      <c r="T78" s="326"/>
      <c r="U78" s="326"/>
      <c r="V78" s="326"/>
      <c r="W78" s="327"/>
      <c r="X78" s="668" t="s">
        <v>336</v>
      </c>
      <c r="Y78" s="542"/>
      <c r="Z78" s="105"/>
      <c r="AA78" s="542" t="s">
        <v>371</v>
      </c>
      <c r="AB78" s="914"/>
      <c r="AC78" s="554" t="str">
        <f t="shared" si="19"/>
        <v/>
      </c>
      <c r="AD78" s="928" t="str">
        <f>P209</f>
        <v/>
      </c>
      <c r="AE78" s="557" t="s">
        <v>693</v>
      </c>
      <c r="AF78" s="672"/>
      <c r="AG78" s="672"/>
    </row>
    <row r="79" spans="1:33" ht="11.25" customHeight="1">
      <c r="A79" s="604">
        <v>13</v>
      </c>
      <c r="B79" s="292"/>
      <c r="C79" s="47"/>
      <c r="D79" s="44" t="str">
        <f>$D$590</f>
        <v>Exposure delay time is not excessive.</v>
      </c>
      <c r="E79" s="49"/>
      <c r="F79" s="1090"/>
      <c r="G79" s="1090"/>
      <c r="H79" s="1090"/>
      <c r="I79" s="1090"/>
      <c r="J79" s="135" t="str">
        <f>$J$590</f>
        <v>TBD</v>
      </c>
      <c r="K79" s="371" t="str">
        <f>$K$590</f>
        <v/>
      </c>
      <c r="L79" s="682" t="s">
        <v>336</v>
      </c>
      <c r="M79" s="647"/>
      <c r="N79" s="160" t="s">
        <v>417</v>
      </c>
      <c r="O79" s="973"/>
      <c r="P79" s="418"/>
      <c r="Q79" s="683" t="str">
        <f>IF(OR(AB153=0,AB153=""),"",AB153)</f>
        <v/>
      </c>
      <c r="R79" s="43"/>
      <c r="S79" s="43"/>
      <c r="T79" s="43"/>
      <c r="U79" s="43"/>
      <c r="V79" s="43"/>
      <c r="W79" s="332"/>
      <c r="X79" s="668" t="s">
        <v>336</v>
      </c>
      <c r="Y79" s="542"/>
      <c r="Z79" s="105"/>
      <c r="AA79" s="542" t="s">
        <v>372</v>
      </c>
      <c r="AB79" s="916"/>
      <c r="AC79" s="554" t="str">
        <f t="shared" si="19"/>
        <v/>
      </c>
      <c r="AD79" s="933" t="str">
        <f>Q209</f>
        <v/>
      </c>
      <c r="AE79" s="557" t="s">
        <v>694</v>
      </c>
      <c r="AF79" s="672"/>
      <c r="AG79" s="673"/>
    </row>
    <row r="80" spans="1:33" ht="11.25" customHeight="1">
      <c r="A80" s="604">
        <v>14</v>
      </c>
      <c r="B80" s="115" t="s">
        <v>9</v>
      </c>
      <c r="C80" s="116"/>
      <c r="D80" s="104" t="s">
        <v>370</v>
      </c>
      <c r="E80" s="105"/>
      <c r="F80" s="105"/>
      <c r="G80" s="105"/>
      <c r="H80" s="105"/>
      <c r="I80" s="105"/>
      <c r="J80" s="1049" t="str">
        <f>IF(AND($E$386="TBD",$J$386="TBD"),"TBD",IF(OR($E$386="NO",$J$386="NO"),"","YES"))</f>
        <v>TBD</v>
      </c>
      <c r="K80" s="379" t="str">
        <f>IF(AND($E$386="TBD",$J$386="TBD"),"",IF(OR($E$386="NO",$J$386="NO"),"NO",""))</f>
        <v/>
      </c>
      <c r="L80" s="682" t="s">
        <v>336</v>
      </c>
      <c r="M80" s="83"/>
      <c r="N80" s="602" t="s">
        <v>257</v>
      </c>
      <c r="O80" s="974"/>
      <c r="P80" s="603">
        <f>LEN(O79)</f>
        <v>0</v>
      </c>
      <c r="Q80" s="684"/>
      <c r="R80" s="687">
        <f>LEN(Q79)</f>
        <v>0</v>
      </c>
      <c r="S80" s="685" t="s">
        <v>31</v>
      </c>
      <c r="T80" s="55"/>
      <c r="U80" s="55"/>
      <c r="V80" s="55"/>
      <c r="W80" s="334"/>
      <c r="X80" s="668" t="s">
        <v>336</v>
      </c>
      <c r="Y80" s="542"/>
      <c r="Z80" s="105"/>
      <c r="AA80" s="542" t="s">
        <v>394</v>
      </c>
      <c r="AB80" s="915"/>
      <c r="AC80" s="554" t="str">
        <f t="shared" si="19"/>
        <v/>
      </c>
      <c r="AD80" s="930" t="str">
        <f>R209</f>
        <v/>
      </c>
      <c r="AE80" s="557" t="s">
        <v>695</v>
      </c>
      <c r="AF80" s="672"/>
      <c r="AG80" s="673"/>
    </row>
    <row r="81" spans="1:33" ht="11.25" customHeight="1">
      <c r="A81" s="604">
        <v>15</v>
      </c>
      <c r="B81" s="115" t="s">
        <v>8</v>
      </c>
      <c r="C81" s="116"/>
      <c r="D81" s="104" t="s">
        <v>682</v>
      </c>
      <c r="E81" s="105"/>
      <c r="F81" s="105"/>
      <c r="G81" s="105"/>
      <c r="H81" s="105"/>
      <c r="I81" s="105"/>
      <c r="J81" s="1049" t="str">
        <f>IF(AND($E$430="NA",$F$430="NA",$I$430="NA",$J$430="NA"),"NA",IF(OR($E$430="NO",$F$430="NO",$I$430="NO",$J$430="NO"),"","YES"))</f>
        <v>NA</v>
      </c>
      <c r="K81" s="379" t="str">
        <f>IF(AND($E$430="TBD",$F$430="TBD",$I$430="TBD",$J$430="TBD"),"",IF(OR($E$430="NO",$F$430="NO",$I$430="NO",$J$430="NO"),"NO",""))</f>
        <v/>
      </c>
      <c r="L81" s="682" t="s">
        <v>336</v>
      </c>
      <c r="M81" s="83"/>
      <c r="N81" s="160" t="s">
        <v>111</v>
      </c>
      <c r="O81" s="973"/>
      <c r="P81" s="418"/>
      <c r="Q81" s="683" t="str">
        <f>IF(OR(AB155=0,AB155=""),"",AB155)</f>
        <v/>
      </c>
      <c r="R81" s="43"/>
      <c r="S81" s="43"/>
      <c r="T81" s="43"/>
      <c r="U81" s="43"/>
      <c r="V81" s="43"/>
      <c r="W81" s="332"/>
      <c r="X81" s="668" t="s">
        <v>336</v>
      </c>
      <c r="Y81" s="543"/>
      <c r="Z81" s="105"/>
      <c r="AA81" s="542" t="s">
        <v>396</v>
      </c>
      <c r="AB81" s="915"/>
      <c r="AC81" s="554" t="str">
        <f t="shared" si="19"/>
        <v/>
      </c>
      <c r="AD81" s="930" t="str">
        <f>S209</f>
        <v/>
      </c>
      <c r="AE81" s="557" t="s">
        <v>696</v>
      </c>
      <c r="AF81" s="672"/>
      <c r="AG81" s="672"/>
    </row>
    <row r="82" spans="1:33" ht="11.25" customHeight="1">
      <c r="A82" s="604">
        <v>16</v>
      </c>
      <c r="B82" s="115" t="s">
        <v>9</v>
      </c>
      <c r="C82" s="116"/>
      <c r="D82" s="104" t="s">
        <v>12</v>
      </c>
      <c r="E82" s="105"/>
      <c r="F82" s="105"/>
      <c r="G82" s="105"/>
      <c r="H82" s="105"/>
      <c r="I82" s="105"/>
      <c r="J82" s="1049" t="str">
        <f>IF(M53=1,$T$52,IF($H$499="NA","NA",IF(OR($H$499="",$H$499="TBD"),"TBD",IF($H$499="YES","YES",""))))</f>
        <v>NA</v>
      </c>
      <c r="K82" s="379" t="str">
        <f>IF($M$53=1,"",IF(OR($H$499="",$H$499="TBD",$H$499="NA"),"",IF($H$499="YES","","NO")))</f>
        <v/>
      </c>
      <c r="L82" s="682" t="s">
        <v>336</v>
      </c>
      <c r="M82" s="83"/>
      <c r="N82" s="602" t="s">
        <v>257</v>
      </c>
      <c r="O82" s="974"/>
      <c r="P82" s="603">
        <f>LEN(O81)</f>
        <v>0</v>
      </c>
      <c r="Q82" s="684"/>
      <c r="R82" s="687">
        <f>LEN(Q81)</f>
        <v>0</v>
      </c>
      <c r="S82" s="685" t="s">
        <v>22</v>
      </c>
      <c r="T82" s="43"/>
      <c r="U82" s="43"/>
      <c r="V82" s="43"/>
      <c r="W82" s="332"/>
      <c r="X82" s="668" t="s">
        <v>336</v>
      </c>
      <c r="Y82" s="543"/>
      <c r="Z82" s="105"/>
      <c r="AA82" s="542"/>
      <c r="AB82" s="543"/>
      <c r="AC82" s="554" t="str">
        <f t="shared" si="19"/>
        <v/>
      </c>
      <c r="AD82" s="555"/>
      <c r="AF82" s="672"/>
      <c r="AG82" s="672"/>
    </row>
    <row r="83" spans="1:33" ht="11.25" customHeight="1">
      <c r="A83" s="604">
        <v>17</v>
      </c>
      <c r="B83" s="115" t="s">
        <v>11</v>
      </c>
      <c r="C83" s="116"/>
      <c r="D83" s="104" t="s">
        <v>373</v>
      </c>
      <c r="E83" s="105"/>
      <c r="F83" s="105"/>
      <c r="G83" s="105"/>
      <c r="H83" s="105"/>
      <c r="I83" s="105"/>
      <c r="J83" s="1049" t="str">
        <f>IF(M53=1,$T$52,IF($K$499="NA","NA",IF(OR($K$499="",$K$499="TBD"),"TBD",IF($K$499="YES","YES",""))))</f>
        <v>NA</v>
      </c>
      <c r="K83" s="379" t="str">
        <f>IF($M$53=1,"",IF(OR($K$499="",$K$499="TBD", $K$499="NA"),"",IF($K$499="YES","","NO")))</f>
        <v/>
      </c>
      <c r="L83" s="682" t="s">
        <v>336</v>
      </c>
      <c r="M83" s="648"/>
      <c r="N83" s="160" t="s">
        <v>111</v>
      </c>
      <c r="O83" s="973"/>
      <c r="P83" s="418"/>
      <c r="Q83" s="683" t="str">
        <f>IF(OR(AB157=0,AB157=""),"",AB157)</f>
        <v/>
      </c>
      <c r="R83" s="55"/>
      <c r="S83" s="55"/>
      <c r="T83" s="55"/>
      <c r="U83" s="55"/>
      <c r="V83" s="55"/>
      <c r="W83" s="334"/>
      <c r="X83" s="668" t="s">
        <v>336</v>
      </c>
      <c r="Y83" s="543"/>
      <c r="Z83" s="543"/>
      <c r="AA83" s="542" t="s">
        <v>399</v>
      </c>
      <c r="AB83" s="917"/>
      <c r="AC83" s="554" t="str">
        <f t="shared" si="19"/>
        <v/>
      </c>
      <c r="AD83" s="929" t="str">
        <f>IF(U209="","",U209)</f>
        <v/>
      </c>
      <c r="AE83" s="557" t="s">
        <v>697</v>
      </c>
      <c r="AG83" s="672"/>
    </row>
    <row r="84" spans="1:33" ht="11.25" customHeight="1">
      <c r="A84" s="604">
        <v>18</v>
      </c>
      <c r="B84" s="115" t="s">
        <v>10</v>
      </c>
      <c r="C84" s="116"/>
      <c r="D84" s="104" t="s">
        <v>374</v>
      </c>
      <c r="E84" s="105"/>
      <c r="F84" s="105"/>
      <c r="G84" s="105"/>
      <c r="H84" s="105"/>
      <c r="I84" s="105"/>
      <c r="J84" s="1049" t="str">
        <f>IF(AND($K$541="TBD",$K$544="TBD",$K$556="TBD",$K$559="TBD"),"TBD",IF(OR($K$541="NO",$K$544="NO",$K$556="NO",$K$559="NO",$G$571="NO"),"","YES"))</f>
        <v>TBD</v>
      </c>
      <c r="K84" s="379" t="str">
        <f>IF(AND($K$541="TBD",$K$544="TBD",$K$556="TBD",$K$559="TBD"),"",IF(OR($K$541="NO",$K$544="NO",$K$556="NO",$K$559="NO",$G$571="NO"),"NO",""))</f>
        <v/>
      </c>
      <c r="L84" s="682" t="s">
        <v>336</v>
      </c>
      <c r="M84" s="83"/>
      <c r="N84" s="602" t="s">
        <v>257</v>
      </c>
      <c r="O84" s="974"/>
      <c r="P84" s="603">
        <f>LEN(O83)</f>
        <v>0</v>
      </c>
      <c r="Q84" s="684"/>
      <c r="R84" s="687">
        <f>LEN(Q83)</f>
        <v>0</v>
      </c>
      <c r="S84" s="685" t="s">
        <v>250</v>
      </c>
      <c r="T84" s="43"/>
      <c r="U84" s="43"/>
      <c r="V84" s="43"/>
      <c r="W84" s="332"/>
      <c r="X84" s="668" t="s">
        <v>336</v>
      </c>
      <c r="Y84" s="543"/>
      <c r="Z84" s="543"/>
      <c r="AA84" s="542" t="s">
        <v>401</v>
      </c>
      <c r="AB84" s="917"/>
      <c r="AC84" s="554" t="str">
        <f t="shared" si="19"/>
        <v/>
      </c>
      <c r="AD84" s="929" t="str">
        <f>IF(V209="","",V209)</f>
        <v/>
      </c>
      <c r="AE84" s="557" t="s">
        <v>698</v>
      </c>
      <c r="AF84" s="672"/>
      <c r="AG84" s="673"/>
    </row>
    <row r="85" spans="1:33" ht="11.25" customHeight="1">
      <c r="A85" s="604">
        <v>19</v>
      </c>
      <c r="B85" s="136"/>
      <c r="C85" s="49"/>
      <c r="D85" s="49"/>
      <c r="E85" s="49"/>
      <c r="F85" s="49"/>
      <c r="G85" s="49"/>
      <c r="H85" s="49"/>
      <c r="I85" s="49"/>
      <c r="J85" s="140"/>
      <c r="K85" s="377"/>
      <c r="L85" s="682" t="s">
        <v>336</v>
      </c>
      <c r="M85" s="83"/>
      <c r="N85" s="160" t="s">
        <v>111</v>
      </c>
      <c r="O85" s="973"/>
      <c r="P85" s="418"/>
      <c r="Q85" s="683" t="str">
        <f>IF(OR(AB159=0,AB159=""),"",AB159)</f>
        <v/>
      </c>
      <c r="R85" s="43"/>
      <c r="S85" s="43"/>
      <c r="T85" s="43"/>
      <c r="U85" s="43"/>
      <c r="V85" s="43"/>
      <c r="W85" s="332"/>
      <c r="X85" s="668" t="s">
        <v>336</v>
      </c>
      <c r="Y85" s="543"/>
      <c r="Z85" s="543"/>
      <c r="AA85" s="542"/>
      <c r="AB85" s="543"/>
      <c r="AC85" s="554" t="str">
        <f t="shared" si="19"/>
        <v/>
      </c>
      <c r="AD85" s="542"/>
      <c r="AF85" s="674"/>
    </row>
    <row r="86" spans="1:33" ht="11.25" customHeight="1">
      <c r="A86" s="604">
        <v>20</v>
      </c>
      <c r="B86" s="136"/>
      <c r="C86" s="49"/>
      <c r="D86" s="49"/>
      <c r="E86" s="49"/>
      <c r="F86" s="103" t="s">
        <v>387</v>
      </c>
      <c r="G86" s="49"/>
      <c r="H86" s="49"/>
      <c r="I86" s="49"/>
      <c r="K86" s="373"/>
      <c r="L86" s="682" t="s">
        <v>336</v>
      </c>
      <c r="M86" s="648"/>
      <c r="N86" s="602" t="s">
        <v>257</v>
      </c>
      <c r="O86" s="974"/>
      <c r="P86" s="603">
        <f>LEN(O85)</f>
        <v>0</v>
      </c>
      <c r="Q86" s="684"/>
      <c r="R86" s="687">
        <f>LEN(Q85)</f>
        <v>0</v>
      </c>
      <c r="S86" s="685" t="s">
        <v>251</v>
      </c>
      <c r="T86" s="55"/>
      <c r="U86" s="55"/>
      <c r="V86" s="55"/>
      <c r="W86" s="334"/>
      <c r="X86" s="668" t="s">
        <v>336</v>
      </c>
      <c r="Y86" s="543"/>
      <c r="Z86" s="543" t="s">
        <v>402</v>
      </c>
      <c r="AA86" s="542" t="s">
        <v>392</v>
      </c>
      <c r="AB86" s="1126"/>
      <c r="AC86" s="554" t="str">
        <f t="shared" si="19"/>
        <v>Change</v>
      </c>
      <c r="AD86" s="926" t="str">
        <f>P212</f>
        <v>mAs</v>
      </c>
      <c r="AE86" s="557" t="s">
        <v>699</v>
      </c>
      <c r="AF86" s="675"/>
      <c r="AG86" s="672"/>
    </row>
    <row r="87" spans="1:33" ht="11.25" customHeight="1">
      <c r="A87" s="604">
        <v>21</v>
      </c>
      <c r="B87" s="136"/>
      <c r="C87" s="49"/>
      <c r="D87" s="44" t="s">
        <v>388</v>
      </c>
      <c r="E87" s="49"/>
      <c r="F87" s="49"/>
      <c r="G87" s="49"/>
      <c r="H87" s="49"/>
      <c r="I87" s="49"/>
      <c r="J87" s="135" t="str">
        <f>IF($J$349="NO","",$J$349)</f>
        <v>TBD</v>
      </c>
      <c r="K87" s="371" t="str">
        <f>IF($J$349="NO","NO","")</f>
        <v/>
      </c>
      <c r="L87" s="682" t="s">
        <v>336</v>
      </c>
      <c r="M87" s="83"/>
      <c r="N87" s="160" t="s">
        <v>111</v>
      </c>
      <c r="O87" s="973"/>
      <c r="P87" s="418"/>
      <c r="Q87" s="683" t="str">
        <f>IF(OR(AB161=0,AB161=""),"",AB161)</f>
        <v/>
      </c>
      <c r="R87" s="43"/>
      <c r="S87" s="43"/>
      <c r="T87" s="43"/>
      <c r="U87" s="43"/>
      <c r="V87" s="43"/>
      <c r="W87" s="332"/>
      <c r="X87" s="668" t="s">
        <v>336</v>
      </c>
      <c r="Y87" s="543"/>
      <c r="Z87" s="543"/>
      <c r="AA87" s="542" t="s">
        <v>369</v>
      </c>
      <c r="AB87" s="914"/>
      <c r="AC87" s="554" t="str">
        <f t="shared" si="19"/>
        <v/>
      </c>
      <c r="AD87" s="928" t="str">
        <f>O214</f>
        <v/>
      </c>
      <c r="AE87" s="557" t="s">
        <v>700</v>
      </c>
      <c r="AF87" s="675"/>
      <c r="AG87" s="672"/>
    </row>
    <row r="88" spans="1:33" ht="11.25" customHeight="1">
      <c r="A88" s="604">
        <v>22</v>
      </c>
      <c r="B88" s="115"/>
      <c r="C88" s="116"/>
      <c r="D88" s="104" t="s">
        <v>389</v>
      </c>
      <c r="E88" s="105"/>
      <c r="F88" s="105"/>
      <c r="G88" s="105"/>
      <c r="H88" s="105"/>
      <c r="I88" s="105"/>
      <c r="J88" s="135" t="str">
        <f>IF(OR(J675="NO",J686="NO"),"",IF(AND(J675="NA",J686="NA"),"NA",IF(OR(J675="YES",J686="YES"),"YES","TBD")))</f>
        <v>NA</v>
      </c>
      <c r="K88" s="345" t="str">
        <f>IF(OR(J675="NO",J686="NO"),"NO","")</f>
        <v/>
      </c>
      <c r="L88" s="682" t="s">
        <v>336</v>
      </c>
      <c r="M88" s="83"/>
      <c r="N88" s="602" t="s">
        <v>257</v>
      </c>
      <c r="O88" s="974"/>
      <c r="P88" s="603">
        <f>LEN(O87)</f>
        <v>0</v>
      </c>
      <c r="Q88" s="684"/>
      <c r="R88" s="687">
        <f>LEN(Q87)</f>
        <v>0</v>
      </c>
      <c r="S88" s="685" t="s">
        <v>252</v>
      </c>
      <c r="T88" s="43"/>
      <c r="U88" s="43"/>
      <c r="V88" s="43"/>
      <c r="W88" s="332"/>
      <c r="X88" s="668" t="s">
        <v>336</v>
      </c>
      <c r="Y88" s="543"/>
      <c r="Z88" s="543"/>
      <c r="AA88" s="542" t="s">
        <v>371</v>
      </c>
      <c r="AB88" s="914"/>
      <c r="AC88" s="554" t="str">
        <f t="shared" si="19"/>
        <v/>
      </c>
      <c r="AD88" s="928" t="str">
        <f>P214</f>
        <v/>
      </c>
      <c r="AE88" s="557" t="s">
        <v>701</v>
      </c>
      <c r="AG88" s="676"/>
    </row>
    <row r="89" spans="1:33" ht="11.25" customHeight="1">
      <c r="A89" s="604">
        <v>23</v>
      </c>
      <c r="B89" s="136"/>
      <c r="C89" s="49"/>
      <c r="D89" s="49"/>
      <c r="E89" s="49"/>
      <c r="F89" s="49"/>
      <c r="G89" s="49"/>
      <c r="H89" s="49"/>
      <c r="I89" s="49"/>
      <c r="J89" s="49"/>
      <c r="K89" s="67"/>
      <c r="L89" s="682" t="s">
        <v>336</v>
      </c>
      <c r="M89" s="648"/>
      <c r="N89" s="160" t="s">
        <v>111</v>
      </c>
      <c r="O89" s="973"/>
      <c r="P89" s="418"/>
      <c r="Q89" s="683" t="str">
        <f>IF(OR(AB163=0,AB163=""),"",AB163)</f>
        <v/>
      </c>
      <c r="R89" s="55"/>
      <c r="S89" s="55"/>
      <c r="T89" s="55"/>
      <c r="U89" s="55"/>
      <c r="V89" s="55"/>
      <c r="W89" s="334"/>
      <c r="X89" s="668" t="s">
        <v>336</v>
      </c>
      <c r="Y89" s="543"/>
      <c r="Z89" s="543"/>
      <c r="AA89" s="542" t="s">
        <v>372</v>
      </c>
      <c r="AB89" s="916"/>
      <c r="AC89" s="554" t="str">
        <f t="shared" si="19"/>
        <v/>
      </c>
      <c r="AD89" s="933" t="str">
        <f>Q214</f>
        <v/>
      </c>
      <c r="AE89" s="557" t="s">
        <v>702</v>
      </c>
      <c r="AF89" s="672"/>
      <c r="AG89" s="559"/>
    </row>
    <row r="90" spans="1:33" ht="11.25" customHeight="1">
      <c r="A90" s="604">
        <v>24</v>
      </c>
      <c r="B90" s="136"/>
      <c r="C90" s="49"/>
      <c r="D90" s="49"/>
      <c r="E90" s="49"/>
      <c r="F90" s="103" t="s">
        <v>375</v>
      </c>
      <c r="G90" s="49"/>
      <c r="H90" s="49"/>
      <c r="I90" s="49"/>
      <c r="J90" s="153"/>
      <c r="K90" s="378"/>
      <c r="L90" s="682" t="s">
        <v>336</v>
      </c>
      <c r="M90" s="83"/>
      <c r="N90" s="602" t="s">
        <v>257</v>
      </c>
      <c r="O90" s="974"/>
      <c r="P90" s="603">
        <f>LEN(O89)</f>
        <v>0</v>
      </c>
      <c r="Q90" s="684"/>
      <c r="R90" s="687">
        <f>LEN(Q89)</f>
        <v>0</v>
      </c>
      <c r="S90" s="685" t="s">
        <v>253</v>
      </c>
      <c r="T90" s="43"/>
      <c r="U90" s="43"/>
      <c r="V90" s="43"/>
      <c r="W90" s="332"/>
      <c r="X90" s="668" t="s">
        <v>336</v>
      </c>
      <c r="Y90" s="543"/>
      <c r="Z90" s="543"/>
      <c r="AA90" s="542" t="s">
        <v>394</v>
      </c>
      <c r="AB90" s="915"/>
      <c r="AC90" s="554" t="str">
        <f t="shared" si="19"/>
        <v/>
      </c>
      <c r="AD90" s="930" t="str">
        <f>R214</f>
        <v/>
      </c>
      <c r="AE90" s="557" t="s">
        <v>703</v>
      </c>
      <c r="AF90" s="672"/>
      <c r="AG90" s="673"/>
    </row>
    <row r="91" spans="1:33" ht="11.25" customHeight="1">
      <c r="A91" s="604">
        <v>25</v>
      </c>
      <c r="B91" s="115" t="s">
        <v>3</v>
      </c>
      <c r="C91" s="116"/>
      <c r="D91" s="104" t="s">
        <v>376</v>
      </c>
      <c r="E91" s="104"/>
      <c r="F91" s="104"/>
      <c r="G91" s="104"/>
      <c r="H91" s="104"/>
      <c r="I91" s="104"/>
      <c r="J91" s="135" t="str">
        <f t="shared" ref="J91:J96" si="20">IF(M514="","TBD",IF(M514=1,"YES",IF(M514=3,"NA","")))</f>
        <v>TBD</v>
      </c>
      <c r="K91" s="371" t="str">
        <f t="shared" ref="K91:K96" si="21">IF(M514=2,"NO","")</f>
        <v/>
      </c>
      <c r="L91" s="682" t="s">
        <v>336</v>
      </c>
      <c r="M91" s="83"/>
      <c r="N91" s="160" t="s">
        <v>111</v>
      </c>
      <c r="O91" s="973"/>
      <c r="P91" s="418"/>
      <c r="Q91" s="683" t="str">
        <f>IF(OR(AB165=0,AB165=""),"",AB165)</f>
        <v/>
      </c>
      <c r="R91" s="43"/>
      <c r="S91" s="43"/>
      <c r="T91" s="43"/>
      <c r="U91" s="43"/>
      <c r="V91" s="43"/>
      <c r="W91" s="332"/>
      <c r="X91" s="668" t="s">
        <v>336</v>
      </c>
      <c r="Y91" s="543"/>
      <c r="Z91" s="543"/>
      <c r="AA91" s="542" t="s">
        <v>396</v>
      </c>
      <c r="AB91" s="915"/>
      <c r="AC91" s="554" t="str">
        <f t="shared" si="19"/>
        <v/>
      </c>
      <c r="AD91" s="930" t="str">
        <f>S214</f>
        <v/>
      </c>
      <c r="AE91" s="557" t="s">
        <v>704</v>
      </c>
      <c r="AF91" s="672"/>
      <c r="AG91" s="672"/>
    </row>
    <row r="92" spans="1:33" ht="11.25" customHeight="1">
      <c r="A92" s="604">
        <v>26</v>
      </c>
      <c r="B92" s="115"/>
      <c r="C92" s="170"/>
      <c r="D92" s="104" t="s">
        <v>631</v>
      </c>
      <c r="E92" s="49"/>
      <c r="F92" s="49"/>
      <c r="G92" s="49"/>
      <c r="H92" s="49"/>
      <c r="I92" s="49"/>
      <c r="J92" s="135" t="str">
        <f t="shared" si="20"/>
        <v>NA</v>
      </c>
      <c r="K92" s="371" t="str">
        <f t="shared" si="21"/>
        <v/>
      </c>
      <c r="L92" s="682" t="s">
        <v>336</v>
      </c>
      <c r="M92" s="648"/>
      <c r="N92" s="602" t="s">
        <v>257</v>
      </c>
      <c r="O92" s="974"/>
      <c r="P92" s="603">
        <f>LEN(O91)</f>
        <v>0</v>
      </c>
      <c r="Q92" s="684"/>
      <c r="R92" s="687">
        <f>LEN(Q91)</f>
        <v>0</v>
      </c>
      <c r="S92" s="685" t="s">
        <v>34</v>
      </c>
      <c r="T92" s="55"/>
      <c r="U92" s="55"/>
      <c r="V92" s="55"/>
      <c r="W92" s="334"/>
      <c r="X92" s="668" t="s">
        <v>336</v>
      </c>
      <c r="Y92" s="543"/>
      <c r="Z92" s="543"/>
      <c r="AA92" s="542"/>
      <c r="AB92" s="543"/>
      <c r="AC92" s="554" t="str">
        <f t="shared" si="19"/>
        <v/>
      </c>
      <c r="AD92" s="542"/>
      <c r="AF92" s="672"/>
      <c r="AG92" s="672"/>
    </row>
    <row r="93" spans="1:33" ht="11.25" customHeight="1">
      <c r="A93" s="604">
        <v>27</v>
      </c>
      <c r="B93" s="115"/>
      <c r="C93" s="170"/>
      <c r="D93" s="104" t="s">
        <v>632</v>
      </c>
      <c r="E93" s="49"/>
      <c r="F93" s="49"/>
      <c r="G93" s="49"/>
      <c r="H93" s="49"/>
      <c r="I93" s="49"/>
      <c r="J93" s="135" t="str">
        <f t="shared" si="20"/>
        <v>NA</v>
      </c>
      <c r="K93" s="371" t="str">
        <f t="shared" si="21"/>
        <v/>
      </c>
      <c r="L93" s="682" t="s">
        <v>336</v>
      </c>
      <c r="M93" s="83"/>
      <c r="N93" s="160" t="s">
        <v>111</v>
      </c>
      <c r="O93" s="973"/>
      <c r="P93" s="418"/>
      <c r="Q93" s="683" t="str">
        <f>IF(OR(AB167=0,AB167=""),"",AB167)</f>
        <v/>
      </c>
      <c r="R93" s="43"/>
      <c r="S93" s="43"/>
      <c r="T93" s="43"/>
      <c r="U93" s="43"/>
      <c r="V93" s="43"/>
      <c r="W93" s="332"/>
      <c r="X93" s="668" t="s">
        <v>336</v>
      </c>
      <c r="Y93" s="543"/>
      <c r="Z93" s="543"/>
      <c r="AA93" s="542" t="s">
        <v>405</v>
      </c>
      <c r="AB93" s="917"/>
      <c r="AC93" s="554" t="str">
        <f t="shared" si="19"/>
        <v/>
      </c>
      <c r="AD93" s="929">
        <f>U214</f>
        <v>0</v>
      </c>
      <c r="AE93" s="557" t="s">
        <v>705</v>
      </c>
      <c r="AF93" s="672"/>
      <c r="AG93" s="673"/>
    </row>
    <row r="94" spans="1:33" ht="11.25" customHeight="1">
      <c r="A94" s="604">
        <v>28</v>
      </c>
      <c r="B94" s="115" t="s">
        <v>634</v>
      </c>
      <c r="C94" s="170"/>
      <c r="D94" s="104" t="s">
        <v>633</v>
      </c>
      <c r="E94" s="49"/>
      <c r="F94" s="49"/>
      <c r="G94" s="49"/>
      <c r="H94" s="49"/>
      <c r="I94" s="49"/>
      <c r="J94" s="135" t="str">
        <f t="shared" si="20"/>
        <v>NA</v>
      </c>
      <c r="K94" s="371" t="str">
        <f t="shared" si="21"/>
        <v/>
      </c>
      <c r="L94" s="682" t="s">
        <v>336</v>
      </c>
      <c r="M94" s="83"/>
      <c r="N94" s="602" t="s">
        <v>257</v>
      </c>
      <c r="O94" s="974"/>
      <c r="P94" s="603">
        <f>LEN(O93)</f>
        <v>0</v>
      </c>
      <c r="Q94" s="684"/>
      <c r="R94" s="687">
        <f>LEN(Q93)</f>
        <v>0</v>
      </c>
      <c r="S94" s="686"/>
      <c r="T94" s="43"/>
      <c r="U94" s="43"/>
      <c r="V94" s="43"/>
      <c r="W94" s="332"/>
      <c r="X94" s="668" t="s">
        <v>336</v>
      </c>
      <c r="Y94" s="543"/>
      <c r="Z94" s="543"/>
      <c r="AA94" s="542" t="s">
        <v>406</v>
      </c>
      <c r="AB94" s="917"/>
      <c r="AC94" s="554" t="str">
        <f t="shared" si="19"/>
        <v/>
      </c>
      <c r="AD94" s="929" t="str">
        <f>V214</f>
        <v/>
      </c>
      <c r="AE94" s="557" t="s">
        <v>706</v>
      </c>
      <c r="AF94" s="672"/>
      <c r="AG94" s="673"/>
    </row>
    <row r="95" spans="1:33" ht="11.25" customHeight="1">
      <c r="A95" s="604">
        <v>29</v>
      </c>
      <c r="B95" s="115" t="s">
        <v>4</v>
      </c>
      <c r="C95" s="116"/>
      <c r="D95" s="104" t="s">
        <v>377</v>
      </c>
      <c r="E95" s="105"/>
      <c r="F95" s="105"/>
      <c r="G95" s="105"/>
      <c r="H95" s="105"/>
      <c r="I95" s="105"/>
      <c r="J95" s="135" t="str">
        <f t="shared" si="20"/>
        <v>TBD</v>
      </c>
      <c r="K95" s="371" t="str">
        <f t="shared" si="21"/>
        <v/>
      </c>
      <c r="L95" s="682" t="s">
        <v>336</v>
      </c>
      <c r="M95" s="648"/>
      <c r="N95" s="160" t="s">
        <v>111</v>
      </c>
      <c r="O95" s="973"/>
      <c r="P95" s="418"/>
      <c r="Q95" s="683" t="str">
        <f>IF(OR(AB169=0,AB169=""),"",AB169)</f>
        <v/>
      </c>
      <c r="R95" s="55"/>
      <c r="S95" s="55"/>
      <c r="T95" s="55"/>
      <c r="U95" s="55"/>
      <c r="V95" s="55"/>
      <c r="W95" s="334"/>
      <c r="X95" s="668" t="s">
        <v>336</v>
      </c>
      <c r="Y95" s="543"/>
      <c r="Z95" s="543"/>
      <c r="AA95" s="542"/>
      <c r="AB95" s="543"/>
      <c r="AC95" s="554" t="str">
        <f t="shared" si="19"/>
        <v/>
      </c>
      <c r="AD95" s="542"/>
      <c r="AF95" s="672"/>
      <c r="AG95" s="672"/>
    </row>
    <row r="96" spans="1:33" ht="11.25" customHeight="1">
      <c r="A96" s="604">
        <v>30</v>
      </c>
      <c r="B96" s="115" t="s">
        <v>6</v>
      </c>
      <c r="C96" s="116"/>
      <c r="D96" s="44" t="s">
        <v>378</v>
      </c>
      <c r="E96" s="49"/>
      <c r="F96" s="49"/>
      <c r="G96" s="49"/>
      <c r="H96" s="49"/>
      <c r="I96" s="49"/>
      <c r="J96" s="135" t="str">
        <f t="shared" si="20"/>
        <v>TBD</v>
      </c>
      <c r="K96" s="371" t="str">
        <f t="shared" si="21"/>
        <v/>
      </c>
      <c r="L96" s="682" t="s">
        <v>336</v>
      </c>
      <c r="M96" s="83"/>
      <c r="N96" s="602" t="s">
        <v>257</v>
      </c>
      <c r="O96" s="974"/>
      <c r="P96" s="603">
        <f>LEN(O95)</f>
        <v>0</v>
      </c>
      <c r="Q96" s="684"/>
      <c r="R96" s="687">
        <f>LEN(Q95)</f>
        <v>0</v>
      </c>
      <c r="S96" s="686"/>
      <c r="T96" s="43"/>
      <c r="U96" s="43"/>
      <c r="V96" s="43"/>
      <c r="W96" s="332"/>
      <c r="X96" s="668" t="s">
        <v>336</v>
      </c>
      <c r="Y96" s="543"/>
      <c r="Z96" s="542"/>
      <c r="AA96" s="549" t="s">
        <v>407</v>
      </c>
      <c r="AB96" s="913"/>
      <c r="AC96" s="554" t="str">
        <f t="shared" si="19"/>
        <v>Change</v>
      </c>
      <c r="AD96" s="907" t="str">
        <f>O227</f>
        <v>Piranha CB2-17090320</v>
      </c>
      <c r="AE96" s="557" t="s">
        <v>707</v>
      </c>
      <c r="AF96" s="672"/>
      <c r="AG96" s="672"/>
    </row>
    <row r="97" spans="1:36" ht="11.25" customHeight="1">
      <c r="A97" s="604">
        <v>31</v>
      </c>
      <c r="B97" s="115" t="s">
        <v>5</v>
      </c>
      <c r="C97" s="116"/>
      <c r="D97" s="44" t="s">
        <v>379</v>
      </c>
      <c r="E97" s="44"/>
      <c r="F97" s="44" t="str">
        <f>IF(R520="","Half:  ","Half:  "&amp;R520)</f>
        <v>Half:  0</v>
      </c>
      <c r="G97" s="48"/>
      <c r="H97" s="44" t="str">
        <f>IF(T520="","Full:  ","Full:  "&amp;T520)</f>
        <v>Full:  0</v>
      </c>
      <c r="I97" s="49"/>
      <c r="J97" s="135" t="str">
        <f t="shared" ref="J97:J102" si="22">IF($M$53=1,$T$52,IF(M520="","TBD",IF(M520=1,"YES",IF(M520=3,"NA",""))))</f>
        <v>NA</v>
      </c>
      <c r="K97" s="371" t="str">
        <f t="shared" ref="K97:K102" si="23">IF($M$53=1,"",IF(M520=2,"NO",""))</f>
        <v/>
      </c>
      <c r="L97" s="682" t="s">
        <v>336</v>
      </c>
      <c r="M97" s="83"/>
      <c r="N97" s="44"/>
      <c r="O97" s="584"/>
      <c r="P97" s="418"/>
      <c r="Q97" s="683"/>
      <c r="R97" s="105"/>
      <c r="S97" s="105"/>
      <c r="T97" s="105"/>
      <c r="U97" s="105"/>
      <c r="V97" s="105"/>
      <c r="W97" s="332"/>
      <c r="X97" s="668" t="s">
        <v>336</v>
      </c>
      <c r="Y97" s="543"/>
      <c r="Z97" s="542"/>
      <c r="AA97" s="678" t="s">
        <v>680</v>
      </c>
      <c r="AB97" s="543"/>
      <c r="AC97" s="554" t="str">
        <f t="shared" si="19"/>
        <v/>
      </c>
      <c r="AD97" s="542"/>
      <c r="AF97" s="672"/>
      <c r="AG97" s="672"/>
    </row>
    <row r="98" spans="1:36" ht="11.25" customHeight="1">
      <c r="A98" s="604">
        <v>32</v>
      </c>
      <c r="B98" s="115" t="s">
        <v>5</v>
      </c>
      <c r="C98" s="116"/>
      <c r="D98" s="44" t="s">
        <v>380</v>
      </c>
      <c r="E98" s="44"/>
      <c r="F98" s="44"/>
      <c r="G98" s="48" t="s">
        <v>381</v>
      </c>
      <c r="H98" s="1103">
        <f>IF(R521="","",R521)</f>
        <v>0</v>
      </c>
      <c r="I98" s="49"/>
      <c r="J98" s="135" t="str">
        <f t="shared" si="22"/>
        <v>NA</v>
      </c>
      <c r="K98" s="371" t="str">
        <f t="shared" si="23"/>
        <v/>
      </c>
      <c r="L98" s="682" t="s">
        <v>336</v>
      </c>
      <c r="M98" s="648"/>
      <c r="N98" s="585"/>
      <c r="O98" s="585"/>
      <c r="P98" s="522"/>
      <c r="Q98" s="519"/>
      <c r="R98" s="519"/>
      <c r="S98" s="519"/>
      <c r="T98" s="519"/>
      <c r="U98" s="519"/>
      <c r="V98" s="519"/>
      <c r="W98" s="334"/>
      <c r="X98" s="668" t="s">
        <v>336</v>
      </c>
      <c r="Y98" s="543"/>
      <c r="Z98" s="542"/>
      <c r="AA98" s="542"/>
      <c r="AB98" s="543"/>
      <c r="AC98" s="554" t="str">
        <f t="shared" si="19"/>
        <v/>
      </c>
      <c r="AD98" s="542"/>
      <c r="AF98" s="672"/>
      <c r="AG98" s="673"/>
    </row>
    <row r="99" spans="1:36" ht="11.25" customHeight="1">
      <c r="A99" s="604">
        <v>33</v>
      </c>
      <c r="B99" s="115"/>
      <c r="C99" s="116"/>
      <c r="D99" s="44" t="s">
        <v>382</v>
      </c>
      <c r="E99" s="97"/>
      <c r="F99" s="97"/>
      <c r="G99" s="97"/>
      <c r="H99" s="97"/>
      <c r="I99" s="97"/>
      <c r="J99" s="135" t="str">
        <f t="shared" si="22"/>
        <v>NA</v>
      </c>
      <c r="K99" s="371" t="str">
        <f t="shared" si="23"/>
        <v/>
      </c>
      <c r="L99" s="682" t="s">
        <v>336</v>
      </c>
      <c r="M99" s="83"/>
      <c r="N99" s="586"/>
      <c r="O99" s="586"/>
      <c r="P99" s="517"/>
      <c r="Q99" s="518"/>
      <c r="R99" s="518"/>
      <c r="S99" s="518"/>
      <c r="T99" s="518"/>
      <c r="U99" s="518"/>
      <c r="V99" s="518"/>
      <c r="W99" s="332"/>
      <c r="X99" s="668" t="s">
        <v>336</v>
      </c>
      <c r="Y99" s="543"/>
      <c r="Z99" s="542"/>
      <c r="AA99" s="549" t="s">
        <v>408</v>
      </c>
      <c r="AB99" s="914"/>
      <c r="AC99" s="554" t="str">
        <f t="shared" si="19"/>
        <v>Change</v>
      </c>
      <c r="AD99" s="926" t="str">
        <f>N233</f>
        <v>cm</v>
      </c>
      <c r="AE99" s="557" t="s">
        <v>708</v>
      </c>
      <c r="AF99" s="672"/>
      <c r="AG99" s="673"/>
    </row>
    <row r="100" spans="1:36" ht="11.25" customHeight="1">
      <c r="A100" s="604">
        <v>34</v>
      </c>
      <c r="B100" s="115" t="s">
        <v>5</v>
      </c>
      <c r="C100" s="116"/>
      <c r="D100" s="44" t="s">
        <v>383</v>
      </c>
      <c r="E100" s="49"/>
      <c r="F100" s="49"/>
      <c r="G100" s="49"/>
      <c r="H100" s="49"/>
      <c r="I100" s="49"/>
      <c r="J100" s="135" t="str">
        <f t="shared" si="22"/>
        <v>NA</v>
      </c>
      <c r="K100" s="371" t="str">
        <f t="shared" si="23"/>
        <v/>
      </c>
      <c r="L100" s="682" t="s">
        <v>336</v>
      </c>
      <c r="M100" s="83"/>
      <c r="N100" s="586"/>
      <c r="O100" s="586"/>
      <c r="P100" s="517"/>
      <c r="Q100" s="518"/>
      <c r="R100" s="518"/>
      <c r="S100" s="518"/>
      <c r="T100" s="518"/>
      <c r="U100" s="518"/>
      <c r="V100" s="518"/>
      <c r="W100" s="332"/>
      <c r="X100" s="668" t="s">
        <v>336</v>
      </c>
      <c r="Y100" s="543"/>
      <c r="Z100" s="542"/>
      <c r="AA100" s="549" t="s">
        <v>409</v>
      </c>
      <c r="AB100" s="914"/>
      <c r="AC100" s="554" t="str">
        <f t="shared" si="19"/>
        <v>Change</v>
      </c>
      <c r="AD100" s="926" t="str">
        <f>N251</f>
        <v>cm</v>
      </c>
      <c r="AE100" s="557" t="s">
        <v>709</v>
      </c>
      <c r="AF100" s="672"/>
      <c r="AG100" s="672"/>
    </row>
    <row r="101" spans="1:36" ht="11.25" customHeight="1">
      <c r="A101" s="604">
        <v>35</v>
      </c>
      <c r="B101" s="115"/>
      <c r="C101" s="116"/>
      <c r="D101" s="104" t="s">
        <v>384</v>
      </c>
      <c r="E101" s="105"/>
      <c r="F101" s="105"/>
      <c r="G101" s="105"/>
      <c r="H101" s="160"/>
      <c r="I101" s="105"/>
      <c r="J101" s="135" t="str">
        <f t="shared" si="22"/>
        <v>TBD</v>
      </c>
      <c r="K101" s="371" t="str">
        <f t="shared" si="23"/>
        <v/>
      </c>
      <c r="L101" s="682" t="s">
        <v>336</v>
      </c>
      <c r="M101" s="648"/>
      <c r="N101" s="586"/>
      <c r="O101" s="586"/>
      <c r="P101" s="517"/>
      <c r="Q101" s="516" t="s">
        <v>254</v>
      </c>
      <c r="R101" s="104"/>
      <c r="S101" s="104"/>
      <c r="T101" s="518"/>
      <c r="U101" s="518"/>
      <c r="V101" s="518"/>
      <c r="W101" s="334"/>
      <c r="X101" s="668" t="s">
        <v>336</v>
      </c>
      <c r="Y101" s="543"/>
      <c r="Z101" s="542"/>
      <c r="AA101" s="543"/>
      <c r="AB101" s="543"/>
      <c r="AC101" s="554" t="str">
        <f t="shared" si="19"/>
        <v/>
      </c>
      <c r="AD101" s="543"/>
      <c r="AE101" s="543"/>
    </row>
    <row r="102" spans="1:36" ht="11.25" customHeight="1">
      <c r="A102" s="604">
        <v>36</v>
      </c>
      <c r="B102" s="115" t="s">
        <v>13</v>
      </c>
      <c r="C102" s="116"/>
      <c r="D102" s="104" t="s">
        <v>385</v>
      </c>
      <c r="E102" s="105"/>
      <c r="F102" s="105"/>
      <c r="G102" s="105"/>
      <c r="H102" s="105"/>
      <c r="I102" s="105"/>
      <c r="J102" s="135" t="str">
        <f t="shared" si="22"/>
        <v>NA</v>
      </c>
      <c r="K102" s="371" t="str">
        <f t="shared" si="23"/>
        <v/>
      </c>
      <c r="L102" s="682" t="s">
        <v>336</v>
      </c>
      <c r="M102" s="83"/>
      <c r="N102" s="586"/>
      <c r="O102" s="586"/>
      <c r="P102" s="517"/>
      <c r="Q102" s="518"/>
      <c r="R102" s="517"/>
      <c r="S102" s="518"/>
      <c r="T102" s="517"/>
      <c r="U102" s="518"/>
      <c r="V102" s="518"/>
      <c r="W102" s="332"/>
      <c r="X102" s="668" t="s">
        <v>336</v>
      </c>
      <c r="Y102" s="543"/>
      <c r="Z102" s="542"/>
      <c r="AA102" s="549" t="s">
        <v>410</v>
      </c>
      <c r="AB102" s="543"/>
      <c r="AC102" s="554" t="str">
        <f t="shared" si="19"/>
        <v/>
      </c>
      <c r="AD102" s="543"/>
      <c r="AE102" s="543"/>
    </row>
    <row r="103" spans="1:36" ht="11.25" customHeight="1">
      <c r="A103" s="604">
        <v>37</v>
      </c>
      <c r="B103" s="115"/>
      <c r="C103" s="116"/>
      <c r="D103" s="104" t="s">
        <v>386</v>
      </c>
      <c r="E103" s="105"/>
      <c r="F103" s="105"/>
      <c r="G103" s="105"/>
      <c r="H103" s="105"/>
      <c r="I103" s="105"/>
      <c r="J103" s="135" t="str">
        <f>IF(M526="","TBD",IF(M526=1,"YES",IF(M526=3,"NA","")))</f>
        <v>NA</v>
      </c>
      <c r="K103" s="371" t="str">
        <f>IF(M526=2,"NO","")</f>
        <v/>
      </c>
      <c r="L103" s="682" t="s">
        <v>336</v>
      </c>
      <c r="M103" s="83"/>
      <c r="N103" s="586"/>
      <c r="O103" s="586"/>
      <c r="P103" s="517"/>
      <c r="Q103" s="518"/>
      <c r="R103" s="517"/>
      <c r="S103" s="518"/>
      <c r="T103" s="517"/>
      <c r="U103" s="518"/>
      <c r="V103" s="518"/>
      <c r="W103" s="332"/>
      <c r="X103" s="668" t="s">
        <v>336</v>
      </c>
      <c r="Y103" s="543"/>
      <c r="Z103" s="542"/>
      <c r="AA103" s="542" t="s">
        <v>411</v>
      </c>
      <c r="AB103" s="914"/>
      <c r="AC103" s="554" t="str">
        <f t="shared" si="19"/>
        <v>Change</v>
      </c>
      <c r="AD103" s="926" t="str">
        <f>O331</f>
        <v>HF</v>
      </c>
      <c r="AE103" s="557" t="s">
        <v>553</v>
      </c>
    </row>
    <row r="104" spans="1:36" ht="11.25" customHeight="1">
      <c r="A104" s="604">
        <v>38</v>
      </c>
      <c r="B104" s="136"/>
      <c r="C104" s="49"/>
      <c r="D104" s="49"/>
      <c r="E104" s="49"/>
      <c r="F104" s="49"/>
      <c r="G104" s="49"/>
      <c r="H104" s="49"/>
      <c r="I104" s="49"/>
      <c r="J104" s="49"/>
      <c r="K104" s="67"/>
      <c r="L104" s="682" t="s">
        <v>336</v>
      </c>
      <c r="M104" s="648"/>
      <c r="N104" s="587"/>
      <c r="O104" s="587"/>
      <c r="P104" s="521"/>
      <c r="Q104" s="520"/>
      <c r="R104" s="521"/>
      <c r="S104" s="520"/>
      <c r="T104" s="521"/>
      <c r="U104" s="520"/>
      <c r="V104" s="520"/>
      <c r="W104" s="334"/>
      <c r="X104" s="668" t="s">
        <v>336</v>
      </c>
      <c r="Y104" s="543"/>
      <c r="Z104" s="329"/>
      <c r="AA104" s="542" t="s">
        <v>412</v>
      </c>
      <c r="AB104" s="914"/>
      <c r="AC104" s="554" t="str">
        <f t="shared" si="19"/>
        <v>Change</v>
      </c>
      <c r="AD104" s="928">
        <f>M332</f>
        <v>2</v>
      </c>
      <c r="AE104" s="164" t="s">
        <v>710</v>
      </c>
    </row>
    <row r="105" spans="1:36" ht="11.25" customHeight="1" thickBot="1">
      <c r="A105" s="604">
        <v>39</v>
      </c>
      <c r="B105" s="136"/>
      <c r="C105" s="49"/>
      <c r="D105" s="49"/>
      <c r="E105" s="49"/>
      <c r="F105" s="103" t="s">
        <v>393</v>
      </c>
      <c r="G105" s="49"/>
      <c r="H105" s="49"/>
      <c r="I105" s="49"/>
      <c r="J105" s="135"/>
      <c r="K105" s="371"/>
      <c r="L105" s="682" t="s">
        <v>336</v>
      </c>
      <c r="M105" s="158"/>
      <c r="N105" s="159"/>
      <c r="O105" s="588"/>
      <c r="P105" s="419"/>
      <c r="Q105" s="159"/>
      <c r="R105" s="159"/>
      <c r="S105" s="159"/>
      <c r="T105" s="159"/>
      <c r="U105" s="159"/>
      <c r="V105" s="159"/>
      <c r="W105" s="335"/>
      <c r="X105" s="668" t="s">
        <v>336</v>
      </c>
      <c r="Y105" s="543"/>
      <c r="Z105" s="543"/>
      <c r="AA105" s="543"/>
      <c r="AB105" s="543"/>
      <c r="AC105" s="554" t="str">
        <f t="shared" si="19"/>
        <v/>
      </c>
      <c r="AD105" s="543"/>
      <c r="AE105" s="543"/>
    </row>
    <row r="106" spans="1:36" ht="11.25" customHeight="1" thickTop="1">
      <c r="A106" s="604">
        <v>40</v>
      </c>
      <c r="B106" s="115"/>
      <c r="C106" s="116"/>
      <c r="D106" s="104" t="s">
        <v>395</v>
      </c>
      <c r="E106" s="105"/>
      <c r="F106" s="105"/>
      <c r="G106" s="105"/>
      <c r="H106" s="105"/>
      <c r="I106" s="105"/>
      <c r="J106" s="135" t="str">
        <f t="shared" ref="J106:J111" si="24">IF(M529="","TBD",IF(M529=1,"YES",IF(M529=3,"NA","")))</f>
        <v>YES</v>
      </c>
      <c r="K106" s="371" t="str">
        <f t="shared" ref="K106:K111" si="25">IF(M529=2,"NO","")</f>
        <v/>
      </c>
      <c r="L106" s="682" t="s">
        <v>336</v>
      </c>
      <c r="O106" s="583"/>
      <c r="P106" s="420"/>
      <c r="X106" s="668" t="s">
        <v>336</v>
      </c>
      <c r="Y106" s="543"/>
      <c r="Z106" s="543"/>
      <c r="AC106"/>
      <c r="AD106"/>
      <c r="AE106"/>
    </row>
    <row r="107" spans="1:36" ht="11.25" customHeight="1">
      <c r="A107" s="604">
        <v>41</v>
      </c>
      <c r="B107" s="115"/>
      <c r="C107" s="116"/>
      <c r="D107" s="104" t="s">
        <v>397</v>
      </c>
      <c r="E107" s="105"/>
      <c r="F107" s="105"/>
      <c r="G107" s="105"/>
      <c r="H107" s="105"/>
      <c r="I107" s="105"/>
      <c r="J107" s="135" t="str">
        <f t="shared" si="24"/>
        <v>YES</v>
      </c>
      <c r="K107" s="371" t="str">
        <f t="shared" si="25"/>
        <v/>
      </c>
      <c r="L107" s="682" t="s">
        <v>336</v>
      </c>
      <c r="O107" s="583"/>
      <c r="P107" s="420"/>
      <c r="X107" s="668" t="s">
        <v>336</v>
      </c>
      <c r="Y107" s="543"/>
      <c r="Z107" s="543"/>
      <c r="AA107" s="329"/>
      <c r="AB107" s="543"/>
      <c r="AC107" s="554" t="str">
        <f t="shared" ref="AC107:AC121" si="26">IF(AND(OR(AB107="",AB107=0),OR(AD107="",AD107=0)),"",IF(AB107&lt;&gt;AD107,"Change",""))</f>
        <v/>
      </c>
      <c r="AD107" s="795"/>
      <c r="AE107" s="329"/>
    </row>
    <row r="108" spans="1:36" ht="11.25" customHeight="1">
      <c r="A108" s="604">
        <v>42</v>
      </c>
      <c r="B108" s="115"/>
      <c r="C108" s="116"/>
      <c r="D108" s="104" t="s">
        <v>398</v>
      </c>
      <c r="E108" s="105"/>
      <c r="F108" s="105"/>
      <c r="G108" s="105"/>
      <c r="H108" s="105"/>
      <c r="I108" s="105"/>
      <c r="J108" s="135" t="str">
        <f t="shared" si="24"/>
        <v>YES</v>
      </c>
      <c r="K108" s="371" t="str">
        <f t="shared" si="25"/>
        <v/>
      </c>
      <c r="L108" s="682" t="s">
        <v>336</v>
      </c>
      <c r="M108" s="1"/>
      <c r="N108" s="1"/>
      <c r="O108" s="589"/>
      <c r="P108" s="420"/>
      <c r="Q108" s="1"/>
      <c r="R108" s="1"/>
      <c r="S108" s="1"/>
      <c r="T108" s="1"/>
      <c r="U108" s="1"/>
      <c r="V108" s="1"/>
      <c r="W108" s="142"/>
      <c r="X108" s="668" t="s">
        <v>336</v>
      </c>
      <c r="Y108" s="543"/>
      <c r="Z108" s="543"/>
      <c r="AA108" s="549" t="s">
        <v>413</v>
      </c>
      <c r="AB108" s="543"/>
      <c r="AC108" s="554" t="str">
        <f t="shared" si="26"/>
        <v/>
      </c>
      <c r="AD108" s="543"/>
      <c r="AE108" s="543"/>
      <c r="AF108" s="557" t="str">
        <f>X423</f>
        <v/>
      </c>
      <c r="AJ108" s="329"/>
    </row>
    <row r="109" spans="1:36" ht="11.25" customHeight="1">
      <c r="A109" s="604">
        <v>43</v>
      </c>
      <c r="B109" s="115"/>
      <c r="C109" s="116"/>
      <c r="D109" s="44" t="s">
        <v>400</v>
      </c>
      <c r="E109" s="44"/>
      <c r="F109" s="44"/>
      <c r="G109" s="44"/>
      <c r="H109" s="44"/>
      <c r="I109" s="44"/>
      <c r="J109" s="135" t="str">
        <f t="shared" si="24"/>
        <v>YES</v>
      </c>
      <c r="K109" s="371" t="str">
        <f t="shared" si="25"/>
        <v/>
      </c>
      <c r="L109" s="682" t="s">
        <v>336</v>
      </c>
      <c r="M109" s="1"/>
      <c r="N109" s="1"/>
      <c r="O109" s="589"/>
      <c r="P109" s="420"/>
      <c r="Q109" s="1"/>
      <c r="R109" s="1"/>
      <c r="S109" s="1"/>
      <c r="T109" s="1"/>
      <c r="U109" s="1"/>
      <c r="V109" s="1"/>
      <c r="W109" s="143"/>
      <c r="X109" s="668" t="s">
        <v>336</v>
      </c>
      <c r="Y109" s="543"/>
      <c r="Z109" s="543"/>
      <c r="AA109" s="542" t="s">
        <v>414</v>
      </c>
      <c r="AB109" s="914"/>
      <c r="AC109" s="554" t="str">
        <f t="shared" si="26"/>
        <v>Change</v>
      </c>
      <c r="AD109" s="932">
        <f>IF(Tables!I49="",AB109,Tables!I49/2.54)</f>
        <v>39.370078740157481</v>
      </c>
      <c r="AE109" s="557" t="s">
        <v>259</v>
      </c>
      <c r="AF109" s="557" t="str">
        <f>X424</f>
        <v/>
      </c>
      <c r="AJ109" s="329"/>
    </row>
    <row r="110" spans="1:36" ht="11.25" customHeight="1">
      <c r="A110" s="604">
        <v>44</v>
      </c>
      <c r="B110" s="115"/>
      <c r="C110" s="116"/>
      <c r="D110" s="44" t="s">
        <v>403</v>
      </c>
      <c r="E110" s="44"/>
      <c r="F110" s="44"/>
      <c r="G110" s="44"/>
      <c r="H110" s="44"/>
      <c r="I110" s="44"/>
      <c r="J110" s="135" t="str">
        <f t="shared" si="24"/>
        <v>YES</v>
      </c>
      <c r="K110" s="371" t="str">
        <f t="shared" si="25"/>
        <v/>
      </c>
      <c r="L110" s="682" t="s">
        <v>336</v>
      </c>
      <c r="M110" s="1"/>
      <c r="N110" s="1"/>
      <c r="O110" s="589"/>
      <c r="P110" s="420"/>
      <c r="Q110" s="1"/>
      <c r="R110" s="1"/>
      <c r="S110" s="1"/>
      <c r="T110" s="1"/>
      <c r="U110" s="1"/>
      <c r="V110" s="1"/>
      <c r="W110" s="1"/>
      <c r="X110" s="668" t="s">
        <v>336</v>
      </c>
      <c r="Y110" s="543"/>
      <c r="Z110" s="543"/>
      <c r="AA110" s="543"/>
      <c r="AB110" s="543"/>
      <c r="AC110" s="554" t="str">
        <f t="shared" si="26"/>
        <v/>
      </c>
      <c r="AD110" s="543"/>
      <c r="AE110" s="543"/>
      <c r="AF110" s="557" t="str">
        <f>X425</f>
        <v/>
      </c>
    </row>
    <row r="111" spans="1:36" ht="11.25" customHeight="1">
      <c r="A111" s="604">
        <v>45</v>
      </c>
      <c r="B111" s="115"/>
      <c r="C111" s="116"/>
      <c r="D111" s="104" t="s">
        <v>404</v>
      </c>
      <c r="E111" s="105"/>
      <c r="F111" s="105"/>
      <c r="G111" s="105"/>
      <c r="H111" s="105"/>
      <c r="I111" s="105"/>
      <c r="J111" s="135" t="str">
        <f t="shared" si="24"/>
        <v>YES</v>
      </c>
      <c r="K111" s="371" t="str">
        <f t="shared" si="25"/>
        <v/>
      </c>
      <c r="L111" s="682" t="s">
        <v>336</v>
      </c>
      <c r="M111" s="168"/>
      <c r="N111" s="168"/>
      <c r="O111" s="590"/>
      <c r="P111" s="421"/>
      <c r="Q111" s="168"/>
      <c r="R111" s="193" t="s">
        <v>255</v>
      </c>
      <c r="S111" s="168"/>
      <c r="T111" s="168"/>
      <c r="U111" s="168"/>
      <c r="V111" s="168"/>
      <c r="W111" s="168"/>
      <c r="X111" s="668" t="s">
        <v>336</v>
      </c>
      <c r="Y111" s="543"/>
      <c r="Z111" s="543"/>
      <c r="AA111" s="547" t="s">
        <v>369</v>
      </c>
      <c r="AB111" s="915"/>
      <c r="AC111" s="554" t="str">
        <f t="shared" si="26"/>
        <v/>
      </c>
      <c r="AD111" s="930" t="str">
        <f t="shared" ref="AD111:AD118" si="27">IF(P485="","",P485)</f>
        <v/>
      </c>
      <c r="AE111" s="543" t="s">
        <v>506</v>
      </c>
    </row>
    <row r="112" spans="1:36" ht="11.25" customHeight="1" thickBot="1">
      <c r="A112" s="604">
        <v>46</v>
      </c>
      <c r="B112" s="115"/>
      <c r="C112" s="116"/>
      <c r="D112" s="44"/>
      <c r="E112" s="44"/>
      <c r="F112" s="44"/>
      <c r="G112" s="44"/>
      <c r="H112" s="44"/>
      <c r="I112" s="44"/>
      <c r="J112" s="135"/>
      <c r="K112" s="371"/>
      <c r="L112" s="682" t="s">
        <v>336</v>
      </c>
      <c r="M112" s="168"/>
      <c r="N112" s="168"/>
      <c r="O112" s="590"/>
      <c r="P112" s="421"/>
      <c r="Q112" s="168"/>
      <c r="R112" s="168"/>
      <c r="S112" s="168"/>
      <c r="T112" s="168"/>
      <c r="U112" s="168"/>
      <c r="V112" s="168"/>
      <c r="W112" s="168"/>
      <c r="X112" s="668" t="s">
        <v>336</v>
      </c>
      <c r="Y112" s="543"/>
      <c r="Z112" s="543"/>
      <c r="AA112" s="543"/>
      <c r="AB112" s="915"/>
      <c r="AC112" s="554" t="str">
        <f t="shared" si="26"/>
        <v/>
      </c>
      <c r="AD112" s="930" t="str">
        <f t="shared" si="27"/>
        <v/>
      </c>
      <c r="AE112" s="543" t="s">
        <v>507</v>
      </c>
      <c r="AH112"/>
      <c r="AI112"/>
    </row>
    <row r="113" spans="1:35" ht="11.25" customHeight="1" thickTop="1">
      <c r="A113" s="604">
        <v>47</v>
      </c>
      <c r="B113" s="115"/>
      <c r="C113" s="116"/>
      <c r="K113" s="371"/>
      <c r="L113" s="682" t="s">
        <v>336</v>
      </c>
      <c r="M113" s="325"/>
      <c r="N113" s="326"/>
      <c r="O113" s="591"/>
      <c r="P113" s="417"/>
      <c r="Q113" s="688" t="s">
        <v>286</v>
      </c>
      <c r="R113" s="326"/>
      <c r="S113" s="326"/>
      <c r="T113" s="326"/>
      <c r="U113" s="326"/>
      <c r="V113" s="326"/>
      <c r="W113" s="327"/>
      <c r="X113" s="668" t="s">
        <v>336</v>
      </c>
      <c r="Y113" s="543"/>
      <c r="Z113" s="543"/>
      <c r="AA113" s="543"/>
      <c r="AB113" s="915"/>
      <c r="AC113" s="554" t="str">
        <f t="shared" si="26"/>
        <v/>
      </c>
      <c r="AD113" s="930" t="str">
        <f t="shared" si="27"/>
        <v/>
      </c>
      <c r="AE113" s="543" t="s">
        <v>508</v>
      </c>
    </row>
    <row r="114" spans="1:35" ht="11.25" customHeight="1">
      <c r="A114" s="604">
        <v>48</v>
      </c>
      <c r="B114" s="115"/>
      <c r="C114" s="116"/>
      <c r="K114" s="371"/>
      <c r="L114" s="682" t="s">
        <v>336</v>
      </c>
      <c r="M114" s="330"/>
      <c r="N114" s="160" t="s">
        <v>417</v>
      </c>
      <c r="O114" s="973" t="s">
        <v>986</v>
      </c>
      <c r="P114" s="418"/>
      <c r="Q114" s="683" t="str">
        <f>IF(OR(AB171=0,AB171=""),"",AB171)</f>
        <v/>
      </c>
      <c r="R114" s="43"/>
      <c r="S114" s="43"/>
      <c r="T114" s="43"/>
      <c r="U114" s="43"/>
      <c r="V114" s="43"/>
      <c r="W114" s="332"/>
      <c r="X114" s="668" t="s">
        <v>336</v>
      </c>
      <c r="Y114" s="543"/>
      <c r="Z114" s="543"/>
      <c r="AA114" s="543"/>
      <c r="AB114" s="915"/>
      <c r="AC114" s="554" t="str">
        <f t="shared" si="26"/>
        <v/>
      </c>
      <c r="AD114" s="930" t="str">
        <f t="shared" si="27"/>
        <v/>
      </c>
      <c r="AE114" s="543" t="s">
        <v>509</v>
      </c>
    </row>
    <row r="115" spans="1:35" ht="11.25" customHeight="1">
      <c r="A115" s="604">
        <v>49</v>
      </c>
      <c r="B115" s="136"/>
      <c r="C115" s="49"/>
      <c r="D115" s="49"/>
      <c r="E115" s="49"/>
      <c r="F115" s="49"/>
      <c r="G115" s="49"/>
      <c r="H115" s="49"/>
      <c r="I115" s="49"/>
      <c r="J115" s="49"/>
      <c r="K115" s="67"/>
      <c r="L115" s="682" t="s">
        <v>336</v>
      </c>
      <c r="M115" s="83"/>
      <c r="N115" s="602" t="s">
        <v>257</v>
      </c>
      <c r="O115" s="974"/>
      <c r="P115" s="603">
        <f>LEN(O114)</f>
        <v>17</v>
      </c>
      <c r="Q115" s="684"/>
      <c r="R115" s="687">
        <f>LEN(Q114)</f>
        <v>0</v>
      </c>
      <c r="S115" s="55"/>
      <c r="T115" s="55"/>
      <c r="U115" s="55"/>
      <c r="V115" s="55"/>
      <c r="W115" s="334"/>
      <c r="X115" s="668" t="s">
        <v>336</v>
      </c>
      <c r="Y115" s="543"/>
      <c r="Z115" s="543"/>
      <c r="AA115" s="543"/>
      <c r="AB115" s="915"/>
      <c r="AC115" s="554" t="str">
        <f t="shared" si="26"/>
        <v/>
      </c>
      <c r="AD115" s="930" t="str">
        <f t="shared" si="27"/>
        <v/>
      </c>
      <c r="AE115" s="543" t="s">
        <v>510</v>
      </c>
    </row>
    <row r="116" spans="1:35" ht="11.25" customHeight="1">
      <c r="A116" s="604">
        <v>50</v>
      </c>
      <c r="B116" s="136"/>
      <c r="C116" s="49"/>
      <c r="D116" s="49"/>
      <c r="E116" s="49"/>
      <c r="F116" s="49"/>
      <c r="G116" s="49"/>
      <c r="H116" s="49"/>
      <c r="I116" s="49"/>
      <c r="J116" s="49"/>
      <c r="K116" s="67"/>
      <c r="L116" s="682" t="s">
        <v>336</v>
      </c>
      <c r="M116" s="123"/>
      <c r="N116" s="160" t="s">
        <v>111</v>
      </c>
      <c r="O116" s="973" t="s">
        <v>987</v>
      </c>
      <c r="P116" s="418"/>
      <c r="Q116" s="683" t="str">
        <f>IF(OR(AB173=0,AB173=""),"",AB173)</f>
        <v/>
      </c>
      <c r="R116" s="43"/>
      <c r="S116" s="43"/>
      <c r="T116" s="43"/>
      <c r="U116" s="43"/>
      <c r="V116" s="43"/>
      <c r="W116" s="332"/>
      <c r="X116" s="668" t="s">
        <v>336</v>
      </c>
      <c r="Y116" s="543"/>
      <c r="Z116" s="543"/>
      <c r="AA116" s="543"/>
      <c r="AB116" s="915"/>
      <c r="AC116" s="554" t="str">
        <f t="shared" si="26"/>
        <v/>
      </c>
      <c r="AD116" s="930" t="str">
        <f t="shared" si="27"/>
        <v/>
      </c>
      <c r="AE116" s="543" t="s">
        <v>511</v>
      </c>
    </row>
    <row r="117" spans="1:35" ht="11.25" customHeight="1">
      <c r="A117" s="604">
        <v>51</v>
      </c>
      <c r="B117" s="136"/>
      <c r="C117" s="49"/>
      <c r="D117" s="49"/>
      <c r="E117" s="49"/>
      <c r="F117" s="49"/>
      <c r="G117" s="49"/>
      <c r="H117" s="49"/>
      <c r="I117" s="49"/>
      <c r="J117" s="49"/>
      <c r="K117" s="67"/>
      <c r="L117" s="682" t="s">
        <v>336</v>
      </c>
      <c r="M117" s="83"/>
      <c r="N117" s="602" t="s">
        <v>257</v>
      </c>
      <c r="O117" s="974"/>
      <c r="P117" s="603">
        <f>LEN(O116)</f>
        <v>35</v>
      </c>
      <c r="Q117" s="684"/>
      <c r="R117" s="687">
        <f>LEN(Q116)</f>
        <v>0</v>
      </c>
      <c r="S117" s="43"/>
      <c r="T117" s="43"/>
      <c r="U117" s="43"/>
      <c r="V117" s="43"/>
      <c r="W117" s="332"/>
      <c r="X117" s="668" t="s">
        <v>336</v>
      </c>
      <c r="Y117" s="543"/>
      <c r="Z117" s="543"/>
      <c r="AA117" s="543"/>
      <c r="AB117" s="915"/>
      <c r="AC117" s="554" t="str">
        <f t="shared" si="26"/>
        <v/>
      </c>
      <c r="AD117" s="930" t="str">
        <f t="shared" si="27"/>
        <v/>
      </c>
      <c r="AE117" s="543" t="s">
        <v>512</v>
      </c>
    </row>
    <row r="118" spans="1:35" ht="11.25" customHeight="1">
      <c r="A118" s="604">
        <v>52</v>
      </c>
      <c r="B118" s="136"/>
      <c r="C118" s="49"/>
      <c r="D118" s="49"/>
      <c r="E118" s="49"/>
      <c r="F118" s="49"/>
      <c r="G118" s="49"/>
      <c r="H118" s="49"/>
      <c r="I118" s="49"/>
      <c r="J118" s="49"/>
      <c r="K118" s="67"/>
      <c r="L118" s="682" t="s">
        <v>336</v>
      </c>
      <c r="M118" s="338"/>
      <c r="N118" s="160" t="s">
        <v>111</v>
      </c>
      <c r="O118" s="973" t="s">
        <v>988</v>
      </c>
      <c r="P118" s="418"/>
      <c r="Q118" s="683" t="str">
        <f>IF(OR(AB175=0,AB175=""),"",AB175)</f>
        <v/>
      </c>
      <c r="R118" s="43"/>
      <c r="S118" s="55"/>
      <c r="T118" s="55"/>
      <c r="U118" s="55"/>
      <c r="V118" s="55"/>
      <c r="W118" s="334"/>
      <c r="X118" s="668" t="s">
        <v>336</v>
      </c>
      <c r="Y118" s="543"/>
      <c r="Z118" s="543"/>
      <c r="AA118" s="543"/>
      <c r="AB118" s="915"/>
      <c r="AC118" s="554" t="str">
        <f t="shared" si="26"/>
        <v/>
      </c>
      <c r="AD118" s="930" t="str">
        <f t="shared" si="27"/>
        <v/>
      </c>
      <c r="AE118" s="543" t="s">
        <v>513</v>
      </c>
    </row>
    <row r="119" spans="1:35" ht="11.25" customHeight="1">
      <c r="A119" s="604">
        <v>53</v>
      </c>
      <c r="B119" s="136"/>
      <c r="C119" s="49"/>
      <c r="D119" s="49"/>
      <c r="E119" s="49"/>
      <c r="F119" s="49"/>
      <c r="G119" s="49"/>
      <c r="H119" s="49"/>
      <c r="I119" s="49"/>
      <c r="J119" s="49"/>
      <c r="K119" s="67"/>
      <c r="L119" s="682" t="s">
        <v>336</v>
      </c>
      <c r="M119" s="123"/>
      <c r="N119" s="602" t="s">
        <v>257</v>
      </c>
      <c r="O119" s="974"/>
      <c r="P119" s="603">
        <f>LEN(O118)</f>
        <v>71</v>
      </c>
      <c r="Q119" s="684"/>
      <c r="R119" s="687">
        <f>LEN(Q118)</f>
        <v>0</v>
      </c>
      <c r="S119" s="43"/>
      <c r="T119" s="43"/>
      <c r="U119" s="43"/>
      <c r="V119" s="43"/>
      <c r="W119" s="332"/>
      <c r="X119" s="668" t="s">
        <v>336</v>
      </c>
      <c r="Y119" s="543"/>
      <c r="Z119" s="543"/>
      <c r="AA119" s="543"/>
      <c r="AB119" s="543"/>
      <c r="AC119" s="554" t="str">
        <f t="shared" si="26"/>
        <v/>
      </c>
      <c r="AD119" s="543"/>
      <c r="AE119" s="543"/>
    </row>
    <row r="120" spans="1:35" ht="11.25" customHeight="1">
      <c r="A120" s="604">
        <v>54</v>
      </c>
      <c r="B120" s="136"/>
      <c r="C120" s="49"/>
      <c r="D120" s="49"/>
      <c r="E120" s="49"/>
      <c r="F120" s="49"/>
      <c r="G120" s="49"/>
      <c r="H120" s="49"/>
      <c r="I120" s="49"/>
      <c r="J120" s="49"/>
      <c r="K120" s="67"/>
      <c r="L120" s="682" t="s">
        <v>336</v>
      </c>
      <c r="M120" s="83"/>
      <c r="N120" s="160" t="s">
        <v>111</v>
      </c>
      <c r="O120" s="973" t="s">
        <v>989</v>
      </c>
      <c r="P120" s="418"/>
      <c r="Q120" s="683" t="str">
        <f>IF(OR(AB177=0,AB177=""),"",AB177)</f>
        <v/>
      </c>
      <c r="R120" s="43"/>
      <c r="S120" s="43"/>
      <c r="T120" s="43"/>
      <c r="U120" s="43"/>
      <c r="V120" s="43"/>
      <c r="W120" s="332"/>
      <c r="X120" s="668" t="s">
        <v>336</v>
      </c>
      <c r="Y120" s="543"/>
      <c r="Z120" s="543"/>
      <c r="AA120" s="547" t="s">
        <v>653</v>
      </c>
      <c r="AB120" s="916"/>
      <c r="AC120" s="554" t="str">
        <f t="shared" si="26"/>
        <v/>
      </c>
      <c r="AD120" s="1024" t="str">
        <f t="shared" ref="AD120:AD127" si="28">IF(R485="","",R485)</f>
        <v/>
      </c>
      <c r="AE120" s="543" t="s">
        <v>514</v>
      </c>
    </row>
    <row r="121" spans="1:35" ht="11.25" customHeight="1">
      <c r="A121" s="604">
        <v>55</v>
      </c>
      <c r="B121" s="136"/>
      <c r="C121" s="49"/>
      <c r="D121" s="49"/>
      <c r="E121" s="49"/>
      <c r="F121" s="49"/>
      <c r="G121" s="49"/>
      <c r="H121" s="49"/>
      <c r="I121" s="49"/>
      <c r="J121" s="49"/>
      <c r="K121" s="67"/>
      <c r="L121" s="682" t="s">
        <v>336</v>
      </c>
      <c r="M121" s="338"/>
      <c r="N121" s="602" t="s">
        <v>257</v>
      </c>
      <c r="O121" s="974"/>
      <c r="P121" s="603">
        <f>LEN(O120)</f>
        <v>50</v>
      </c>
      <c r="Q121" s="684"/>
      <c r="R121" s="687">
        <f>LEN(Q120)</f>
        <v>0</v>
      </c>
      <c r="S121" s="55"/>
      <c r="T121" s="55"/>
      <c r="U121" s="55"/>
      <c r="V121" s="55"/>
      <c r="W121" s="334"/>
      <c r="X121" s="668" t="s">
        <v>336</v>
      </c>
      <c r="Y121" s="543"/>
      <c r="Z121" s="543"/>
      <c r="AA121" s="547" t="str">
        <f>"@ "&amp;ROUND(AD109,1)&amp;" in."</f>
        <v>@ 39.4 in.</v>
      </c>
      <c r="AB121" s="916"/>
      <c r="AC121" s="554" t="str">
        <f t="shared" si="26"/>
        <v/>
      </c>
      <c r="AD121" s="1024" t="str">
        <f t="shared" si="28"/>
        <v/>
      </c>
      <c r="AE121" s="543" t="s">
        <v>515</v>
      </c>
    </row>
    <row r="122" spans="1:35" ht="11.25" customHeight="1">
      <c r="A122" s="604">
        <v>56</v>
      </c>
      <c r="B122" s="136"/>
      <c r="C122" s="49"/>
      <c r="D122" s="49"/>
      <c r="E122" s="49"/>
      <c r="F122" s="49"/>
      <c r="G122" s="49"/>
      <c r="H122" s="49"/>
      <c r="I122" s="49"/>
      <c r="J122" s="49"/>
      <c r="K122" s="67"/>
      <c r="L122" s="682" t="s">
        <v>336</v>
      </c>
      <c r="M122" s="123"/>
      <c r="N122" s="160" t="s">
        <v>111</v>
      </c>
      <c r="O122" s="973" t="s">
        <v>990</v>
      </c>
      <c r="P122" s="418"/>
      <c r="Q122" s="683" t="str">
        <f>IF(OR(AB179=0,AB179=""),"",AB179)</f>
        <v/>
      </c>
      <c r="R122" s="43"/>
      <c r="S122" s="43"/>
      <c r="T122" s="43"/>
      <c r="U122" s="43"/>
      <c r="V122" s="43"/>
      <c r="W122" s="332"/>
      <c r="X122" s="668" t="s">
        <v>336</v>
      </c>
      <c r="Y122" s="543"/>
      <c r="Z122" s="543"/>
      <c r="AA122" s="543"/>
      <c r="AB122" s="916"/>
      <c r="AC122" s="554" t="str">
        <f t="shared" ref="AC122:AC145" si="29">IF(AND(OR(AB122="",AB122=0),OR(AD122="",AD122=0)),"",IF(AB122&lt;&gt;AD122,"Change",""))</f>
        <v/>
      </c>
      <c r="AD122" s="1024" t="str">
        <f t="shared" si="28"/>
        <v/>
      </c>
      <c r="AE122" s="543" t="s">
        <v>516</v>
      </c>
    </row>
    <row r="123" spans="1:35" ht="11.25" customHeight="1">
      <c r="A123" s="604">
        <v>57</v>
      </c>
      <c r="B123" s="136"/>
      <c r="C123" s="49"/>
      <c r="D123" s="49"/>
      <c r="E123" s="49"/>
      <c r="F123" s="49"/>
      <c r="G123" s="49"/>
      <c r="H123" s="49"/>
      <c r="I123" s="49"/>
      <c r="J123" s="49"/>
      <c r="K123" s="67"/>
      <c r="L123" s="682" t="s">
        <v>336</v>
      </c>
      <c r="M123" s="83"/>
      <c r="N123" s="602" t="s">
        <v>257</v>
      </c>
      <c r="O123" s="974"/>
      <c r="P123" s="603">
        <f>LEN(O122)</f>
        <v>62</v>
      </c>
      <c r="Q123" s="684"/>
      <c r="R123" s="687">
        <f>LEN(Q122)</f>
        <v>0</v>
      </c>
      <c r="S123" s="43"/>
      <c r="T123" s="43"/>
      <c r="U123" s="43"/>
      <c r="V123" s="43"/>
      <c r="W123" s="332"/>
      <c r="X123" s="668" t="s">
        <v>336</v>
      </c>
      <c r="Y123" s="543"/>
      <c r="Z123" s="543"/>
      <c r="AA123" s="543"/>
      <c r="AB123" s="916"/>
      <c r="AC123" s="554" t="str">
        <f t="shared" si="29"/>
        <v/>
      </c>
      <c r="AD123" s="1024" t="str">
        <f t="shared" si="28"/>
        <v/>
      </c>
      <c r="AE123" s="543" t="s">
        <v>517</v>
      </c>
    </row>
    <row r="124" spans="1:35" ht="11.25" customHeight="1">
      <c r="A124" s="604">
        <v>58</v>
      </c>
      <c r="B124" s="136"/>
      <c r="C124" s="49"/>
      <c r="D124" s="49"/>
      <c r="E124" s="49"/>
      <c r="F124" s="49"/>
      <c r="G124" s="49"/>
      <c r="H124" s="49"/>
      <c r="I124" s="49"/>
      <c r="J124" s="49"/>
      <c r="K124" s="67"/>
      <c r="L124" s="682" t="s">
        <v>336</v>
      </c>
      <c r="M124" s="338"/>
      <c r="N124" s="160" t="s">
        <v>111</v>
      </c>
      <c r="O124" s="973"/>
      <c r="P124" s="418"/>
      <c r="Q124" s="683" t="str">
        <f>IF(OR(AB181=0,AB181=""),"",AB181)</f>
        <v/>
      </c>
      <c r="R124" s="43"/>
      <c r="S124" s="55"/>
      <c r="T124" s="55"/>
      <c r="U124" s="55"/>
      <c r="V124" s="55"/>
      <c r="W124" s="334"/>
      <c r="X124" s="668" t="s">
        <v>336</v>
      </c>
      <c r="Y124" s="543"/>
      <c r="Z124" s="329"/>
      <c r="AA124" s="543"/>
      <c r="AB124" s="916"/>
      <c r="AC124" s="554" t="str">
        <f t="shared" si="29"/>
        <v/>
      </c>
      <c r="AD124" s="1024" t="str">
        <f t="shared" si="28"/>
        <v/>
      </c>
      <c r="AE124" s="543" t="s">
        <v>518</v>
      </c>
    </row>
    <row r="125" spans="1:35" ht="11.25" customHeight="1">
      <c r="A125" s="604">
        <v>59</v>
      </c>
      <c r="B125" s="136"/>
      <c r="C125" s="49"/>
      <c r="D125" s="49"/>
      <c r="E125" s="49"/>
      <c r="F125" s="49"/>
      <c r="G125" s="49"/>
      <c r="H125" s="49"/>
      <c r="I125" s="49"/>
      <c r="J125" s="49"/>
      <c r="K125" s="67"/>
      <c r="L125" s="682" t="s">
        <v>336</v>
      </c>
      <c r="M125" s="123"/>
      <c r="N125" s="602" t="s">
        <v>257</v>
      </c>
      <c r="O125" s="974"/>
      <c r="P125" s="603">
        <f>LEN(O124)</f>
        <v>0</v>
      </c>
      <c r="Q125" s="684"/>
      <c r="R125" s="687">
        <f>LEN(Q124)</f>
        <v>0</v>
      </c>
      <c r="S125" s="43"/>
      <c r="T125" s="43"/>
      <c r="U125" s="43"/>
      <c r="V125" s="43"/>
      <c r="W125" s="332"/>
      <c r="X125" s="668" t="s">
        <v>336</v>
      </c>
      <c r="Y125" s="543"/>
      <c r="Z125" s="329"/>
      <c r="AA125" s="543"/>
      <c r="AB125" s="916"/>
      <c r="AC125" s="554" t="str">
        <f t="shared" si="29"/>
        <v/>
      </c>
      <c r="AD125" s="1024" t="str">
        <f t="shared" si="28"/>
        <v/>
      </c>
      <c r="AE125" s="543" t="s">
        <v>519</v>
      </c>
      <c r="AH125"/>
      <c r="AI125"/>
    </row>
    <row r="126" spans="1:35" ht="11.25" customHeight="1" thickBot="1">
      <c r="A126" s="604">
        <v>60</v>
      </c>
      <c r="B126" s="136"/>
      <c r="C126" s="49"/>
      <c r="D126" s="49"/>
      <c r="E126" s="49"/>
      <c r="F126" s="49"/>
      <c r="G126" s="49"/>
      <c r="H126" s="49"/>
      <c r="I126" s="49"/>
      <c r="J126" s="49"/>
      <c r="K126" s="67"/>
      <c r="L126" s="682" t="s">
        <v>336</v>
      </c>
      <c r="M126" s="83"/>
      <c r="N126" s="160" t="s">
        <v>111</v>
      </c>
      <c r="O126" s="973"/>
      <c r="P126" s="418"/>
      <c r="Q126" s="683" t="str">
        <f>IF(OR(AB183=0,AB183=""),"",AB183)</f>
        <v/>
      </c>
      <c r="R126" s="43"/>
      <c r="S126" s="43"/>
      <c r="T126" s="43"/>
      <c r="U126" s="43"/>
      <c r="V126" s="43"/>
      <c r="W126" s="332"/>
      <c r="X126" s="668" t="s">
        <v>336</v>
      </c>
      <c r="Y126" s="543"/>
      <c r="Z126" s="543"/>
      <c r="AA126" s="543"/>
      <c r="AB126" s="916"/>
      <c r="AC126" s="554" t="str">
        <f t="shared" si="29"/>
        <v/>
      </c>
      <c r="AD126" s="1024" t="str">
        <f t="shared" si="28"/>
        <v/>
      </c>
      <c r="AE126" s="543" t="s">
        <v>520</v>
      </c>
      <c r="AH126" s="1275" t="str">
        <f>ROUND(I605,1)&amp;" kV"</f>
        <v>80 kV</v>
      </c>
      <c r="AI126" s="1275"/>
    </row>
    <row r="127" spans="1:35" ht="11.25" customHeight="1" thickBot="1">
      <c r="A127" s="604">
        <v>61</v>
      </c>
      <c r="B127" s="136"/>
      <c r="C127" s="49"/>
      <c r="D127" s="49"/>
      <c r="E127" s="49"/>
      <c r="F127" s="49"/>
      <c r="G127" s="49"/>
      <c r="H127" s="49"/>
      <c r="I127" s="49"/>
      <c r="J127" s="49"/>
      <c r="K127" s="67"/>
      <c r="L127" s="682" t="s">
        <v>336</v>
      </c>
      <c r="M127" s="338"/>
      <c r="N127" s="602" t="s">
        <v>257</v>
      </c>
      <c r="O127" s="974"/>
      <c r="P127" s="603">
        <f>LEN(O126)</f>
        <v>0</v>
      </c>
      <c r="Q127" s="684"/>
      <c r="R127" s="687">
        <f>LEN(Q126)</f>
        <v>0</v>
      </c>
      <c r="S127" s="55"/>
      <c r="T127" s="55"/>
      <c r="U127" s="55"/>
      <c r="V127" s="55"/>
      <c r="W127" s="334"/>
      <c r="X127" s="668" t="s">
        <v>336</v>
      </c>
      <c r="Y127" s="543"/>
      <c r="Z127" s="543"/>
      <c r="AA127" s="543"/>
      <c r="AB127" s="916"/>
      <c r="AC127" s="554" t="str">
        <f t="shared" si="29"/>
        <v/>
      </c>
      <c r="AD127" s="1024" t="str">
        <f t="shared" si="28"/>
        <v/>
      </c>
      <c r="AE127" s="543" t="s">
        <v>521</v>
      </c>
      <c r="AH127" s="786" t="s">
        <v>216</v>
      </c>
      <c r="AI127" s="787" t="s">
        <v>217</v>
      </c>
    </row>
    <row r="128" spans="1:35" ht="11.25" customHeight="1">
      <c r="A128" s="604">
        <v>62</v>
      </c>
      <c r="B128" s="136"/>
      <c r="C128" s="49"/>
      <c r="D128" s="49"/>
      <c r="E128" s="49"/>
      <c r="F128" s="49"/>
      <c r="G128" s="49"/>
      <c r="H128" s="49"/>
      <c r="I128" s="49"/>
      <c r="J128" s="49"/>
      <c r="K128" s="67"/>
      <c r="L128" s="682" t="s">
        <v>336</v>
      </c>
      <c r="M128" s="123"/>
      <c r="N128" s="160" t="s">
        <v>111</v>
      </c>
      <c r="O128" s="973"/>
      <c r="P128" s="418"/>
      <c r="Q128" s="683" t="str">
        <f>IF(OR(AB185=0,AB185=""),"",AB185)</f>
        <v/>
      </c>
      <c r="R128" s="43"/>
      <c r="S128" s="43"/>
      <c r="T128" s="43"/>
      <c r="U128" s="43"/>
      <c r="V128" s="43"/>
      <c r="W128" s="332"/>
      <c r="X128" s="668" t="s">
        <v>336</v>
      </c>
      <c r="Y128" s="543"/>
      <c r="Z128" s="542"/>
      <c r="AA128" s="543"/>
      <c r="AB128" s="543"/>
      <c r="AC128" s="554" t="str">
        <f t="shared" si="29"/>
        <v/>
      </c>
      <c r="AD128" s="543"/>
      <c r="AE128" s="543"/>
      <c r="AH128" s="788" t="e">
        <f>IF(HVL="TBD","TBD",SMALL($M$465:$M$471,2))</f>
        <v>#DIV/0!</v>
      </c>
      <c r="AI128" s="789" t="e">
        <f t="shared" ref="AI128:AI133" si="30">IF(HVL="TBD","TBD",IF(AH128="",NA(),INDEX($N$465:$N$471,MATCH(AH128,$M$465:$M$471,0))))</f>
        <v>#DIV/0!</v>
      </c>
    </row>
    <row r="129" spans="1:36" ht="11.25" customHeight="1">
      <c r="A129" s="604">
        <v>63</v>
      </c>
      <c r="B129" s="292"/>
      <c r="C129" s="170"/>
      <c r="D129" s="244"/>
      <c r="E129" s="49"/>
      <c r="F129" s="49"/>
      <c r="G129" s="49"/>
      <c r="H129" s="49"/>
      <c r="I129" s="49"/>
      <c r="J129" s="135"/>
      <c r="K129" s="371"/>
      <c r="L129" s="682" t="s">
        <v>336</v>
      </c>
      <c r="M129" s="83"/>
      <c r="N129" s="602" t="s">
        <v>257</v>
      </c>
      <c r="O129" s="974"/>
      <c r="P129" s="603">
        <f>LEN(O128)</f>
        <v>0</v>
      </c>
      <c r="Q129" s="684"/>
      <c r="R129" s="687">
        <f>LEN(Q128)</f>
        <v>0</v>
      </c>
      <c r="S129" s="43"/>
      <c r="T129" s="43"/>
      <c r="U129" s="43"/>
      <c r="V129" s="43"/>
      <c r="W129" s="332"/>
      <c r="X129" s="668" t="s">
        <v>336</v>
      </c>
      <c r="Y129" s="543"/>
      <c r="Z129" s="542"/>
      <c r="AA129" s="549" t="s">
        <v>416</v>
      </c>
      <c r="AB129" s="543"/>
      <c r="AC129" s="554" t="str">
        <f t="shared" si="29"/>
        <v/>
      </c>
      <c r="AD129" s="543"/>
      <c r="AE129" s="543"/>
      <c r="AH129" s="790" t="e">
        <f>IF(HVL="TBD","TBD",SMALL($M$465:$M$471,3))</f>
        <v>#DIV/0!</v>
      </c>
      <c r="AI129" s="789" t="e">
        <f t="shared" si="30"/>
        <v>#DIV/0!</v>
      </c>
    </row>
    <row r="130" spans="1:36" ht="11.25" customHeight="1" thickBot="1">
      <c r="A130" s="604">
        <v>64</v>
      </c>
      <c r="B130" s="98"/>
      <c r="C130" s="80"/>
      <c r="D130" s="80"/>
      <c r="E130" s="80"/>
      <c r="F130" s="80"/>
      <c r="G130" s="80"/>
      <c r="H130" s="80"/>
      <c r="I130" s="80"/>
      <c r="J130" s="376"/>
      <c r="K130" s="380"/>
      <c r="L130" s="682" t="s">
        <v>336</v>
      </c>
      <c r="M130" s="338"/>
      <c r="N130" s="160" t="s">
        <v>111</v>
      </c>
      <c r="O130" s="973"/>
      <c r="P130" s="418"/>
      <c r="Q130" s="683" t="str">
        <f>IF(OR(AB187=0,AB187=""),"",AB187)</f>
        <v/>
      </c>
      <c r="R130" s="43"/>
      <c r="S130" s="55"/>
      <c r="T130" s="55"/>
      <c r="U130" s="55"/>
      <c r="V130" s="55"/>
      <c r="W130" s="334"/>
      <c r="X130" s="668" t="s">
        <v>336</v>
      </c>
      <c r="Y130" s="543"/>
      <c r="Z130" s="542"/>
      <c r="AA130" s="542" t="s">
        <v>414</v>
      </c>
      <c r="AB130" s="915"/>
      <c r="AC130" s="554" t="str">
        <f t="shared" si="29"/>
        <v>Change</v>
      </c>
      <c r="AD130" s="932">
        <f>IF(Tables!I71="",AB130,Tables!I71/2.54)</f>
        <v>39.370078740157481</v>
      </c>
      <c r="AE130" s="557" t="s">
        <v>260</v>
      </c>
      <c r="AH130" s="790" t="e">
        <f>IF(HVL="TBD","TBD",SMALL($M$465:$M$471,4))</f>
        <v>#DIV/0!</v>
      </c>
      <c r="AI130" s="789" t="e">
        <f t="shared" si="30"/>
        <v>#DIV/0!</v>
      </c>
    </row>
    <row r="131" spans="1:36" ht="11.25" customHeight="1" thickTop="1">
      <c r="A131" s="604">
        <v>65</v>
      </c>
      <c r="B131" s="46" t="str">
        <f t="array" ref="B131:C132">$B$65:$C$66</f>
        <v>Date:</v>
      </c>
      <c r="C131" s="1072" t="str">
        <v/>
      </c>
      <c r="D131" s="120"/>
      <c r="E131" s="45"/>
      <c r="F131" s="45"/>
      <c r="G131" s="45"/>
      <c r="H131" s="45"/>
      <c r="I131" s="46" t="str">
        <f t="array" ref="I131:J132">$I$65:$J$66</f>
        <v>Inspector:</v>
      </c>
      <c r="J131" s="401" t="str">
        <v>Eugene Mah</v>
      </c>
      <c r="L131" s="682" t="s">
        <v>336</v>
      </c>
      <c r="M131" s="123"/>
      <c r="N131" s="602" t="s">
        <v>257</v>
      </c>
      <c r="O131" s="974"/>
      <c r="P131" s="603">
        <f>LEN(O130)</f>
        <v>0</v>
      </c>
      <c r="Q131" s="684"/>
      <c r="R131" s="687">
        <f>LEN(Q130)</f>
        <v>0</v>
      </c>
      <c r="S131" s="43"/>
      <c r="T131" s="43"/>
      <c r="U131" s="43"/>
      <c r="V131" s="43"/>
      <c r="W131" s="332"/>
      <c r="X131" s="668" t="s">
        <v>336</v>
      </c>
      <c r="Y131" s="543"/>
      <c r="Z131" s="542"/>
      <c r="AA131" s="543"/>
      <c r="AB131" s="543"/>
      <c r="AC131" s="554" t="str">
        <f t="shared" si="29"/>
        <v/>
      </c>
      <c r="AD131" s="543"/>
      <c r="AE131" s="543"/>
      <c r="AH131" s="790" t="e">
        <f>IF(HVL="TBD","TBD",IF(ALUM_3="",NA(),SMALL($M$465:$M$471,5)))</f>
        <v>#DIV/0!</v>
      </c>
      <c r="AI131" s="789" t="e">
        <f t="shared" si="30"/>
        <v>#DIV/0!</v>
      </c>
    </row>
    <row r="132" spans="1:36" ht="11.25" customHeight="1">
      <c r="A132" s="604">
        <v>66</v>
      </c>
      <c r="B132" s="46" t="str">
        <v>Room Number:</v>
      </c>
      <c r="C132" s="363" t="str">
        <v/>
      </c>
      <c r="D132" s="49"/>
      <c r="E132" s="45"/>
      <c r="F132" s="45"/>
      <c r="G132" s="45"/>
      <c r="H132" s="45"/>
      <c r="I132" s="46" t="str">
        <v>Survey ID:</v>
      </c>
      <c r="J132" s="910" t="str">
        <v/>
      </c>
      <c r="L132" s="682" t="s">
        <v>336</v>
      </c>
      <c r="M132" s="83"/>
      <c r="N132" s="160" t="s">
        <v>111</v>
      </c>
      <c r="O132" s="973"/>
      <c r="P132" s="418"/>
      <c r="Q132" s="683" t="str">
        <f>IF(OR(AB189=0,AB189=""),"",AB189)</f>
        <v/>
      </c>
      <c r="R132" s="43"/>
      <c r="S132" s="43"/>
      <c r="T132" s="43"/>
      <c r="U132" s="43"/>
      <c r="V132" s="43"/>
      <c r="W132" s="332"/>
      <c r="X132" s="668" t="s">
        <v>336</v>
      </c>
      <c r="Y132" s="543"/>
      <c r="Z132" s="542"/>
      <c r="AA132" s="547" t="s">
        <v>369</v>
      </c>
      <c r="AB132" s="915"/>
      <c r="AC132" s="554" t="str">
        <f t="shared" si="29"/>
        <v/>
      </c>
      <c r="AD132" s="934" t="str">
        <f t="shared" ref="AD132:AD137" si="31">IF(P502="","",P502)</f>
        <v/>
      </c>
      <c r="AE132" s="543" t="s">
        <v>522</v>
      </c>
      <c r="AH132" s="790" t="e">
        <f>IF(HVL="TBD","TBD",IF(ALUM_4="",NA(),SMALL($M$465:$M$471,6)))</f>
        <v>#DIV/0!</v>
      </c>
      <c r="AI132" s="789" t="e">
        <f t="shared" si="30"/>
        <v>#DIV/0!</v>
      </c>
    </row>
    <row r="133" spans="1:36" ht="11.25" customHeight="1" thickBot="1">
      <c r="A133" s="604">
        <v>1</v>
      </c>
      <c r="K133" s="142" t="str">
        <f>$F$2</f>
        <v>Medical University of South Carolina</v>
      </c>
      <c r="L133" s="682" t="s">
        <v>336</v>
      </c>
      <c r="M133" s="338"/>
      <c r="N133" s="602" t="s">
        <v>257</v>
      </c>
      <c r="O133" s="974"/>
      <c r="P133" s="603">
        <f>LEN(O132)</f>
        <v>0</v>
      </c>
      <c r="Q133" s="684"/>
      <c r="R133" s="687">
        <f>LEN(Q132)</f>
        <v>0</v>
      </c>
      <c r="S133" s="55"/>
      <c r="T133" s="55"/>
      <c r="U133" s="55"/>
      <c r="V133" s="55"/>
      <c r="W133" s="334"/>
      <c r="X133" s="668" t="s">
        <v>336</v>
      </c>
      <c r="Y133" s="543"/>
      <c r="Z133" s="542"/>
      <c r="AA133" s="543"/>
      <c r="AB133" s="915"/>
      <c r="AC133" s="554" t="str">
        <f t="shared" si="29"/>
        <v/>
      </c>
      <c r="AD133" s="934" t="str">
        <f t="shared" si="31"/>
        <v/>
      </c>
      <c r="AE133" s="543" t="s">
        <v>523</v>
      </c>
      <c r="AH133" s="791" t="e">
        <f>IF(HVL="TBD","TBD",IF(ALUM_5="",NA(),SMALL($M$465:$M$471,7)))</f>
        <v>#DIV/0!</v>
      </c>
      <c r="AI133" s="792" t="e">
        <f t="shared" si="30"/>
        <v>#DIV/0!</v>
      </c>
    </row>
    <row r="134" spans="1:36" ht="11.25" customHeight="1">
      <c r="A134" s="604">
        <v>2</v>
      </c>
      <c r="F134" s="252" t="s">
        <v>711</v>
      </c>
      <c r="K134" s="143" t="str">
        <f>$F$5</f>
        <v>Radiation Oncology IGRT Compliance Inspection</v>
      </c>
      <c r="L134" s="682" t="s">
        <v>336</v>
      </c>
      <c r="M134" s="123"/>
      <c r="N134" s="160" t="s">
        <v>111</v>
      </c>
      <c r="O134" s="973"/>
      <c r="P134" s="418"/>
      <c r="Q134" s="683" t="str">
        <f>IF(OR(AB191=0,AB191=""),"",AB191)</f>
        <v/>
      </c>
      <c r="R134" s="43"/>
      <c r="S134" s="43"/>
      <c r="T134" s="43"/>
      <c r="U134" s="43"/>
      <c r="V134" s="43"/>
      <c r="W134" s="332"/>
      <c r="X134" s="668" t="s">
        <v>336</v>
      </c>
      <c r="Y134" s="543"/>
      <c r="Z134" s="542"/>
      <c r="AA134" s="543"/>
      <c r="AB134" s="915"/>
      <c r="AC134" s="554" t="str">
        <f t="shared" si="29"/>
        <v/>
      </c>
      <c r="AD134" s="934" t="str">
        <f t="shared" si="31"/>
        <v/>
      </c>
      <c r="AE134" s="543" t="s">
        <v>524</v>
      </c>
      <c r="AJ134" s="329"/>
    </row>
    <row r="135" spans="1:36" ht="11.25" customHeight="1" thickBot="1">
      <c r="A135" s="604">
        <v>3</v>
      </c>
      <c r="L135" s="682" t="s">
        <v>336</v>
      </c>
      <c r="M135" s="83"/>
      <c r="N135" s="602" t="s">
        <v>257</v>
      </c>
      <c r="O135" s="974"/>
      <c r="P135" s="603">
        <f>LEN(O134)</f>
        <v>0</v>
      </c>
      <c r="Q135" s="684"/>
      <c r="R135" s="687">
        <f>LEN(Q134)</f>
        <v>0</v>
      </c>
      <c r="S135" s="43"/>
      <c r="T135" s="43"/>
      <c r="U135" s="43"/>
      <c r="V135" s="43"/>
      <c r="W135" s="332"/>
      <c r="X135" s="668" t="s">
        <v>336</v>
      </c>
      <c r="Y135" s="543"/>
      <c r="Z135" s="542"/>
      <c r="AA135" s="543"/>
      <c r="AB135" s="915"/>
      <c r="AC135" s="554" t="str">
        <f t="shared" si="29"/>
        <v/>
      </c>
      <c r="AD135" s="934" t="str">
        <f t="shared" si="31"/>
        <v/>
      </c>
      <c r="AE135" s="543" t="s">
        <v>525</v>
      </c>
      <c r="AJ135" s="329"/>
    </row>
    <row r="136" spans="1:36" ht="11.25" customHeight="1" thickTop="1">
      <c r="A136" s="604">
        <v>4</v>
      </c>
      <c r="B136" s="75"/>
      <c r="C136" s="58"/>
      <c r="D136" s="58"/>
      <c r="E136" s="58"/>
      <c r="F136" s="58"/>
      <c r="G136" s="58"/>
      <c r="H136" s="58"/>
      <c r="I136" s="58"/>
      <c r="J136" s="58"/>
      <c r="K136" s="76"/>
      <c r="L136" s="682" t="s">
        <v>336</v>
      </c>
      <c r="M136" s="338"/>
      <c r="N136" s="160" t="s">
        <v>111</v>
      </c>
      <c r="O136" s="973"/>
      <c r="P136" s="418"/>
      <c r="Q136" s="683" t="str">
        <f>IF(OR(AB193=0,AB193=""),"",AB193)</f>
        <v/>
      </c>
      <c r="R136" s="43"/>
      <c r="S136" s="55"/>
      <c r="T136" s="55"/>
      <c r="U136" s="55"/>
      <c r="V136" s="55"/>
      <c r="W136" s="334"/>
      <c r="X136" s="668" t="s">
        <v>336</v>
      </c>
      <c r="Y136" s="543"/>
      <c r="Z136" s="542"/>
      <c r="AA136" s="543"/>
      <c r="AB136" s="915"/>
      <c r="AC136" s="554" t="str">
        <f t="shared" si="29"/>
        <v/>
      </c>
      <c r="AD136" s="934" t="str">
        <f t="shared" si="31"/>
        <v/>
      </c>
      <c r="AE136" s="543" t="s">
        <v>526</v>
      </c>
    </row>
    <row r="137" spans="1:36" ht="11.25" customHeight="1">
      <c r="A137" s="604">
        <v>5</v>
      </c>
      <c r="B137" s="106" t="s">
        <v>417</v>
      </c>
      <c r="C137" s="607" t="str">
        <f>IF(O79="","",IF(LEN(O79)&lt;=135,O79,IF(LEN(O79)&lt;=260,LEFT(O79,SEARCH(" ",O79,125)),LEFT(O79,SEARCH(" ",O79,130)))))</f>
        <v/>
      </c>
      <c r="D137" s="366"/>
      <c r="E137" s="366"/>
      <c r="F137" s="366"/>
      <c r="G137" s="366"/>
      <c r="H137" s="366"/>
      <c r="I137" s="366"/>
      <c r="J137" s="366"/>
      <c r="K137" s="82"/>
      <c r="L137" s="682" t="s">
        <v>336</v>
      </c>
      <c r="M137" s="123"/>
      <c r="N137" s="602" t="s">
        <v>257</v>
      </c>
      <c r="O137" s="974"/>
      <c r="P137" s="603">
        <f>LEN(O136)</f>
        <v>0</v>
      </c>
      <c r="Q137" s="684"/>
      <c r="R137" s="687">
        <f>LEN(Q136)</f>
        <v>0</v>
      </c>
      <c r="S137" s="43"/>
      <c r="T137" s="43"/>
      <c r="U137" s="43"/>
      <c r="V137" s="43"/>
      <c r="W137" s="332"/>
      <c r="X137" s="668" t="s">
        <v>336</v>
      </c>
      <c r="Y137" s="543"/>
      <c r="Z137" s="542"/>
      <c r="AA137" s="543"/>
      <c r="AB137" s="915"/>
      <c r="AC137" s="554" t="str">
        <f t="shared" si="29"/>
        <v/>
      </c>
      <c r="AD137" s="934" t="str">
        <f t="shared" si="31"/>
        <v/>
      </c>
      <c r="AE137" s="543" t="s">
        <v>527</v>
      </c>
    </row>
    <row r="138" spans="1:36" ht="11.25" customHeight="1">
      <c r="A138" s="604">
        <v>6</v>
      </c>
      <c r="B138" s="83"/>
      <c r="C138" s="607" t="str">
        <f>IF(LEN(O79)&lt;=135,"",IF(LEN(O79)&lt;=260,RIGHT(O79,LEN(O79)-SEARCH(" ",O79,125)),MID(O79,SEARCH(" ",O79,130),IF(LEN(O79)&lt;=265,LEN(O79),SEARCH(" ",O79,255)-SEARCH(" ",O79,130)))))</f>
        <v/>
      </c>
      <c r="D138" s="366"/>
      <c r="E138" s="366"/>
      <c r="F138" s="366"/>
      <c r="G138" s="366"/>
      <c r="H138" s="366"/>
      <c r="I138" s="366"/>
      <c r="J138" s="366"/>
      <c r="K138" s="82"/>
      <c r="L138" s="682" t="s">
        <v>336</v>
      </c>
      <c r="M138" s="83"/>
      <c r="N138" s="160" t="s">
        <v>111</v>
      </c>
      <c r="O138" s="973"/>
      <c r="P138" s="418"/>
      <c r="Q138" s="683" t="str">
        <f>IF(OR(AB195=0,AB195=""),"",AB195)</f>
        <v/>
      </c>
      <c r="R138" s="43"/>
      <c r="S138" s="43"/>
      <c r="T138" s="43"/>
      <c r="U138" s="43"/>
      <c r="V138" s="43"/>
      <c r="W138" s="332"/>
      <c r="X138" s="668" t="s">
        <v>336</v>
      </c>
      <c r="Y138" s="543"/>
      <c r="Z138" s="543"/>
      <c r="AA138" s="543"/>
      <c r="AB138" s="543"/>
      <c r="AC138" s="554" t="str">
        <f t="shared" si="29"/>
        <v/>
      </c>
      <c r="AD138" s="543"/>
      <c r="AE138" s="543"/>
    </row>
    <row r="139" spans="1:36" ht="11.25" customHeight="1">
      <c r="A139" s="604">
        <v>7</v>
      </c>
      <c r="B139" s="83"/>
      <c r="C139" s="607" t="str">
        <f>IF(LEN(O79)&lt;=265,"",RIGHT(O79,LEN(O79)-SEARCH(" ",O79,255)))</f>
        <v/>
      </c>
      <c r="D139" s="366"/>
      <c r="E139" s="366"/>
      <c r="F139" s="366"/>
      <c r="G139" s="366"/>
      <c r="H139" s="366"/>
      <c r="I139" s="366"/>
      <c r="J139" s="366"/>
      <c r="K139" s="82"/>
      <c r="L139" s="682" t="s">
        <v>336</v>
      </c>
      <c r="M139" s="338"/>
      <c r="N139" s="602" t="s">
        <v>257</v>
      </c>
      <c r="O139" s="974"/>
      <c r="P139" s="603">
        <f>LEN(O138)</f>
        <v>0</v>
      </c>
      <c r="Q139" s="684"/>
      <c r="R139" s="687">
        <f>LEN(Q138)</f>
        <v>0</v>
      </c>
      <c r="S139" s="55"/>
      <c r="T139" s="55"/>
      <c r="U139" s="55"/>
      <c r="V139" s="55"/>
      <c r="W139" s="334"/>
      <c r="X139" s="668" t="s">
        <v>336</v>
      </c>
      <c r="Y139" s="329"/>
      <c r="Z139" s="543"/>
      <c r="AA139" s="547" t="s">
        <v>653</v>
      </c>
      <c r="AB139" s="916"/>
      <c r="AC139" s="554" t="str">
        <f t="shared" si="29"/>
        <v/>
      </c>
      <c r="AD139" s="1024" t="str">
        <f t="shared" ref="AD139:AD144" si="32">IF(R502="","",R502)</f>
        <v/>
      </c>
      <c r="AE139" s="543" t="s">
        <v>528</v>
      </c>
    </row>
    <row r="140" spans="1:36" ht="11.25" customHeight="1">
      <c r="A140" s="604">
        <v>8</v>
      </c>
      <c r="B140" s="605"/>
      <c r="C140" s="607" t="str">
        <f>IF(O81="","",IF(LEN(O81)&lt;=135,O81,IF(LEN(O81)&lt;=260,LEFT(O81,SEARCH(" ",O81,125)),LEFT(O81,SEARCH(" ",O81,130)))))</f>
        <v/>
      </c>
      <c r="D140" s="366"/>
      <c r="E140" s="366"/>
      <c r="F140" s="366"/>
      <c r="G140" s="366"/>
      <c r="H140" s="366"/>
      <c r="I140" s="366"/>
      <c r="J140" s="366"/>
      <c r="K140" s="82"/>
      <c r="L140" s="682" t="s">
        <v>336</v>
      </c>
      <c r="M140" s="136"/>
      <c r="N140" s="160" t="s">
        <v>111</v>
      </c>
      <c r="O140" s="973"/>
      <c r="P140" s="418"/>
      <c r="Q140" s="683" t="str">
        <f>IF(OR(AB197=0,AB197=""),"",AB197)</f>
        <v/>
      </c>
      <c r="R140" s="43"/>
      <c r="S140" s="55"/>
      <c r="T140" s="55"/>
      <c r="U140" s="55"/>
      <c r="V140" s="55"/>
      <c r="W140" s="67"/>
      <c r="X140" s="668" t="s">
        <v>336</v>
      </c>
      <c r="Y140" s="329"/>
      <c r="Z140" s="543"/>
      <c r="AA140" s="547" t="str">
        <f>"@ "&amp;ROUND(AD130,1)&amp;" in."</f>
        <v>@ 39.4 in.</v>
      </c>
      <c r="AB140" s="916"/>
      <c r="AC140" s="554" t="str">
        <f t="shared" si="29"/>
        <v/>
      </c>
      <c r="AD140" s="1024" t="str">
        <f t="shared" si="32"/>
        <v/>
      </c>
      <c r="AE140" s="543" t="s">
        <v>529</v>
      </c>
    </row>
    <row r="141" spans="1:36" ht="11.25" customHeight="1">
      <c r="A141" s="604">
        <v>9</v>
      </c>
      <c r="B141" s="605"/>
      <c r="C141" s="607" t="str">
        <f>IF(LEN(O81)&lt;=135,"",IF(LEN(O81)&lt;=260,RIGHT(O81,LEN(O81)-SEARCH(" ",O81,125)),MID(O81,SEARCH(" ",O81,130),IF(LEN(O81)&lt;=265,LEN(O81),SEARCH(" ",O81,255)-SEARCH(" ",O81,130)))))</f>
        <v/>
      </c>
      <c r="D141" s="366"/>
      <c r="E141" s="366"/>
      <c r="F141" s="366"/>
      <c r="G141" s="366"/>
      <c r="H141" s="366"/>
      <c r="I141" s="366"/>
      <c r="J141" s="366"/>
      <c r="K141" s="82"/>
      <c r="L141" s="682" t="s">
        <v>336</v>
      </c>
      <c r="M141" s="136"/>
      <c r="N141" s="602" t="s">
        <v>257</v>
      </c>
      <c r="O141" s="974"/>
      <c r="P141" s="603">
        <f>LEN(O140)</f>
        <v>0</v>
      </c>
      <c r="Q141" s="684"/>
      <c r="R141" s="687">
        <f>LEN(Q140)</f>
        <v>0</v>
      </c>
      <c r="S141" s="43"/>
      <c r="T141" s="43"/>
      <c r="U141" s="43"/>
      <c r="V141" s="43"/>
      <c r="W141" s="67"/>
      <c r="X141" s="668" t="s">
        <v>336</v>
      </c>
      <c r="Y141" s="329"/>
      <c r="Z141" s="543"/>
      <c r="AA141" s="543"/>
      <c r="AB141" s="916"/>
      <c r="AC141" s="554" t="str">
        <f t="shared" si="29"/>
        <v/>
      </c>
      <c r="AD141" s="1024" t="str">
        <f t="shared" si="32"/>
        <v/>
      </c>
      <c r="AE141" s="543" t="s">
        <v>530</v>
      </c>
    </row>
    <row r="142" spans="1:36" ht="11.25" customHeight="1">
      <c r="A142" s="604">
        <v>10</v>
      </c>
      <c r="B142" s="605"/>
      <c r="C142" s="607" t="str">
        <f>IF(LEN(O81)&lt;=265,"",RIGHT(O81,LEN(O81)-SEARCH(" ",O81,255)))</f>
        <v/>
      </c>
      <c r="D142" s="366"/>
      <c r="E142" s="366"/>
      <c r="F142" s="366"/>
      <c r="G142" s="366"/>
      <c r="H142" s="366"/>
      <c r="I142" s="366"/>
      <c r="J142" s="366"/>
      <c r="K142" s="82"/>
      <c r="L142" s="682" t="s">
        <v>336</v>
      </c>
      <c r="M142" s="136"/>
      <c r="N142" s="160" t="s">
        <v>111</v>
      </c>
      <c r="O142" s="973"/>
      <c r="P142" s="418"/>
      <c r="Q142" s="683" t="str">
        <f>IF(OR(AB199=0,AB199=""),"",AB199)</f>
        <v/>
      </c>
      <c r="R142" s="43"/>
      <c r="S142" s="55"/>
      <c r="T142" s="55"/>
      <c r="U142" s="55"/>
      <c r="V142" s="55"/>
      <c r="W142" s="67"/>
      <c r="X142" s="668" t="s">
        <v>336</v>
      </c>
      <c r="Y142" s="329"/>
      <c r="Z142" s="543"/>
      <c r="AA142" s="543"/>
      <c r="AB142" s="916"/>
      <c r="AC142" s="554" t="str">
        <f t="shared" si="29"/>
        <v/>
      </c>
      <c r="AD142" s="1024" t="str">
        <f t="shared" si="32"/>
        <v/>
      </c>
      <c r="AE142" s="543" t="s">
        <v>531</v>
      </c>
    </row>
    <row r="143" spans="1:36" ht="11.25" customHeight="1">
      <c r="A143" s="604">
        <v>11</v>
      </c>
      <c r="B143" s="606"/>
      <c r="C143" s="607" t="str">
        <f>IF(O83="","",IF(LEN(O83)&lt;=135,O83,IF(LEN(O83)&lt;=260,LEFT(O83,SEARCH(" ",O83,125)),LEFT(O83,SEARCH(" ",O83,130)))))</f>
        <v/>
      </c>
      <c r="D143" s="366"/>
      <c r="E143" s="366"/>
      <c r="F143" s="366"/>
      <c r="G143" s="366"/>
      <c r="H143" s="366"/>
      <c r="I143" s="366"/>
      <c r="J143" s="366"/>
      <c r="K143" s="82"/>
      <c r="L143" s="682" t="s">
        <v>336</v>
      </c>
      <c r="M143" s="136"/>
      <c r="N143" s="602" t="s">
        <v>257</v>
      </c>
      <c r="O143" s="974"/>
      <c r="P143" s="603">
        <f>LEN(O142)</f>
        <v>0</v>
      </c>
      <c r="Q143" s="684"/>
      <c r="R143" s="687">
        <f>LEN(Q142)</f>
        <v>0</v>
      </c>
      <c r="S143" s="55"/>
      <c r="T143" s="55"/>
      <c r="U143" s="55"/>
      <c r="V143" s="55"/>
      <c r="W143" s="67"/>
      <c r="X143" s="668" t="s">
        <v>336</v>
      </c>
      <c r="Y143" s="329"/>
      <c r="Z143" s="543"/>
      <c r="AA143" s="543"/>
      <c r="AB143" s="916"/>
      <c r="AC143" s="554" t="str">
        <f t="shared" si="29"/>
        <v/>
      </c>
      <c r="AD143" s="1024" t="str">
        <f t="shared" si="32"/>
        <v/>
      </c>
      <c r="AE143" s="543" t="s">
        <v>532</v>
      </c>
    </row>
    <row r="144" spans="1:36" ht="11.25" customHeight="1">
      <c r="A144" s="604">
        <v>12</v>
      </c>
      <c r="B144" s="606"/>
      <c r="C144" s="607" t="str">
        <f>IF(LEN(O83)&lt;=135,"",IF(LEN(O83)&lt;=260,RIGHT(O83,LEN(O83)-SEARCH(" ",O83,125)),MID(O83,SEARCH(" ",O83,130),IF(LEN(O83)&lt;=265,LEN(O83),SEARCH(" ",O83,255)-SEARCH(" ",O83,130)))))</f>
        <v/>
      </c>
      <c r="D144" s="366"/>
      <c r="E144" s="366"/>
      <c r="F144" s="366"/>
      <c r="G144" s="366"/>
      <c r="H144" s="366"/>
      <c r="I144" s="366"/>
      <c r="J144" s="366"/>
      <c r="K144" s="82"/>
      <c r="L144" s="682" t="s">
        <v>336</v>
      </c>
      <c r="M144" s="136"/>
      <c r="N144" s="160" t="s">
        <v>111</v>
      </c>
      <c r="O144" s="973"/>
      <c r="P144" s="418"/>
      <c r="Q144" s="683" t="str">
        <f>IF(OR(AB201=0,AB201=""),"",AB201)</f>
        <v/>
      </c>
      <c r="R144" s="43"/>
      <c r="S144" s="43"/>
      <c r="T144" s="43"/>
      <c r="U144" s="43"/>
      <c r="V144" s="43"/>
      <c r="W144" s="67"/>
      <c r="X144" s="668" t="s">
        <v>336</v>
      </c>
      <c r="Y144" s="329"/>
      <c r="Z144" s="543"/>
      <c r="AA144" s="543"/>
      <c r="AB144" s="916"/>
      <c r="AC144" s="554" t="str">
        <f t="shared" si="29"/>
        <v/>
      </c>
      <c r="AD144" s="1024" t="str">
        <f t="shared" si="32"/>
        <v/>
      </c>
      <c r="AE144" s="543" t="s">
        <v>533</v>
      </c>
    </row>
    <row r="145" spans="1:36" ht="11.25" customHeight="1">
      <c r="A145" s="604">
        <v>13</v>
      </c>
      <c r="B145" s="606"/>
      <c r="C145" s="607" t="str">
        <f>IF(LEN(O83)&lt;=265,"",RIGHT(O83,LEN(O83)-SEARCH(" ",O83,255)))</f>
        <v/>
      </c>
      <c r="D145" s="366"/>
      <c r="E145" s="366"/>
      <c r="F145" s="366"/>
      <c r="G145" s="366"/>
      <c r="H145" s="366"/>
      <c r="I145" s="366"/>
      <c r="J145" s="366"/>
      <c r="K145" s="82"/>
      <c r="L145" s="682" t="s">
        <v>336</v>
      </c>
      <c r="M145" s="136"/>
      <c r="N145" s="602" t="s">
        <v>257</v>
      </c>
      <c r="O145" s="974"/>
      <c r="P145" s="603">
        <f>LEN(O144)</f>
        <v>0</v>
      </c>
      <c r="Q145" s="684"/>
      <c r="R145" s="687">
        <f>LEN(Q144)</f>
        <v>0</v>
      </c>
      <c r="S145" s="55"/>
      <c r="T145" s="55"/>
      <c r="U145" s="55"/>
      <c r="V145" s="55"/>
      <c r="W145" s="67"/>
      <c r="X145" s="668" t="s">
        <v>336</v>
      </c>
      <c r="Y145" s="329"/>
      <c r="Z145" s="543"/>
      <c r="AA145" s="549" t="s">
        <v>655</v>
      </c>
      <c r="AB145" s="543"/>
      <c r="AC145" s="554" t="str">
        <f t="shared" si="29"/>
        <v/>
      </c>
      <c r="AD145" s="543"/>
      <c r="AE145" s="543"/>
    </row>
    <row r="146" spans="1:36" ht="11.25" customHeight="1">
      <c r="A146" s="604">
        <v>14</v>
      </c>
      <c r="B146" s="106"/>
      <c r="C146" s="607" t="str">
        <f>IF(O85="","",IF(LEN(O85)&lt;=135,O85,IF(LEN(O85)&lt;=260,LEFT(O85,SEARCH(" ",O85,125)),LEFT(O85,SEARCH(" ",O85,130)))))</f>
        <v/>
      </c>
      <c r="D146" s="366"/>
      <c r="E146" s="366"/>
      <c r="F146" s="366"/>
      <c r="G146" s="366"/>
      <c r="H146" s="366"/>
      <c r="I146" s="366"/>
      <c r="J146" s="366"/>
      <c r="K146" s="82"/>
      <c r="L146" s="682" t="s">
        <v>336</v>
      </c>
      <c r="M146" s="136"/>
      <c r="N146" s="160" t="s">
        <v>111</v>
      </c>
      <c r="O146" s="973"/>
      <c r="P146" s="418"/>
      <c r="Q146" s="683" t="str">
        <f>IF(OR(AB203=0,AB203=""),"",AB203)</f>
        <v/>
      </c>
      <c r="R146" s="43"/>
      <c r="S146" s="55"/>
      <c r="T146" s="55"/>
      <c r="U146" s="55"/>
      <c r="V146" s="55"/>
      <c r="W146" s="67"/>
      <c r="X146" s="668" t="s">
        <v>336</v>
      </c>
      <c r="Y146" s="329"/>
      <c r="Z146" s="543"/>
      <c r="AA146" s="542" t="s">
        <v>35</v>
      </c>
      <c r="AB146" s="941"/>
      <c r="AC146" s="554" t="str">
        <f t="shared" ref="AC146:AC152" si="33">IF(AND(OR(AB146="",AB146=0),OR(AD146="",AD146=0)),"",IF(AB146&lt;&gt;AD146,"Change",""))</f>
        <v>Change</v>
      </c>
      <c r="AD146" s="935" t="str">
        <f>IF(Q494="","",Q494)</f>
        <v>NA</v>
      </c>
      <c r="AE146" s="543" t="s">
        <v>41</v>
      </c>
    </row>
    <row r="147" spans="1:36" ht="11.25" customHeight="1">
      <c r="A147" s="604">
        <v>15</v>
      </c>
      <c r="B147" s="83"/>
      <c r="C147" s="607" t="str">
        <f>IF(LEN(O85)&lt;=135,"",IF(LEN(O85)&lt;=260,RIGHT(O85,LEN(O85)-SEARCH(" ",O85,125)),MID(O85,SEARCH(" ",O85,130),IF(LEN(O85)&lt;=265,LEN(O85),SEARCH(" ",O85,255)-SEARCH(" ",O85,130)))))</f>
        <v/>
      </c>
      <c r="D147" s="366"/>
      <c r="E147" s="366"/>
      <c r="F147" s="366"/>
      <c r="G147" s="366"/>
      <c r="H147" s="366"/>
      <c r="I147" s="366"/>
      <c r="J147" s="366"/>
      <c r="K147" s="82"/>
      <c r="L147" s="682" t="s">
        <v>336</v>
      </c>
      <c r="M147" s="136"/>
      <c r="N147" s="602" t="s">
        <v>257</v>
      </c>
      <c r="O147" s="974"/>
      <c r="P147" s="603">
        <f>LEN(O146)</f>
        <v>0</v>
      </c>
      <c r="Q147" s="684"/>
      <c r="R147" s="687">
        <f>LEN(Q146)</f>
        <v>0</v>
      </c>
      <c r="S147" s="43"/>
      <c r="T147" s="43"/>
      <c r="U147" s="43"/>
      <c r="V147" s="43"/>
      <c r="W147" s="67"/>
      <c r="X147" s="668" t="s">
        <v>336</v>
      </c>
      <c r="Y147" s="329"/>
      <c r="Z147" s="543"/>
      <c r="AA147" s="542" t="s">
        <v>36</v>
      </c>
      <c r="AB147" s="941"/>
      <c r="AC147" s="554" t="str">
        <f t="shared" si="33"/>
        <v>Change</v>
      </c>
      <c r="AD147" s="935" t="str">
        <f>IF(R494="","",R494)</f>
        <v>NA</v>
      </c>
      <c r="AE147" s="543" t="s">
        <v>42</v>
      </c>
    </row>
    <row r="148" spans="1:36" ht="11.25" customHeight="1">
      <c r="A148" s="604">
        <v>16</v>
      </c>
      <c r="B148" s="83"/>
      <c r="C148" s="607" t="str">
        <f>IF(LEN(O85)&lt;=265,"",RIGHT(O85,LEN(O85)-SEARCH(" ",O85,255)))</f>
        <v/>
      </c>
      <c r="D148" s="366"/>
      <c r="E148" s="366"/>
      <c r="F148" s="366"/>
      <c r="G148" s="366"/>
      <c r="H148" s="366"/>
      <c r="I148" s="366"/>
      <c r="J148" s="366"/>
      <c r="K148" s="82"/>
      <c r="L148" s="682" t="s">
        <v>336</v>
      </c>
      <c r="M148" s="136"/>
      <c r="N148" s="160" t="s">
        <v>111</v>
      </c>
      <c r="O148" s="973"/>
      <c r="P148" s="418"/>
      <c r="Q148" s="683" t="str">
        <f>IF(OR(AB205=0,AB205=""),"",AB205)</f>
        <v/>
      </c>
      <c r="R148" s="43"/>
      <c r="S148" s="55"/>
      <c r="T148" s="55"/>
      <c r="U148" s="55"/>
      <c r="V148" s="55"/>
      <c r="W148" s="67"/>
      <c r="X148" s="668" t="s">
        <v>336</v>
      </c>
      <c r="Y148" s="329"/>
      <c r="Z148" s="543"/>
      <c r="AA148" s="542" t="s">
        <v>37</v>
      </c>
      <c r="AB148" s="941"/>
      <c r="AC148" s="554" t="str">
        <f t="shared" si="33"/>
        <v>Change</v>
      </c>
      <c r="AD148" s="935" t="str">
        <f>IF(S494="","",S494)</f>
        <v>NA</v>
      </c>
      <c r="AE148" s="543" t="s">
        <v>43</v>
      </c>
      <c r="AJ148" s="329"/>
    </row>
    <row r="149" spans="1:36" ht="11.25" customHeight="1">
      <c r="A149" s="604">
        <v>17</v>
      </c>
      <c r="B149" s="106"/>
      <c r="C149" s="607" t="str">
        <f>IF(O87="","",IF(LEN(O87)&lt;=135,O87,IF(LEN(O87)&lt;=260,LEFT(O87,SEARCH(" ",O87,125)),LEFT(O87,SEARCH(" ",O87,130)))))</f>
        <v/>
      </c>
      <c r="D149" s="366"/>
      <c r="E149" s="366"/>
      <c r="F149" s="366"/>
      <c r="G149" s="366"/>
      <c r="H149" s="366"/>
      <c r="I149" s="366"/>
      <c r="J149" s="366"/>
      <c r="K149" s="82"/>
      <c r="L149" s="682" t="s">
        <v>336</v>
      </c>
      <c r="M149" s="136"/>
      <c r="N149" s="602" t="s">
        <v>257</v>
      </c>
      <c r="O149" s="974"/>
      <c r="P149" s="603">
        <f>LEN(O148)</f>
        <v>0</v>
      </c>
      <c r="Q149" s="684"/>
      <c r="R149" s="687">
        <f>LEN(Q148)</f>
        <v>0</v>
      </c>
      <c r="S149" s="55"/>
      <c r="T149" s="55"/>
      <c r="U149" s="55"/>
      <c r="V149" s="55"/>
      <c r="W149" s="67"/>
      <c r="X149" s="668" t="s">
        <v>336</v>
      </c>
      <c r="Y149" s="329"/>
      <c r="Z149" s="543"/>
      <c r="AA149" s="542" t="s">
        <v>38</v>
      </c>
      <c r="AB149" s="941"/>
      <c r="AC149" s="554" t="str">
        <f t="shared" si="33"/>
        <v>Change</v>
      </c>
      <c r="AD149" s="935" t="str">
        <f>IF(Q509="","",Q509)</f>
        <v>NA</v>
      </c>
      <c r="AE149" s="543" t="s">
        <v>44</v>
      </c>
      <c r="AJ149" s="329"/>
    </row>
    <row r="150" spans="1:36" ht="11.25" customHeight="1">
      <c r="A150" s="604">
        <v>18</v>
      </c>
      <c r="B150" s="83"/>
      <c r="C150" s="607" t="str">
        <f>IF(LEN(O87)&lt;=135,"",IF(LEN(O87)&lt;=260,RIGHT(O87,LEN(O87)-SEARCH(" ",O87,125)),MID(O87,SEARCH(" ",O87,130),IF(LEN(O87)&lt;=265,LEN(O87),SEARCH(" ",O87,255)-SEARCH(" ",O87,130)))))</f>
        <v/>
      </c>
      <c r="D150" s="366"/>
      <c r="E150" s="366"/>
      <c r="F150" s="366"/>
      <c r="G150" s="366"/>
      <c r="H150" s="366"/>
      <c r="I150" s="366"/>
      <c r="J150" s="366"/>
      <c r="K150" s="82"/>
      <c r="L150" s="682" t="s">
        <v>336</v>
      </c>
      <c r="M150" s="136"/>
      <c r="N150" s="160" t="s">
        <v>111</v>
      </c>
      <c r="O150" s="973"/>
      <c r="P150" s="418"/>
      <c r="Q150" s="683" t="str">
        <f>IF(OR(AB207=0,AB207=""),"",AB207)</f>
        <v/>
      </c>
      <c r="R150" s="43"/>
      <c r="S150" s="43"/>
      <c r="T150" s="43"/>
      <c r="U150" s="43"/>
      <c r="V150" s="43"/>
      <c r="W150" s="67"/>
      <c r="X150" s="668" t="s">
        <v>336</v>
      </c>
      <c r="Y150" s="329"/>
      <c r="Z150" s="543"/>
      <c r="AA150" s="542" t="s">
        <v>39</v>
      </c>
      <c r="AB150" s="941"/>
      <c r="AC150" s="554" t="str">
        <f t="shared" si="33"/>
        <v>Change</v>
      </c>
      <c r="AD150" s="935" t="str">
        <f>IF(R509="","",R509)</f>
        <v>NA</v>
      </c>
      <c r="AE150" s="543" t="s">
        <v>45</v>
      </c>
      <c r="AJ150" s="329"/>
    </row>
    <row r="151" spans="1:36" ht="11.25" customHeight="1">
      <c r="A151" s="604">
        <v>19</v>
      </c>
      <c r="B151" s="83"/>
      <c r="C151" s="607" t="str">
        <f>IF(LEN(O87)&lt;=265,"",RIGHT(O87,LEN(O87)-SEARCH(" ",O87,255)))</f>
        <v/>
      </c>
      <c r="D151" s="366"/>
      <c r="E151" s="366"/>
      <c r="F151" s="366"/>
      <c r="G151" s="366"/>
      <c r="H151" s="366"/>
      <c r="I151" s="366"/>
      <c r="J151" s="366"/>
      <c r="K151" s="82"/>
      <c r="L151" s="682" t="s">
        <v>336</v>
      </c>
      <c r="M151" s="136"/>
      <c r="N151" s="602" t="s">
        <v>257</v>
      </c>
      <c r="O151" s="603"/>
      <c r="P151" s="603">
        <f>LEN(O150)</f>
        <v>0</v>
      </c>
      <c r="Q151" s="684"/>
      <c r="R151" s="687">
        <f>LEN(Q150)</f>
        <v>0</v>
      </c>
      <c r="S151" s="55"/>
      <c r="T151" s="55"/>
      <c r="U151" s="55"/>
      <c r="V151" s="55"/>
      <c r="W151" s="67"/>
      <c r="X151" s="668" t="s">
        <v>336</v>
      </c>
      <c r="Y151" s="542"/>
      <c r="Z151" s="543"/>
      <c r="AA151" s="542" t="s">
        <v>40</v>
      </c>
      <c r="AB151" s="941"/>
      <c r="AC151" s="554" t="str">
        <f t="shared" si="33"/>
        <v>Change</v>
      </c>
      <c r="AD151" s="935" t="str">
        <f>IF(S509="","",S509)</f>
        <v>NA</v>
      </c>
      <c r="AE151" s="543" t="s">
        <v>46</v>
      </c>
      <c r="AJ151" s="329"/>
    </row>
    <row r="152" spans="1:36" ht="11.25" customHeight="1">
      <c r="A152" s="604">
        <v>20</v>
      </c>
      <c r="B152" s="106"/>
      <c r="C152" s="607" t="str">
        <f>IF(O89="","",IF(LEN(O89)&lt;=135,O89,IF(LEN(O89)&lt;=260,LEFT(O89,SEARCH(" ",O89,125)),LEFT(O89,SEARCH(" ",O89,130)))))</f>
        <v/>
      </c>
      <c r="D152" s="366"/>
      <c r="E152" s="366"/>
      <c r="F152" s="366"/>
      <c r="G152" s="366"/>
      <c r="H152" s="366"/>
      <c r="I152" s="366"/>
      <c r="J152" s="366"/>
      <c r="K152" s="82"/>
      <c r="L152" s="682" t="s">
        <v>336</v>
      </c>
      <c r="M152" s="136"/>
      <c r="N152" s="522"/>
      <c r="O152" s="522"/>
      <c r="P152" s="522"/>
      <c r="Q152" s="519"/>
      <c r="R152" s="519"/>
      <c r="S152" s="519"/>
      <c r="T152" s="519"/>
      <c r="U152" s="519"/>
      <c r="V152" s="519"/>
      <c r="W152" s="67"/>
      <c r="X152" s="668" t="s">
        <v>336</v>
      </c>
      <c r="Y152" s="542"/>
      <c r="Z152" s="329"/>
      <c r="AB152" s="543"/>
      <c r="AC152" s="554" t="str">
        <f t="shared" si="33"/>
        <v/>
      </c>
      <c r="AD152" s="795"/>
      <c r="AJ152" s="329"/>
    </row>
    <row r="153" spans="1:36" ht="11.25" customHeight="1">
      <c r="A153" s="604">
        <v>21</v>
      </c>
      <c r="B153" s="83"/>
      <c r="C153" s="607" t="str">
        <f>IF(LEN(O89)&lt;=135,"",IF(LEN(O89)&lt;=260,RIGHT(O89,LEN(O89)-SEARCH(" ",O89,125)),MID(O89,SEARCH(" ",O89,130),IF(LEN(O89)&lt;=265,LEN(O89),SEARCH(" ",O89,255)-SEARCH(" ",O89,130)))))</f>
        <v/>
      </c>
      <c r="D153" s="366"/>
      <c r="E153" s="366"/>
      <c r="F153" s="366"/>
      <c r="G153" s="366"/>
      <c r="H153" s="366"/>
      <c r="I153" s="366"/>
      <c r="J153" s="366"/>
      <c r="K153" s="82"/>
      <c r="L153" s="682" t="s">
        <v>336</v>
      </c>
      <c r="M153" s="136"/>
      <c r="N153" s="517"/>
      <c r="O153" s="517"/>
      <c r="P153" s="517"/>
      <c r="Q153" s="518"/>
      <c r="R153" s="518"/>
      <c r="S153" s="518"/>
      <c r="T153" s="518"/>
      <c r="U153" s="518"/>
      <c r="V153" s="518"/>
      <c r="W153" s="67"/>
      <c r="X153" s="668" t="s">
        <v>336</v>
      </c>
      <c r="Y153" s="542"/>
      <c r="Z153" s="542"/>
      <c r="AA153" s="549" t="s">
        <v>269</v>
      </c>
      <c r="AB153" s="918"/>
      <c r="AC153" s="554" t="str">
        <f t="shared" ref="AC153:AC169" si="34">IF(AND(OR(AB153="",AB153=0),OR(AD153="",AD153=0)),"",IF(AB153&lt;&gt;AD153,"Change",""))</f>
        <v/>
      </c>
      <c r="AD153" s="936">
        <f>O79</f>
        <v>0</v>
      </c>
      <c r="AE153" s="581" t="s">
        <v>583</v>
      </c>
      <c r="AJ153" s="329"/>
    </row>
    <row r="154" spans="1:36" ht="11.25" customHeight="1">
      <c r="A154" s="604">
        <v>22</v>
      </c>
      <c r="B154" s="83"/>
      <c r="C154" s="607" t="str">
        <f>IF(LEN(O89)&lt;=265,"",RIGHT(O89,LEN(O89)-SEARCH(" ",O89,255)))</f>
        <v/>
      </c>
      <c r="D154" s="366"/>
      <c r="E154" s="366"/>
      <c r="F154" s="366"/>
      <c r="G154" s="366"/>
      <c r="H154" s="366"/>
      <c r="I154" s="366"/>
      <c r="J154" s="366"/>
      <c r="K154" s="82"/>
      <c r="L154" s="682" t="s">
        <v>336</v>
      </c>
      <c r="M154" s="136"/>
      <c r="N154" s="517"/>
      <c r="O154" s="517"/>
      <c r="P154" s="517"/>
      <c r="Q154" s="518"/>
      <c r="R154" s="518"/>
      <c r="S154" s="518"/>
      <c r="T154" s="518"/>
      <c r="U154" s="518"/>
      <c r="V154" s="518"/>
      <c r="W154" s="67"/>
      <c r="X154" s="668" t="s">
        <v>336</v>
      </c>
      <c r="Y154" s="542"/>
      <c r="Z154" s="542"/>
      <c r="AA154" s="543"/>
      <c r="AB154" s="515"/>
      <c r="AC154" s="554" t="str">
        <f t="shared" si="34"/>
        <v/>
      </c>
      <c r="AD154" s="580"/>
      <c r="AE154" s="581"/>
      <c r="AJ154" s="329"/>
    </row>
    <row r="155" spans="1:36" ht="11.25" customHeight="1">
      <c r="A155" s="604">
        <v>23</v>
      </c>
      <c r="B155" s="106"/>
      <c r="C155" s="607" t="str">
        <f>IF(O91="","",IF(LEN(O91)&lt;=135,O91,IF(LEN(O91)&lt;=260,LEFT(O91,SEARCH(" ",O91,125)),LEFT(O91,SEARCH(" ",O91,130)))))</f>
        <v/>
      </c>
      <c r="D155" s="366"/>
      <c r="E155" s="366"/>
      <c r="F155" s="366"/>
      <c r="G155" s="366"/>
      <c r="H155" s="366"/>
      <c r="I155" s="366"/>
      <c r="J155" s="366"/>
      <c r="K155" s="82"/>
      <c r="L155" s="682" t="s">
        <v>336</v>
      </c>
      <c r="M155" s="136"/>
      <c r="N155" s="517"/>
      <c r="O155" s="517"/>
      <c r="P155" s="517"/>
      <c r="Q155" s="518"/>
      <c r="R155" s="518"/>
      <c r="S155" s="518"/>
      <c r="T155" s="518"/>
      <c r="U155" s="518"/>
      <c r="V155" s="518"/>
      <c r="W155" s="67"/>
      <c r="X155" s="668" t="s">
        <v>336</v>
      </c>
      <c r="Y155" s="542"/>
      <c r="Z155" s="542"/>
      <c r="AA155" s="543"/>
      <c r="AB155" s="918"/>
      <c r="AC155" s="554" t="str">
        <f t="shared" si="34"/>
        <v/>
      </c>
      <c r="AD155" s="936">
        <f>O81</f>
        <v>0</v>
      </c>
      <c r="AE155" s="581" t="s">
        <v>584</v>
      </c>
      <c r="AJ155" s="329"/>
    </row>
    <row r="156" spans="1:36" ht="11.25" customHeight="1">
      <c r="A156" s="604">
        <v>24</v>
      </c>
      <c r="B156" s="83"/>
      <c r="C156" s="607" t="str">
        <f>IF(LEN(O91)&lt;=135,"",IF(LEN(O91)&lt;=260,RIGHT(O91,LEN(O91)-SEARCH(" ",O91,125)),MID(O91,SEARCH(" ",O91,130),IF(LEN(O91)&lt;=265,LEN(O91),SEARCH(" ",O91,255)-SEARCH(" ",O91,130)))))</f>
        <v/>
      </c>
      <c r="D156" s="366"/>
      <c r="E156" s="366"/>
      <c r="F156" s="366"/>
      <c r="G156" s="366"/>
      <c r="H156" s="366"/>
      <c r="I156" s="366"/>
      <c r="J156" s="366"/>
      <c r="K156" s="82"/>
      <c r="L156" s="682" t="s">
        <v>336</v>
      </c>
      <c r="M156" s="136"/>
      <c r="N156" s="517"/>
      <c r="O156" s="517"/>
      <c r="P156" s="517"/>
      <c r="Q156" s="516" t="s">
        <v>254</v>
      </c>
      <c r="R156" s="104"/>
      <c r="S156" s="104"/>
      <c r="T156" s="517"/>
      <c r="U156" s="518"/>
      <c r="V156" s="518"/>
      <c r="W156" s="67"/>
      <c r="X156" s="668" t="s">
        <v>336</v>
      </c>
      <c r="Y156" s="542"/>
      <c r="Z156" s="542"/>
      <c r="AA156" s="543"/>
      <c r="AB156" s="515"/>
      <c r="AC156" s="554" t="str">
        <f t="shared" si="34"/>
        <v/>
      </c>
      <c r="AD156" s="580"/>
      <c r="AE156" s="581"/>
      <c r="AJ156" s="329"/>
    </row>
    <row r="157" spans="1:36" ht="11.25" customHeight="1">
      <c r="A157" s="604">
        <v>25</v>
      </c>
      <c r="B157" s="83"/>
      <c r="C157" s="607" t="str">
        <f>IF(LEN(O91)&lt;=265,"",RIGHT(O91,LEN(O91)-SEARCH(" ",O91,255)))</f>
        <v/>
      </c>
      <c r="D157" s="366"/>
      <c r="E157" s="366"/>
      <c r="F157" s="366"/>
      <c r="G157" s="366"/>
      <c r="H157" s="366"/>
      <c r="I157" s="366"/>
      <c r="J157" s="366"/>
      <c r="K157" s="82"/>
      <c r="L157" s="682" t="s">
        <v>336</v>
      </c>
      <c r="M157" s="136"/>
      <c r="N157" s="517"/>
      <c r="O157" s="517"/>
      <c r="P157" s="517"/>
      <c r="Q157" s="518"/>
      <c r="R157" s="517"/>
      <c r="S157" s="518"/>
      <c r="T157" s="517"/>
      <c r="U157" s="518"/>
      <c r="V157" s="518"/>
      <c r="W157" s="67"/>
      <c r="X157" s="668" t="s">
        <v>336</v>
      </c>
      <c r="Y157" s="542"/>
      <c r="Z157" s="542"/>
      <c r="AA157" s="543"/>
      <c r="AB157" s="918"/>
      <c r="AC157" s="554" t="str">
        <f t="shared" si="34"/>
        <v/>
      </c>
      <c r="AD157" s="936">
        <f>O83</f>
        <v>0</v>
      </c>
      <c r="AE157" s="581" t="s">
        <v>585</v>
      </c>
      <c r="AJ157" s="329"/>
    </row>
    <row r="158" spans="1:36" ht="11.25" customHeight="1">
      <c r="A158" s="604">
        <v>26</v>
      </c>
      <c r="B158" s="106"/>
      <c r="C158" s="607" t="str">
        <f>IF(O93="","",IF(LEN(O93)&lt;=135,O93,IF(LEN(O93)&lt;=260,LEFT(O93,SEARCH(" ",O93,125)),LEFT(O93,SEARCH(" ",O93,130)))))</f>
        <v/>
      </c>
      <c r="D158" s="366"/>
      <c r="E158" s="366"/>
      <c r="F158" s="366"/>
      <c r="G158" s="366"/>
      <c r="H158" s="366"/>
      <c r="I158" s="366"/>
      <c r="J158" s="366"/>
      <c r="K158" s="82"/>
      <c r="L158" s="682" t="s">
        <v>336</v>
      </c>
      <c r="M158" s="136"/>
      <c r="N158" s="517"/>
      <c r="O158" s="517"/>
      <c r="P158" s="517"/>
      <c r="Q158" s="518"/>
      <c r="R158" s="517"/>
      <c r="S158" s="518"/>
      <c r="T158" s="517"/>
      <c r="U158" s="518"/>
      <c r="V158" s="518"/>
      <c r="W158" s="67"/>
      <c r="X158" s="668" t="s">
        <v>336</v>
      </c>
      <c r="Y158" s="542"/>
      <c r="Z158" s="542"/>
      <c r="AA158" s="543"/>
      <c r="AB158" s="515"/>
      <c r="AC158" s="554" t="str">
        <f t="shared" si="34"/>
        <v/>
      </c>
      <c r="AD158" s="580"/>
      <c r="AE158" s="581"/>
      <c r="AJ158" s="329"/>
    </row>
    <row r="159" spans="1:36" ht="11.25" customHeight="1">
      <c r="A159" s="604">
        <v>27</v>
      </c>
      <c r="B159" s="83"/>
      <c r="C159" s="607" t="str">
        <f>IF(LEN(O93)&lt;=135,"",IF(LEN(O93)&lt;=260,RIGHT(O93,LEN(O93)-SEARCH(" ",O93,125)),MID(O93,SEARCH(" ",O93,130),IF(LEN(O93)&lt;=265,LEN(O93),SEARCH(" ",O93,255)-SEARCH(" ",O93,130)))))</f>
        <v/>
      </c>
      <c r="D159" s="366"/>
      <c r="E159" s="366"/>
      <c r="F159" s="366"/>
      <c r="G159" s="366"/>
      <c r="H159" s="366"/>
      <c r="I159" s="366"/>
      <c r="J159" s="366"/>
      <c r="K159" s="82"/>
      <c r="L159" s="682" t="s">
        <v>336</v>
      </c>
      <c r="M159" s="136"/>
      <c r="N159" s="517"/>
      <c r="O159" s="517"/>
      <c r="P159" s="517"/>
      <c r="Q159" s="518"/>
      <c r="R159" s="517"/>
      <c r="S159" s="518"/>
      <c r="T159" s="517"/>
      <c r="U159" s="518"/>
      <c r="V159" s="518"/>
      <c r="W159" s="67"/>
      <c r="X159" s="668" t="s">
        <v>336</v>
      </c>
      <c r="Y159" s="542"/>
      <c r="Z159" s="542"/>
      <c r="AA159" s="543"/>
      <c r="AB159" s="918"/>
      <c r="AC159" s="554" t="str">
        <f t="shared" si="34"/>
        <v/>
      </c>
      <c r="AD159" s="936">
        <f>O85</f>
        <v>0</v>
      </c>
      <c r="AE159" s="581" t="s">
        <v>586</v>
      </c>
      <c r="AJ159" s="329"/>
    </row>
    <row r="160" spans="1:36" ht="11.25" customHeight="1">
      <c r="A160" s="604">
        <v>28</v>
      </c>
      <c r="B160" s="83"/>
      <c r="C160" s="607" t="str">
        <f>IF(LEN(O93)&lt;=265,"",RIGHT(O93,LEN(O93)-SEARCH(" ",O93,255)))</f>
        <v/>
      </c>
      <c r="D160" s="366"/>
      <c r="E160" s="366"/>
      <c r="F160" s="366"/>
      <c r="G160" s="366"/>
      <c r="H160" s="366"/>
      <c r="I160" s="366"/>
      <c r="J160" s="366"/>
      <c r="K160" s="82"/>
      <c r="L160" s="682" t="s">
        <v>336</v>
      </c>
      <c r="M160" s="136"/>
      <c r="N160" s="517"/>
      <c r="O160" s="517"/>
      <c r="P160" s="517"/>
      <c r="Q160" s="518"/>
      <c r="R160" s="517"/>
      <c r="S160" s="518"/>
      <c r="T160" s="517"/>
      <c r="U160" s="518"/>
      <c r="V160" s="518"/>
      <c r="W160" s="67"/>
      <c r="X160" s="668" t="s">
        <v>336</v>
      </c>
      <c r="Y160" s="542"/>
      <c r="Z160" s="542"/>
      <c r="AA160" s="543"/>
      <c r="AB160" s="515"/>
      <c r="AC160" s="554" t="str">
        <f t="shared" si="34"/>
        <v/>
      </c>
      <c r="AD160" s="580"/>
      <c r="AE160" s="581"/>
      <c r="AJ160" s="329"/>
    </row>
    <row r="161" spans="1:36" ht="11.25" customHeight="1">
      <c r="A161" s="604">
        <v>29</v>
      </c>
      <c r="B161" s="106"/>
      <c r="C161" s="607" t="str">
        <f>IF(O95="","",IF(LEN(O95)&lt;=135,O95,IF(LEN(O95)&lt;=260,LEFT(O95,SEARCH(" ",O95,125)),LEFT(O95,SEARCH(" ",O95,130)))))</f>
        <v/>
      </c>
      <c r="D161" s="366"/>
      <c r="E161" s="366"/>
      <c r="F161" s="366"/>
      <c r="G161" s="366"/>
      <c r="H161" s="366"/>
      <c r="I161" s="366"/>
      <c r="J161" s="366"/>
      <c r="K161" s="82"/>
      <c r="L161" s="682" t="s">
        <v>336</v>
      </c>
      <c r="M161" s="136"/>
      <c r="N161" s="517"/>
      <c r="O161" s="517"/>
      <c r="P161" s="517"/>
      <c r="Q161" s="518"/>
      <c r="R161" s="517"/>
      <c r="S161" s="518"/>
      <c r="T161" s="517"/>
      <c r="U161" s="518"/>
      <c r="V161" s="518"/>
      <c r="W161" s="67"/>
      <c r="X161" s="668" t="s">
        <v>336</v>
      </c>
      <c r="Y161" s="542"/>
      <c r="Z161" s="542"/>
      <c r="AA161" s="543"/>
      <c r="AB161" s="918"/>
      <c r="AC161" s="554" t="str">
        <f t="shared" si="34"/>
        <v/>
      </c>
      <c r="AD161" s="936">
        <f>O87</f>
        <v>0</v>
      </c>
      <c r="AE161" s="581" t="s">
        <v>587</v>
      </c>
      <c r="AJ161" s="329"/>
    </row>
    <row r="162" spans="1:36" ht="11.25" customHeight="1">
      <c r="A162" s="604">
        <v>30</v>
      </c>
      <c r="B162" s="83"/>
      <c r="C162" s="607" t="str">
        <f>IF(LEN(O95)&lt;=135,"",IF(LEN(O95)&lt;=260,RIGHT(O95,LEN(O95)-SEARCH(" ",O95,125)),MID(O95,SEARCH(" ",O95,130),IF(LEN(O95)&lt;=265,LEN(O95),SEARCH(" ",O95,255)-SEARCH(" ",O95,130)))))</f>
        <v/>
      </c>
      <c r="D162" s="366"/>
      <c r="E162" s="366"/>
      <c r="F162" s="366"/>
      <c r="G162" s="366"/>
      <c r="H162" s="366"/>
      <c r="I162" s="366"/>
      <c r="J162" s="366"/>
      <c r="K162" s="82"/>
      <c r="L162" s="682" t="s">
        <v>336</v>
      </c>
      <c r="M162" s="136"/>
      <c r="N162" s="517"/>
      <c r="O162" s="517"/>
      <c r="P162" s="517"/>
      <c r="Q162" s="518"/>
      <c r="R162" s="517"/>
      <c r="S162" s="518"/>
      <c r="T162" s="517"/>
      <c r="U162" s="518"/>
      <c r="V162" s="518"/>
      <c r="W162" s="67"/>
      <c r="X162" s="668" t="s">
        <v>336</v>
      </c>
      <c r="Y162" s="542"/>
      <c r="Z162" s="542"/>
      <c r="AA162" s="543"/>
      <c r="AB162" s="515"/>
      <c r="AC162" s="554" t="str">
        <f t="shared" si="34"/>
        <v/>
      </c>
      <c r="AD162" s="580"/>
      <c r="AE162" s="581"/>
      <c r="AJ162" s="329"/>
    </row>
    <row r="163" spans="1:36" ht="11.25" customHeight="1">
      <c r="A163" s="604">
        <v>31</v>
      </c>
      <c r="B163" s="136"/>
      <c r="C163" s="49"/>
      <c r="D163" s="49"/>
      <c r="E163" s="49"/>
      <c r="F163" s="49"/>
      <c r="G163" s="49"/>
      <c r="H163" s="49"/>
      <c r="I163" s="49"/>
      <c r="J163" s="49"/>
      <c r="K163" s="67"/>
      <c r="L163" s="682" t="s">
        <v>336</v>
      </c>
      <c r="M163" s="136"/>
      <c r="N163" s="517"/>
      <c r="O163" s="517"/>
      <c r="P163" s="517"/>
      <c r="Q163" s="518"/>
      <c r="R163" s="517"/>
      <c r="S163" s="518"/>
      <c r="T163" s="517"/>
      <c r="U163" s="518"/>
      <c r="V163" s="518"/>
      <c r="W163" s="67"/>
      <c r="X163" s="668" t="s">
        <v>336</v>
      </c>
      <c r="Y163" s="542"/>
      <c r="Z163" s="542"/>
      <c r="AA163" s="543"/>
      <c r="AB163" s="918"/>
      <c r="AC163" s="554" t="str">
        <f t="shared" si="34"/>
        <v/>
      </c>
      <c r="AD163" s="936">
        <f>O89</f>
        <v>0</v>
      </c>
      <c r="AE163" s="581" t="s">
        <v>588</v>
      </c>
      <c r="AJ163" s="329"/>
    </row>
    <row r="164" spans="1:36" ht="11.25" customHeight="1">
      <c r="A164" s="604">
        <v>32</v>
      </c>
      <c r="B164" s="136"/>
      <c r="C164" s="49"/>
      <c r="D164" s="49"/>
      <c r="E164" s="49"/>
      <c r="F164" s="49"/>
      <c r="G164" s="49"/>
      <c r="H164" s="49"/>
      <c r="I164" s="49"/>
      <c r="J164" s="49"/>
      <c r="K164" s="67"/>
      <c r="L164" s="682" t="s">
        <v>336</v>
      </c>
      <c r="M164" s="136"/>
      <c r="N164" s="517"/>
      <c r="O164" s="517"/>
      <c r="P164" s="517"/>
      <c r="Q164" s="518"/>
      <c r="R164" s="517"/>
      <c r="S164" s="518"/>
      <c r="T164" s="517"/>
      <c r="U164" s="518"/>
      <c r="V164" s="518"/>
      <c r="W164" s="67"/>
      <c r="X164" s="668" t="s">
        <v>336</v>
      </c>
      <c r="Y164" s="542"/>
      <c r="Z164" s="542"/>
      <c r="AA164" s="543"/>
      <c r="AB164" s="515"/>
      <c r="AC164" s="554" t="str">
        <f t="shared" si="34"/>
        <v/>
      </c>
      <c r="AD164" s="580"/>
      <c r="AE164" s="581"/>
      <c r="AJ164" s="329"/>
    </row>
    <row r="165" spans="1:36" ht="11.25" customHeight="1">
      <c r="A165" s="604">
        <v>33</v>
      </c>
      <c r="B165" s="136"/>
      <c r="C165" s="49"/>
      <c r="D165" s="49"/>
      <c r="E165" s="49"/>
      <c r="F165" s="49"/>
      <c r="G165" s="49"/>
      <c r="H165" s="49"/>
      <c r="I165" s="49"/>
      <c r="J165" s="49"/>
      <c r="K165" s="67"/>
      <c r="L165" s="682" t="s">
        <v>336</v>
      </c>
      <c r="M165" s="136"/>
      <c r="N165" s="517"/>
      <c r="O165" s="517"/>
      <c r="P165" s="517"/>
      <c r="Q165" s="518"/>
      <c r="R165" s="517"/>
      <c r="S165" s="518"/>
      <c r="T165" s="517"/>
      <c r="U165" s="518"/>
      <c r="V165" s="518"/>
      <c r="W165" s="67"/>
      <c r="X165" s="668" t="s">
        <v>336</v>
      </c>
      <c r="Y165" s="542"/>
      <c r="Z165" s="542"/>
      <c r="AA165" s="543"/>
      <c r="AB165" s="918"/>
      <c r="AC165" s="554" t="str">
        <f t="shared" si="34"/>
        <v/>
      </c>
      <c r="AD165" s="936">
        <f>O91</f>
        <v>0</v>
      </c>
      <c r="AE165" s="581" t="s">
        <v>589</v>
      </c>
      <c r="AJ165" s="329"/>
    </row>
    <row r="166" spans="1:36" ht="11.25" customHeight="1">
      <c r="A166" s="604">
        <v>34</v>
      </c>
      <c r="B166" s="136"/>
      <c r="C166" s="49"/>
      <c r="D166" s="49"/>
      <c r="E166" s="49"/>
      <c r="F166" s="49"/>
      <c r="G166" s="49"/>
      <c r="H166" s="49"/>
      <c r="I166" s="49"/>
      <c r="J166" s="49"/>
      <c r="K166" s="67"/>
      <c r="L166" s="682" t="s">
        <v>336</v>
      </c>
      <c r="M166" s="136"/>
      <c r="N166" s="517"/>
      <c r="O166" s="517"/>
      <c r="P166" s="517"/>
      <c r="Q166" s="518"/>
      <c r="R166" s="517"/>
      <c r="S166" s="518"/>
      <c r="T166" s="517"/>
      <c r="U166" s="518"/>
      <c r="V166" s="518"/>
      <c r="W166" s="67"/>
      <c r="X166" s="668" t="s">
        <v>336</v>
      </c>
      <c r="Y166" s="542"/>
      <c r="Z166" s="542"/>
      <c r="AA166" s="543"/>
      <c r="AB166" s="515"/>
      <c r="AC166" s="554" t="str">
        <f t="shared" si="34"/>
        <v/>
      </c>
      <c r="AD166" s="580"/>
      <c r="AE166" s="581"/>
      <c r="AJ166" s="329"/>
    </row>
    <row r="167" spans="1:36" ht="11.25" customHeight="1">
      <c r="A167" s="604">
        <v>35</v>
      </c>
      <c r="B167" s="136"/>
      <c r="C167" s="49"/>
      <c r="D167" s="49"/>
      <c r="E167" s="49"/>
      <c r="F167" s="49"/>
      <c r="G167" s="49"/>
      <c r="H167" s="49"/>
      <c r="I167" s="49"/>
      <c r="J167" s="49"/>
      <c r="K167" s="67"/>
      <c r="L167" s="682" t="s">
        <v>336</v>
      </c>
      <c r="M167" s="136"/>
      <c r="N167" s="517"/>
      <c r="O167" s="517"/>
      <c r="P167" s="517"/>
      <c r="Q167" s="518"/>
      <c r="R167" s="517"/>
      <c r="S167" s="518"/>
      <c r="T167" s="517"/>
      <c r="U167" s="518"/>
      <c r="V167" s="518"/>
      <c r="W167" s="67"/>
      <c r="X167" s="668" t="s">
        <v>336</v>
      </c>
      <c r="Y167" s="542"/>
      <c r="Z167" s="542"/>
      <c r="AA167" s="543"/>
      <c r="AB167" s="918"/>
      <c r="AC167" s="554" t="str">
        <f t="shared" si="34"/>
        <v/>
      </c>
      <c r="AD167" s="936">
        <f>O93</f>
        <v>0</v>
      </c>
      <c r="AE167" s="581" t="s">
        <v>590</v>
      </c>
      <c r="AJ167" s="329"/>
    </row>
    <row r="168" spans="1:36" ht="11.25" customHeight="1">
      <c r="A168" s="604">
        <v>36</v>
      </c>
      <c r="B168" s="136"/>
      <c r="C168" s="49"/>
      <c r="D168" s="49"/>
      <c r="E168" s="49"/>
      <c r="F168" s="49"/>
      <c r="G168" s="49"/>
      <c r="H168" s="49"/>
      <c r="I168" s="49"/>
      <c r="J168" s="49"/>
      <c r="K168" s="67"/>
      <c r="L168" s="682" t="s">
        <v>336</v>
      </c>
      <c r="M168" s="136"/>
      <c r="N168" s="517"/>
      <c r="O168" s="517"/>
      <c r="P168" s="517"/>
      <c r="Q168" s="518"/>
      <c r="R168" s="517"/>
      <c r="S168" s="518"/>
      <c r="T168" s="517"/>
      <c r="U168" s="518"/>
      <c r="V168" s="518"/>
      <c r="W168" s="67"/>
      <c r="X168" s="668" t="s">
        <v>336</v>
      </c>
      <c r="Y168" s="542"/>
      <c r="Z168" s="542"/>
      <c r="AA168" s="543"/>
      <c r="AB168" s="515"/>
      <c r="AC168" s="554" t="str">
        <f t="shared" si="34"/>
        <v/>
      </c>
      <c r="AD168" s="580"/>
      <c r="AE168" s="581"/>
      <c r="AJ168" s="329"/>
    </row>
    <row r="169" spans="1:36" ht="11.25" customHeight="1">
      <c r="A169" s="604">
        <v>37</v>
      </c>
      <c r="B169" s="136"/>
      <c r="C169" s="49"/>
      <c r="D169" s="341" t="str">
        <f>O535</f>
        <v/>
      </c>
      <c r="E169" s="49"/>
      <c r="F169" s="49"/>
      <c r="G169" s="49"/>
      <c r="H169" s="49"/>
      <c r="I169" s="49"/>
      <c r="J169" s="135" t="str">
        <f>IF(M52=2,"",IF(OR(M52="",M535=""),"TBD",IF(AND(M52=1,M535=1),"YES",IF(OR(M52=2,M535=3),"NA",""))))</f>
        <v/>
      </c>
      <c r="K169" s="371" t="str">
        <f>IF(AND(M52=1,M535=2),"NO","")</f>
        <v/>
      </c>
      <c r="L169" s="682" t="s">
        <v>336</v>
      </c>
      <c r="M169" s="136"/>
      <c r="N169" s="517"/>
      <c r="O169" s="517"/>
      <c r="P169" s="517"/>
      <c r="Q169" s="518"/>
      <c r="R169" s="517"/>
      <c r="S169" s="518"/>
      <c r="T169" s="517"/>
      <c r="U169" s="518"/>
      <c r="V169" s="518"/>
      <c r="W169" s="67"/>
      <c r="X169" s="668" t="s">
        <v>336</v>
      </c>
      <c r="Y169" s="677"/>
      <c r="Z169" s="542"/>
      <c r="AA169" s="543"/>
      <c r="AB169" s="918"/>
      <c r="AC169" s="554" t="str">
        <f t="shared" si="34"/>
        <v/>
      </c>
      <c r="AD169" s="936">
        <f>O95</f>
        <v>0</v>
      </c>
      <c r="AE169" s="581" t="s">
        <v>591</v>
      </c>
      <c r="AJ169" s="329"/>
    </row>
    <row r="170" spans="1:36" ht="11.25" customHeight="1">
      <c r="A170" s="604">
        <v>38</v>
      </c>
      <c r="B170" s="136"/>
      <c r="C170" s="49"/>
      <c r="D170" s="49"/>
      <c r="E170" s="49"/>
      <c r="F170" s="49"/>
      <c r="G170" s="49"/>
      <c r="H170" s="49"/>
      <c r="I170" s="49"/>
      <c r="J170" s="49"/>
      <c r="K170" s="67"/>
      <c r="L170" s="682" t="s">
        <v>336</v>
      </c>
      <c r="M170" s="136"/>
      <c r="N170" s="521"/>
      <c r="O170" s="587"/>
      <c r="P170" s="521"/>
      <c r="Q170" s="520"/>
      <c r="R170" s="521"/>
      <c r="S170" s="520"/>
      <c r="T170" s="521"/>
      <c r="U170" s="520"/>
      <c r="V170" s="520"/>
      <c r="W170" s="67"/>
      <c r="X170" s="668" t="s">
        <v>336</v>
      </c>
      <c r="Y170" s="677"/>
      <c r="Z170" s="542"/>
      <c r="AJ170" s="329"/>
    </row>
    <row r="171" spans="1:36" ht="11.25" customHeight="1" thickBot="1">
      <c r="A171" s="604">
        <v>39</v>
      </c>
      <c r="B171" s="136"/>
      <c r="C171" s="49"/>
      <c r="D171" s="49"/>
      <c r="E171" s="49"/>
      <c r="F171" s="49"/>
      <c r="G171" s="49"/>
      <c r="H171" s="49"/>
      <c r="I171" s="49"/>
      <c r="J171" s="49"/>
      <c r="K171" s="67"/>
      <c r="L171" s="682" t="s">
        <v>336</v>
      </c>
      <c r="M171" s="333"/>
      <c r="N171" s="159"/>
      <c r="O171" s="588"/>
      <c r="P171" s="419"/>
      <c r="Q171" s="159"/>
      <c r="R171" s="159"/>
      <c r="S171" s="159"/>
      <c r="T171" s="159"/>
      <c r="U171" s="159"/>
      <c r="V171" s="159"/>
      <c r="W171" s="335"/>
      <c r="X171" s="668" t="s">
        <v>336</v>
      </c>
      <c r="Y171" s="677"/>
      <c r="Z171" s="542"/>
      <c r="AA171" s="549" t="s">
        <v>427</v>
      </c>
      <c r="AB171" s="913"/>
      <c r="AC171" s="554" t="str">
        <f t="shared" ref="AC171:AC207" si="35">IF(AND(OR(AB171="",AB171=0),OR(AD171="",AD171=0)),"",IF(AB171&lt;&gt;AD171,"Change",""))</f>
        <v>Change</v>
      </c>
      <c r="AD171" s="936" t="str">
        <f>O114</f>
        <v>OPERATIONAL NOTES</v>
      </c>
      <c r="AE171" s="581" t="s">
        <v>534</v>
      </c>
      <c r="AJ171" s="329"/>
    </row>
    <row r="172" spans="1:36" ht="11.25" customHeight="1" thickTop="1">
      <c r="A172" s="604">
        <v>40</v>
      </c>
      <c r="B172" s="136"/>
      <c r="C172" s="49"/>
      <c r="D172" s="49"/>
      <c r="E172" s="49"/>
      <c r="F172" s="49"/>
      <c r="G172" s="49"/>
      <c r="H172" s="49"/>
      <c r="I172" s="49"/>
      <c r="J172" s="49"/>
      <c r="K172" s="67"/>
      <c r="L172" s="682" t="s">
        <v>336</v>
      </c>
      <c r="M172" s="60"/>
      <c r="N172" s="58"/>
      <c r="O172" s="58"/>
      <c r="P172" s="58"/>
      <c r="Q172" s="58"/>
      <c r="R172" s="58"/>
      <c r="S172" s="58"/>
      <c r="T172" s="58"/>
      <c r="U172" s="58"/>
      <c r="V172" s="58"/>
      <c r="W172" s="783"/>
      <c r="X172" s="668" t="s">
        <v>336</v>
      </c>
      <c r="Y172" s="677"/>
      <c r="Z172" s="542"/>
      <c r="AA172" s="543"/>
      <c r="AB172" s="542"/>
      <c r="AC172" s="554" t="str">
        <f t="shared" si="35"/>
        <v/>
      </c>
      <c r="AD172" s="580"/>
      <c r="AE172" s="581"/>
      <c r="AJ172" s="329"/>
    </row>
    <row r="173" spans="1:36" ht="11.25" customHeight="1">
      <c r="A173" s="604">
        <v>41</v>
      </c>
      <c r="B173" s="136"/>
      <c r="C173" s="49"/>
      <c r="D173" s="49"/>
      <c r="E173" s="49"/>
      <c r="F173" s="49"/>
      <c r="G173" s="49"/>
      <c r="H173" s="49"/>
      <c r="I173" s="49"/>
      <c r="J173" s="49"/>
      <c r="K173" s="67"/>
      <c r="L173" s="682" t="s">
        <v>336</v>
      </c>
      <c r="M173" s="1096"/>
      <c r="N173" s="49"/>
      <c r="O173" s="49"/>
      <c r="P173" s="49"/>
      <c r="Q173" s="49"/>
      <c r="R173" s="1100" t="s">
        <v>691</v>
      </c>
      <c r="S173" s="49"/>
      <c r="T173" s="49"/>
      <c r="U173" s="49"/>
      <c r="V173" s="49"/>
      <c r="W173" s="67"/>
      <c r="X173" s="668" t="s">
        <v>336</v>
      </c>
      <c r="Y173" s="677"/>
      <c r="Z173" s="542"/>
      <c r="AA173" s="543"/>
      <c r="AB173" s="913"/>
      <c r="AC173" s="554" t="str">
        <f t="shared" si="35"/>
        <v>Change</v>
      </c>
      <c r="AD173" s="936" t="str">
        <f>O116</f>
        <v>Isocenter is 100 cm from focal spot</v>
      </c>
      <c r="AE173" s="581" t="s">
        <v>535</v>
      </c>
      <c r="AF173" s="543"/>
      <c r="AJ173" s="329"/>
    </row>
    <row r="174" spans="1:36" ht="11.25" customHeight="1">
      <c r="A174" s="604">
        <v>42</v>
      </c>
      <c r="B174" s="136"/>
      <c r="C174" s="49"/>
      <c r="D174" s="49"/>
      <c r="E174" s="49"/>
      <c r="F174" s="49"/>
      <c r="G174" s="49"/>
      <c r="H174" s="49"/>
      <c r="I174" s="49"/>
      <c r="J174" s="49"/>
      <c r="K174" s="67"/>
      <c r="L174" s="682" t="s">
        <v>336</v>
      </c>
      <c r="M174" s="197" t="s">
        <v>428</v>
      </c>
      <c r="N174" s="97"/>
      <c r="O174" s="97"/>
      <c r="P174" s="97"/>
      <c r="Q174" s="49"/>
      <c r="R174" s="193"/>
      <c r="S174" s="97"/>
      <c r="T174" s="49"/>
      <c r="U174" s="49"/>
      <c r="V174" s="49"/>
      <c r="W174" s="67"/>
      <c r="X174" s="668" t="s">
        <v>336</v>
      </c>
      <c r="Y174" s="677"/>
      <c r="Z174" s="542"/>
      <c r="AA174" s="543"/>
      <c r="AB174" s="542"/>
      <c r="AC174" s="554" t="str">
        <f t="shared" si="35"/>
        <v/>
      </c>
      <c r="AD174" s="580"/>
      <c r="AE174" s="581"/>
      <c r="AF174" s="543"/>
      <c r="AJ174" s="329"/>
    </row>
    <row r="175" spans="1:36" ht="11.25" customHeight="1">
      <c r="A175" s="604">
        <v>43</v>
      </c>
      <c r="B175" s="136"/>
      <c r="C175" s="49"/>
      <c r="D175" s="49"/>
      <c r="E175" s="49"/>
      <c r="F175" s="49"/>
      <c r="G175" s="49"/>
      <c r="H175" s="49"/>
      <c r="I175" s="49"/>
      <c r="J175" s="49"/>
      <c r="K175" s="67"/>
      <c r="L175" s="682" t="s">
        <v>336</v>
      </c>
      <c r="M175" s="1108">
        <f>IF(N175&lt;&gt;"",N175,IF(OR(AB60=0,AB60=""),"",AB60))</f>
        <v>1</v>
      </c>
      <c r="N175" s="1109">
        <v>1</v>
      </c>
      <c r="O175" s="44" t="s">
        <v>712</v>
      </c>
      <c r="P175" s="1090"/>
      <c r="Q175" s="1090"/>
      <c r="R175" s="1090"/>
      <c r="S175" s="1090"/>
      <c r="T175" s="49"/>
      <c r="U175" s="49"/>
      <c r="V175" s="49"/>
      <c r="W175" s="67"/>
      <c r="X175" s="668" t="s">
        <v>336</v>
      </c>
      <c r="Y175" s="677"/>
      <c r="Z175" s="542"/>
      <c r="AA175" s="543"/>
      <c r="AB175" s="913"/>
      <c r="AC175" s="554" t="str">
        <f t="shared" si="35"/>
        <v>Change</v>
      </c>
      <c r="AD175" s="936" t="str">
        <f>O118</f>
        <v>Collimator blade locations and field sizes are referenced to isocenter.</v>
      </c>
      <c r="AE175" s="581" t="s">
        <v>536</v>
      </c>
      <c r="AF175" s="543"/>
      <c r="AJ175" s="329"/>
    </row>
    <row r="176" spans="1:36" ht="11.25" customHeight="1">
      <c r="A176" s="604">
        <v>44</v>
      </c>
      <c r="B176" s="136"/>
      <c r="C176" s="49"/>
      <c r="D176" s="49"/>
      <c r="E176" s="49"/>
      <c r="F176" s="49"/>
      <c r="G176" s="49"/>
      <c r="H176" s="49"/>
      <c r="I176" s="49"/>
      <c r="J176" s="49"/>
      <c r="K176" s="67"/>
      <c r="L176" s="682" t="s">
        <v>336</v>
      </c>
      <c r="M176" s="770">
        <f>IF(N176&lt;&gt;"",N176,IF(OR(AB61=0,AB61=""),"",AB61))</f>
        <v>2</v>
      </c>
      <c r="N176" s="1110">
        <v>2</v>
      </c>
      <c r="O176" s="44" t="s">
        <v>713</v>
      </c>
      <c r="P176" s="49"/>
      <c r="Q176" s="49"/>
      <c r="R176" s="49"/>
      <c r="S176" s="49"/>
      <c r="T176" s="49"/>
      <c r="U176" s="49"/>
      <c r="V176" s="49"/>
      <c r="W176" s="67"/>
      <c r="X176" s="668" t="s">
        <v>336</v>
      </c>
      <c r="AA176" s="543"/>
      <c r="AB176" s="542"/>
      <c r="AC176" s="554" t="str">
        <f t="shared" si="35"/>
        <v/>
      </c>
      <c r="AD176" s="580"/>
      <c r="AE176" s="581"/>
      <c r="AF176" s="543"/>
      <c r="AJ176" s="329"/>
    </row>
    <row r="177" spans="1:36" ht="11.25" customHeight="1">
      <c r="A177" s="604">
        <v>45</v>
      </c>
      <c r="B177" s="136"/>
      <c r="C177" s="49"/>
      <c r="D177" s="49"/>
      <c r="E177" s="49"/>
      <c r="F177" s="49"/>
      <c r="G177" s="49"/>
      <c r="H177" s="49"/>
      <c r="I177" s="49"/>
      <c r="J177" s="49"/>
      <c r="K177" s="67"/>
      <c r="L177" s="682" t="s">
        <v>336</v>
      </c>
      <c r="M177" s="136"/>
      <c r="N177" s="49"/>
      <c r="O177" s="49"/>
      <c r="P177" s="49"/>
      <c r="Q177" s="49"/>
      <c r="R177" s="49"/>
      <c r="S177" s="49"/>
      <c r="T177" s="49"/>
      <c r="U177" s="49"/>
      <c r="V177" s="49"/>
      <c r="W177" s="67"/>
      <c r="X177" s="668" t="s">
        <v>336</v>
      </c>
      <c r="Y177" s="677"/>
      <c r="Z177" s="542"/>
      <c r="AA177" s="543"/>
      <c r="AB177" s="913"/>
      <c r="AC177" s="554" t="str">
        <f t="shared" si="35"/>
        <v>Change</v>
      </c>
      <c r="AD177" s="936" t="str">
        <f>O120</f>
        <v>Use 5x5cm field size for exposure/kV measurements.</v>
      </c>
      <c r="AE177" s="581" t="s">
        <v>537</v>
      </c>
      <c r="AF177" s="543"/>
      <c r="AJ177" s="329"/>
    </row>
    <row r="178" spans="1:36" ht="11.25" customHeight="1">
      <c r="A178" s="604">
        <v>46</v>
      </c>
      <c r="B178" s="136"/>
      <c r="C178" s="49"/>
      <c r="D178" s="49"/>
      <c r="E178" s="49"/>
      <c r="F178" s="49"/>
      <c r="G178" s="49"/>
      <c r="H178" s="49"/>
      <c r="I178" s="49"/>
      <c r="J178" s="49"/>
      <c r="K178" s="67"/>
      <c r="L178" s="682" t="s">
        <v>336</v>
      </c>
      <c r="M178" s="290" t="s">
        <v>429</v>
      </c>
      <c r="N178" s="137"/>
      <c r="O178" s="49"/>
      <c r="P178" s="49"/>
      <c r="Q178" s="49"/>
      <c r="R178" s="778" t="s">
        <v>276</v>
      </c>
      <c r="S178" s="349" t="s">
        <v>275</v>
      </c>
      <c r="T178" s="49"/>
      <c r="U178" s="49"/>
      <c r="V178" s="49"/>
      <c r="W178" s="67"/>
      <c r="X178" s="668" t="s">
        <v>336</v>
      </c>
      <c r="Y178" s="677"/>
      <c r="Z178" s="542"/>
      <c r="AA178" s="543"/>
      <c r="AB178" s="542"/>
      <c r="AC178" s="554" t="str">
        <f t="shared" si="35"/>
        <v/>
      </c>
      <c r="AD178" s="580"/>
      <c r="AE178" s="581"/>
      <c r="AF178" s="543"/>
      <c r="AJ178" s="329"/>
    </row>
    <row r="179" spans="1:36" ht="11.25" customHeight="1">
      <c r="A179" s="604">
        <v>47</v>
      </c>
      <c r="B179" s="136"/>
      <c r="C179" s="49"/>
      <c r="D179" s="49"/>
      <c r="E179" s="49"/>
      <c r="F179" s="49"/>
      <c r="G179" s="49"/>
      <c r="H179" s="49"/>
      <c r="I179" s="49"/>
      <c r="J179" s="49"/>
      <c r="K179" s="67"/>
      <c r="L179" s="682" t="s">
        <v>336</v>
      </c>
      <c r="M179" s="1111">
        <f>IF(N179&lt;&gt;"",N179,IF(OR(AB63=0,AB63=""),"",ROUND(AB63,2)))</f>
        <v>100</v>
      </c>
      <c r="N179" s="1112">
        <v>100</v>
      </c>
      <c r="O179" s="781" t="s">
        <v>281</v>
      </c>
      <c r="P179" s="49"/>
      <c r="Q179" s="49"/>
      <c r="R179" s="49"/>
      <c r="S179" s="349" t="s">
        <v>274</v>
      </c>
      <c r="T179" s="49"/>
      <c r="U179" s="1118" t="s">
        <v>301</v>
      </c>
      <c r="V179" s="1119" t="str">
        <f>IF(AB66="","??",AB66)</f>
        <v>??</v>
      </c>
      <c r="W179" s="67"/>
      <c r="X179" s="668" t="s">
        <v>336</v>
      </c>
      <c r="Y179" s="677"/>
      <c r="Z179" s="542"/>
      <c r="AA179" s="543"/>
      <c r="AB179" s="913"/>
      <c r="AC179" s="554" t="str">
        <f t="shared" si="35"/>
        <v>Change</v>
      </c>
      <c r="AD179" s="936" t="str">
        <f>O122</f>
        <v>For generator check, align kV/exposure detectors at isocenter.</v>
      </c>
      <c r="AE179" s="581" t="s">
        <v>538</v>
      </c>
      <c r="AF179" s="543"/>
      <c r="AJ179" s="329"/>
    </row>
    <row r="180" spans="1:36" ht="11.25" customHeight="1">
      <c r="A180" s="604">
        <v>48</v>
      </c>
      <c r="B180" s="136"/>
      <c r="C180" s="49"/>
      <c r="D180" s="49"/>
      <c r="E180" s="49"/>
      <c r="F180" s="49"/>
      <c r="G180" s="49"/>
      <c r="H180" s="49"/>
      <c r="I180" s="49"/>
      <c r="J180" s="49"/>
      <c r="K180" s="67"/>
      <c r="L180" s="682" t="s">
        <v>336</v>
      </c>
      <c r="M180" s="1113">
        <f>IF(N180&lt;&gt;"",N180,IF(OR(AB64=0,AB64=""),"",ROUND(AB64,2)))</f>
        <v>50</v>
      </c>
      <c r="N180" s="1114">
        <v>50</v>
      </c>
      <c r="O180" s="781" t="s">
        <v>690</v>
      </c>
      <c r="P180" s="49"/>
      <c r="Q180" s="49"/>
      <c r="R180" s="49"/>
      <c r="S180" s="49"/>
      <c r="T180" s="49"/>
      <c r="U180" s="350"/>
      <c r="V180" s="49"/>
      <c r="W180" s="67"/>
      <c r="X180" s="668" t="s">
        <v>336</v>
      </c>
      <c r="Y180" s="677"/>
      <c r="Z180" s="543"/>
      <c r="AA180" s="543"/>
      <c r="AB180" s="542"/>
      <c r="AC180" s="554" t="str">
        <f t="shared" si="35"/>
        <v/>
      </c>
      <c r="AD180" s="580"/>
      <c r="AE180" s="581"/>
      <c r="AF180" s="543"/>
      <c r="AJ180" s="329"/>
    </row>
    <row r="181" spans="1:36" ht="11.25" customHeight="1">
      <c r="A181" s="604">
        <v>49</v>
      </c>
      <c r="B181" s="136"/>
      <c r="C181" s="49"/>
      <c r="D181" s="49"/>
      <c r="E181" s="49"/>
      <c r="F181" s="49"/>
      <c r="G181" s="49"/>
      <c r="H181" s="49"/>
      <c r="I181" s="49"/>
      <c r="J181" s="49"/>
      <c r="K181" s="67"/>
      <c r="L181" s="682" t="s">
        <v>336</v>
      </c>
      <c r="M181" s="129"/>
      <c r="N181" s="779"/>
      <c r="O181" s="780"/>
      <c r="P181" s="49"/>
      <c r="Q181" s="49"/>
      <c r="R181" s="49"/>
      <c r="S181" s="49"/>
      <c r="T181" s="170"/>
      <c r="U181" s="451" t="s">
        <v>433</v>
      </c>
      <c r="V181" s="49"/>
      <c r="W181" s="67"/>
      <c r="X181" s="668" t="s">
        <v>336</v>
      </c>
      <c r="Y181" s="677"/>
      <c r="Z181" s="543"/>
      <c r="AA181" s="543"/>
      <c r="AB181" s="913"/>
      <c r="AC181" s="554" t="str">
        <f t="shared" si="35"/>
        <v/>
      </c>
      <c r="AD181" s="936">
        <f>O124</f>
        <v>0</v>
      </c>
      <c r="AE181" s="581" t="s">
        <v>539</v>
      </c>
      <c r="AF181" s="543"/>
      <c r="AJ181" s="329"/>
    </row>
    <row r="182" spans="1:36" ht="11.25" customHeight="1">
      <c r="A182" s="604">
        <v>50</v>
      </c>
      <c r="B182" s="136"/>
      <c r="C182" s="49"/>
      <c r="D182" s="49"/>
      <c r="E182" s="49"/>
      <c r="F182" s="49"/>
      <c r="G182" s="49"/>
      <c r="H182" s="49"/>
      <c r="I182" s="49"/>
      <c r="J182" s="49"/>
      <c r="K182" s="67"/>
      <c r="L182" s="682" t="s">
        <v>336</v>
      </c>
      <c r="M182" s="136"/>
      <c r="N182" s="49"/>
      <c r="O182" s="49"/>
      <c r="P182" s="49"/>
      <c r="Q182" s="49"/>
      <c r="R182" s="49"/>
      <c r="S182" s="49"/>
      <c r="T182" s="681" t="s">
        <v>434</v>
      </c>
      <c r="U182" s="1115">
        <f>IF($U$184&lt;&gt;"",$U$184,IF(AND($M$179&lt;&gt;"",$M$180&lt;&gt;""),IF(TBCM_IN="cm",$M$179+$M$180,ROUND(($M$179+$M$180)/2.54,2)),""))</f>
        <v>150</v>
      </c>
      <c r="V182" s="1120" t="s">
        <v>435</v>
      </c>
      <c r="W182" s="67"/>
      <c r="X182" s="668" t="s">
        <v>336</v>
      </c>
      <c r="Y182" s="677"/>
      <c r="Z182" s="543"/>
      <c r="AA182" s="543"/>
      <c r="AB182" s="542"/>
      <c r="AC182" s="554" t="str">
        <f t="shared" si="35"/>
        <v/>
      </c>
      <c r="AD182" s="580"/>
      <c r="AE182" s="581"/>
      <c r="AF182" s="543"/>
      <c r="AJ182" s="329"/>
    </row>
    <row r="183" spans="1:36" ht="11.25" customHeight="1">
      <c r="A183" s="604">
        <v>51</v>
      </c>
      <c r="B183" s="136"/>
      <c r="C183" s="49"/>
      <c r="D183" s="49"/>
      <c r="E183" s="49"/>
      <c r="F183" s="49"/>
      <c r="G183" s="49"/>
      <c r="H183" s="49"/>
      <c r="I183" s="49"/>
      <c r="J183" s="49"/>
      <c r="K183" s="67"/>
      <c r="L183" s="682" t="s">
        <v>336</v>
      </c>
      <c r="M183" s="136"/>
      <c r="N183" s="49"/>
      <c r="O183" s="49"/>
      <c r="P183" s="49"/>
      <c r="Q183" s="49"/>
      <c r="R183" s="49"/>
      <c r="S183" s="49"/>
      <c r="T183" s="1104" t="s">
        <v>436</v>
      </c>
      <c r="U183" s="1116" t="str">
        <f>IF(OR(AB67=0,AB67=""),"",AB67)</f>
        <v/>
      </c>
      <c r="V183" s="49"/>
      <c r="W183" s="67"/>
      <c r="X183" s="668" t="s">
        <v>336</v>
      </c>
      <c r="Y183" s="677"/>
      <c r="Z183" s="543"/>
      <c r="AA183" s="543"/>
      <c r="AB183" s="913"/>
      <c r="AC183" s="554" t="str">
        <f t="shared" si="35"/>
        <v/>
      </c>
      <c r="AD183" s="936">
        <f>O126</f>
        <v>0</v>
      </c>
      <c r="AE183" s="581" t="s">
        <v>540</v>
      </c>
      <c r="AF183" s="543"/>
      <c r="AJ183" s="329"/>
    </row>
    <row r="184" spans="1:36" ht="11.25" customHeight="1">
      <c r="A184" s="604">
        <v>52</v>
      </c>
      <c r="B184" s="136"/>
      <c r="C184" s="49"/>
      <c r="D184" s="49"/>
      <c r="E184" s="49"/>
      <c r="F184" s="49"/>
      <c r="G184" s="49"/>
      <c r="H184" s="49"/>
      <c r="I184" s="49"/>
      <c r="J184" s="49"/>
      <c r="K184" s="67"/>
      <c r="L184" s="682" t="s">
        <v>336</v>
      </c>
      <c r="M184" s="136"/>
      <c r="N184" s="49"/>
      <c r="O184" s="49"/>
      <c r="P184" s="49"/>
      <c r="Q184" s="49"/>
      <c r="R184" s="49"/>
      <c r="S184" s="49"/>
      <c r="T184" s="782" t="s">
        <v>437</v>
      </c>
      <c r="U184" s="1117"/>
      <c r="V184" s="49"/>
      <c r="W184" s="67"/>
      <c r="X184" s="668" t="s">
        <v>336</v>
      </c>
      <c r="Y184" s="677"/>
      <c r="Z184" s="543"/>
      <c r="AA184" s="543"/>
      <c r="AB184" s="542"/>
      <c r="AC184" s="554" t="str">
        <f t="shared" si="35"/>
        <v/>
      </c>
      <c r="AD184" s="580"/>
      <c r="AE184" s="581"/>
      <c r="AF184" s="543"/>
      <c r="AJ184" s="329"/>
    </row>
    <row r="185" spans="1:36" ht="11.25" customHeight="1" thickBot="1">
      <c r="A185" s="604">
        <v>53</v>
      </c>
      <c r="B185" s="136"/>
      <c r="C185" s="49"/>
      <c r="D185" s="49"/>
      <c r="E185" s="49"/>
      <c r="F185" s="49"/>
      <c r="G185" s="49"/>
      <c r="H185" s="49"/>
      <c r="I185" s="49"/>
      <c r="J185" s="49"/>
      <c r="K185" s="67"/>
      <c r="L185" s="682" t="s">
        <v>336</v>
      </c>
      <c r="M185" s="136"/>
      <c r="N185" s="49"/>
      <c r="O185" s="49"/>
      <c r="P185" s="49"/>
      <c r="Q185" s="49"/>
      <c r="R185" s="49"/>
      <c r="S185" s="49"/>
      <c r="T185" s="49"/>
      <c r="U185" s="49"/>
      <c r="V185" s="49"/>
      <c r="W185" s="67"/>
      <c r="X185" s="668" t="s">
        <v>336</v>
      </c>
      <c r="Y185" s="677"/>
      <c r="Z185" s="543"/>
      <c r="AA185" s="543"/>
      <c r="AB185" s="913"/>
      <c r="AC185" s="554" t="str">
        <f t="shared" si="35"/>
        <v/>
      </c>
      <c r="AD185" s="936">
        <f>O128</f>
        <v>0</v>
      </c>
      <c r="AE185" s="581" t="s">
        <v>541</v>
      </c>
      <c r="AF185" s="543"/>
      <c r="AJ185" s="329"/>
    </row>
    <row r="186" spans="1:36" ht="11.25" customHeight="1">
      <c r="A186" s="604">
        <v>54</v>
      </c>
      <c r="B186" s="136"/>
      <c r="C186" s="49"/>
      <c r="D186" s="49"/>
      <c r="E186" s="49"/>
      <c r="F186" s="49"/>
      <c r="G186" s="49"/>
      <c r="H186" s="49"/>
      <c r="I186" s="49"/>
      <c r="J186" s="49"/>
      <c r="K186" s="67"/>
      <c r="L186" s="682" t="s">
        <v>336</v>
      </c>
      <c r="M186" s="136"/>
      <c r="O186" s="1270" t="s">
        <v>438</v>
      </c>
      <c r="P186" s="1271"/>
      <c r="Q186" s="1270" t="s">
        <v>439</v>
      </c>
      <c r="R186" s="1271"/>
      <c r="S186" s="1272" t="s">
        <v>440</v>
      </c>
      <c r="T186" s="1273"/>
      <c r="U186" s="1260" t="s">
        <v>444</v>
      </c>
      <c r="V186" s="1261"/>
      <c r="W186" s="67"/>
      <c r="X186" s="668" t="s">
        <v>336</v>
      </c>
      <c r="Y186" s="677"/>
      <c r="Z186" s="329"/>
      <c r="AA186" s="543"/>
      <c r="AB186" s="542"/>
      <c r="AC186" s="554" t="str">
        <f t="shared" si="35"/>
        <v/>
      </c>
      <c r="AD186" s="580"/>
      <c r="AE186" s="581"/>
      <c r="AF186" s="543"/>
      <c r="AJ186" s="329"/>
    </row>
    <row r="187" spans="1:36" ht="11.25" customHeight="1">
      <c r="A187" s="604">
        <v>55</v>
      </c>
      <c r="B187" s="136"/>
      <c r="C187" s="49"/>
      <c r="D187" s="49"/>
      <c r="E187" s="49"/>
      <c r="F187" s="49"/>
      <c r="G187" s="49"/>
      <c r="H187" s="49"/>
      <c r="I187" s="49"/>
      <c r="J187" s="49"/>
      <c r="K187" s="67"/>
      <c r="L187" s="682" t="s">
        <v>336</v>
      </c>
      <c r="M187" s="1268" t="s">
        <v>445</v>
      </c>
      <c r="N187" s="1269"/>
      <c r="O187" s="1262" t="str">
        <f>"("&amp;TBCM_IN&amp;")"</f>
        <v>(cm)</v>
      </c>
      <c r="P187" s="1263"/>
      <c r="Q187" s="1262" t="str">
        <f>"("&amp;TBCM_IN&amp;")"</f>
        <v>(cm)</v>
      </c>
      <c r="R187" s="1263"/>
      <c r="S187" s="1264" t="s">
        <v>441</v>
      </c>
      <c r="T187" s="1265"/>
      <c r="U187" s="1266" t="s">
        <v>440</v>
      </c>
      <c r="V187" s="1267"/>
      <c r="W187" s="67"/>
      <c r="X187" s="668" t="s">
        <v>336</v>
      </c>
      <c r="Y187" s="677"/>
      <c r="Z187" s="543"/>
      <c r="AA187" s="543"/>
      <c r="AB187" s="913"/>
      <c r="AC187" s="554" t="str">
        <f t="shared" si="35"/>
        <v/>
      </c>
      <c r="AD187" s="936">
        <f>O130</f>
        <v>0</v>
      </c>
      <c r="AE187" s="581" t="s">
        <v>542</v>
      </c>
      <c r="AF187" s="543"/>
      <c r="AJ187" s="329"/>
    </row>
    <row r="188" spans="1:36" ht="11.25" customHeight="1" thickBot="1">
      <c r="A188" s="604">
        <v>56</v>
      </c>
      <c r="B188" s="136"/>
      <c r="C188" s="49"/>
      <c r="D188" s="49"/>
      <c r="E188" s="49"/>
      <c r="F188" s="49"/>
      <c r="G188" s="49"/>
      <c r="H188" s="49"/>
      <c r="I188" s="49"/>
      <c r="J188" s="49"/>
      <c r="K188" s="67"/>
      <c r="L188" s="682" t="s">
        <v>336</v>
      </c>
      <c r="M188" s="247" t="s">
        <v>362</v>
      </c>
      <c r="N188" s="707" t="s">
        <v>363</v>
      </c>
      <c r="O188" s="249" t="s">
        <v>362</v>
      </c>
      <c r="P188" s="248" t="s">
        <v>363</v>
      </c>
      <c r="Q188" s="249" t="s">
        <v>362</v>
      </c>
      <c r="R188" s="248" t="s">
        <v>363</v>
      </c>
      <c r="S188" s="250" t="s">
        <v>362</v>
      </c>
      <c r="T188" s="248" t="s">
        <v>363</v>
      </c>
      <c r="U188" s="717" t="s">
        <v>362</v>
      </c>
      <c r="V188" s="718" t="s">
        <v>363</v>
      </c>
      <c r="W188" s="67"/>
      <c r="X188" s="668" t="s">
        <v>336</v>
      </c>
      <c r="Y188" s="677"/>
      <c r="Z188" s="543"/>
      <c r="AA188" s="543"/>
      <c r="AB188" s="542"/>
      <c r="AC188" s="554" t="str">
        <f t="shared" si="35"/>
        <v/>
      </c>
      <c r="AD188" s="580"/>
      <c r="AE188" s="581"/>
      <c r="AF188" s="543"/>
      <c r="AJ188" s="329"/>
    </row>
    <row r="189" spans="1:36" ht="11.25" customHeight="1" thickBot="1">
      <c r="A189" s="604">
        <v>57</v>
      </c>
      <c r="B189" s="136"/>
      <c r="C189" s="49"/>
      <c r="D189" s="49"/>
      <c r="E189" s="49"/>
      <c r="F189" s="49"/>
      <c r="G189" s="49"/>
      <c r="H189" s="49"/>
      <c r="I189" s="49"/>
      <c r="J189" s="49"/>
      <c r="K189" s="67"/>
      <c r="L189" s="682" t="s">
        <v>336</v>
      </c>
      <c r="M189" s="1239">
        <v>5</v>
      </c>
      <c r="N189" s="1240">
        <v>5</v>
      </c>
      <c r="O189" s="1241">
        <f>IF(M189&lt;&gt;"",M189,IF(OR(AB70=0,AB70=""),"",AB70))</f>
        <v>5</v>
      </c>
      <c r="P189" s="1242">
        <f>IF(N189&lt;&gt;"",N189,IF(OR(AB71=0,AB71=""),"",AB71))</f>
        <v>5</v>
      </c>
      <c r="Q189" s="1243">
        <v>5</v>
      </c>
      <c r="R189" s="1244">
        <v>5</v>
      </c>
      <c r="S189" s="599">
        <f>IF($M$175&lt;&gt;1,"NA",IF(OR($U$182="",O189="",O189=0,Q189="",Q189=0),"NA",ABS(O189-Q189)/$U$182))</f>
        <v>0</v>
      </c>
      <c r="T189" s="599">
        <f>IF($M$175&lt;&gt;1,"NA",IF(OR($U$182="",P189="",P189=0,R189="",R189=0),"NA",ABS(P189-R189)/$U$182))</f>
        <v>0</v>
      </c>
      <c r="U189" s="714" t="str">
        <f>IF(OR(S189="NA",$M$175&lt;&gt;1),"NA",IF(S189="TBD","TBD",IF(S189&gt;0.02,"NO","YES")))</f>
        <v>YES</v>
      </c>
      <c r="V189" s="714" t="str">
        <f>IF(OR(T189="NA",$M$175&lt;&gt;1),"NA",IF(T189="TBD","TBD",IF(T189&gt;0.02,"NO","YES")))</f>
        <v>YES</v>
      </c>
      <c r="W189" s="190"/>
      <c r="X189" s="668" t="s">
        <v>336</v>
      </c>
      <c r="Y189" s="677"/>
      <c r="Z189" s="543"/>
      <c r="AA189" s="543"/>
      <c r="AB189" s="913"/>
      <c r="AC189" s="554" t="str">
        <f t="shared" si="35"/>
        <v/>
      </c>
      <c r="AD189" s="936">
        <f>O132</f>
        <v>0</v>
      </c>
      <c r="AE189" s="581" t="s">
        <v>543</v>
      </c>
      <c r="AF189" s="543"/>
      <c r="AJ189" s="329"/>
    </row>
    <row r="190" spans="1:36" ht="11.25" customHeight="1" thickBot="1">
      <c r="A190" s="604">
        <v>58</v>
      </c>
      <c r="B190" s="136"/>
      <c r="C190" s="49"/>
      <c r="D190" s="49"/>
      <c r="E190" s="49"/>
      <c r="F190" s="49"/>
      <c r="G190" s="49"/>
      <c r="H190" s="49"/>
      <c r="I190" s="49"/>
      <c r="J190" s="49"/>
      <c r="K190" s="67"/>
      <c r="L190" s="682" t="s">
        <v>336</v>
      </c>
      <c r="M190" s="1239"/>
      <c r="N190" s="1245"/>
      <c r="O190" s="1241" t="str">
        <f>IF(M190&lt;&gt;"",M190,IF(OR(AB72=0,AB72=""),"",AB72))</f>
        <v/>
      </c>
      <c r="P190" s="1242" t="str">
        <f>IF(N190&lt;&gt;"",N190,IF(OR(AB73=0,AB73=""),"",AB73))</f>
        <v/>
      </c>
      <c r="Q190" s="1243"/>
      <c r="R190" s="1244"/>
      <c r="S190" s="600" t="str">
        <f>IF(OR(O190="",O190=0,Q190="",Q190=0,$M$175&lt;&gt;1),"NA",IF($U$182="","TBD",ABS(O190-Q190)/$U$182))</f>
        <v>NA</v>
      </c>
      <c r="T190" s="600" t="str">
        <f>IF(OR(P190="",P190=0,R190="",R190=0,$M$175&lt;&gt;1),"NA",IF(OR($U$182="",$U$182=0),"NA",ABS(P190-R190)/$U$182))</f>
        <v>NA</v>
      </c>
      <c r="U190" s="714" t="str">
        <f>IF(S190="NA","NA",IF(S190="TBD","TBD",IF(S190&gt;0.02,"NO","YES")))</f>
        <v>NA</v>
      </c>
      <c r="V190" s="714" t="str">
        <f>IF(T190="NA","NA",IF(T190="TBD","TBD",IF(T190&gt;0.02,"NO","YES")))</f>
        <v>NA</v>
      </c>
      <c r="W190" s="190"/>
      <c r="X190" s="668" t="s">
        <v>336</v>
      </c>
      <c r="Y190" s="677"/>
      <c r="Z190" s="543"/>
      <c r="AA190" s="543"/>
      <c r="AB190" s="542"/>
      <c r="AC190" s="554" t="str">
        <f t="shared" si="35"/>
        <v/>
      </c>
      <c r="AD190" s="580"/>
      <c r="AE190" s="581"/>
      <c r="AF190" s="543"/>
      <c r="AJ190" s="329"/>
    </row>
    <row r="191" spans="1:36" ht="11.25" customHeight="1">
      <c r="A191" s="604">
        <v>59</v>
      </c>
      <c r="B191" s="136"/>
      <c r="C191" s="49"/>
      <c r="D191" s="49"/>
      <c r="E191" s="49"/>
      <c r="F191" s="49"/>
      <c r="G191" s="49"/>
      <c r="H191" s="49"/>
      <c r="I191" s="49"/>
      <c r="J191" s="49"/>
      <c r="K191" s="67"/>
      <c r="L191" s="682" t="s">
        <v>336</v>
      </c>
      <c r="M191" s="171" t="s">
        <v>442</v>
      </c>
      <c r="N191" s="105"/>
      <c r="O191" s="105"/>
      <c r="P191" s="105"/>
      <c r="Q191" s="105"/>
      <c r="R191" s="166"/>
      <c r="S191" s="105"/>
      <c r="T191" s="49"/>
      <c r="U191" s="49"/>
      <c r="V191" s="49"/>
      <c r="W191" s="1121"/>
      <c r="X191" s="668" t="s">
        <v>336</v>
      </c>
      <c r="Y191" s="677"/>
      <c r="Z191" s="543"/>
      <c r="AA191" s="543"/>
      <c r="AB191" s="913"/>
      <c r="AC191" s="554" t="str">
        <f t="shared" si="35"/>
        <v/>
      </c>
      <c r="AD191" s="936">
        <f>O134</f>
        <v>0</v>
      </c>
      <c r="AE191" s="581" t="s">
        <v>544</v>
      </c>
      <c r="AF191" s="543"/>
      <c r="AJ191" s="329"/>
    </row>
    <row r="192" spans="1:36" ht="11.25" customHeight="1">
      <c r="A192" s="604">
        <v>60</v>
      </c>
      <c r="B192" s="136"/>
      <c r="C192" s="49"/>
      <c r="D192" s="49"/>
      <c r="E192" s="49"/>
      <c r="F192" s="49"/>
      <c r="G192" s="49"/>
      <c r="H192" s="49"/>
      <c r="I192" s="49"/>
      <c r="J192" s="49"/>
      <c r="K192" s="67"/>
      <c r="L192" s="682" t="s">
        <v>336</v>
      </c>
      <c r="M192" s="172" t="s">
        <v>443</v>
      </c>
      <c r="N192" s="49"/>
      <c r="O192" s="49"/>
      <c r="P192" s="49"/>
      <c r="Q192" s="49"/>
      <c r="R192" s="49"/>
      <c r="S192" s="49"/>
      <c r="W192" s="1122"/>
      <c r="X192" s="668" t="s">
        <v>336</v>
      </c>
      <c r="Y192" s="677"/>
      <c r="Z192" s="543"/>
      <c r="AA192" s="543"/>
      <c r="AB192" s="542"/>
      <c r="AC192" s="554" t="str">
        <f t="shared" si="35"/>
        <v/>
      </c>
      <c r="AD192" s="580"/>
      <c r="AE192" s="581"/>
      <c r="AF192" s="543"/>
      <c r="AJ192" s="329"/>
    </row>
    <row r="193" spans="1:36" ht="11.25" customHeight="1">
      <c r="A193" s="604">
        <v>61</v>
      </c>
      <c r="B193" s="136"/>
      <c r="C193" s="49"/>
      <c r="D193" s="49"/>
      <c r="E193" s="49"/>
      <c r="F193" s="49"/>
      <c r="G193" s="49"/>
      <c r="H193" s="49"/>
      <c r="I193" s="49"/>
      <c r="J193" s="49"/>
      <c r="K193" s="67"/>
      <c r="L193" s="682" t="s">
        <v>336</v>
      </c>
      <c r="M193" s="136"/>
      <c r="W193" s="1122"/>
      <c r="X193" s="668" t="s">
        <v>336</v>
      </c>
      <c r="Y193" s="677"/>
      <c r="Z193" s="543"/>
      <c r="AA193" s="543"/>
      <c r="AB193" s="913"/>
      <c r="AC193" s="554" t="str">
        <f t="shared" si="35"/>
        <v/>
      </c>
      <c r="AD193" s="936">
        <f>O136</f>
        <v>0</v>
      </c>
      <c r="AE193" s="581" t="s">
        <v>545</v>
      </c>
      <c r="AF193" s="543"/>
      <c r="AJ193" s="329"/>
    </row>
    <row r="194" spans="1:36" ht="11.25" customHeight="1">
      <c r="A194" s="604">
        <v>62</v>
      </c>
      <c r="B194" s="136"/>
      <c r="C194" s="49"/>
      <c r="D194" s="49"/>
      <c r="E194" s="49"/>
      <c r="F194" s="49"/>
      <c r="G194" s="49"/>
      <c r="H194" s="49"/>
      <c r="I194" s="49"/>
      <c r="J194" s="49"/>
      <c r="K194" s="67"/>
      <c r="L194" s="682" t="s">
        <v>336</v>
      </c>
      <c r="M194" s="136"/>
      <c r="N194" s="143" t="s">
        <v>425</v>
      </c>
      <c r="O194" s="191" t="s">
        <v>446</v>
      </c>
      <c r="W194" s="67"/>
      <c r="X194" s="668" t="s">
        <v>336</v>
      </c>
      <c r="Y194" s="677"/>
      <c r="Z194" s="543"/>
      <c r="AA194" s="543"/>
      <c r="AB194" s="542"/>
      <c r="AC194" s="554" t="str">
        <f t="shared" si="35"/>
        <v/>
      </c>
      <c r="AD194" s="580"/>
      <c r="AE194" s="581"/>
      <c r="AF194" s="543"/>
      <c r="AJ194" s="329"/>
    </row>
    <row r="195" spans="1:36" ht="11.25" customHeight="1">
      <c r="A195" s="604">
        <v>63</v>
      </c>
      <c r="B195" s="136"/>
      <c r="C195" s="49"/>
      <c r="D195" s="49"/>
      <c r="E195" s="49"/>
      <c r="F195" s="49"/>
      <c r="G195" s="49"/>
      <c r="H195" s="49"/>
      <c r="I195" s="49"/>
      <c r="J195" s="49"/>
      <c r="K195" s="67"/>
      <c r="L195" s="682" t="s">
        <v>336</v>
      </c>
      <c r="M195" s="136"/>
      <c r="N195" s="192"/>
      <c r="O195" s="101" t="s">
        <v>358</v>
      </c>
      <c r="W195" s="1124"/>
      <c r="X195" s="668" t="s">
        <v>336</v>
      </c>
      <c r="Y195" s="677"/>
      <c r="Z195" s="543"/>
      <c r="AA195" s="543"/>
      <c r="AB195" s="913"/>
      <c r="AC195" s="554" t="str">
        <f t="shared" si="35"/>
        <v/>
      </c>
      <c r="AD195" s="936">
        <f>O138</f>
        <v>0</v>
      </c>
      <c r="AE195" s="581" t="s">
        <v>546</v>
      </c>
      <c r="AF195" s="543"/>
      <c r="AJ195" s="329"/>
    </row>
    <row r="196" spans="1:36" ht="11.25" customHeight="1" thickBot="1">
      <c r="A196" s="604">
        <v>64</v>
      </c>
      <c r="B196" s="158"/>
      <c r="C196" s="608" t="str">
        <f>IF(LEN(O95)&lt;=265,"",RIGHT(O95,LEN(O95)-SEARCH(" ",O95,255)))</f>
        <v/>
      </c>
      <c r="D196" s="159"/>
      <c r="E196" s="159"/>
      <c r="F196" s="159"/>
      <c r="G196" s="159"/>
      <c r="H196" s="159"/>
      <c r="I196" s="159"/>
      <c r="J196" s="159"/>
      <c r="K196" s="133"/>
      <c r="L196" s="682" t="s">
        <v>336</v>
      </c>
      <c r="M196" s="136"/>
      <c r="O196" s="49"/>
      <c r="P196" s="49"/>
      <c r="Q196" s="49"/>
      <c r="V196" s="715"/>
      <c r="W196" s="716"/>
      <c r="X196" s="668" t="s">
        <v>336</v>
      </c>
      <c r="Y196" s="677"/>
      <c r="Z196" s="543"/>
      <c r="AA196" s="543"/>
      <c r="AB196" s="542"/>
      <c r="AC196" s="554" t="str">
        <f t="shared" si="35"/>
        <v/>
      </c>
      <c r="AD196" s="580"/>
      <c r="AE196" s="581"/>
      <c r="AF196" s="543"/>
      <c r="AJ196" s="329"/>
    </row>
    <row r="197" spans="1:36" ht="11.25" customHeight="1" thickTop="1">
      <c r="A197" s="604">
        <v>65</v>
      </c>
      <c r="B197" s="46" t="str">
        <f t="array" ref="B197:C198">$B$65:$C$66</f>
        <v>Date:</v>
      </c>
      <c r="C197" s="1072" t="str">
        <v/>
      </c>
      <c r="D197" s="120"/>
      <c r="E197" s="45"/>
      <c r="F197" s="45"/>
      <c r="G197" s="45"/>
      <c r="H197" s="45"/>
      <c r="I197" s="46" t="str">
        <f t="array" ref="I197:J198">$I$65:$J$66</f>
        <v>Inspector:</v>
      </c>
      <c r="J197" s="401" t="str">
        <v>Eugene Mah</v>
      </c>
      <c r="L197" s="682" t="s">
        <v>336</v>
      </c>
      <c r="M197" s="136"/>
      <c r="O197" s="49"/>
      <c r="P197" s="49"/>
      <c r="Q197" s="49"/>
      <c r="U197" s="49"/>
      <c r="V197" s="1125"/>
      <c r="W197" s="1123"/>
      <c r="X197" s="668" t="s">
        <v>336</v>
      </c>
      <c r="Y197" s="677"/>
      <c r="Z197" s="543"/>
      <c r="AA197" s="543"/>
      <c r="AB197" s="913"/>
      <c r="AC197" s="554" t="str">
        <f t="shared" si="35"/>
        <v/>
      </c>
      <c r="AD197" s="936">
        <f>O140</f>
        <v>0</v>
      </c>
      <c r="AE197" s="581" t="s">
        <v>547</v>
      </c>
      <c r="AF197" s="543"/>
      <c r="AJ197" s="329"/>
    </row>
    <row r="198" spans="1:36" ht="11.25" customHeight="1">
      <c r="A198" s="604">
        <v>66</v>
      </c>
      <c r="B198" s="46" t="str">
        <v>Room Number:</v>
      </c>
      <c r="C198" s="363" t="str">
        <v/>
      </c>
      <c r="D198" s="49"/>
      <c r="E198" s="45"/>
      <c r="F198" s="45"/>
      <c r="G198" s="45"/>
      <c r="H198" s="45"/>
      <c r="I198" s="46" t="str">
        <v>Survey ID:</v>
      </c>
      <c r="J198" s="910" t="str">
        <v/>
      </c>
      <c r="L198" s="682" t="s">
        <v>336</v>
      </c>
      <c r="M198" s="136"/>
      <c r="O198" s="49"/>
      <c r="P198" s="49"/>
      <c r="Q198" s="49"/>
      <c r="V198" s="719"/>
      <c r="W198" s="720"/>
      <c r="X198" s="668" t="s">
        <v>336</v>
      </c>
      <c r="Y198" s="677"/>
      <c r="Z198" s="543"/>
      <c r="AA198" s="543"/>
      <c r="AB198" s="542"/>
      <c r="AC198" s="554" t="str">
        <f t="shared" si="35"/>
        <v/>
      </c>
      <c r="AD198" s="580"/>
      <c r="AE198" s="581"/>
      <c r="AF198" s="543"/>
      <c r="AJ198" s="329"/>
    </row>
    <row r="199" spans="1:36" ht="11.25" customHeight="1">
      <c r="A199" s="604">
        <v>1</v>
      </c>
      <c r="B199" s="1"/>
      <c r="C199" s="1"/>
      <c r="D199" s="1"/>
      <c r="E199" s="1"/>
      <c r="F199" s="1"/>
      <c r="G199" s="1"/>
      <c r="H199" s="1"/>
      <c r="I199" s="1"/>
      <c r="J199" s="1"/>
      <c r="K199" s="142" t="str">
        <f>$F$2</f>
        <v>Medical University of South Carolina</v>
      </c>
      <c r="L199" s="682" t="s">
        <v>336</v>
      </c>
      <c r="M199" s="136"/>
      <c r="O199" s="49"/>
      <c r="P199" s="49"/>
      <c r="Q199" s="49"/>
      <c r="V199" s="719"/>
      <c r="W199" s="720"/>
      <c r="X199" s="668" t="s">
        <v>336</v>
      </c>
      <c r="Y199" s="677"/>
      <c r="Z199" s="543"/>
      <c r="AA199" s="543"/>
      <c r="AB199" s="913"/>
      <c r="AC199" s="554" t="str">
        <f t="shared" si="35"/>
        <v/>
      </c>
      <c r="AD199" s="936">
        <f>O142</f>
        <v>0</v>
      </c>
      <c r="AE199" s="581" t="s">
        <v>548</v>
      </c>
      <c r="AF199" s="543"/>
      <c r="AJ199" s="329"/>
    </row>
    <row r="200" spans="1:36" ht="11.25" customHeight="1">
      <c r="A200" s="604">
        <v>2</v>
      </c>
      <c r="B200" s="1"/>
      <c r="C200" s="1"/>
      <c r="D200" s="1"/>
      <c r="E200" s="1"/>
      <c r="F200" s="252" t="str">
        <f>$F$49</f>
        <v>Inspection Results</v>
      </c>
      <c r="G200" s="1"/>
      <c r="H200" s="1"/>
      <c r="I200" s="1"/>
      <c r="J200" s="1"/>
      <c r="K200" s="143" t="str">
        <f>$F$5</f>
        <v>Radiation Oncology IGRT Compliance Inspection</v>
      </c>
      <c r="L200" s="682" t="s">
        <v>336</v>
      </c>
      <c r="M200" s="136"/>
      <c r="N200" s="49"/>
      <c r="O200" s="49"/>
      <c r="P200" s="49"/>
      <c r="Q200" s="49"/>
      <c r="R200" s="49"/>
      <c r="S200" s="49"/>
      <c r="T200" s="49"/>
      <c r="U200" s="49"/>
      <c r="V200" s="49"/>
      <c r="W200" s="67"/>
      <c r="X200" s="668" t="s">
        <v>336</v>
      </c>
      <c r="Y200" s="677"/>
      <c r="Z200" s="543"/>
      <c r="AA200" s="543"/>
      <c r="AB200" s="542"/>
      <c r="AC200" s="554" t="str">
        <f t="shared" si="35"/>
        <v/>
      </c>
      <c r="AD200" s="580"/>
      <c r="AE200" s="581"/>
      <c r="AF200" s="543"/>
      <c r="AJ200" s="329"/>
    </row>
    <row r="201" spans="1:36" ht="11.25" customHeight="1">
      <c r="A201" s="604">
        <v>3</v>
      </c>
      <c r="L201" s="682" t="s">
        <v>336</v>
      </c>
      <c r="M201" s="121"/>
      <c r="P201" s="49"/>
      <c r="Q201" s="49"/>
      <c r="R201" s="104"/>
      <c r="S201" s="49"/>
      <c r="T201" s="49"/>
      <c r="U201" s="105"/>
      <c r="V201" s="105"/>
      <c r="W201" s="67"/>
      <c r="X201" s="668" t="s">
        <v>336</v>
      </c>
      <c r="Y201" s="677"/>
      <c r="Z201" s="543"/>
      <c r="AA201" s="543"/>
      <c r="AB201" s="913"/>
      <c r="AC201" s="554" t="str">
        <f t="shared" si="35"/>
        <v/>
      </c>
      <c r="AD201" s="936">
        <f>O144</f>
        <v>0</v>
      </c>
      <c r="AE201" s="581" t="s">
        <v>549</v>
      </c>
      <c r="AF201" s="543"/>
      <c r="AJ201" s="329"/>
    </row>
    <row r="202" spans="1:36" ht="11.25" customHeight="1">
      <c r="A202" s="604">
        <v>4</v>
      </c>
      <c r="F202" s="193" t="str">
        <f>$R$111</f>
        <v>COMMENTS PAGE 2</v>
      </c>
      <c r="L202" s="682" t="s">
        <v>336</v>
      </c>
      <c r="M202" s="123"/>
      <c r="P202" s="49"/>
      <c r="Q202" s="49"/>
      <c r="R202" s="44"/>
      <c r="S202" s="49"/>
      <c r="T202" s="49"/>
      <c r="U202" s="105"/>
      <c r="V202" s="105"/>
      <c r="W202" s="67"/>
      <c r="X202" s="668" t="s">
        <v>336</v>
      </c>
      <c r="Y202" s="677"/>
      <c r="Z202" s="543"/>
      <c r="AA202" s="543"/>
      <c r="AB202" s="542"/>
      <c r="AC202" s="554" t="str">
        <f t="shared" si="35"/>
        <v/>
      </c>
      <c r="AD202" s="580"/>
      <c r="AE202" s="581"/>
      <c r="AF202" s="543"/>
      <c r="AJ202" s="329"/>
    </row>
    <row r="203" spans="1:36" ht="11.25" customHeight="1" thickBot="1">
      <c r="A203" s="604">
        <v>5</v>
      </c>
      <c r="L203" s="682" t="s">
        <v>336</v>
      </c>
      <c r="M203" s="98"/>
      <c r="N203" s="80"/>
      <c r="O203" s="80"/>
      <c r="P203" s="80"/>
      <c r="Q203" s="80"/>
      <c r="R203" s="80"/>
      <c r="S203" s="80"/>
      <c r="T203" s="80"/>
      <c r="U203" s="80"/>
      <c r="V203" s="80"/>
      <c r="W203" s="85"/>
      <c r="X203" s="668" t="s">
        <v>336</v>
      </c>
      <c r="Y203" s="677"/>
      <c r="Z203" s="543"/>
      <c r="AA203" s="543"/>
      <c r="AB203" s="913"/>
      <c r="AC203" s="554" t="str">
        <f t="shared" si="35"/>
        <v/>
      </c>
      <c r="AD203" s="936">
        <f>O146</f>
        <v>0</v>
      </c>
      <c r="AE203" s="581" t="s">
        <v>550</v>
      </c>
      <c r="AF203" s="543"/>
      <c r="AJ203" s="329"/>
    </row>
    <row r="204" spans="1:36" ht="11.25" customHeight="1" thickTop="1">
      <c r="A204" s="604">
        <v>6</v>
      </c>
      <c r="B204" s="75"/>
      <c r="C204" s="58"/>
      <c r="D204" s="58"/>
      <c r="E204" s="58"/>
      <c r="F204" s="58"/>
      <c r="G204" s="58"/>
      <c r="H204" s="58"/>
      <c r="I204" s="58"/>
      <c r="J204" s="58"/>
      <c r="K204" s="76"/>
      <c r="L204" s="682" t="s">
        <v>336</v>
      </c>
      <c r="M204" s="75"/>
      <c r="N204" s="58"/>
      <c r="O204" s="58"/>
      <c r="P204" s="58"/>
      <c r="Q204" s="58"/>
      <c r="R204" s="58"/>
      <c r="S204" s="58"/>
      <c r="T204" s="58"/>
      <c r="U204" s="58"/>
      <c r="V204" s="58"/>
      <c r="W204" s="76"/>
      <c r="X204" s="668" t="s">
        <v>336</v>
      </c>
      <c r="Y204" s="677"/>
      <c r="Z204" s="543"/>
      <c r="AA204" s="329"/>
      <c r="AB204" s="542"/>
      <c r="AC204" s="554" t="str">
        <f t="shared" si="35"/>
        <v/>
      </c>
      <c r="AD204" s="580"/>
      <c r="AE204" s="581"/>
      <c r="AF204" s="543"/>
    </row>
    <row r="205" spans="1:36" ht="11.25" customHeight="1">
      <c r="A205" s="604">
        <v>7</v>
      </c>
      <c r="B205" s="106" t="s">
        <v>417</v>
      </c>
      <c r="C205" s="607" t="str">
        <f>IF(O114="","",IF(LEN(O114)&lt;=135,O114,IF(LEN(O114)&lt;=260,LEFT(O114,SEARCH(" ",O114,125)),LEFT(O114,SEARCH(" ",O114,130)))))</f>
        <v>OPERATIONAL NOTES</v>
      </c>
      <c r="D205" s="365"/>
      <c r="E205" s="365"/>
      <c r="F205" s="365"/>
      <c r="G205" s="365"/>
      <c r="H205" s="365"/>
      <c r="I205" s="365"/>
      <c r="J205" s="365"/>
      <c r="K205" s="67"/>
      <c r="L205" s="682" t="s">
        <v>336</v>
      </c>
      <c r="M205" s="136"/>
      <c r="N205" s="49"/>
      <c r="O205" s="49"/>
      <c r="P205" s="49"/>
      <c r="Q205" s="251" t="s">
        <v>387</v>
      </c>
      <c r="R205" s="49"/>
      <c r="S205" s="49"/>
      <c r="T205" s="49"/>
      <c r="U205" s="49"/>
      <c r="V205" s="5" t="s">
        <v>455</v>
      </c>
      <c r="W205" s="435" t="s">
        <v>456</v>
      </c>
      <c r="X205" s="668" t="s">
        <v>336</v>
      </c>
      <c r="Y205" s="677"/>
      <c r="Z205" s="543"/>
      <c r="AA205" s="329"/>
      <c r="AB205" s="913"/>
      <c r="AC205" s="554" t="str">
        <f t="shared" si="35"/>
        <v/>
      </c>
      <c r="AD205" s="936">
        <f>O148</f>
        <v>0</v>
      </c>
      <c r="AE205" s="581" t="s">
        <v>551</v>
      </c>
      <c r="AF205" s="543"/>
    </row>
    <row r="206" spans="1:36" ht="11.25" customHeight="1">
      <c r="A206" s="604">
        <v>8</v>
      </c>
      <c r="B206" s="83"/>
      <c r="C206" s="607" t="str">
        <f>IF(LEN(O114)&lt;=135,"",IF(LEN(O114)&lt;=260,RIGHT(O114,LEN(O114)-SEARCH(" ",O114,125)),MID(O114,SEARCH(" ",O114,130),IF(LEN(O114)&lt;=265,LEN(O114),SEARCH(" ",O114,255)-SEARCH(" ",O114,130)))))</f>
        <v/>
      </c>
      <c r="D206" s="365"/>
      <c r="E206" s="365"/>
      <c r="F206" s="365"/>
      <c r="G206" s="365"/>
      <c r="H206" s="365"/>
      <c r="I206" s="365"/>
      <c r="J206" s="365"/>
      <c r="K206" s="67"/>
      <c r="L206" s="682" t="s">
        <v>336</v>
      </c>
      <c r="M206" s="290" t="s">
        <v>448</v>
      </c>
      <c r="N206" s="3"/>
      <c r="O206" s="3"/>
      <c r="P206" s="3"/>
      <c r="Q206" s="44"/>
      <c r="R206" s="3"/>
      <c r="S206" s="3"/>
      <c r="T206" s="3"/>
      <c r="U206" s="5" t="s">
        <v>422</v>
      </c>
      <c r="V206" s="5" t="s">
        <v>457</v>
      </c>
      <c r="W206" s="435" t="s">
        <v>457</v>
      </c>
      <c r="X206" s="668" t="s">
        <v>336</v>
      </c>
      <c r="Y206" s="677"/>
      <c r="Z206" s="543"/>
      <c r="AA206" s="329"/>
      <c r="AB206" s="542"/>
      <c r="AC206" s="554" t="str">
        <f t="shared" si="35"/>
        <v/>
      </c>
      <c r="AD206" s="580"/>
      <c r="AE206" s="581"/>
      <c r="AF206" s="543"/>
    </row>
    <row r="207" spans="1:36" ht="11.25" customHeight="1">
      <c r="A207" s="604">
        <v>9</v>
      </c>
      <c r="B207" s="83"/>
      <c r="C207" s="607" t="str">
        <f>IF(LEN(O114)&lt;=265,"",RIGHT(O114,LEN(O114)-SEARCH(" ",O114,255)))</f>
        <v/>
      </c>
      <c r="D207" s="365"/>
      <c r="E207" s="365"/>
      <c r="F207" s="365"/>
      <c r="G207" s="365"/>
      <c r="H207" s="365"/>
      <c r="I207" s="365"/>
      <c r="J207" s="365"/>
      <c r="K207" s="67"/>
      <c r="L207" s="682" t="s">
        <v>336</v>
      </c>
      <c r="M207" s="199" t="str">
        <f>$S$24</f>
        <v>Large:</v>
      </c>
      <c r="N207" s="736" t="str">
        <f>IF($U$54="","?Tube #?",$T$24)</f>
        <v/>
      </c>
      <c r="O207" s="4" t="s">
        <v>458</v>
      </c>
      <c r="P207" s="1085" t="s">
        <v>426</v>
      </c>
      <c r="R207" s="796"/>
      <c r="S207" s="3"/>
      <c r="T207" s="3"/>
      <c r="U207" s="5" t="s">
        <v>459</v>
      </c>
      <c r="V207" s="5" t="s">
        <v>459</v>
      </c>
      <c r="W207" s="435" t="s">
        <v>459</v>
      </c>
      <c r="X207" s="668" t="s">
        <v>336</v>
      </c>
      <c r="Y207" s="677"/>
      <c r="Z207" s="543"/>
      <c r="AA207" s="329"/>
      <c r="AB207" s="913"/>
      <c r="AC207" s="554" t="str">
        <f t="shared" si="35"/>
        <v/>
      </c>
      <c r="AD207" s="936">
        <f>O150</f>
        <v>0</v>
      </c>
      <c r="AE207" s="581" t="s">
        <v>552</v>
      </c>
      <c r="AF207" s="543"/>
    </row>
    <row r="208" spans="1:36" ht="11.25" customHeight="1" thickBot="1">
      <c r="A208" s="604">
        <v>10</v>
      </c>
      <c r="B208" s="136"/>
      <c r="C208" s="607" t="str">
        <f>IF(O116="","",IF(LEN(O116)&lt;=135,O116,IF(LEN(O116)&lt;=260,LEFT(O116,SEARCH(" ",O116,125)),LEFT(O116,SEARCH(" ",O116,130)))))</f>
        <v>Isocenter is 100 cm from focal spot</v>
      </c>
      <c r="D208" s="365"/>
      <c r="E208" s="365"/>
      <c r="F208" s="365"/>
      <c r="G208" s="365"/>
      <c r="H208" s="365"/>
      <c r="I208" s="365"/>
      <c r="J208" s="365"/>
      <c r="K208" s="67"/>
      <c r="L208" s="682" t="s">
        <v>336</v>
      </c>
      <c r="M208" s="39"/>
      <c r="N208" s="49"/>
      <c r="O208" s="25" t="s">
        <v>369</v>
      </c>
      <c r="P208" s="763" t="str">
        <f>IF(LFMAS="",AB76,LFMAS)</f>
        <v>mAs</v>
      </c>
      <c r="Q208" s="25" t="s">
        <v>460</v>
      </c>
      <c r="R208" s="25" t="s">
        <v>461</v>
      </c>
      <c r="S208" s="25" t="s">
        <v>462</v>
      </c>
      <c r="T208" s="257" t="s">
        <v>463</v>
      </c>
      <c r="U208" s="7" t="s">
        <v>464</v>
      </c>
      <c r="V208" s="7" t="s">
        <v>464</v>
      </c>
      <c r="W208" s="24" t="s">
        <v>464</v>
      </c>
      <c r="X208" s="668" t="s">
        <v>336</v>
      </c>
      <c r="Y208" s="677"/>
      <c r="Z208" s="543"/>
      <c r="AA208" s="557"/>
      <c r="AB208" s="557"/>
      <c r="AC208" s="557"/>
      <c r="AE208" s="329"/>
      <c r="AF208" s="543"/>
    </row>
    <row r="209" spans="1:32" ht="11.25" customHeight="1">
      <c r="A209" s="604">
        <v>11</v>
      </c>
      <c r="B209" s="136"/>
      <c r="C209" s="607" t="str">
        <f>IF(LEN(O116)&lt;=135,"",IF(LEN(O116)&lt;=260,RIGHT(O116,LEN(O116)-SEARCH(" ",O116,125)),MID(O116,SEARCH(" ",O116,130),IF(LEN(O116)&lt;=265,LEN(O116),SEARCH(" ",O116,255)-SEARCH(" ",O116,130)))))</f>
        <v/>
      </c>
      <c r="D209" s="365"/>
      <c r="E209" s="365"/>
      <c r="F209" s="365"/>
      <c r="G209" s="365"/>
      <c r="H209" s="365"/>
      <c r="I209" s="365"/>
      <c r="J209" s="365"/>
      <c r="K209" s="67"/>
      <c r="L209" s="682" t="s">
        <v>336</v>
      </c>
      <c r="M209" s="39"/>
      <c r="N209" s="49"/>
      <c r="O209" s="761" t="str">
        <f>IF(O210&lt;&gt;"",O210,IF(OR(AB77=0,AB77=""),"",AB77))</f>
        <v/>
      </c>
      <c r="P209" s="761" t="str">
        <f>IF(P210&lt;&gt;"",P210,IF(OR(AB78=0,AB78=""),"",AB78))</f>
        <v/>
      </c>
      <c r="Q209" s="762" t="str">
        <f>IF(Q210&lt;&gt;"",Q210,IF(OR(AB79=0,AB79=""),"",AB79))</f>
        <v/>
      </c>
      <c r="R209" s="763" t="str">
        <f>IF(R210&lt;&gt;"",R210,IF(OR(AB80=0,AB80=""),"",AB80))</f>
        <v/>
      </c>
      <c r="S209" s="763" t="str">
        <f>IF(S210&lt;&gt;"",S210,IF(OR(AB81=0,AB81=""),"",AB81))</f>
        <v/>
      </c>
      <c r="T209" s="737" t="str">
        <f>IF(OR(R209="",R209=0,S209="",S209=0),"",R209/(R209-S209))</f>
        <v/>
      </c>
      <c r="U209" s="611"/>
      <c r="V209" s="764" t="str">
        <f>IF(OR(AB83=0,AB83=""),"",AB83)</f>
        <v/>
      </c>
      <c r="W209" s="765" t="str">
        <f>IF(OR(AB84=0,AB84=""),"",AB84)</f>
        <v/>
      </c>
      <c r="X209" s="668" t="s">
        <v>336</v>
      </c>
      <c r="Y209" s="677"/>
      <c r="Z209" s="543"/>
      <c r="AA209" s="549" t="s">
        <v>447</v>
      </c>
      <c r="AB209" s="542"/>
      <c r="AC209" s="554" t="str">
        <f t="shared" ref="AC209:AC220" si="36">IF(AND(OR(AB209="",AB209=0),OR(AD209="",AD209=0)),"",IF(AB209&lt;&gt;AD209,"Change",""))</f>
        <v/>
      </c>
      <c r="AD209" s="579"/>
      <c r="AE209" s="581"/>
      <c r="AF209" s="543"/>
    </row>
    <row r="210" spans="1:32" ht="11.25" customHeight="1">
      <c r="A210" s="604">
        <v>12</v>
      </c>
      <c r="B210" s="136"/>
      <c r="C210" s="607" t="str">
        <f>IF(LEN(O116)&lt;=265,"",RIGHT(O116,LEN(O116)-SEARCH(" ",O116,255)))</f>
        <v/>
      </c>
      <c r="D210" s="365"/>
      <c r="E210" s="365"/>
      <c r="F210" s="365"/>
      <c r="G210" s="365"/>
      <c r="H210" s="365"/>
      <c r="I210" s="365"/>
      <c r="J210" s="365"/>
      <c r="K210" s="67"/>
      <c r="L210" s="682" t="s">
        <v>336</v>
      </c>
      <c r="M210" s="708"/>
      <c r="N210" s="706" t="s">
        <v>465</v>
      </c>
      <c r="O210" s="694"/>
      <c r="P210" s="694"/>
      <c r="Q210" s="695"/>
      <c r="R210" s="696"/>
      <c r="S210" s="696"/>
      <c r="T210" s="49"/>
      <c r="U210" s="49"/>
      <c r="V210" s="3"/>
      <c r="W210" s="34"/>
      <c r="X210" s="668" t="s">
        <v>336</v>
      </c>
      <c r="Y210" s="677"/>
      <c r="Z210" s="543"/>
      <c r="AA210" s="542" t="s">
        <v>448</v>
      </c>
      <c r="AB210" s="913"/>
      <c r="AC210" s="554" t="str">
        <f t="shared" si="36"/>
        <v/>
      </c>
      <c r="AD210" s="936" t="str">
        <f>IF(O223="","",O223)</f>
        <v/>
      </c>
      <c r="AE210" s="666" t="s">
        <v>554</v>
      </c>
      <c r="AF210" s="543"/>
    </row>
    <row r="211" spans="1:32" ht="11.25" customHeight="1">
      <c r="A211" s="604">
        <v>13</v>
      </c>
      <c r="B211" s="136"/>
      <c r="C211" s="607" t="str">
        <f>IF(O118="","",IF(LEN(O118)&lt;=135,O118,IF(LEN(O118)&lt;=260,LEFT(O118,SEARCH(" ",O118,125)),LEFT(O118,SEARCH(" ",O118,130)))))</f>
        <v>Collimator blade locations and field sizes are referenced to isocenter.</v>
      </c>
      <c r="D211" s="365"/>
      <c r="E211" s="365"/>
      <c r="F211" s="365"/>
      <c r="G211" s="365"/>
      <c r="H211" s="365"/>
      <c r="I211" s="365"/>
      <c r="J211" s="365"/>
      <c r="K211" s="67"/>
      <c r="L211" s="682" t="s">
        <v>336</v>
      </c>
      <c r="M211" s="136"/>
      <c r="N211" s="49"/>
      <c r="O211" s="49"/>
      <c r="P211" s="3"/>
      <c r="Q211" s="44"/>
      <c r="R211" s="3"/>
      <c r="S211" s="3"/>
      <c r="T211" s="49"/>
      <c r="U211" s="5" t="s">
        <v>422</v>
      </c>
      <c r="V211" s="5" t="s">
        <v>457</v>
      </c>
      <c r="W211" s="435" t="s">
        <v>457</v>
      </c>
      <c r="X211" s="668" t="s">
        <v>336</v>
      </c>
      <c r="Y211" s="677"/>
      <c r="Z211" s="543"/>
      <c r="AA211" s="542" t="s">
        <v>449</v>
      </c>
      <c r="AB211" s="913"/>
      <c r="AC211" s="554" t="str">
        <f t="shared" si="36"/>
        <v/>
      </c>
      <c r="AD211" s="936" t="str">
        <f>IF(O243="","",O243)</f>
        <v/>
      </c>
      <c r="AE211" s="666" t="s">
        <v>555</v>
      </c>
      <c r="AF211" s="543"/>
    </row>
    <row r="212" spans="1:32" ht="11.25" customHeight="1">
      <c r="A212" s="604">
        <v>14</v>
      </c>
      <c r="B212" s="136"/>
      <c r="C212" s="607" t="str">
        <f>IF(LEN(O118)&lt;=135,"",IF(LEN(O118)&lt;=260,RIGHT(O118,LEN(O118)-SEARCH(" ",O118,125)),MID(O118,SEARCH(" ",O118,130),IF(LEN(O118)&lt;=265,LEN(O118),SEARCH(" ",O118,255)-SEARCH(" ",O118,130)))))</f>
        <v/>
      </c>
      <c r="D212" s="365"/>
      <c r="E212" s="365"/>
      <c r="F212" s="365"/>
      <c r="G212" s="365"/>
      <c r="H212" s="365"/>
      <c r="I212" s="365"/>
      <c r="J212" s="365"/>
      <c r="K212" s="67"/>
      <c r="L212" s="682" t="s">
        <v>336</v>
      </c>
      <c r="M212" s="199" t="str">
        <f>IF($U$54="","Small:",IF($T$26="",$S$25,$S$26))</f>
        <v>Small:</v>
      </c>
      <c r="N212" s="736" t="str">
        <f>IF($U$54="","?Tube #?",IF(ISNA(MATCH($U$54,$U$59:$U$65,0)),IF(ISNA(MATCH($U$54,$V$59:$V$65,0)),"?Tube #?"),IF($T$26="",$T$25,$T$26)))</f>
        <v/>
      </c>
      <c r="O212" s="4" t="s">
        <v>458</v>
      </c>
      <c r="P212" s="1085" t="s">
        <v>426</v>
      </c>
      <c r="R212" s="796"/>
      <c r="S212" s="3"/>
      <c r="T212" s="49"/>
      <c r="U212" s="5" t="s">
        <v>459</v>
      </c>
      <c r="V212" s="5" t="s">
        <v>459</v>
      </c>
      <c r="W212" s="435" t="s">
        <v>459</v>
      </c>
      <c r="X212" s="668" t="s">
        <v>336</v>
      </c>
      <c r="Y212" s="677"/>
      <c r="Z212" s="543"/>
      <c r="AA212" s="542" t="s">
        <v>450</v>
      </c>
      <c r="AB212" s="913"/>
      <c r="AC212" s="554" t="str">
        <f t="shared" si="36"/>
        <v/>
      </c>
      <c r="AD212" s="936" t="str">
        <f>IF(O259="","",O259)</f>
        <v/>
      </c>
      <c r="AE212" s="666" t="s">
        <v>556</v>
      </c>
      <c r="AF212" s="543"/>
    </row>
    <row r="213" spans="1:32" ht="11.25" customHeight="1" thickBot="1">
      <c r="A213" s="604">
        <v>15</v>
      </c>
      <c r="B213" s="136"/>
      <c r="C213" s="607" t="str">
        <f>IF(LEN(O118)&lt;=265,"",RIGHT(O118,LEN(O118)-SEARCH(" ",O118,255)))</f>
        <v/>
      </c>
      <c r="D213" s="365"/>
      <c r="E213" s="365"/>
      <c r="F213" s="365"/>
      <c r="G213" s="365"/>
      <c r="H213" s="365"/>
      <c r="I213" s="365"/>
      <c r="J213" s="365"/>
      <c r="K213" s="67"/>
      <c r="L213" s="682" t="s">
        <v>336</v>
      </c>
      <c r="M213" s="136"/>
      <c r="N213" s="49"/>
      <c r="O213" s="25" t="s">
        <v>369</v>
      </c>
      <c r="P213" s="763" t="str">
        <f>IF(SFMAS="",AB86,SFMAS)</f>
        <v>mAs</v>
      </c>
      <c r="Q213" s="25" t="s">
        <v>460</v>
      </c>
      <c r="R213" s="25" t="s">
        <v>461</v>
      </c>
      <c r="S213" s="25" t="s">
        <v>462</v>
      </c>
      <c r="T213" s="257" t="s">
        <v>463</v>
      </c>
      <c r="U213" s="7" t="s">
        <v>464</v>
      </c>
      <c r="V213" s="7" t="s">
        <v>464</v>
      </c>
      <c r="W213" s="24" t="s">
        <v>464</v>
      </c>
      <c r="X213" s="668" t="s">
        <v>336</v>
      </c>
      <c r="Y213" s="677"/>
      <c r="Z213" s="543"/>
      <c r="AA213" s="542" t="s">
        <v>277</v>
      </c>
      <c r="AB213" s="913"/>
      <c r="AC213" s="554" t="str">
        <f t="shared" si="36"/>
        <v/>
      </c>
      <c r="AD213" s="936" t="str">
        <f>IF(O291="","",O291)</f>
        <v/>
      </c>
      <c r="AE213" s="666" t="s">
        <v>557</v>
      </c>
      <c r="AF213" s="543"/>
    </row>
    <row r="214" spans="1:32" ht="11.25" customHeight="1">
      <c r="A214" s="604">
        <v>16</v>
      </c>
      <c r="B214" s="136"/>
      <c r="C214" s="607" t="str">
        <f>IF(O120="","",IF(LEN(O120)&lt;=135,O120,IF(LEN(O120)&lt;=260,LEFT(O120,SEARCH(" ",O120,125)),LEFT(O120,SEARCH(" ",O120,130)))))</f>
        <v>Use 5x5cm field size for exposure/kV measurements.</v>
      </c>
      <c r="D214" s="365"/>
      <c r="E214" s="365"/>
      <c r="F214" s="365"/>
      <c r="G214" s="365"/>
      <c r="H214" s="365"/>
      <c r="I214" s="365"/>
      <c r="J214" s="365"/>
      <c r="K214" s="67"/>
      <c r="L214" s="682" t="s">
        <v>336</v>
      </c>
      <c r="M214" s="39"/>
      <c r="N214" s="49"/>
      <c r="O214" s="761" t="str">
        <f>IF(O215&lt;&gt;"",O215,IF(OR(AB87=0,AB87=""),"",AB87))</f>
        <v/>
      </c>
      <c r="P214" s="761" t="str">
        <f>IF(P215&lt;&gt;"",P215,IF(OR(AB88=0,AB88=""),"",AB88))</f>
        <v/>
      </c>
      <c r="Q214" s="762" t="str">
        <f>IF(Q215&lt;&gt;"",Q215,IF(OR(AB89=0,AB89=""),"",AB89))</f>
        <v/>
      </c>
      <c r="R214" s="763" t="str">
        <f>IF(R215&lt;&gt;"",R215,IF(OR(AB90=0,AB90=""),"",AB90))</f>
        <v/>
      </c>
      <c r="S214" s="763" t="str">
        <f>IF(S215&lt;&gt;"",S215,IF(OR(AB91=0,AB91=""),"",AB91))</f>
        <v/>
      </c>
      <c r="T214" s="737" t="str">
        <f>IF(OR(R214="",R214=0,S214="",S214=0),"",R214/(R214-S214))</f>
        <v/>
      </c>
      <c r="U214" s="611"/>
      <c r="V214" s="764" t="str">
        <f>IF(OR(AB93=0,AB93=""),"",AB93)</f>
        <v/>
      </c>
      <c r="W214" s="765" t="str">
        <f>IF(OR(AB94=0,AB94=""),"",AB94)</f>
        <v/>
      </c>
      <c r="X214" s="668" t="s">
        <v>336</v>
      </c>
      <c r="Y214" s="677"/>
      <c r="Z214" s="543"/>
      <c r="AA214" s="542" t="s">
        <v>278</v>
      </c>
      <c r="AB214" s="913"/>
      <c r="AC214" s="554" t="str">
        <f t="shared" si="36"/>
        <v/>
      </c>
      <c r="AD214" s="936" t="str">
        <f>IF(O293="","",O293)</f>
        <v/>
      </c>
      <c r="AE214" s="666" t="s">
        <v>558</v>
      </c>
      <c r="AF214" s="543"/>
    </row>
    <row r="215" spans="1:32" ht="11.25" customHeight="1">
      <c r="A215" s="604">
        <v>17</v>
      </c>
      <c r="B215" s="136"/>
      <c r="C215" s="607" t="str">
        <f>IF(LEN(O120)&lt;=135,"",IF(LEN(O120)&lt;=260,RIGHT(O120,LEN(O120)-SEARCH(" ",O120,125)),MID(O120,SEARCH(" ",O120,130),IF(LEN(O120)&lt;=265,LEN(O120),SEARCH(" ",O120,255)-SEARCH(" ",O120,130)))))</f>
        <v/>
      </c>
      <c r="D215" s="365"/>
      <c r="E215" s="365"/>
      <c r="F215" s="365"/>
      <c r="G215" s="365"/>
      <c r="H215" s="365"/>
      <c r="I215" s="365"/>
      <c r="J215" s="365"/>
      <c r="K215" s="67"/>
      <c r="L215" s="682" t="s">
        <v>336</v>
      </c>
      <c r="M215" s="708"/>
      <c r="N215" s="706" t="s">
        <v>465</v>
      </c>
      <c r="O215" s="694"/>
      <c r="P215" s="694"/>
      <c r="Q215" s="695"/>
      <c r="R215" s="696"/>
      <c r="S215" s="696"/>
      <c r="T215" s="3"/>
      <c r="U215" s="3"/>
      <c r="V215" s="3"/>
      <c r="W215" s="34"/>
      <c r="X215" s="668" t="s">
        <v>336</v>
      </c>
      <c r="Y215" s="677"/>
      <c r="Z215" s="543"/>
      <c r="AA215" s="542" t="s">
        <v>279</v>
      </c>
      <c r="AB215" s="913"/>
      <c r="AC215" s="554" t="str">
        <f t="shared" si="36"/>
        <v/>
      </c>
      <c r="AD215" s="936" t="str">
        <f>IF(O310="","",O310)</f>
        <v/>
      </c>
      <c r="AE215" s="666" t="s">
        <v>624</v>
      </c>
      <c r="AF215" s="543"/>
    </row>
    <row r="216" spans="1:32" ht="11.25" customHeight="1">
      <c r="A216" s="604">
        <v>18</v>
      </c>
      <c r="B216" s="136"/>
      <c r="C216" s="607" t="str">
        <f>IF(LEN(O120)&lt;=265,"",RIGHT(O120,LEN(O120)-SEARCH(" ",O120,255)))</f>
        <v/>
      </c>
      <c r="D216" s="365"/>
      <c r="E216" s="365"/>
      <c r="F216" s="365"/>
      <c r="G216" s="365"/>
      <c r="H216" s="365"/>
      <c r="I216" s="365"/>
      <c r="J216" s="365"/>
      <c r="K216" s="67"/>
      <c r="L216" s="682" t="s">
        <v>336</v>
      </c>
      <c r="M216" s="39"/>
      <c r="N216" s="49"/>
      <c r="O216" s="4" t="s">
        <v>466</v>
      </c>
      <c r="P216" s="3"/>
      <c r="Q216" s="3"/>
      <c r="R216" s="3"/>
      <c r="S216" s="3"/>
      <c r="T216" s="3"/>
      <c r="U216" s="3"/>
      <c r="V216" s="3"/>
      <c r="W216" s="34"/>
      <c r="X216" s="668" t="s">
        <v>336</v>
      </c>
      <c r="Y216" s="677"/>
      <c r="Z216" s="543"/>
      <c r="AA216" s="542" t="s">
        <v>280</v>
      </c>
      <c r="AB216" s="913"/>
      <c r="AC216" s="554" t="str">
        <f t="shared" si="36"/>
        <v/>
      </c>
      <c r="AD216" s="936" t="str">
        <f>IF(O312="","",O312)</f>
        <v/>
      </c>
      <c r="AE216" s="666" t="s">
        <v>559</v>
      </c>
      <c r="AF216" s="543"/>
    </row>
    <row r="217" spans="1:32" ht="11.25" customHeight="1">
      <c r="A217" s="604">
        <v>19</v>
      </c>
      <c r="B217" s="136"/>
      <c r="C217" s="607" t="str">
        <f>IF(O122="","",IF(LEN(O122)&lt;=135,O122,IF(LEN(O122)&lt;=260,LEFT(O122,SEARCH(" ",O122,125)),LEFT(O122,SEARCH(" ",O122,130)))))</f>
        <v>For generator check, align kV/exposure detectors at isocenter.</v>
      </c>
      <c r="D217" s="365"/>
      <c r="E217" s="365"/>
      <c r="F217" s="365"/>
      <c r="G217" s="365"/>
      <c r="H217" s="365"/>
      <c r="I217" s="365"/>
      <c r="J217" s="365"/>
      <c r="K217" s="67"/>
      <c r="L217" s="682" t="s">
        <v>336</v>
      </c>
      <c r="M217" s="199"/>
      <c r="N217" s="49"/>
      <c r="O217" s="4" t="s">
        <v>467</v>
      </c>
      <c r="P217" s="49"/>
      <c r="Q217" s="49"/>
      <c r="R217" s="49"/>
      <c r="S217" s="49"/>
      <c r="T217" s="49"/>
      <c r="U217" s="49"/>
      <c r="V217" s="49"/>
      <c r="W217" s="34"/>
      <c r="X217" s="668" t="s">
        <v>336</v>
      </c>
      <c r="Y217" s="677"/>
      <c r="Z217" s="543"/>
      <c r="AA217" s="542" t="s">
        <v>451</v>
      </c>
      <c r="AB217" s="913"/>
      <c r="AC217" s="554" t="str">
        <f t="shared" si="36"/>
        <v/>
      </c>
      <c r="AD217" s="936" t="str">
        <f>IF(O350="","",O350)</f>
        <v/>
      </c>
      <c r="AE217" s="666" t="s">
        <v>560</v>
      </c>
      <c r="AF217" s="543"/>
    </row>
    <row r="218" spans="1:32" ht="11.25" customHeight="1">
      <c r="A218" s="604">
        <v>20</v>
      </c>
      <c r="B218" s="136"/>
      <c r="C218" s="607" t="str">
        <f>IF(LEN(O122)&lt;=135,"",IF(LEN(O122)&lt;=260,RIGHT(O122,LEN(O122)-SEARCH(" ",O122,125)),MID(O122,SEARCH(" ",O122,130),IF(LEN(O122)&lt;=265,LEN(O122),SEARCH(" ",O122,255)-SEARCH(" ",O122,130)))))</f>
        <v/>
      </c>
      <c r="D218" s="365"/>
      <c r="E218" s="365"/>
      <c r="F218" s="365"/>
      <c r="G218" s="365"/>
      <c r="H218" s="365"/>
      <c r="I218" s="365"/>
      <c r="J218" s="365"/>
      <c r="K218" s="67"/>
      <c r="L218" s="682" t="s">
        <v>336</v>
      </c>
      <c r="M218" s="197" t="s">
        <v>341</v>
      </c>
      <c r="N218" s="49"/>
      <c r="O218" s="49"/>
      <c r="P218" s="49"/>
      <c r="Q218" s="49"/>
      <c r="R218" s="49"/>
      <c r="S218" s="49"/>
      <c r="T218" s="49"/>
      <c r="U218" s="49"/>
      <c r="V218" s="49"/>
      <c r="W218" s="34"/>
      <c r="X218" s="668" t="s">
        <v>336</v>
      </c>
      <c r="Y218" s="677"/>
      <c r="Z218" s="543"/>
      <c r="AA218" s="542" t="s">
        <v>452</v>
      </c>
      <c r="AB218" s="913"/>
      <c r="AC218" s="554" t="str">
        <f t="shared" si="36"/>
        <v/>
      </c>
      <c r="AD218" s="936" t="str">
        <f>IF(O395="","",O395)</f>
        <v/>
      </c>
      <c r="AE218" s="666" t="s">
        <v>561</v>
      </c>
      <c r="AF218" s="543"/>
    </row>
    <row r="219" spans="1:32" ht="11.25" customHeight="1">
      <c r="A219" s="604">
        <v>21</v>
      </c>
      <c r="B219" s="136"/>
      <c r="C219" s="607" t="str">
        <f>IF(LEN(O122)&lt;=265,"",RIGHT(O122,LEN(O122)-SEARCH(" ",O122,255)))</f>
        <v/>
      </c>
      <c r="D219" s="365"/>
      <c r="E219" s="365"/>
      <c r="F219" s="365"/>
      <c r="G219" s="365"/>
      <c r="H219" s="365"/>
      <c r="I219" s="365"/>
      <c r="J219" s="365"/>
      <c r="K219" s="67"/>
      <c r="L219" s="682" t="s">
        <v>336</v>
      </c>
      <c r="M219" s="610"/>
      <c r="N219" s="689" t="s">
        <v>388</v>
      </c>
      <c r="O219" s="44"/>
      <c r="P219" s="49"/>
      <c r="Q219" s="49"/>
      <c r="R219" s="49"/>
      <c r="S219" s="49"/>
      <c r="T219" s="49"/>
      <c r="U219" s="49"/>
      <c r="V219" s="49"/>
      <c r="W219" s="67"/>
      <c r="X219" s="668" t="s">
        <v>336</v>
      </c>
      <c r="Y219" s="677"/>
      <c r="Z219" s="543"/>
      <c r="AA219" s="542" t="s">
        <v>453</v>
      </c>
      <c r="AB219" s="913"/>
      <c r="AC219" s="554" t="str">
        <f t="shared" si="36"/>
        <v/>
      </c>
      <c r="AD219" s="936" t="str">
        <f>IF(O410="","",O410)</f>
        <v/>
      </c>
      <c r="AE219" s="666" t="s">
        <v>562</v>
      </c>
      <c r="AF219" s="543"/>
    </row>
    <row r="220" spans="1:32" ht="11.25" customHeight="1">
      <c r="A220" s="604">
        <v>22</v>
      </c>
      <c r="B220" s="136"/>
      <c r="C220" s="607" t="str">
        <f>IF(O124="","",IF(LEN(O124)&lt;=135,O124,IF(LEN(O124)&lt;=260,LEFT(O124,SEARCH(" ",O124,125)),LEFT(O124,SEARCH(" ",O124,130)))))</f>
        <v/>
      </c>
      <c r="D220" s="365"/>
      <c r="E220" s="365"/>
      <c r="F220" s="365"/>
      <c r="G220" s="365"/>
      <c r="H220" s="365"/>
      <c r="I220" s="365"/>
      <c r="J220" s="365"/>
      <c r="K220" s="67"/>
      <c r="L220" s="682" t="s">
        <v>336</v>
      </c>
      <c r="M220" s="136"/>
      <c r="N220" s="49"/>
      <c r="O220" s="143" t="s">
        <v>425</v>
      </c>
      <c r="P220" s="191" t="s">
        <v>468</v>
      </c>
      <c r="Q220" s="49"/>
      <c r="R220" s="49"/>
      <c r="S220" s="49"/>
      <c r="T220" s="49"/>
      <c r="U220" s="49"/>
      <c r="V220" s="49"/>
      <c r="W220" s="67"/>
      <c r="X220" s="668" t="s">
        <v>336</v>
      </c>
      <c r="Y220" s="677"/>
      <c r="Z220" s="543"/>
      <c r="AA220" s="542" t="s">
        <v>454</v>
      </c>
      <c r="AB220" s="913"/>
      <c r="AC220" s="554" t="str">
        <f t="shared" si="36"/>
        <v/>
      </c>
      <c r="AD220" s="936" t="str">
        <f>IF(O460="","",O460)</f>
        <v/>
      </c>
      <c r="AE220" s="666" t="s">
        <v>563</v>
      </c>
      <c r="AF220" s="543"/>
    </row>
    <row r="221" spans="1:32" ht="11.25" customHeight="1">
      <c r="A221" s="604">
        <v>23</v>
      </c>
      <c r="B221" s="136"/>
      <c r="C221" s="607" t="str">
        <f>IF(LEN(O124)&lt;=135,"",IF(LEN(O124)&lt;=260,RIGHT(O124,LEN(O124)-SEARCH(" ",O124,125)),MID(O124,SEARCH(" ",O124,130),IF(LEN(O124)&lt;=265,LEN(O124),SEARCH(" ",O124,255)-SEARCH(" ",O124,130)))))</f>
        <v/>
      </c>
      <c r="D221" s="365"/>
      <c r="E221" s="365"/>
      <c r="F221" s="365"/>
      <c r="G221" s="365"/>
      <c r="H221" s="365"/>
      <c r="I221" s="365"/>
      <c r="J221" s="365"/>
      <c r="K221" s="67"/>
      <c r="L221" s="682" t="s">
        <v>336</v>
      </c>
      <c r="M221" s="136"/>
      <c r="N221" s="49"/>
      <c r="O221" s="49"/>
      <c r="P221" s="49"/>
      <c r="Q221" s="49"/>
      <c r="R221" s="49"/>
      <c r="S221" s="49"/>
      <c r="T221" s="49"/>
      <c r="U221" s="49"/>
      <c r="V221" s="49"/>
      <c r="W221" s="67"/>
      <c r="X221" s="668" t="s">
        <v>336</v>
      </c>
      <c r="Y221" s="677"/>
      <c r="Z221" s="543"/>
      <c r="AF221" s="543"/>
    </row>
    <row r="222" spans="1:32" ht="11.25" customHeight="1">
      <c r="A222" s="604">
        <v>24</v>
      </c>
      <c r="B222" s="136"/>
      <c r="C222" s="607" t="str">
        <f>IF(LEN(O124)&lt;=265,"",RIGHT(O124,LEN(O124)-SEARCH(" ",O124,255)))</f>
        <v/>
      </c>
      <c r="D222" s="365"/>
      <c r="E222" s="365"/>
      <c r="F222" s="365"/>
      <c r="G222" s="365"/>
      <c r="H222" s="365"/>
      <c r="I222" s="365"/>
      <c r="J222" s="365"/>
      <c r="K222" s="67"/>
      <c r="L222" s="682" t="s">
        <v>336</v>
      </c>
      <c r="M222" s="136"/>
      <c r="N222" s="49"/>
      <c r="O222" s="49"/>
      <c r="P222" s="49"/>
      <c r="Q222" s="49"/>
      <c r="R222" s="49"/>
      <c r="S222" s="49"/>
      <c r="T222" s="49"/>
      <c r="U222" s="49"/>
      <c r="V222" s="49"/>
      <c r="W222" s="67"/>
      <c r="X222" s="668" t="s">
        <v>336</v>
      </c>
      <c r="Y222" s="677"/>
      <c r="Z222" s="543"/>
      <c r="AA222" s="542" t="s">
        <v>262</v>
      </c>
      <c r="AB222" s="918"/>
      <c r="AC222" s="554" t="str">
        <f t="shared" ref="AC222:AC236" si="37">IF(AND(OR(AB222="",AB222=0),OR(AD222="",AD222=0)),"",IF(AB222&lt;&gt;AD222,"Change",""))</f>
        <v>Change</v>
      </c>
      <c r="AD222" s="936">
        <f t="shared" ref="AD222:AD228" si="38">U59</f>
        <v>1</v>
      </c>
      <c r="AE222" s="581" t="s">
        <v>564</v>
      </c>
      <c r="AF222" s="543"/>
    </row>
    <row r="223" spans="1:32" ht="11.25" customHeight="1">
      <c r="A223" s="604">
        <v>25</v>
      </c>
      <c r="B223" s="136"/>
      <c r="C223" s="607" t="str">
        <f>IF(O126="","",IF(LEN(O126)&lt;=135,O126,IF(LEN(O126)&lt;=260,LEFT(O126,SEARCH(" ",O126,125)),LEFT(O126,SEARCH(" ",O126,130)))))</f>
        <v/>
      </c>
      <c r="D223" s="365"/>
      <c r="E223" s="365"/>
      <c r="F223" s="365"/>
      <c r="G223" s="365"/>
      <c r="H223" s="365"/>
      <c r="I223" s="365"/>
      <c r="J223" s="365"/>
      <c r="K223" s="67"/>
      <c r="L223" s="682" t="s">
        <v>336</v>
      </c>
      <c r="M223" s="136"/>
      <c r="N223" s="582" t="s">
        <v>417</v>
      </c>
      <c r="O223" s="705" t="str">
        <f>IF(O225&lt;&gt;"",O225,IF(OR(AB210=0,AB210=""),"",AB210))</f>
        <v/>
      </c>
      <c r="P223" s="41"/>
      <c r="Q223" s="2"/>
      <c r="R223" s="2"/>
      <c r="S223" s="2"/>
      <c r="T223" s="2"/>
      <c r="U223" s="2"/>
      <c r="V223" s="2"/>
      <c r="W223" s="27"/>
      <c r="X223" s="668" t="s">
        <v>336</v>
      </c>
      <c r="Y223" s="677"/>
      <c r="Z223" s="543"/>
      <c r="AA223" s="543"/>
      <c r="AB223" s="919"/>
      <c r="AC223" s="554" t="str">
        <f t="shared" si="37"/>
        <v>Change</v>
      </c>
      <c r="AD223" s="936" t="str">
        <f t="shared" si="38"/>
        <v>AP</v>
      </c>
      <c r="AE223" s="581" t="s">
        <v>565</v>
      </c>
      <c r="AF223" s="543"/>
    </row>
    <row r="224" spans="1:32" ht="11.25" customHeight="1">
      <c r="A224" s="604">
        <v>26</v>
      </c>
      <c r="B224" s="136"/>
      <c r="C224" s="607" t="str">
        <f>IF(LEN(O126)&lt;=135,"",IF(LEN(O126)&lt;=260,RIGHT(O126,LEN(O126)-SEARCH(" ",O126,125)),MID(O126,SEARCH(" ",O126,130),IF(LEN(O126)&lt;=265,LEN(O126),SEARCH(" ",O126,255)-SEARCH(" ",O126,130)))))</f>
        <v/>
      </c>
      <c r="D224" s="365"/>
      <c r="E224" s="365"/>
      <c r="F224" s="365"/>
      <c r="G224" s="365"/>
      <c r="H224" s="365"/>
      <c r="I224" s="365"/>
      <c r="J224" s="365"/>
      <c r="K224" s="67"/>
      <c r="L224" s="682" t="s">
        <v>336</v>
      </c>
      <c r="M224" s="107"/>
      <c r="N224" s="602" t="s">
        <v>257</v>
      </c>
      <c r="O224" s="110"/>
      <c r="P224" s="798">
        <f>LEN(O223)</f>
        <v>0</v>
      </c>
      <c r="Q224" s="12"/>
      <c r="R224" s="12"/>
      <c r="S224" s="12"/>
      <c r="T224" s="12"/>
      <c r="U224" s="12"/>
      <c r="V224" s="12"/>
      <c r="W224" s="200"/>
      <c r="X224" s="668" t="s">
        <v>336</v>
      </c>
      <c r="Y224" s="677"/>
      <c r="Z224" s="543"/>
      <c r="AA224" s="543"/>
      <c r="AB224" s="919"/>
      <c r="AC224" s="554" t="str">
        <f t="shared" si="37"/>
        <v>Change</v>
      </c>
      <c r="AD224" s="936" t="str">
        <f t="shared" si="38"/>
        <v>Front</v>
      </c>
      <c r="AE224" s="581" t="s">
        <v>566</v>
      </c>
      <c r="AF224" s="543"/>
    </row>
    <row r="225" spans="1:32" ht="11.25" customHeight="1">
      <c r="A225" s="604">
        <v>27</v>
      </c>
      <c r="B225" s="136"/>
      <c r="C225" s="607" t="str">
        <f>IF(LEN(O126)&lt;=265,"",RIGHT(O126,LEN(O126)-SEARCH(" ",O126,255)))</f>
        <v/>
      </c>
      <c r="D225" s="365"/>
      <c r="E225" s="365"/>
      <c r="F225" s="365"/>
      <c r="G225" s="365"/>
      <c r="H225" s="365"/>
      <c r="I225" s="365"/>
      <c r="J225" s="365"/>
      <c r="K225" s="67"/>
      <c r="L225" s="682" t="s">
        <v>336</v>
      </c>
      <c r="M225" s="129"/>
      <c r="N225" s="899" t="s">
        <v>437</v>
      </c>
      <c r="O225" s="901"/>
      <c r="P225" s="49"/>
      <c r="Q225" s="49"/>
      <c r="R225" s="49"/>
      <c r="S225" s="49"/>
      <c r="T225" s="49"/>
      <c r="U225" s="49"/>
      <c r="V225" s="49"/>
      <c r="W225" s="67"/>
      <c r="X225" s="668" t="s">
        <v>336</v>
      </c>
      <c r="Y225" s="677"/>
      <c r="Z225" s="543"/>
      <c r="AA225" s="679"/>
      <c r="AB225" s="919"/>
      <c r="AC225" s="554" t="str">
        <f t="shared" si="37"/>
        <v>Change</v>
      </c>
      <c r="AD225" s="936" t="str">
        <f t="shared" si="38"/>
        <v>Frontal</v>
      </c>
      <c r="AE225" s="581" t="s">
        <v>567</v>
      </c>
      <c r="AF225" s="543"/>
    </row>
    <row r="226" spans="1:32" ht="11.25" customHeight="1">
      <c r="A226" s="604">
        <v>28</v>
      </c>
      <c r="B226" s="136"/>
      <c r="C226" s="607" t="str">
        <f>IF(O128="","",IF(LEN(O128)&lt;=135,O128,IF(LEN(O128)&lt;=260,LEFT(O128,SEARCH(" ",O128,125)),LEFT(O128,SEARCH(" ",O128,130)))))</f>
        <v/>
      </c>
      <c r="D226" s="365"/>
      <c r="E226" s="365"/>
      <c r="F226" s="365"/>
      <c r="G226" s="365"/>
      <c r="H226" s="365"/>
      <c r="I226" s="365"/>
      <c r="J226" s="365"/>
      <c r="K226" s="67"/>
      <c r="L226" s="682" t="s">
        <v>336</v>
      </c>
      <c r="M226" s="136"/>
      <c r="N226" s="49"/>
      <c r="O226" s="49"/>
      <c r="P226" s="49"/>
      <c r="Q226" s="49"/>
      <c r="R226" s="251" t="s">
        <v>469</v>
      </c>
      <c r="S226" s="49"/>
      <c r="T226" s="49"/>
      <c r="U226" s="49"/>
      <c r="V226" s="49"/>
      <c r="W226" s="67"/>
      <c r="X226" s="668" t="s">
        <v>336</v>
      </c>
      <c r="Y226" s="677"/>
      <c r="Z226" s="543"/>
      <c r="AA226" s="543"/>
      <c r="AB226" s="919"/>
      <c r="AC226" s="554" t="str">
        <f t="shared" si="37"/>
        <v>Change</v>
      </c>
      <c r="AD226" s="936" t="str">
        <f t="shared" si="38"/>
        <v>Ceph</v>
      </c>
      <c r="AE226" s="581" t="s">
        <v>568</v>
      </c>
      <c r="AF226" s="543"/>
    </row>
    <row r="227" spans="1:32" ht="11.25" customHeight="1">
      <c r="A227" s="604">
        <v>29</v>
      </c>
      <c r="B227" s="136"/>
      <c r="C227" s="607" t="str">
        <f>IF(LEN(O128)&lt;=135,"",IF(LEN(O128)&lt;=260,RIGHT(O128,LEN(O128)-SEARCH(" ",O128,125)),MID(O128,SEARCH(" ",O128,130),IF(LEN(O128)&lt;=265,LEN(O128),SEARCH(" ",O128,255)-SEARCH(" ",O128,130)))))</f>
        <v/>
      </c>
      <c r="D227" s="365"/>
      <c r="E227" s="365"/>
      <c r="F227" s="365"/>
      <c r="G227" s="365"/>
      <c r="H227" s="365"/>
      <c r="I227" s="365"/>
      <c r="J227" s="365"/>
      <c r="K227" s="67"/>
      <c r="L227" s="682" t="s">
        <v>336</v>
      </c>
      <c r="M227" s="136"/>
      <c r="N227" s="48" t="s">
        <v>47</v>
      </c>
      <c r="O227" s="738" t="str">
        <f>IF(O228&lt;&gt;"",O228,IF(OR(AB96="",AB96=0),"Unknown",AB96))</f>
        <v>Piranha CB2-17090320</v>
      </c>
      <c r="P227" s="41"/>
      <c r="Q227" s="41"/>
      <c r="R227" s="1080" t="s">
        <v>681</v>
      </c>
      <c r="S227" s="1081"/>
      <c r="T227" s="49"/>
      <c r="U227" s="49"/>
      <c r="V227" s="49"/>
      <c r="W227" s="67"/>
      <c r="X227" s="668" t="s">
        <v>336</v>
      </c>
      <c r="Y227" s="677"/>
      <c r="Z227" s="543"/>
      <c r="AA227" s="543"/>
      <c r="AB227" s="919"/>
      <c r="AC227" s="554" t="str">
        <f t="shared" si="37"/>
        <v>Change</v>
      </c>
      <c r="AD227" s="936" t="str">
        <f t="shared" si="38"/>
        <v>Mobile</v>
      </c>
      <c r="AE227" s="581" t="s">
        <v>569</v>
      </c>
      <c r="AF227" s="543"/>
    </row>
    <row r="228" spans="1:32" ht="11.25" customHeight="1">
      <c r="A228" s="604">
        <v>30</v>
      </c>
      <c r="B228" s="136"/>
      <c r="C228" s="607" t="str">
        <f>IF(LEN(O128)&lt;=265,"",RIGHT(O128,LEN(O128)-SEARCH(" ",O128,255)))</f>
        <v/>
      </c>
      <c r="D228" s="365"/>
      <c r="E228" s="365"/>
      <c r="F228" s="365"/>
      <c r="G228" s="365"/>
      <c r="H228" s="365"/>
      <c r="I228" s="365"/>
      <c r="J228" s="365"/>
      <c r="K228" s="67"/>
      <c r="L228" s="682" t="s">
        <v>336</v>
      </c>
      <c r="M228" s="136"/>
      <c r="N228" s="899" t="s">
        <v>73</v>
      </c>
      <c r="O228" s="1051" t="s">
        <v>680</v>
      </c>
      <c r="P228" s="49"/>
      <c r="Q228" s="49"/>
      <c r="R228" s="1080" t="s">
        <v>684</v>
      </c>
      <c r="S228" s="1082"/>
      <c r="T228" s="49"/>
      <c r="U228" s="49"/>
      <c r="V228" s="49"/>
      <c r="W228" s="67"/>
      <c r="X228" s="668" t="s">
        <v>336</v>
      </c>
      <c r="Y228" s="677"/>
      <c r="Z228" s="543"/>
      <c r="AA228" s="543"/>
      <c r="AB228" s="919"/>
      <c r="AC228" s="554" t="str">
        <f t="shared" si="37"/>
        <v/>
      </c>
      <c r="AD228" s="936" t="str">
        <f t="shared" si="38"/>
        <v/>
      </c>
      <c r="AE228" s="581" t="s">
        <v>570</v>
      </c>
      <c r="AF228" s="543"/>
    </row>
    <row r="229" spans="1:32" ht="11.25" customHeight="1">
      <c r="A229" s="604">
        <v>31</v>
      </c>
      <c r="B229" s="136"/>
      <c r="C229" s="607" t="str">
        <f>IF(O130="","",IF(LEN(O130)&lt;=135,O130,IF(LEN(O130)&lt;=260,LEFT(O130,SEARCH(" ",O130,125)),LEFT(O130,SEARCH(" ",O130,130)))))</f>
        <v/>
      </c>
      <c r="D229" s="365"/>
      <c r="E229" s="365"/>
      <c r="F229" s="365"/>
      <c r="G229" s="365"/>
      <c r="H229" s="365"/>
      <c r="I229" s="365"/>
      <c r="J229" s="365"/>
      <c r="K229" s="67"/>
      <c r="L229" s="682" t="s">
        <v>336</v>
      </c>
      <c r="M229" s="290" t="s">
        <v>80</v>
      </c>
      <c r="N229" s="3"/>
      <c r="O229" s="3"/>
      <c r="P229" s="3"/>
      <c r="Q229" s="3"/>
      <c r="R229" s="3"/>
      <c r="S229" s="3"/>
      <c r="T229" s="3"/>
      <c r="U229" s="3"/>
      <c r="V229" s="3"/>
      <c r="W229" s="34"/>
      <c r="X229" s="668" t="s">
        <v>336</v>
      </c>
      <c r="Y229" s="677"/>
      <c r="Z229" s="543"/>
      <c r="AA229" s="543"/>
      <c r="AB229" s="515"/>
      <c r="AC229" s="554" t="str">
        <f t="shared" si="37"/>
        <v/>
      </c>
      <c r="AD229" s="543"/>
      <c r="AE229" s="543"/>
      <c r="AF229" s="543"/>
    </row>
    <row r="230" spans="1:32" ht="11.25" customHeight="1">
      <c r="A230" s="604">
        <v>32</v>
      </c>
      <c r="B230" s="136"/>
      <c r="C230" s="607" t="str">
        <f>IF(LEN(O130)&lt;=135,"",IF(LEN(O130)&lt;=260,RIGHT(O130,LEN(O130)-SEARCH(" ",O130,125)),MID(O130,SEARCH(" ",O130,130),IF(LEN(O130)&lt;=265,LEN(O130),SEARCH(" ",O130,255)-SEARCH(" ",O130,130)))))</f>
        <v/>
      </c>
      <c r="D230" s="365"/>
      <c r="E230" s="365"/>
      <c r="F230" s="365"/>
      <c r="G230" s="365"/>
      <c r="H230" s="365"/>
      <c r="I230" s="365"/>
      <c r="J230" s="365"/>
      <c r="K230" s="67"/>
      <c r="L230" s="682" t="s">
        <v>336</v>
      </c>
      <c r="M230" s="129"/>
      <c r="N230" s="1090"/>
      <c r="O230" s="44"/>
      <c r="P230" s="1090"/>
      <c r="Q230" s="1090"/>
      <c r="R230" s="1090"/>
      <c r="S230" s="1090"/>
      <c r="T230" s="1090"/>
      <c r="U230" s="1090"/>
      <c r="V230" s="1090"/>
      <c r="W230" s="65"/>
      <c r="X230" s="668" t="s">
        <v>336</v>
      </c>
      <c r="Y230" s="677"/>
      <c r="Z230" s="543"/>
      <c r="AA230" s="542" t="s">
        <v>263</v>
      </c>
      <c r="AB230" s="918"/>
      <c r="AC230" s="554" t="str">
        <f t="shared" si="37"/>
        <v>Change</v>
      </c>
      <c r="AD230" s="936">
        <f t="shared" ref="AD230:AD236" si="39">V59</f>
        <v>2</v>
      </c>
      <c r="AE230" s="581" t="s">
        <v>571</v>
      </c>
      <c r="AF230" s="543"/>
    </row>
    <row r="231" spans="1:32" ht="11.25" customHeight="1">
      <c r="A231" s="604">
        <v>33</v>
      </c>
      <c r="B231" s="136"/>
      <c r="C231" s="607" t="str">
        <f>IF(LEN(O130)&lt;=265,"",RIGHT(O130,LEN(O130)-SEARCH(" ",O130,255)))</f>
        <v/>
      </c>
      <c r="D231" s="365"/>
      <c r="E231" s="365"/>
      <c r="F231" s="365"/>
      <c r="G231" s="365"/>
      <c r="H231" s="365"/>
      <c r="I231" s="365"/>
      <c r="J231" s="365"/>
      <c r="K231" s="67"/>
      <c r="L231" s="682" t="s">
        <v>336</v>
      </c>
      <c r="M231" s="129"/>
      <c r="N231" s="1090"/>
      <c r="O231" s="1090"/>
      <c r="P231" s="1090"/>
      <c r="Q231" s="101" t="s">
        <v>81</v>
      </c>
      <c r="R231" s="1090"/>
      <c r="S231" s="49"/>
      <c r="T231" s="1090"/>
      <c r="U231" s="1090"/>
      <c r="V231" s="1090"/>
      <c r="W231" s="65"/>
      <c r="X231" s="668" t="s">
        <v>336</v>
      </c>
      <c r="Y231" s="677"/>
      <c r="Z231" s="543"/>
      <c r="AA231" s="543"/>
      <c r="AB231" s="919"/>
      <c r="AC231" s="554" t="str">
        <f t="shared" si="37"/>
        <v>Change</v>
      </c>
      <c r="AD231" s="936">
        <f t="shared" si="39"/>
        <v>3</v>
      </c>
      <c r="AE231" s="581" t="s">
        <v>572</v>
      </c>
      <c r="AF231" s="543"/>
    </row>
    <row r="232" spans="1:32" ht="11.25" customHeight="1">
      <c r="A232" s="604">
        <v>34</v>
      </c>
      <c r="B232" s="136"/>
      <c r="C232" s="607" t="str">
        <f>IF(O132="","",IF(LEN(O132)&lt;=135,O132,IF(LEN(O132)&lt;=260,LEFT(O132,SEARCH(" ",O132,125)),LEFT(O132,SEARCH(" ",O132,130)))))</f>
        <v/>
      </c>
      <c r="D232" s="365"/>
      <c r="E232" s="365"/>
      <c r="F232" s="365"/>
      <c r="G232" s="365"/>
      <c r="H232" s="365"/>
      <c r="I232" s="365"/>
      <c r="J232" s="365"/>
      <c r="K232" s="67"/>
      <c r="L232" s="682" t="s">
        <v>336</v>
      </c>
      <c r="M232" s="129" t="s">
        <v>82</v>
      </c>
      <c r="N232" s="210" t="s">
        <v>83</v>
      </c>
      <c r="O232" s="210" t="s">
        <v>84</v>
      </c>
      <c r="P232" s="210" t="s">
        <v>85</v>
      </c>
      <c r="Q232" s="1090"/>
      <c r="R232" s="210" t="s">
        <v>86</v>
      </c>
      <c r="S232" s="210" t="s">
        <v>87</v>
      </c>
      <c r="T232" s="129"/>
      <c r="U232" s="44" t="s">
        <v>88</v>
      </c>
      <c r="V232" s="1090"/>
      <c r="W232" s="65"/>
      <c r="X232" s="668" t="s">
        <v>336</v>
      </c>
      <c r="Y232" s="677"/>
      <c r="Z232" s="543"/>
      <c r="AA232" s="543"/>
      <c r="AB232" s="919"/>
      <c r="AC232" s="554" t="str">
        <f t="shared" si="37"/>
        <v>Change</v>
      </c>
      <c r="AD232" s="936" t="str">
        <f t="shared" si="39"/>
        <v>Lat</v>
      </c>
      <c r="AE232" s="581" t="s">
        <v>573</v>
      </c>
      <c r="AF232" s="543"/>
    </row>
    <row r="233" spans="1:32" ht="11.25" customHeight="1" thickBot="1">
      <c r="A233" s="604">
        <v>35</v>
      </c>
      <c r="B233" s="136"/>
      <c r="C233" s="607" t="str">
        <f>IF(LEN(O132)&lt;=135,"",IF(LEN(O132)&lt;=260,RIGHT(O132,LEN(O132)-SEARCH(" ",O132,125)),MID(O132,SEARCH(" ",O132,130),IF(LEN(O132)&lt;=265,LEN(O132),SEARCH(" ",O132,255)-SEARCH(" ",O132,130)))))</f>
        <v/>
      </c>
      <c r="D233" s="365"/>
      <c r="E233" s="365"/>
      <c r="F233" s="365"/>
      <c r="G233" s="365"/>
      <c r="H233" s="365"/>
      <c r="I233" s="365"/>
      <c r="J233" s="365"/>
      <c r="K233" s="67"/>
      <c r="L233" s="682" t="s">
        <v>336</v>
      </c>
      <c r="M233" s="212" t="s">
        <v>89</v>
      </c>
      <c r="N233" s="612" t="s">
        <v>435</v>
      </c>
      <c r="O233" s="1094" t="s">
        <v>90</v>
      </c>
      <c r="P233" s="1094" t="s">
        <v>58</v>
      </c>
      <c r="Q233" s="1094" t="s">
        <v>91</v>
      </c>
      <c r="R233" s="211" t="str">
        <f>IF(AND(LFMAS="",SFMAS=""),"mA/mAs",IF(O234="Large",LFMAS,SFMAS))</f>
        <v>mAs</v>
      </c>
      <c r="S233" s="1094" t="s">
        <v>92</v>
      </c>
      <c r="T233" s="212" t="s">
        <v>93</v>
      </c>
      <c r="U233" s="1094" t="s">
        <v>94</v>
      </c>
      <c r="V233" s="1094" t="s">
        <v>92</v>
      </c>
      <c r="W233" s="219" t="s">
        <v>652</v>
      </c>
      <c r="X233" s="668" t="s">
        <v>336</v>
      </c>
      <c r="Y233" s="677"/>
      <c r="Z233" s="543"/>
      <c r="AA233" s="543"/>
      <c r="AB233" s="919"/>
      <c r="AC233" s="554" t="str">
        <f t="shared" si="37"/>
        <v>Change</v>
      </c>
      <c r="AD233" s="936" t="str">
        <f t="shared" si="39"/>
        <v>Lateral</v>
      </c>
      <c r="AE233" s="581" t="s">
        <v>574</v>
      </c>
      <c r="AF233" s="543"/>
    </row>
    <row r="234" spans="1:32" ht="11.25" customHeight="1">
      <c r="A234" s="604">
        <v>36</v>
      </c>
      <c r="B234" s="136"/>
      <c r="C234" s="607" t="str">
        <f>IF(LEN(O132)&lt;=265,"",RIGHT(O132,LEN(O132)-SEARCH(" ",O132,255)))</f>
        <v/>
      </c>
      <c r="D234" s="365"/>
      <c r="E234" s="365"/>
      <c r="F234" s="365"/>
      <c r="G234" s="365"/>
      <c r="H234" s="365"/>
      <c r="I234" s="365"/>
      <c r="J234" s="365"/>
      <c r="K234" s="67"/>
      <c r="L234" s="682" t="s">
        <v>336</v>
      </c>
      <c r="M234" s="464" t="str">
        <f>IF(OR(Q234="",Tables!N49="",Tables!N49=0),"","Delay:"&amp;Tables!N49&amp;"ms")</f>
        <v/>
      </c>
      <c r="N234" s="472">
        <f>IF(Tables!I49="","TBD",Tables!I49)</f>
        <v>100</v>
      </c>
      <c r="O234" s="473" t="s">
        <v>78</v>
      </c>
      <c r="P234" s="474" t="str">
        <f>IF(OR(Q234="",Tables!F49=""),"",Tables!F49&amp;"/"&amp;Tables!L49)</f>
        <v>50-85/Low</v>
      </c>
      <c r="Q234" s="475">
        <f>IF(AND(Tables!B49=0,Tables!C49=0),"",IF(OR(Tables!B49="",Tables!B49=0),60,Tables!B49))</f>
        <v>60</v>
      </c>
      <c r="R234" s="476">
        <f>IF(Q234="","",IF(OR(Tables!E49="",Tables!E49=0),Tables!C49,Tables!E49))</f>
        <v>20</v>
      </c>
      <c r="S234" s="424">
        <f>IF(Q234="","",IF(OR(Tables!D49="",Tables!D49=0),IF(OR(Tables!Q49="No Anomolies",Tables!Q49=""),"",Tables!Q49),Tables!D49))</f>
        <v>0.05</v>
      </c>
      <c r="T234" s="477" t="str">
        <f>IF(Tables!AA49="","",Tables!AA49)</f>
        <v/>
      </c>
      <c r="U234" s="478" t="str">
        <f>IF(Tables!Y49="","",Tables!Y49)</f>
        <v/>
      </c>
      <c r="V234" s="424" t="str">
        <f>IF(Tables!AB49="","",Tables!AB49)</f>
        <v/>
      </c>
      <c r="W234" s="425" t="str">
        <f>IF(Tables!AC49="","",Tables!AC49)</f>
        <v/>
      </c>
      <c r="X234" s="668" t="s">
        <v>336</v>
      </c>
      <c r="Y234" s="677"/>
      <c r="Z234" s="543"/>
      <c r="AA234" s="543"/>
      <c r="AB234" s="919"/>
      <c r="AC234" s="554" t="str">
        <f t="shared" si="37"/>
        <v>Change</v>
      </c>
      <c r="AD234" s="936" t="str">
        <f t="shared" si="39"/>
        <v>Pan</v>
      </c>
      <c r="AE234" s="581" t="s">
        <v>575</v>
      </c>
      <c r="AF234" s="543"/>
    </row>
    <row r="235" spans="1:32" ht="11.25" customHeight="1">
      <c r="A235" s="604">
        <v>37</v>
      </c>
      <c r="B235" s="136"/>
      <c r="C235" s="607" t="str">
        <f>IF(O134="","",IF(LEN(O134)&lt;=135,O134,IF(LEN(O134)&lt;=260,LEFT(O134,SEARCH(" ",O134,125)),LEFT(O134,SEARCH(" ",O134,130)))))</f>
        <v/>
      </c>
      <c r="D235" s="365"/>
      <c r="E235" s="365"/>
      <c r="F235" s="365"/>
      <c r="G235" s="365"/>
      <c r="H235" s="365"/>
      <c r="I235" s="365"/>
      <c r="J235" s="365"/>
      <c r="K235" s="67"/>
      <c r="L235" s="682" t="s">
        <v>336</v>
      </c>
      <c r="M235" s="464" t="str">
        <f>IF(OR(Q235="",Tables!N51="",Tables!N51=0),"","Delay:"&amp;Tables!N51&amp;"ms")</f>
        <v/>
      </c>
      <c r="N235" s="479">
        <f t="shared" ref="N235:N241" si="40">IF(OR($N$234="",Q235=""),"",$N$234)</f>
        <v>100</v>
      </c>
      <c r="O235" s="473" t="str">
        <f t="shared" ref="O235:O241" si="41">IF(Q235="","",O234)</f>
        <v>Large</v>
      </c>
      <c r="P235" s="474" t="str">
        <f>IF(OR(Q235="",Tables!F51=""),"",Tables!F51&amp;"/"&amp;Tables!L51)</f>
        <v>70-120/Low</v>
      </c>
      <c r="Q235" s="475">
        <f>IF(AND(Tables!B51=0,Tables!C51=0),"",IF(OR(Tables!B51="",Tables!B51=0),IF($P$18="SIEMENS",81,80),Tables!B51))</f>
        <v>80</v>
      </c>
      <c r="R235" s="476">
        <f>IF(Q235="","",IF(OR(Tables!E51="",Tables!E51=0),Tables!C51,Tables!E51))</f>
        <v>20</v>
      </c>
      <c r="S235" s="424">
        <f>IF(Q235="","",IF(OR(Tables!D51="",Tables!D51=0),IF(OR(Tables!Q51="No Anomolies",Tables!Q51=""),"",Tables!Q51),Tables!D51))</f>
        <v>0.05</v>
      </c>
      <c r="T235" s="477" t="str">
        <f>IF(Tables!AA51="","",Tables!AA51)</f>
        <v/>
      </c>
      <c r="U235" s="478" t="str">
        <f>IF(Tables!Y51="","",Tables!Y51)</f>
        <v/>
      </c>
      <c r="V235" s="424" t="str">
        <f>IF(Tables!AB51="","",Tables!AB51)</f>
        <v/>
      </c>
      <c r="W235" s="425" t="str">
        <f>IF(Tables!AC51="","",Tables!AC51)</f>
        <v/>
      </c>
      <c r="X235" s="668" t="s">
        <v>336</v>
      </c>
      <c r="Y235" s="677"/>
      <c r="Z235" s="543"/>
      <c r="AA235" s="543"/>
      <c r="AB235" s="919"/>
      <c r="AC235" s="554" t="str">
        <f t="shared" si="37"/>
        <v>Change</v>
      </c>
      <c r="AD235" s="936" t="str">
        <f t="shared" si="39"/>
        <v>BCM</v>
      </c>
      <c r="AE235" s="581" t="s">
        <v>576</v>
      </c>
      <c r="AF235" s="543"/>
    </row>
    <row r="236" spans="1:32" ht="11.25" customHeight="1">
      <c r="A236" s="604">
        <v>38</v>
      </c>
      <c r="B236" s="136"/>
      <c r="C236" s="607" t="str">
        <f>IF(LEN(O134)&lt;=135,"",IF(LEN(O134)&lt;=260,RIGHT(O134,LEN(O134)-SEARCH(" ",O134,125)),MID(O134,SEARCH(" ",O134,130),IF(LEN(O134)&lt;=265,LEN(O134),SEARCH(" ",O134,255)-SEARCH(" ",O134,130)))))</f>
        <v/>
      </c>
      <c r="D236" s="365"/>
      <c r="E236" s="365"/>
      <c r="F236" s="365"/>
      <c r="G236" s="365"/>
      <c r="H236" s="365"/>
      <c r="I236" s="365"/>
      <c r="J236" s="365"/>
      <c r="K236" s="67"/>
      <c r="L236" s="682" t="s">
        <v>336</v>
      </c>
      <c r="M236" s="464" t="str">
        <f>IF(OR(Q236="",Tables!N66="",Tables!N66=0),"","Delay:"&amp;Tables!N66&amp;"ms")</f>
        <v/>
      </c>
      <c r="N236" s="479">
        <f t="shared" si="40"/>
        <v>100</v>
      </c>
      <c r="O236" s="473" t="str">
        <f t="shared" si="41"/>
        <v>Large</v>
      </c>
      <c r="P236" s="474" t="str">
        <f>IF(OR(Q236="",Tables!F66=""),"",Tables!F66&amp;"/"&amp;Tables!L66)</f>
        <v>70-120/Low</v>
      </c>
      <c r="Q236" s="475">
        <f>IF(AND(Tables!B66=0,Tables!C66=0),"",IF(OR(Tables!B66="",Tables!B66=0),IF($P$18="SIEMENS",102,100),Tables!B66))</f>
        <v>100</v>
      </c>
      <c r="R236" s="476">
        <f>IF(Q236="","",IF(OR(Tables!E66="",Tables!E66=0),Tables!C66,Tables!E66))</f>
        <v>20</v>
      </c>
      <c r="S236" s="424">
        <f>IF(Q236="","",IF(OR(Tables!D66="",Tables!D66=0),IF(OR(Tables!Q66="No Anomolies",Tables!Q66=""),"",Tables!Q66),Tables!D66))</f>
        <v>0.05</v>
      </c>
      <c r="T236" s="477" t="str">
        <f>IF(Tables!AA66="","",Tables!AA66)</f>
        <v/>
      </c>
      <c r="U236" s="478" t="str">
        <f>IF(Tables!Y66="","",Tables!Y66)</f>
        <v/>
      </c>
      <c r="V236" s="424" t="str">
        <f>IF(Tables!AB66="","",Tables!AB66)</f>
        <v/>
      </c>
      <c r="W236" s="425" t="str">
        <f>IF(Tables!AC66="","",Tables!AC66)</f>
        <v/>
      </c>
      <c r="X236" s="668" t="s">
        <v>336</v>
      </c>
      <c r="Y236" s="677"/>
      <c r="Z236" s="543"/>
      <c r="AA236" s="679"/>
      <c r="AB236" s="919"/>
      <c r="AC236" s="554" t="str">
        <f t="shared" si="37"/>
        <v/>
      </c>
      <c r="AD236" s="936" t="str">
        <f t="shared" si="39"/>
        <v/>
      </c>
      <c r="AE236" s="581" t="s">
        <v>577</v>
      </c>
      <c r="AF236" s="543"/>
    </row>
    <row r="237" spans="1:32" ht="11.25" customHeight="1">
      <c r="A237" s="604">
        <v>39</v>
      </c>
      <c r="B237" s="136"/>
      <c r="C237" s="607" t="str">
        <f>IF(LEN(O134)&lt;=265,"",RIGHT(O134,LEN(O134)-SEARCH(" ",O134,255)))</f>
        <v/>
      </c>
      <c r="D237" s="365"/>
      <c r="E237" s="365"/>
      <c r="F237" s="365"/>
      <c r="G237" s="365"/>
      <c r="H237" s="365"/>
      <c r="I237" s="365"/>
      <c r="J237" s="365"/>
      <c r="K237" s="67"/>
      <c r="L237" s="682" t="s">
        <v>336</v>
      </c>
      <c r="M237" s="464" t="str">
        <f>IF(OR(Q237="",Tables!N68="",Tables!N68=0),"","Delay:"&amp;Tables!N68&amp;"ms")</f>
        <v/>
      </c>
      <c r="N237" s="479">
        <f t="shared" si="40"/>
        <v>100</v>
      </c>
      <c r="O237" s="473" t="str">
        <f t="shared" si="41"/>
        <v>Large</v>
      </c>
      <c r="P237" s="474" t="str">
        <f>IF(OR(Q237="",Tables!F68=""),"",Tables!F68&amp;"/"&amp;Tables!L68)</f>
        <v>100-155/Low</v>
      </c>
      <c r="Q237" s="475">
        <f>IF(AND(Tables!B68=0,Tables!C68=0),"",IF(OR(Tables!B68="",Tables!B68=0),IF($P$18="SIEMENS",125,120),Tables!B68))</f>
        <v>120</v>
      </c>
      <c r="R237" s="476">
        <f>IF(Q237="","",IF(OR(Tables!E68="",Tables!E68=0),Tables!C68,Tables!E68))</f>
        <v>20</v>
      </c>
      <c r="S237" s="424">
        <f>IF(Q237="","",IF(OR(Tables!D68="",Tables!D68=0),IF(OR(Tables!Q68="No Anomolies",Tables!Q68=""),"",Tables!Q68),Tables!D68))</f>
        <v>0.05</v>
      </c>
      <c r="T237" s="477" t="str">
        <f>IF(Tables!AA68="","",Tables!AA68)</f>
        <v/>
      </c>
      <c r="U237" s="478" t="str">
        <f>IF(Tables!Y68="","",Tables!Y68)</f>
        <v/>
      </c>
      <c r="V237" s="424" t="str">
        <f>IF(Tables!AB68="","",Tables!AB68)</f>
        <v/>
      </c>
      <c r="W237" s="425" t="str">
        <f>IF(Tables!AC68="","",Tables!AC68)</f>
        <v/>
      </c>
      <c r="X237" s="668" t="s">
        <v>336</v>
      </c>
      <c r="Y237" s="677"/>
      <c r="Z237" s="543"/>
      <c r="AF237" s="543"/>
    </row>
    <row r="238" spans="1:32" ht="11.25" customHeight="1">
      <c r="A238" s="604">
        <v>40</v>
      </c>
      <c r="B238" s="136"/>
      <c r="C238" s="607" t="str">
        <f>IF(O136="","",IF(LEN(O136)&lt;=135,O136,IF(LEN(O136)&lt;=260,LEFT(O136,SEARCH(" ",O136,125)),LEFT(O136,SEARCH(" ",O136,130)))))</f>
        <v/>
      </c>
      <c r="D238" s="365"/>
      <c r="E238" s="365"/>
      <c r="F238" s="365"/>
      <c r="G238" s="365"/>
      <c r="H238" s="365"/>
      <c r="I238" s="365"/>
      <c r="J238" s="365"/>
      <c r="K238" s="67"/>
      <c r="L238" s="682" t="s">
        <v>336</v>
      </c>
      <c r="M238" s="464" t="str">
        <f>IF(OR(Q238="",Tables!N70="",Tables!N70=0),"","Delay:"&amp;Tables!N70&amp;"ms")</f>
        <v/>
      </c>
      <c r="N238" s="479">
        <f t="shared" si="40"/>
        <v>100</v>
      </c>
      <c r="O238" s="473" t="str">
        <f t="shared" si="41"/>
        <v>Large</v>
      </c>
      <c r="P238" s="474" t="str">
        <f>IF(OR(Q238="",Tables!F70=""),"",Tables!F70&amp;"/"&amp;Tables!L70)</f>
        <v>100-155/Low</v>
      </c>
      <c r="Q238" s="475">
        <f>IF(AND(Tables!B70=0,Tables!C70=0),"",IF(OR(Tables!B70="",Tables!B70=0),IF($P$18="SIEMENS",141,140),Tables!B70))</f>
        <v>140</v>
      </c>
      <c r="R238" s="476">
        <f>IF(Q238="","",IF(OR(Tables!E70="",Tables!E70=0),Tables!C70,Tables!E70))</f>
        <v>20</v>
      </c>
      <c r="S238" s="424">
        <f>IF(Q238="","",IF(OR(Tables!D70="",Tables!D70=0),IF(OR(Tables!Q70="No Anomolies",Tables!Q70=""),"",Tables!Q70),Tables!D70))</f>
        <v>0.05</v>
      </c>
      <c r="T238" s="477" t="str">
        <f>IF(Tables!AA70="","",Tables!AA70)</f>
        <v/>
      </c>
      <c r="U238" s="478" t="str">
        <f>IF(Tables!Y70="","",Tables!Y70)</f>
        <v/>
      </c>
      <c r="V238" s="424" t="str">
        <f>IF(Tables!AB70="","",Tables!AB70)</f>
        <v/>
      </c>
      <c r="W238" s="425" t="str">
        <f>IF(Tables!AC70="","",Tables!AC70)</f>
        <v/>
      </c>
      <c r="X238" s="668" t="s">
        <v>336</v>
      </c>
      <c r="Y238" s="677"/>
      <c r="Z238" s="543"/>
      <c r="AA238" s="542" t="s">
        <v>264</v>
      </c>
      <c r="AB238" s="920"/>
      <c r="AC238" s="554" t="str">
        <f t="shared" ref="AC238:AC243" si="42">IF(AND(OR(AB238="",AB238=0),OR(AD238="",AD238=0)),"",IF(AB238&lt;&gt;AD238,"Change",""))</f>
        <v>Change</v>
      </c>
      <c r="AD238" s="938" t="str">
        <f>S464</f>
        <v>HVL @80 kVp (Max kV)</v>
      </c>
      <c r="AE238" s="581" t="s">
        <v>578</v>
      </c>
      <c r="AF238" s="543"/>
    </row>
    <row r="239" spans="1:32" ht="11.25" customHeight="1">
      <c r="A239" s="604">
        <v>41</v>
      </c>
      <c r="B239" s="136"/>
      <c r="C239" s="607" t="str">
        <f>IF(LEN(O136)&lt;=135,"",IF(LEN(O136)&lt;=260,RIGHT(O136,LEN(O136)-SEARCH(" ",O136,125)),MID(O136,SEARCH(" ",O136,130),IF(LEN(O136)&lt;=265,LEN(O136),SEARCH(" ",O136,255)-SEARCH(" ",O136,130)))))</f>
        <v/>
      </c>
      <c r="D239" s="365"/>
      <c r="E239" s="365"/>
      <c r="F239" s="365"/>
      <c r="G239" s="365"/>
      <c r="H239" s="365"/>
      <c r="I239" s="365"/>
      <c r="J239" s="365"/>
      <c r="K239" s="67"/>
      <c r="L239" s="682" t="s">
        <v>336</v>
      </c>
      <c r="M239" s="464"/>
      <c r="N239" s="352" t="str">
        <f t="shared" si="40"/>
        <v/>
      </c>
      <c r="O239" s="209" t="str">
        <f t="shared" si="41"/>
        <v/>
      </c>
      <c r="P239" s="613"/>
      <c r="Q239" s="614"/>
      <c r="R239" s="406" t="str">
        <f>IF(OR($R$234="",Q239=""),"",$R$234)</f>
        <v/>
      </c>
      <c r="S239" s="214" t="str">
        <f>IF(OR($S$234="",Q239=""),"",$S$234)</f>
        <v/>
      </c>
      <c r="T239" s="615"/>
      <c r="U239" s="616"/>
      <c r="V239" s="617"/>
      <c r="W239" s="618"/>
      <c r="X239" s="668" t="s">
        <v>336</v>
      </c>
      <c r="Y239" s="677"/>
      <c r="Z239" s="543"/>
      <c r="AA239" s="542" t="s">
        <v>265</v>
      </c>
      <c r="AB239" s="921"/>
      <c r="AC239" s="554" t="e">
        <f t="shared" si="42"/>
        <v>#DIV/0!</v>
      </c>
      <c r="AD239" s="938" t="e">
        <f>S465</f>
        <v>#DIV/0!</v>
      </c>
      <c r="AE239" s="581" t="s">
        <v>579</v>
      </c>
      <c r="AF239" s="543"/>
    </row>
    <row r="240" spans="1:32" ht="11.25" customHeight="1">
      <c r="A240" s="604">
        <v>42</v>
      </c>
      <c r="B240" s="136"/>
      <c r="C240" s="607" t="str">
        <f>IF(LEN(O136)&lt;=265,"",RIGHT(O136,LEN(O136)-SEARCH(" ",O136,255)))</f>
        <v/>
      </c>
      <c r="D240" s="365"/>
      <c r="E240" s="365"/>
      <c r="F240" s="365"/>
      <c r="G240" s="365"/>
      <c r="H240" s="365"/>
      <c r="I240" s="365"/>
      <c r="J240" s="365"/>
      <c r="K240" s="67"/>
      <c r="L240" s="682" t="s">
        <v>336</v>
      </c>
      <c r="M240" s="464"/>
      <c r="N240" s="352" t="str">
        <f t="shared" si="40"/>
        <v/>
      </c>
      <c r="O240" s="209" t="str">
        <f t="shared" si="41"/>
        <v/>
      </c>
      <c r="P240" s="613"/>
      <c r="Q240" s="614"/>
      <c r="R240" s="406" t="str">
        <f>IF(OR($R$234="",Q240=""),"",$R$234)</f>
        <v/>
      </c>
      <c r="S240" s="214" t="str">
        <f>IF(OR($S$234="",Q240=""),"",$S$234)</f>
        <v/>
      </c>
      <c r="T240" s="615"/>
      <c r="U240" s="616"/>
      <c r="V240" s="617"/>
      <c r="W240" s="618"/>
      <c r="X240" s="668" t="s">
        <v>336</v>
      </c>
      <c r="Y240" s="677"/>
      <c r="Z240" s="543"/>
      <c r="AA240" s="667"/>
      <c r="AB240" s="515"/>
      <c r="AC240" s="554" t="str">
        <f t="shared" si="42"/>
        <v/>
      </c>
      <c r="AD240" s="939"/>
      <c r="AE240" s="666"/>
      <c r="AF240" s="543"/>
    </row>
    <row r="241" spans="1:36" ht="11.25" customHeight="1">
      <c r="A241" s="604">
        <v>43</v>
      </c>
      <c r="B241" s="136"/>
      <c r="C241" s="607" t="str">
        <f>IF(O138="","",IF(LEN(O138)&lt;=135,O138,IF(LEN(O138)&lt;=260,LEFT(O138,SEARCH(" ",O138,125)),LEFT(O138,SEARCH(" ",O138,130)))))</f>
        <v/>
      </c>
      <c r="D241" s="365"/>
      <c r="E241" s="365"/>
      <c r="F241" s="365"/>
      <c r="G241" s="365"/>
      <c r="H241" s="365"/>
      <c r="I241" s="365"/>
      <c r="J241" s="365"/>
      <c r="K241" s="67"/>
      <c r="L241" s="682" t="s">
        <v>336</v>
      </c>
      <c r="M241" s="464"/>
      <c r="N241" s="352" t="str">
        <f t="shared" si="40"/>
        <v/>
      </c>
      <c r="O241" s="209" t="str">
        <f t="shared" si="41"/>
        <v/>
      </c>
      <c r="P241" s="613"/>
      <c r="Q241" s="614"/>
      <c r="R241" s="406" t="str">
        <f>IF(OR($R$234="",Q241=""),"",$R$234)</f>
        <v/>
      </c>
      <c r="S241" s="214" t="str">
        <f>IF(OR($S$234="",Q241=""),"",$S$234)</f>
        <v/>
      </c>
      <c r="T241" s="615"/>
      <c r="U241" s="616"/>
      <c r="V241" s="617"/>
      <c r="W241" s="618"/>
      <c r="X241" s="668" t="s">
        <v>336</v>
      </c>
      <c r="Y241" s="677"/>
      <c r="Z241" s="543"/>
      <c r="AA241" s="542" t="s">
        <v>266</v>
      </c>
      <c r="AB241" s="922"/>
      <c r="AC241" s="554" t="str">
        <f t="shared" si="42"/>
        <v/>
      </c>
      <c r="AD241" s="931">
        <f>R520</f>
        <v>0</v>
      </c>
      <c r="AE241" s="581" t="s">
        <v>580</v>
      </c>
      <c r="AF241" s="543"/>
    </row>
    <row r="242" spans="1:36" ht="11.25" customHeight="1">
      <c r="A242" s="604">
        <v>44</v>
      </c>
      <c r="B242" s="136"/>
      <c r="C242" s="607" t="str">
        <f>IF(LEN(O138)&lt;=135,"",IF(LEN(O138)&lt;=260,RIGHT(O138,LEN(O138)-SEARCH(" ",O138,125)),MID(O138,SEARCH(" ",O138,130),IF(LEN(O138)&lt;=265,LEN(O138),SEARCH(" ",O138,255)-SEARCH(" ",O138,130)))))</f>
        <v/>
      </c>
      <c r="D242" s="365"/>
      <c r="E242" s="365"/>
      <c r="F242" s="365"/>
      <c r="G242" s="365"/>
      <c r="H242" s="365"/>
      <c r="I242" s="365"/>
      <c r="J242" s="365"/>
      <c r="K242" s="67"/>
      <c r="L242" s="682" t="s">
        <v>336</v>
      </c>
      <c r="M242" s="107" t="s">
        <v>102</v>
      </c>
      <c r="N242" s="1090"/>
      <c r="O242" s="1090"/>
      <c r="P242" s="1090"/>
      <c r="Q242" s="1090"/>
      <c r="R242" s="1090"/>
      <c r="S242" s="1090"/>
      <c r="T242" s="1090"/>
      <c r="U242" s="1090"/>
      <c r="V242" s="1090"/>
      <c r="W242" s="65"/>
      <c r="X242" s="668" t="s">
        <v>336</v>
      </c>
      <c r="Y242" s="677"/>
      <c r="Z242" s="543"/>
      <c r="AA242" s="542" t="s">
        <v>267</v>
      </c>
      <c r="AB242" s="923"/>
      <c r="AC242" s="554" t="str">
        <f t="shared" si="42"/>
        <v/>
      </c>
      <c r="AD242" s="931">
        <f>T520</f>
        <v>0</v>
      </c>
      <c r="AE242" s="581" t="s">
        <v>581</v>
      </c>
      <c r="AF242" s="543"/>
      <c r="AJ242" s="329"/>
    </row>
    <row r="243" spans="1:36" ht="11.25" customHeight="1" thickBot="1">
      <c r="A243" s="604">
        <v>45</v>
      </c>
      <c r="B243" s="136"/>
      <c r="C243" s="607" t="str">
        <f>IF(LEN(O138)&lt;=265,"",RIGHT(O138,LEN(O138)-SEARCH(" ",O138,255)))</f>
        <v/>
      </c>
      <c r="D243" s="365"/>
      <c r="E243" s="365"/>
      <c r="F243" s="365"/>
      <c r="G243" s="365"/>
      <c r="H243" s="365"/>
      <c r="I243" s="365"/>
      <c r="J243" s="365"/>
      <c r="K243" s="67"/>
      <c r="L243" s="682" t="s">
        <v>336</v>
      </c>
      <c r="M243" s="136"/>
      <c r="N243" s="582" t="s">
        <v>417</v>
      </c>
      <c r="O243" s="705" t="str">
        <f>IF(O245&lt;&gt;"",O245,IF(OR(AB211=0,AB211=""),"",AB211))</f>
        <v/>
      </c>
      <c r="P243" s="41"/>
      <c r="Q243" s="41"/>
      <c r="R243" s="41"/>
      <c r="S243" s="41"/>
      <c r="T243" s="41"/>
      <c r="U243" s="41"/>
      <c r="V243" s="41"/>
      <c r="W243" s="108"/>
      <c r="X243" s="668" t="s">
        <v>336</v>
      </c>
      <c r="Y243" s="677"/>
      <c r="Z243" s="543"/>
      <c r="AA243" s="542" t="s">
        <v>268</v>
      </c>
      <c r="AB243" s="923"/>
      <c r="AC243" s="554" t="str">
        <f t="shared" si="42"/>
        <v/>
      </c>
      <c r="AD243" s="931">
        <f>R521</f>
        <v>0</v>
      </c>
      <c r="AE243" s="581" t="s">
        <v>582</v>
      </c>
      <c r="AF243" s="543"/>
      <c r="AJ243" s="329"/>
    </row>
    <row r="244" spans="1:36" ht="11.25" customHeight="1" thickBot="1">
      <c r="A244" s="604">
        <v>46</v>
      </c>
      <c r="B244" s="136"/>
      <c r="C244" s="607" t="str">
        <f>IF(O140="","",IF(LEN(O140)&lt;=135,O140,IF(LEN(O140)&lt;=260,LEFT(O140,SEARCH(" ",O140,125)),LEFT(O140,SEARCH(" ",O140,130)))))</f>
        <v/>
      </c>
      <c r="D244" s="365"/>
      <c r="E244" s="365"/>
      <c r="F244" s="365"/>
      <c r="G244" s="365"/>
      <c r="H244" s="365"/>
      <c r="I244" s="365"/>
      <c r="J244" s="365"/>
      <c r="K244" s="67"/>
      <c r="L244" s="682" t="s">
        <v>336</v>
      </c>
      <c r="M244" s="107"/>
      <c r="N244" s="602" t="s">
        <v>155</v>
      </c>
      <c r="O244" s="110"/>
      <c r="P244" s="798">
        <f>LEN(O243)</f>
        <v>0</v>
      </c>
      <c r="Q244" s="1090"/>
      <c r="R244" s="1090"/>
      <c r="S244" s="1090"/>
      <c r="T244" s="1090"/>
      <c r="U244" s="1127" t="s">
        <v>424</v>
      </c>
      <c r="V244" s="1128" t="str">
        <f>IF(E377="","TBD",(IF(AND(ABS(MAX(E377:E384))&lt;=0.05,ABS(MIN(E377:E384))&lt;=0.05),"YES","NO")))</f>
        <v>TBD</v>
      </c>
      <c r="W244" s="65"/>
      <c r="X244" s="668" t="s">
        <v>336</v>
      </c>
      <c r="Y244" s="677"/>
      <c r="Z244" s="543"/>
      <c r="AF244" s="543"/>
      <c r="AJ244" s="329"/>
    </row>
    <row r="245" spans="1:36" ht="11.25" customHeight="1">
      <c r="A245" s="604">
        <v>47</v>
      </c>
      <c r="B245" s="136"/>
      <c r="C245" s="607" t="str">
        <f>IF(LEN(O140)&lt;=135,"",IF(LEN(O140)&lt;=260,RIGHT(O140,LEN(O140)-SEARCH(" ",O140,125)),MID(O140,SEARCH(" ",O140,130),IF(LEN(O140)&lt;=265,LEN(O140),SEARCH(" ",O140,255)-SEARCH(" ",O140,130)))))</f>
        <v/>
      </c>
      <c r="D245" s="365"/>
      <c r="E245" s="365"/>
      <c r="F245" s="365"/>
      <c r="G245" s="365"/>
      <c r="H245" s="365"/>
      <c r="I245" s="365"/>
      <c r="J245" s="365"/>
      <c r="K245" s="67"/>
      <c r="L245" s="682" t="s">
        <v>336</v>
      </c>
      <c r="M245" s="129"/>
      <c r="N245" s="899" t="s">
        <v>437</v>
      </c>
      <c r="O245" s="901"/>
      <c r="P245" s="49"/>
      <c r="Q245" s="49"/>
      <c r="R245" s="49"/>
      <c r="S245" s="49"/>
      <c r="T245" s="49"/>
      <c r="U245" s="49"/>
      <c r="V245" s="49"/>
      <c r="W245" s="67"/>
      <c r="X245" s="668" t="s">
        <v>336</v>
      </c>
      <c r="Y245" s="677"/>
      <c r="Z245" s="543"/>
      <c r="AA245" s="680" t="s">
        <v>596</v>
      </c>
      <c r="AB245" s="784"/>
      <c r="AD245" s="795"/>
      <c r="AF245" s="543"/>
      <c r="AJ245" s="329"/>
    </row>
    <row r="246" spans="1:36" ht="11.25" customHeight="1">
      <c r="A246" s="604">
        <v>48</v>
      </c>
      <c r="B246" s="136"/>
      <c r="C246" s="607" t="str">
        <f>IF(LEN(O140)&lt;=265,"",RIGHT(O140,LEN(O140)-SEARCH(" ",O140,255)))</f>
        <v/>
      </c>
      <c r="D246" s="365"/>
      <c r="E246" s="365"/>
      <c r="F246" s="365"/>
      <c r="G246" s="365"/>
      <c r="H246" s="365"/>
      <c r="I246" s="365"/>
      <c r="J246" s="365"/>
      <c r="K246" s="67"/>
      <c r="L246" s="682" t="s">
        <v>336</v>
      </c>
      <c r="M246" s="290" t="s">
        <v>105</v>
      </c>
      <c r="N246" s="1090"/>
      <c r="O246" s="1090"/>
      <c r="P246" s="1090"/>
      <c r="Q246" s="1090"/>
      <c r="R246" s="1090"/>
      <c r="S246" s="1090"/>
      <c r="T246" s="1090"/>
      <c r="U246" s="1090"/>
      <c r="V246" s="1090"/>
      <c r="W246" s="65"/>
      <c r="X246" s="668" t="s">
        <v>336</v>
      </c>
      <c r="Y246" s="677"/>
      <c r="Z246" s="543"/>
      <c r="AA246" s="542"/>
      <c r="AB246" s="924"/>
      <c r="AC246" s="554" t="str">
        <f t="shared" ref="AC246:AC251" si="43">IF(AND(OR(AB246="",AB246=0),OR(AD246="",AD246=0)),"",IF(AB246&lt;&gt;AD246,"Change",""))</f>
        <v/>
      </c>
      <c r="AD246" s="936" t="str">
        <f t="shared" ref="AD246:AD251" si="44">IF(OR(T1="",T1=0),"",T1)</f>
        <v/>
      </c>
      <c r="AE246" s="557" t="s">
        <v>597</v>
      </c>
      <c r="AF246" s="543"/>
      <c r="AJ246" s="329"/>
    </row>
    <row r="247" spans="1:36" ht="11.25" customHeight="1">
      <c r="A247" s="604">
        <v>49</v>
      </c>
      <c r="B247" s="136"/>
      <c r="C247" s="607" t="str">
        <f>IF(O142="","",IF(LEN(O142)&lt;=135,O142,IF(LEN(O142)&lt;=260,LEFT(O142,SEARCH(" ",O142,125)),LEFT(O142,SEARCH(" ",O142,130)))))</f>
        <v/>
      </c>
      <c r="D247" s="365"/>
      <c r="E247" s="365"/>
      <c r="F247" s="365"/>
      <c r="G247" s="365"/>
      <c r="H247" s="365"/>
      <c r="I247" s="365"/>
      <c r="J247" s="365"/>
      <c r="K247" s="67"/>
      <c r="L247" s="682" t="s">
        <v>336</v>
      </c>
      <c r="M247" s="136"/>
      <c r="N247" s="49"/>
      <c r="O247" s="49"/>
      <c r="P247" s="49"/>
      <c r="Q247" s="49"/>
      <c r="R247" s="49"/>
      <c r="S247" s="49"/>
      <c r="T247" s="49"/>
      <c r="U247" s="49"/>
      <c r="V247" s="49"/>
      <c r="W247" s="67"/>
      <c r="X247" s="668" t="s">
        <v>336</v>
      </c>
      <c r="Y247" s="677"/>
      <c r="Z247" s="543"/>
      <c r="AB247" s="924"/>
      <c r="AC247" s="554" t="str">
        <f t="shared" si="43"/>
        <v/>
      </c>
      <c r="AD247" s="936" t="str">
        <f t="shared" si="44"/>
        <v/>
      </c>
      <c r="AE247" s="557" t="s">
        <v>598</v>
      </c>
      <c r="AF247" s="543"/>
      <c r="AJ247" s="329"/>
    </row>
    <row r="248" spans="1:36" ht="11.25" customHeight="1">
      <c r="A248" s="604">
        <v>50</v>
      </c>
      <c r="B248" s="136"/>
      <c r="C248" s="607" t="str">
        <f>IF(LEN(O142)&lt;=135,"",IF(LEN(O142)&lt;=260,RIGHT(O142,LEN(O142)-SEARCH(" ",O142,125)),MID(O142,SEARCH(" ",O142,130),IF(LEN(O142)&lt;=265,LEN(O142),SEARCH(" ",O142,255)-SEARCH(" ",O142,130)))))</f>
        <v/>
      </c>
      <c r="D248" s="365"/>
      <c r="E248" s="365"/>
      <c r="F248" s="365"/>
      <c r="G248" s="365"/>
      <c r="H248" s="365"/>
      <c r="I248" s="365"/>
      <c r="J248" s="365"/>
      <c r="K248" s="67"/>
      <c r="L248" s="682" t="s">
        <v>336</v>
      </c>
      <c r="M248" s="129"/>
      <c r="N248" s="1090"/>
      <c r="O248" s="44"/>
      <c r="P248" s="1090"/>
      <c r="Q248" s="1090"/>
      <c r="R248" s="1090"/>
      <c r="S248" s="1090"/>
      <c r="T248" s="1090"/>
      <c r="U248" s="1090"/>
      <c r="V248" s="1090"/>
      <c r="W248" s="65"/>
      <c r="X248" s="668" t="s">
        <v>336</v>
      </c>
      <c r="Y248" s="677"/>
      <c r="Z248" s="543"/>
      <c r="AB248" s="924"/>
      <c r="AC248" s="554" t="str">
        <f t="shared" si="43"/>
        <v/>
      </c>
      <c r="AD248" s="936" t="str">
        <f t="shared" si="44"/>
        <v/>
      </c>
      <c r="AE248" s="557" t="s">
        <v>599</v>
      </c>
      <c r="AF248" s="543"/>
      <c r="AJ248" s="329"/>
    </row>
    <row r="249" spans="1:36" ht="11.25" customHeight="1">
      <c r="A249" s="604">
        <v>51</v>
      </c>
      <c r="B249" s="136"/>
      <c r="C249" s="607" t="str">
        <f>IF(LEN(O142)&lt;=265,"",RIGHT(O142,LEN(O142)-SEARCH(" ",O142,255)))</f>
        <v/>
      </c>
      <c r="D249" s="365"/>
      <c r="E249" s="365"/>
      <c r="F249" s="365"/>
      <c r="G249" s="365"/>
      <c r="H249" s="365"/>
      <c r="I249" s="365"/>
      <c r="J249" s="365"/>
      <c r="K249" s="67"/>
      <c r="L249" s="682" t="s">
        <v>336</v>
      </c>
      <c r="M249" s="129"/>
      <c r="N249" s="1090"/>
      <c r="O249" s="1090"/>
      <c r="P249" s="1090"/>
      <c r="Q249" s="101" t="s">
        <v>81</v>
      </c>
      <c r="R249" s="1090"/>
      <c r="S249" s="49"/>
      <c r="T249" s="1090"/>
      <c r="U249" s="1090"/>
      <c r="V249" s="1090"/>
      <c r="W249" s="65"/>
      <c r="X249" s="668" t="s">
        <v>336</v>
      </c>
      <c r="Y249" s="677"/>
      <c r="Z249" s="543"/>
      <c r="AB249" s="924"/>
      <c r="AC249" s="554" t="str">
        <f t="shared" si="43"/>
        <v/>
      </c>
      <c r="AD249" s="936" t="str">
        <f t="shared" si="44"/>
        <v/>
      </c>
      <c r="AE249" s="557" t="s">
        <v>600</v>
      </c>
      <c r="AF249" s="543"/>
      <c r="AJ249" s="329"/>
    </row>
    <row r="250" spans="1:36" ht="11.25" customHeight="1">
      <c r="A250" s="604">
        <v>52</v>
      </c>
      <c r="B250" s="136"/>
      <c r="C250" s="607" t="str">
        <f>IF(O144="","",IF(LEN(O144)&lt;=135,O144,IF(LEN(O144)&lt;=260,LEFT(O144,SEARCH(" ",O144,125)),LEFT(O144,SEARCH(" ",O144,130)))))</f>
        <v/>
      </c>
      <c r="D250" s="365"/>
      <c r="E250" s="365"/>
      <c r="F250" s="365"/>
      <c r="G250" s="365"/>
      <c r="H250" s="365"/>
      <c r="I250" s="365"/>
      <c r="J250" s="365"/>
      <c r="K250" s="67"/>
      <c r="L250" s="682" t="s">
        <v>336</v>
      </c>
      <c r="M250" s="129" t="s">
        <v>82</v>
      </c>
      <c r="N250" s="210" t="s">
        <v>83</v>
      </c>
      <c r="O250" s="210" t="s">
        <v>84</v>
      </c>
      <c r="P250" s="210" t="s">
        <v>85</v>
      </c>
      <c r="Q250" s="1090"/>
      <c r="R250" s="210"/>
      <c r="S250" s="210" t="s">
        <v>87</v>
      </c>
      <c r="T250" s="129"/>
      <c r="U250" s="44" t="s">
        <v>88</v>
      </c>
      <c r="V250" s="1090"/>
      <c r="W250" s="65"/>
      <c r="X250" s="668" t="s">
        <v>336</v>
      </c>
      <c r="Y250" s="677"/>
      <c r="Z250" s="543"/>
      <c r="AB250" s="924"/>
      <c r="AC250" s="554" t="str">
        <f t="shared" si="43"/>
        <v/>
      </c>
      <c r="AD250" s="936" t="str">
        <f t="shared" si="44"/>
        <v/>
      </c>
      <c r="AE250" s="557" t="s">
        <v>601</v>
      </c>
      <c r="AF250" s="543"/>
      <c r="AJ250" s="329"/>
    </row>
    <row r="251" spans="1:36" ht="11.25" customHeight="1" thickBot="1">
      <c r="A251" s="604">
        <v>53</v>
      </c>
      <c r="B251" s="136"/>
      <c r="C251" s="607" t="str">
        <f>IF(LEN(O144)&lt;=135,"",IF(LEN(O144)&lt;=260,RIGHT(O144,LEN(O144)-SEARCH(" ",O144,125)),MID(O144,SEARCH(" ",O144,130),IF(LEN(O144)&lt;=265,LEN(O144),SEARCH(" ",O144,255)-SEARCH(" ",O144,130)))))</f>
        <v/>
      </c>
      <c r="D251" s="365"/>
      <c r="E251" s="365"/>
      <c r="F251" s="365"/>
      <c r="G251" s="365"/>
      <c r="H251" s="365"/>
      <c r="I251" s="365"/>
      <c r="J251" s="365"/>
      <c r="K251" s="67"/>
      <c r="L251" s="682" t="s">
        <v>336</v>
      </c>
      <c r="M251" s="212" t="s">
        <v>89</v>
      </c>
      <c r="N251" s="612" t="s">
        <v>435</v>
      </c>
      <c r="O251" s="1094" t="s">
        <v>90</v>
      </c>
      <c r="P251" s="1094" t="s">
        <v>58</v>
      </c>
      <c r="Q251" s="211" t="s">
        <v>91</v>
      </c>
      <c r="R251" s="211" t="str">
        <f>IF(AND(LFMAS="",SFMAS=""),"mA/mAs",IF(O252="Large",LFMAS,SFMAS))</f>
        <v>mAs</v>
      </c>
      <c r="S251" s="1094" t="s">
        <v>92</v>
      </c>
      <c r="T251" s="212" t="s">
        <v>93</v>
      </c>
      <c r="U251" s="1094" t="s">
        <v>94</v>
      </c>
      <c r="V251" s="1094" t="s">
        <v>92</v>
      </c>
      <c r="W251" s="219" t="s">
        <v>652</v>
      </c>
      <c r="X251" s="668" t="s">
        <v>336</v>
      </c>
      <c r="Y251" s="677"/>
      <c r="Z251" s="543"/>
      <c r="AB251" s="924"/>
      <c r="AC251" s="554" t="str">
        <f t="shared" si="43"/>
        <v/>
      </c>
      <c r="AD251" s="936" t="str">
        <f t="shared" si="44"/>
        <v/>
      </c>
      <c r="AE251" s="557" t="s">
        <v>602</v>
      </c>
      <c r="AF251" s="543"/>
      <c r="AJ251" s="329"/>
    </row>
    <row r="252" spans="1:36" ht="11.25" customHeight="1">
      <c r="A252" s="604">
        <v>54</v>
      </c>
      <c r="B252" s="136"/>
      <c r="C252" s="607" t="str">
        <f>IF(LEN(O144)&lt;=265,"",RIGHT(O144,LEN(O144)-SEARCH(" ",O144,255)))</f>
        <v/>
      </c>
      <c r="D252" s="365"/>
      <c r="E252" s="365"/>
      <c r="F252" s="365"/>
      <c r="G252" s="365"/>
      <c r="H252" s="365"/>
      <c r="I252" s="365"/>
      <c r="J252" s="365"/>
      <c r="K252" s="67"/>
      <c r="L252" s="682" t="s">
        <v>336</v>
      </c>
      <c r="M252" s="464" t="str">
        <f>IF(OR(Q252="",Tables!N71="",Tables!N71=0),"","Delay:"&amp;Tables!N71&amp;"ms")</f>
        <v/>
      </c>
      <c r="N252" s="472">
        <f>$N$234</f>
        <v>100</v>
      </c>
      <c r="O252" s="473" t="s">
        <v>106</v>
      </c>
      <c r="P252" s="474" t="str">
        <f>IF(OR(Q252="",Tables!F71=""),"",Tables!F71&amp;"/"&amp;Tables!L71)</f>
        <v>35-60/Low</v>
      </c>
      <c r="Q252" s="475">
        <f>IF(AND(Tables!B71=0,Tables!C71=0),"",IF(OR(Tables!B71="",Tables!B71=0),50,Tables!B71))</f>
        <v>50</v>
      </c>
      <c r="R252" s="476">
        <f>IF(Q252="","",IF(OR(Tables!E71="",Tables!E71=0),Tables!C71,Tables!E71))</f>
        <v>10</v>
      </c>
      <c r="S252" s="424">
        <f>IF(Q252="","",IF(OR(Tables!D71="",Tables!D71=0),IF(OR(Tables!Q71="No Anomolies",Tables!Q71=""),"",Tables!Q71),Tables!D71))</f>
        <v>0.1</v>
      </c>
      <c r="T252" s="477" t="str">
        <f>IF(Tables!AA71="","",Tables!AA71)</f>
        <v/>
      </c>
      <c r="U252" s="478" t="str">
        <f>IF(Tables!Y71="","",Tables!Y71)</f>
        <v/>
      </c>
      <c r="V252" s="424" t="str">
        <f>IF(Tables!AB71="","",Tables!AB71)</f>
        <v/>
      </c>
      <c r="W252" s="425" t="str">
        <f>IF(Tables!AC71="","",Tables!AC71)</f>
        <v/>
      </c>
      <c r="X252" s="668" t="s">
        <v>336</v>
      </c>
      <c r="Y252" s="677"/>
      <c r="Z252" s="543"/>
      <c r="AF252" s="543"/>
      <c r="AJ252" s="329"/>
    </row>
    <row r="253" spans="1:36" ht="11.25" customHeight="1">
      <c r="A253" s="604">
        <v>55</v>
      </c>
      <c r="B253" s="136"/>
      <c r="C253" s="607" t="str">
        <f>IF(O146="","",IF(LEN(O146)&lt;=135,O146,IF(LEN(O146)&lt;=260,LEFT(O146,SEARCH(" ",O146,125)),LEFT(O146,SEARCH(" ",O146,130)))))</f>
        <v/>
      </c>
      <c r="D253" s="365"/>
      <c r="E253" s="365"/>
      <c r="F253" s="365"/>
      <c r="G253" s="365"/>
      <c r="H253" s="365"/>
      <c r="I253" s="365"/>
      <c r="J253" s="365"/>
      <c r="K253" s="67"/>
      <c r="L253" s="682" t="s">
        <v>336</v>
      </c>
      <c r="M253" s="464" t="str">
        <f>IF(OR(Q253="",Tables!N72="",Tables!N72=0),"","Delay:"&amp;Tables!N72&amp;"ms")</f>
        <v/>
      </c>
      <c r="N253" s="479">
        <f>IF(OR($N$252="",Q253=""),"",$N$252)</f>
        <v>100</v>
      </c>
      <c r="O253" s="473" t="str">
        <f>IF(Q253="","",O252)</f>
        <v>Small</v>
      </c>
      <c r="P253" s="474" t="str">
        <f>IF(OR(Q253="",Tables!F72=""),"",Tables!F72&amp;"/"&amp;Tables!L72)</f>
        <v>50-85/Low</v>
      </c>
      <c r="Q253" s="475">
        <f>IF(AND(Tables!B72=0,Tables!C72=0),"",IF(OR(Tables!B72="",Tables!B72=0),70,Tables!B72))</f>
        <v>70</v>
      </c>
      <c r="R253" s="476">
        <f>IF(Q253="","",IF(OR(Tables!E72="",Tables!E72=0),Tables!C72,Tables!E72))</f>
        <v>10</v>
      </c>
      <c r="S253" s="424">
        <f>IF(Q253="","",IF(OR(Tables!D72="",Tables!D72=0),IF(OR(Tables!Q72="No Anomolies",Tables!Q72=""),"",Tables!Q72),Tables!D72))</f>
        <v>0.1</v>
      </c>
      <c r="T253" s="477" t="str">
        <f>IF(Tables!AA72="","",Tables!AA72)</f>
        <v/>
      </c>
      <c r="U253" s="478" t="str">
        <f>IF(Tables!Y72="","",Tables!Y72)</f>
        <v/>
      </c>
      <c r="V253" s="424" t="str">
        <f>IF(Tables!AB72="","",Tables!AB72)</f>
        <v/>
      </c>
      <c r="W253" s="425" t="str">
        <f>IF(Tables!AC72="","",Tables!AC72)</f>
        <v/>
      </c>
      <c r="X253" s="668" t="s">
        <v>336</v>
      </c>
      <c r="Y253" s="677"/>
      <c r="Z253" s="543"/>
      <c r="AA253" s="194" t="s">
        <v>725</v>
      </c>
      <c r="AF253" s="543"/>
      <c r="AJ253" s="329"/>
    </row>
    <row r="254" spans="1:36" ht="11.25" customHeight="1">
      <c r="A254" s="604">
        <v>56</v>
      </c>
      <c r="B254" s="136"/>
      <c r="C254" s="607" t="str">
        <f>IF(LEN(O146)&lt;=135,"",IF(LEN(O146)&lt;=260,RIGHT(O146,LEN(O146)-SEARCH(" ",O146,125)),MID(O146,SEARCH(" ",O146,130),IF(LEN(O146)&lt;=265,LEN(O146),SEARCH(" ",O146,255)-SEARCH(" ",O146,130)))))</f>
        <v/>
      </c>
      <c r="D254" s="365"/>
      <c r="E254" s="365"/>
      <c r="F254" s="365"/>
      <c r="G254" s="365"/>
      <c r="H254" s="365"/>
      <c r="I254" s="365"/>
      <c r="J254" s="365"/>
      <c r="K254" s="67"/>
      <c r="L254" s="682" t="s">
        <v>336</v>
      </c>
      <c r="M254" s="464" t="str">
        <f>IF(OR(Q254="",Tables!N73="",Tables!N73=0),"","Delay:"&amp;Tables!N73&amp;"ms")</f>
        <v/>
      </c>
      <c r="N254" s="479">
        <f>IF(OR($N$252="",Q254=""),"",$N$252)</f>
        <v>100</v>
      </c>
      <c r="O254" s="473" t="str">
        <f>IF(Q254="","",O253)</f>
        <v>Small</v>
      </c>
      <c r="P254" s="474" t="str">
        <f>IF(OR(Q254="",Tables!F73=""),"",Tables!F73&amp;"/"&amp;Tables!L73)</f>
        <v>70-120/Low</v>
      </c>
      <c r="Q254" s="475">
        <f>IF(AND(Tables!B73=0,Tables!C73=0),"",IF(OR(Tables!B73="",Tables!B73=0),90,Tables!B73))</f>
        <v>90</v>
      </c>
      <c r="R254" s="476">
        <f>IF(Q254="","",IF(OR(Tables!E73="",Tables!E73=0),Tables!C73,Tables!E73))</f>
        <v>10</v>
      </c>
      <c r="S254" s="424">
        <f>IF(Q254="","",IF(OR(Tables!D73="",Tables!D73=0),IF(OR(Tables!Q73="No Anomolies",Tables!Q73=""),"",Tables!Q73),Tables!D73))</f>
        <v>0.1</v>
      </c>
      <c r="T254" s="477" t="str">
        <f>IF(Tables!AA73="","",Tables!AA73)</f>
        <v/>
      </c>
      <c r="U254" s="478" t="str">
        <f>IF(Tables!Y73="","",Tables!Y73)</f>
        <v/>
      </c>
      <c r="V254" s="424" t="str">
        <f>IF(Tables!AB73="","",Tables!AB73)</f>
        <v/>
      </c>
      <c r="W254" s="425" t="str">
        <f>IF(Tables!AC73="","",Tables!AC73)</f>
        <v/>
      </c>
      <c r="X254" s="668" t="s">
        <v>336</v>
      </c>
      <c r="Y254" s="677"/>
      <c r="Z254" s="543"/>
      <c r="AA254" s="1143" t="s">
        <v>430</v>
      </c>
      <c r="AB254" s="924"/>
      <c r="AC254" s="554" t="str">
        <f t="shared" ref="AC254:AC255" si="45">IF(AND(OR(AB254="",AB254=0),OR(AD254="",AD254=0)),"",IF(AB254&lt;&gt;AD254,"Change",""))</f>
        <v>Change</v>
      </c>
      <c r="AD254" s="936">
        <f>IF(OR(N543="",N543=0),"",N543)</f>
        <v>70</v>
      </c>
      <c r="AE254" s="557" t="s">
        <v>767</v>
      </c>
      <c r="AF254" s="543"/>
      <c r="AJ254" s="329"/>
    </row>
    <row r="255" spans="1:36" ht="11.25" customHeight="1">
      <c r="A255" s="604">
        <v>57</v>
      </c>
      <c r="B255" s="136"/>
      <c r="C255" s="607" t="str">
        <f>IF(LEN(O146)&lt;=265,"",RIGHT(O146,LEN(O146)-SEARCH(" ",O146,255)))</f>
        <v/>
      </c>
      <c r="D255" s="365"/>
      <c r="E255" s="365"/>
      <c r="F255" s="365"/>
      <c r="G255" s="365"/>
      <c r="H255" s="365"/>
      <c r="I255" s="365"/>
      <c r="J255" s="365"/>
      <c r="K255" s="67"/>
      <c r="L255" s="682" t="s">
        <v>336</v>
      </c>
      <c r="M255" s="464" t="str">
        <f>IF(OR(Q255="",Tables!N74="",Tables!N74=0),"","Delay:"&amp;Tables!N74&amp;"ms")</f>
        <v/>
      </c>
      <c r="N255" s="479">
        <f>IF(OR($N$252="",Q255=""),"",$N$252)</f>
        <v>100</v>
      </c>
      <c r="O255" s="473" t="str">
        <f>IF(Q255="","",O254)</f>
        <v>Small</v>
      </c>
      <c r="P255" s="474" t="str">
        <f>IF(OR(Q255="",Tables!F83=""),"",Tables!F83&amp;"/"&amp;Tables!L83)</f>
        <v>70-120/Low</v>
      </c>
      <c r="Q255" s="475">
        <f>IF(AND(Tables!B83=0,Tables!C83=0),"",IF(OR(Tables!B83="",Tables!B83=0),IF($P$18="SIEMENS",109,110),Tables!B83))</f>
        <v>110</v>
      </c>
      <c r="R255" s="476">
        <f>IF(Q255="","",IF(OR(Tables!E83="",Tables!E83=0),Tables!C83,Tables!E83))</f>
        <v>10</v>
      </c>
      <c r="S255" s="424">
        <f>IF(Q255="","",IF(OR(Tables!D83="",Tables!D83=0),IF(OR(Tables!Q83="No Anomolies",Tables!Q83=""),"",Tables!Q83),Tables!D83))</f>
        <v>0.1</v>
      </c>
      <c r="T255" s="477" t="str">
        <f>IF(Tables!AA83="","",Tables!AA83)</f>
        <v/>
      </c>
      <c r="U255" s="478" t="str">
        <f>IF(Tables!Y83="","",Tables!Y83)</f>
        <v/>
      </c>
      <c r="V255" s="424" t="str">
        <f>IF(Tables!AB83="","",Tables!AB83)</f>
        <v/>
      </c>
      <c r="W255" s="425" t="str">
        <f>IF(Tables!AC83="","",Tables!AC83)</f>
        <v/>
      </c>
      <c r="X255" s="668" t="s">
        <v>336</v>
      </c>
      <c r="Y255" s="677"/>
      <c r="Z255" s="543"/>
      <c r="AA255" s="1143" t="s">
        <v>432</v>
      </c>
      <c r="AB255" s="924"/>
      <c r="AC255" s="554" t="str">
        <f t="shared" si="45"/>
        <v/>
      </c>
      <c r="AD255" s="936" t="str">
        <f>IF(OR(O543="",O543=0),"",O543)</f>
        <v/>
      </c>
      <c r="AE255" s="557" t="s">
        <v>768</v>
      </c>
      <c r="AF255" s="543"/>
      <c r="AJ255" s="329"/>
    </row>
    <row r="256" spans="1:36" ht="11.25" customHeight="1">
      <c r="A256" s="604">
        <v>58</v>
      </c>
      <c r="B256" s="136"/>
      <c r="C256" s="607" t="str">
        <f>IF(O148="","",IF(LEN(O148)&lt;=135,O148,IF(LEN(O148)&lt;=260,LEFT(O148,SEARCH(" ",O148,125)),LEFT(O148,SEARCH(" ",O148,130)))))</f>
        <v/>
      </c>
      <c r="D256" s="365"/>
      <c r="E256" s="365"/>
      <c r="F256" s="365"/>
      <c r="G256" s="365"/>
      <c r="H256" s="365"/>
      <c r="I256" s="365"/>
      <c r="J256" s="365"/>
      <c r="K256" s="67"/>
      <c r="L256" s="682" t="s">
        <v>336</v>
      </c>
      <c r="M256" s="464" t="str">
        <f>IF(OR(Q256="",Tables!N75="",Tables!N75=0),"","Delay:"&amp;Tables!N75&amp;"ms")</f>
        <v/>
      </c>
      <c r="N256" s="479">
        <f>IF(OR($N$252="",Q256=""),"",$N$252)</f>
        <v>100</v>
      </c>
      <c r="O256" s="473" t="str">
        <f>IF(Q256="","",O255)</f>
        <v>Small</v>
      </c>
      <c r="P256" s="474" t="str">
        <f>IF(OR(Q256="",Tables!F84=""),"",Tables!F84&amp;"/"&amp;Tables!L84)</f>
        <v>100-155/Low</v>
      </c>
      <c r="Q256" s="475">
        <f>IF(AND(Tables!B84=0,Tables!C84=0),"",IF(OR(Tables!B84="",Tables!B84=0),IF($P$18="SIEMENS",133,130),Tables!B84))</f>
        <v>130</v>
      </c>
      <c r="R256" s="476">
        <f>IF(Q256="","",IF(OR(Tables!E84="",Tables!E84=0),Tables!C84,Tables!E84))</f>
        <v>10</v>
      </c>
      <c r="S256" s="424">
        <f>IF(Q256="","",IF(OR(Tables!D84="",Tables!D84=0),IF(OR(Tables!Q84="No Anomolies",Tables!Q84=""),"",Tables!Q84),Tables!D84))</f>
        <v>0.1</v>
      </c>
      <c r="T256" s="477" t="str">
        <f>IF(Tables!AA84="","",Tables!AA84)</f>
        <v/>
      </c>
      <c r="U256" s="478" t="str">
        <f>IF(Tables!Y84="","",Tables!Y84)</f>
        <v/>
      </c>
      <c r="V256" s="424" t="str">
        <f>IF(Tables!AB84="","",Tables!AB84)</f>
        <v/>
      </c>
      <c r="W256" s="425" t="str">
        <f>IF(Tables!AC84="","",Tables!AC84)</f>
        <v/>
      </c>
      <c r="X256" s="668" t="s">
        <v>336</v>
      </c>
      <c r="Y256" s="677"/>
      <c r="Z256" s="543"/>
      <c r="AA256" s="1143" t="s">
        <v>743</v>
      </c>
      <c r="AB256" s="924"/>
      <c r="AC256" s="554" t="str">
        <f t="shared" ref="AC256:AC267" si="46">IF(AND(OR(AB256="",AB256=0),OR(AD256="",AD256=0)),"",IF(AB256&lt;&gt;AD256,"Change",""))</f>
        <v/>
      </c>
      <c r="AD256" s="936" t="str">
        <f>IF(OR(N546="",N546=0),"",N546)</f>
        <v/>
      </c>
      <c r="AE256" s="557" t="s">
        <v>755</v>
      </c>
      <c r="AF256" s="543"/>
      <c r="AJ256" s="329"/>
    </row>
    <row r="257" spans="1:36" ht="11.25" customHeight="1">
      <c r="A257" s="604">
        <v>59</v>
      </c>
      <c r="B257" s="136"/>
      <c r="C257" s="607" t="str">
        <f>IF(LEN(O148)&lt;=135,"",IF(LEN(O148)&lt;=260,RIGHT(O148,LEN(O148)-SEARCH(" ",O148,125)),MID(O148,SEARCH(" ",O148,130),IF(LEN(O148)&lt;=265,LEN(O148),SEARCH(" ",O148,255)-SEARCH(" ",O148,130)))))</f>
        <v/>
      </c>
      <c r="D257" s="365"/>
      <c r="E257" s="365"/>
      <c r="F257" s="365"/>
      <c r="G257" s="365"/>
      <c r="H257" s="365"/>
      <c r="I257" s="365"/>
      <c r="J257" s="365"/>
      <c r="K257" s="67"/>
      <c r="L257" s="682" t="s">
        <v>336</v>
      </c>
      <c r="M257" s="132"/>
      <c r="N257" s="352" t="str">
        <f>IF(OR($N$252="",Q257=""),"",$N$252)</f>
        <v/>
      </c>
      <c r="O257" s="209" t="str">
        <f>IF(Q257="","",O256)</f>
        <v/>
      </c>
      <c r="P257" s="619"/>
      <c r="Q257" s="614"/>
      <c r="R257" s="406" t="str">
        <f>IF(OR($R$252="",Q257=""),"",$R$252)</f>
        <v/>
      </c>
      <c r="S257" s="214" t="str">
        <f>IF(OR($S$252="",Q257=""),"",$S$252)</f>
        <v/>
      </c>
      <c r="T257" s="615"/>
      <c r="U257" s="616"/>
      <c r="V257" s="617"/>
      <c r="W257" s="618"/>
      <c r="X257" s="668" t="s">
        <v>336</v>
      </c>
      <c r="Y257" s="677"/>
      <c r="Z257" s="543"/>
      <c r="AA257" s="1143" t="s">
        <v>744</v>
      </c>
      <c r="AB257" s="924"/>
      <c r="AC257" s="554" t="str">
        <f t="shared" si="46"/>
        <v/>
      </c>
      <c r="AD257" s="936" t="str">
        <f t="shared" ref="AD257:AD267" si="47">IF(OR(N547="",N547=0),"",N547)</f>
        <v/>
      </c>
      <c r="AE257" s="557" t="s">
        <v>756</v>
      </c>
      <c r="AF257" s="543"/>
      <c r="AJ257" s="329"/>
    </row>
    <row r="258" spans="1:36" ht="11.25" customHeight="1">
      <c r="A258" s="604">
        <v>60</v>
      </c>
      <c r="B258" s="136"/>
      <c r="C258" s="607" t="str">
        <f>IF(LEN(O148)&lt;=265,"",RIGHT(O148,LEN(O148)-SEARCH(" ",O148,255)))</f>
        <v/>
      </c>
      <c r="D258" s="365"/>
      <c r="E258" s="365"/>
      <c r="F258" s="365"/>
      <c r="G258" s="365"/>
      <c r="H258" s="365"/>
      <c r="I258" s="365"/>
      <c r="J258" s="365"/>
      <c r="K258" s="67"/>
      <c r="L258" s="682" t="s">
        <v>336</v>
      </c>
      <c r="M258" s="107" t="s">
        <v>102</v>
      </c>
      <c r="N258" s="49"/>
      <c r="O258" s="49"/>
      <c r="P258" s="49"/>
      <c r="Q258" s="49"/>
      <c r="R258" s="49"/>
      <c r="S258" s="49"/>
      <c r="T258" s="49"/>
      <c r="U258" s="49"/>
      <c r="V258" s="49"/>
      <c r="W258" s="67"/>
      <c r="X258" s="668" t="s">
        <v>336</v>
      </c>
      <c r="Y258" s="677"/>
      <c r="Z258" s="543"/>
      <c r="AA258" s="1143" t="s">
        <v>745</v>
      </c>
      <c r="AB258" s="924"/>
      <c r="AC258" s="554" t="str">
        <f t="shared" si="46"/>
        <v/>
      </c>
      <c r="AD258" s="936" t="str">
        <f t="shared" si="47"/>
        <v/>
      </c>
      <c r="AE258" s="557" t="s">
        <v>757</v>
      </c>
      <c r="AF258" s="543"/>
      <c r="AJ258" s="329"/>
    </row>
    <row r="259" spans="1:36" ht="11.25" customHeight="1">
      <c r="A259" s="604">
        <v>61</v>
      </c>
      <c r="B259" s="136"/>
      <c r="C259" s="607" t="str">
        <f>IF(O150="","",IF(LEN(O150)&lt;=135,O150,IF(LEN(O150)&lt;=260,LEFT(O150,SEARCH(" ",O150,125)),LEFT(O150,SEARCH(" ",O150,130)))))</f>
        <v/>
      </c>
      <c r="D259" s="365"/>
      <c r="E259" s="365"/>
      <c r="F259" s="365"/>
      <c r="G259" s="365"/>
      <c r="H259" s="365"/>
      <c r="I259" s="365"/>
      <c r="J259" s="365"/>
      <c r="K259" s="67"/>
      <c r="L259" s="682" t="s">
        <v>336</v>
      </c>
      <c r="M259" s="136"/>
      <c r="N259" s="582" t="s">
        <v>417</v>
      </c>
      <c r="O259" s="900" t="str">
        <f>IF(O260&lt;&gt;"",O260,IF(OR(AB212=0,AB212=""),"",AB212))</f>
        <v/>
      </c>
      <c r="P259" s="41"/>
      <c r="Q259" s="41"/>
      <c r="R259" s="41"/>
      <c r="S259" s="41"/>
      <c r="T259" s="41"/>
      <c r="U259" s="41"/>
      <c r="V259" s="41"/>
      <c r="W259" s="108"/>
      <c r="X259" s="668" t="s">
        <v>336</v>
      </c>
      <c r="Y259" s="677"/>
      <c r="Z259" s="543"/>
      <c r="AA259" s="1143" t="s">
        <v>746</v>
      </c>
      <c r="AB259" s="924"/>
      <c r="AC259" s="554" t="str">
        <f t="shared" si="46"/>
        <v/>
      </c>
      <c r="AD259" s="936" t="str">
        <f t="shared" si="47"/>
        <v/>
      </c>
      <c r="AE259" s="557" t="s">
        <v>758</v>
      </c>
      <c r="AF259" s="543"/>
      <c r="AJ259" s="329"/>
    </row>
    <row r="260" spans="1:36" ht="11.25" customHeight="1" thickBot="1">
      <c r="A260" s="604">
        <v>62</v>
      </c>
      <c r="B260" s="136"/>
      <c r="C260" s="607" t="str">
        <f>IF(LEN(O150)&lt;=135,"",IF(LEN(O150)&lt;=260,RIGHT(O150,LEN(O150)-SEARCH(" ",O150,125)),MID(O150,SEARCH(" ",O150,130),IF(LEN(O150)&lt;=265,LEN(O150),SEARCH(" ",O150,255)-SEARCH(" ",O150,130)))))</f>
        <v/>
      </c>
      <c r="D260" s="365"/>
      <c r="E260" s="365"/>
      <c r="F260" s="365"/>
      <c r="G260" s="365"/>
      <c r="H260" s="365"/>
      <c r="I260" s="365"/>
      <c r="J260" s="365"/>
      <c r="K260" s="67"/>
      <c r="L260" s="682" t="s">
        <v>336</v>
      </c>
      <c r="M260" s="107"/>
      <c r="N260" s="899" t="s">
        <v>437</v>
      </c>
      <c r="O260" s="901"/>
      <c r="P260" s="797">
        <f>LEN(O259)</f>
        <v>0</v>
      </c>
      <c r="Q260" s="1090"/>
      <c r="R260" s="1090"/>
      <c r="S260" s="1090"/>
      <c r="T260" s="1090"/>
      <c r="U260" s="1090"/>
      <c r="V260" s="1090"/>
      <c r="W260" s="65"/>
      <c r="X260" s="668" t="s">
        <v>336</v>
      </c>
      <c r="Y260" s="677"/>
      <c r="Z260" s="543"/>
      <c r="AA260" s="1143" t="s">
        <v>747</v>
      </c>
      <c r="AB260" s="924"/>
      <c r="AC260" s="554" t="str">
        <f t="shared" si="46"/>
        <v/>
      </c>
      <c r="AD260" s="936" t="str">
        <f t="shared" si="47"/>
        <v/>
      </c>
      <c r="AE260" s="557" t="s">
        <v>759</v>
      </c>
      <c r="AF260" s="543"/>
      <c r="AJ260" s="329"/>
    </row>
    <row r="261" spans="1:36" ht="11.25" customHeight="1" thickBot="1">
      <c r="A261" s="604">
        <v>63</v>
      </c>
      <c r="B261" s="136"/>
      <c r="C261" s="607" t="str">
        <f>IF(LEN(O150)&lt;=265,"",RIGHT(O150,LEN(O150)-SEARCH(" ",O150,255)))</f>
        <v/>
      </c>
      <c r="D261" s="365"/>
      <c r="E261" s="365"/>
      <c r="F261" s="365"/>
      <c r="G261" s="365"/>
      <c r="H261" s="365"/>
      <c r="I261" s="365"/>
      <c r="J261" s="365"/>
      <c r="K261" s="67"/>
      <c r="L261" s="682" t="s">
        <v>336</v>
      </c>
      <c r="M261" s="129"/>
      <c r="O261" s="709" t="str">
        <f>IF(AND(O243="",O259=""),"",IF(AND(O243&lt;&gt;"",O259=""),"Lg. F:  "&amp;O243,IF(AND(O243="",O259&lt;&gt;""),"Sm. F:  "&amp;O259,"Lg. F:  "&amp;O243&amp;";  Sm. F:  "&amp;O259)))</f>
        <v/>
      </c>
      <c r="P261" s="44" t="s">
        <v>107</v>
      </c>
      <c r="Q261" s="1090"/>
      <c r="R261" s="1090"/>
      <c r="S261" s="1090"/>
      <c r="T261" s="1090"/>
      <c r="U261" s="1127" t="s">
        <v>424</v>
      </c>
      <c r="V261" s="1128" t="str">
        <f>IF(J377="","TBD",(IF(AND(ABS(MAX(J377:J382))&lt;=0.05,ABS(MIN(J377:J382))&lt;=0.05),"YES","NO")))</f>
        <v>TBD</v>
      </c>
      <c r="W261" s="65"/>
      <c r="X261" s="668" t="s">
        <v>336</v>
      </c>
      <c r="Y261" s="677"/>
      <c r="Z261" s="543"/>
      <c r="AA261" s="1143" t="s">
        <v>748</v>
      </c>
      <c r="AB261" s="924"/>
      <c r="AC261" s="554" t="str">
        <f t="shared" si="46"/>
        <v/>
      </c>
      <c r="AD261" s="936" t="str">
        <f t="shared" si="47"/>
        <v/>
      </c>
      <c r="AE261" s="557" t="s">
        <v>760</v>
      </c>
      <c r="AF261" s="543"/>
      <c r="AJ261" s="329"/>
    </row>
    <row r="262" spans="1:36" ht="11.25" customHeight="1" thickBot="1">
      <c r="A262" s="604">
        <v>64</v>
      </c>
      <c r="B262" s="98"/>
      <c r="C262" s="80"/>
      <c r="D262" s="80"/>
      <c r="E262" s="80"/>
      <c r="F262" s="80"/>
      <c r="G262" s="80"/>
      <c r="H262" s="80"/>
      <c r="I262" s="80"/>
      <c r="J262" s="80"/>
      <c r="K262" s="85"/>
      <c r="L262" s="682" t="s">
        <v>336</v>
      </c>
      <c r="M262" s="136"/>
      <c r="N262" s="602" t="s">
        <v>155</v>
      </c>
      <c r="P262" s="797">
        <f>LEN(O261)</f>
        <v>0</v>
      </c>
      <c r="Q262" s="49"/>
      <c r="R262" s="49"/>
      <c r="S262" s="49"/>
      <c r="T262" s="49"/>
      <c r="U262" s="49"/>
      <c r="V262" s="49"/>
      <c r="W262" s="67"/>
      <c r="X262" s="668" t="s">
        <v>336</v>
      </c>
      <c r="Y262" s="677"/>
      <c r="Z262" s="543"/>
      <c r="AA262" s="1143" t="s">
        <v>749</v>
      </c>
      <c r="AB262" s="924"/>
      <c r="AC262" s="554" t="str">
        <f t="shared" si="46"/>
        <v/>
      </c>
      <c r="AD262" s="936" t="str">
        <f t="shared" si="47"/>
        <v/>
      </c>
      <c r="AE262" s="557" t="s">
        <v>761</v>
      </c>
      <c r="AF262" s="543"/>
      <c r="AJ262" s="329"/>
    </row>
    <row r="263" spans="1:36" ht="11.25" customHeight="1" thickTop="1">
      <c r="A263" s="604">
        <v>65</v>
      </c>
      <c r="B263" s="46" t="str">
        <f t="array" ref="B263:C264">$B$65:$C$66</f>
        <v>Date:</v>
      </c>
      <c r="C263" s="1072" t="str">
        <v/>
      </c>
      <c r="E263" s="45"/>
      <c r="F263" s="45"/>
      <c r="G263" s="45"/>
      <c r="H263" s="45"/>
      <c r="I263" s="46" t="str">
        <f t="array" ref="I263:J264">$I$65:$J$66</f>
        <v>Inspector:</v>
      </c>
      <c r="J263" s="911" t="str">
        <v>Eugene Mah</v>
      </c>
      <c r="L263" s="682" t="s">
        <v>336</v>
      </c>
      <c r="M263" s="136"/>
      <c r="N263" s="143" t="s">
        <v>425</v>
      </c>
      <c r="O263" s="191" t="s">
        <v>370</v>
      </c>
      <c r="P263" s="191"/>
      <c r="Q263" s="49"/>
      <c r="R263" s="49"/>
      <c r="S263" s="49"/>
      <c r="T263" s="49"/>
      <c r="U263" s="49"/>
      <c r="V263" s="49"/>
      <c r="W263" s="67"/>
      <c r="X263" s="668" t="s">
        <v>336</v>
      </c>
      <c r="Y263" s="677"/>
      <c r="Z263" s="543"/>
      <c r="AA263" s="1143" t="s">
        <v>750</v>
      </c>
      <c r="AB263" s="924"/>
      <c r="AC263" s="554" t="str">
        <f t="shared" si="46"/>
        <v/>
      </c>
      <c r="AD263" s="936" t="str">
        <f t="shared" si="47"/>
        <v/>
      </c>
      <c r="AE263" s="557" t="s">
        <v>762</v>
      </c>
      <c r="AF263" s="543"/>
      <c r="AJ263" s="329"/>
    </row>
    <row r="264" spans="1:36" ht="11.25" customHeight="1" thickBot="1">
      <c r="A264" s="604">
        <v>66</v>
      </c>
      <c r="B264" s="46" t="str">
        <v>Room Number:</v>
      </c>
      <c r="C264" s="363" t="str">
        <v/>
      </c>
      <c r="E264" s="45"/>
      <c r="F264" s="45"/>
      <c r="G264" s="45"/>
      <c r="H264" s="45"/>
      <c r="I264" s="46" t="str">
        <v>Survey ID:</v>
      </c>
      <c r="J264" s="910" t="str">
        <v/>
      </c>
      <c r="L264" s="682" t="s">
        <v>336</v>
      </c>
      <c r="M264" s="98"/>
      <c r="N264" s="80"/>
      <c r="O264" s="80"/>
      <c r="P264" s="80"/>
      <c r="Q264" s="80"/>
      <c r="R264" s="80"/>
      <c r="S264" s="80"/>
      <c r="T264" s="80"/>
      <c r="U264" s="80"/>
      <c r="V264" s="80"/>
      <c r="W264" s="85"/>
      <c r="X264" s="668" t="s">
        <v>336</v>
      </c>
      <c r="Y264" s="677"/>
      <c r="Z264" s="543"/>
      <c r="AA264" s="1143" t="s">
        <v>751</v>
      </c>
      <c r="AB264" s="924"/>
      <c r="AC264" s="554" t="str">
        <f t="shared" si="46"/>
        <v/>
      </c>
      <c r="AD264" s="936" t="str">
        <f t="shared" si="47"/>
        <v/>
      </c>
      <c r="AE264" s="557" t="s">
        <v>763</v>
      </c>
      <c r="AF264" s="543"/>
      <c r="AJ264" s="329"/>
    </row>
    <row r="265" spans="1:36" ht="11.25" customHeight="1" thickTop="1">
      <c r="A265" s="604">
        <v>1</v>
      </c>
      <c r="K265" s="142" t="str">
        <f>$F$2</f>
        <v>Medical University of South Carolina</v>
      </c>
      <c r="L265" s="682" t="s">
        <v>336</v>
      </c>
      <c r="X265" s="668" t="s">
        <v>336</v>
      </c>
      <c r="Y265" s="677"/>
      <c r="Z265" s="543"/>
      <c r="AA265" s="1143" t="s">
        <v>752</v>
      </c>
      <c r="AB265" s="924"/>
      <c r="AC265" s="554" t="str">
        <f t="shared" si="46"/>
        <v/>
      </c>
      <c r="AD265" s="936" t="str">
        <f t="shared" si="47"/>
        <v/>
      </c>
      <c r="AE265" s="557" t="s">
        <v>764</v>
      </c>
      <c r="AF265" s="543"/>
      <c r="AJ265" s="329"/>
    </row>
    <row r="266" spans="1:36" ht="11.25" customHeight="1">
      <c r="A266" s="604">
        <v>2</v>
      </c>
      <c r="K266" s="143" t="str">
        <f>$F$5</f>
        <v>Radiation Oncology IGRT Compliance Inspection</v>
      </c>
      <c r="L266" s="682" t="s">
        <v>336</v>
      </c>
      <c r="X266" s="668" t="s">
        <v>336</v>
      </c>
      <c r="Y266" s="677"/>
      <c r="Z266" s="543"/>
      <c r="AA266" s="1143" t="s">
        <v>753</v>
      </c>
      <c r="AB266" s="924"/>
      <c r="AC266" s="554" t="str">
        <f t="shared" si="46"/>
        <v/>
      </c>
      <c r="AD266" s="936" t="str">
        <f t="shared" si="47"/>
        <v/>
      </c>
      <c r="AE266" s="557" t="s">
        <v>765</v>
      </c>
      <c r="AF266" s="543"/>
      <c r="AJ266" s="329"/>
    </row>
    <row r="267" spans="1:36" ht="11.25" customHeight="1" thickBot="1">
      <c r="A267" s="604">
        <v>3</v>
      </c>
      <c r="F267" s="112" t="s">
        <v>415</v>
      </c>
      <c r="L267" s="682" t="s">
        <v>336</v>
      </c>
      <c r="W267" s="142"/>
      <c r="X267" s="668" t="s">
        <v>336</v>
      </c>
      <c r="Y267" s="677"/>
      <c r="Z267" s="543"/>
      <c r="AA267" s="1143" t="s">
        <v>754</v>
      </c>
      <c r="AB267" s="924"/>
      <c r="AC267" s="554" t="str">
        <f t="shared" si="46"/>
        <v/>
      </c>
      <c r="AD267" s="936" t="str">
        <f t="shared" si="47"/>
        <v/>
      </c>
      <c r="AE267" s="557" t="s">
        <v>766</v>
      </c>
      <c r="AF267" s="543"/>
      <c r="AJ267" s="329"/>
    </row>
    <row r="268" spans="1:36" ht="11.25" customHeight="1" thickTop="1">
      <c r="A268" s="604">
        <v>4</v>
      </c>
      <c r="B268" s="75"/>
      <c r="C268" s="58"/>
      <c r="D268" s="58"/>
      <c r="E268" s="58"/>
      <c r="F268" s="58"/>
      <c r="G268" s="58"/>
      <c r="H268" s="58"/>
      <c r="I268" s="58"/>
      <c r="J268" s="58"/>
      <c r="K268" s="76"/>
      <c r="L268" s="682" t="s">
        <v>336</v>
      </c>
      <c r="W268" s="143"/>
      <c r="X268" s="668" t="s">
        <v>336</v>
      </c>
      <c r="Y268" s="677"/>
      <c r="Z268" s="543"/>
      <c r="AF268" s="543"/>
      <c r="AJ268" s="329"/>
    </row>
    <row r="269" spans="1:36" ht="11.25" customHeight="1">
      <c r="A269" s="604">
        <v>5</v>
      </c>
      <c r="B269" s="136"/>
      <c r="C269" s="49"/>
      <c r="D269" s="49"/>
      <c r="E269" s="49"/>
      <c r="F269" s="49"/>
      <c r="G269" s="49"/>
      <c r="H269" s="49"/>
      <c r="I269" s="49"/>
      <c r="J269" s="49"/>
      <c r="K269" s="67"/>
      <c r="L269" s="682" t="s">
        <v>336</v>
      </c>
      <c r="M269" s="202"/>
      <c r="R269" s="252"/>
      <c r="X269" s="668" t="s">
        <v>336</v>
      </c>
      <c r="Y269" s="677"/>
      <c r="Z269" s="543"/>
      <c r="AA269" s="194" t="s">
        <v>808</v>
      </c>
      <c r="AB269" s="1144"/>
      <c r="AF269" s="543"/>
      <c r="AJ269" s="329"/>
    </row>
    <row r="270" spans="1:36" ht="11.25" customHeight="1" thickBot="1">
      <c r="A270" s="604">
        <v>6</v>
      </c>
      <c r="B270" s="136"/>
      <c r="C270" s="49"/>
      <c r="D270" s="49"/>
      <c r="E270" s="49"/>
      <c r="F270" s="49"/>
      <c r="G270" s="49"/>
      <c r="H270" s="49"/>
      <c r="I270" s="49"/>
      <c r="J270" s="49"/>
      <c r="K270" s="67"/>
      <c r="L270" s="682" t="s">
        <v>336</v>
      </c>
      <c r="X270" s="668" t="s">
        <v>336</v>
      </c>
      <c r="Y270" s="677"/>
      <c r="Z270" s="543"/>
      <c r="AA270" s="194" t="s">
        <v>805</v>
      </c>
      <c r="AB270" s="1144"/>
      <c r="AF270" s="543"/>
      <c r="AJ270" s="329"/>
    </row>
    <row r="271" spans="1:36" ht="11.25" customHeight="1" thickTop="1">
      <c r="A271" s="604">
        <v>7</v>
      </c>
      <c r="B271" s="136"/>
      <c r="C271" s="49"/>
      <c r="D271" s="49"/>
      <c r="E271" s="49"/>
      <c r="F271" s="49"/>
      <c r="G271" s="49"/>
      <c r="H271" s="49"/>
      <c r="I271" s="49"/>
      <c r="J271" s="49"/>
      <c r="K271" s="67"/>
      <c r="L271" s="682" t="s">
        <v>336</v>
      </c>
      <c r="M271" s="139"/>
      <c r="N271" s="58"/>
      <c r="O271" s="58"/>
      <c r="P271" s="58"/>
      <c r="Q271" s="58"/>
      <c r="R271" s="58"/>
      <c r="S271" s="118"/>
      <c r="T271" s="118"/>
      <c r="U271" s="118"/>
      <c r="V271" s="118"/>
      <c r="W271" s="61"/>
      <c r="X271" s="668" t="s">
        <v>336</v>
      </c>
      <c r="Y271" s="677"/>
      <c r="Z271" s="543"/>
      <c r="AA271" s="1143" t="s">
        <v>790</v>
      </c>
      <c r="AB271" s="924"/>
      <c r="AC271" s="554" t="str">
        <f t="shared" ref="AC271:AC334" si="48">IF(AND(OR(AB271="",AB271=0),OR(AD271="",AD271=0)),"",IF(AB271&lt;&gt;AD271,"Change",""))</f>
        <v/>
      </c>
      <c r="AD271" s="936" t="str">
        <f t="shared" ref="AD271:AD288" si="49">IF(OR(P564="",P564=0),"",P564)</f>
        <v/>
      </c>
      <c r="AE271" s="557" t="s">
        <v>809</v>
      </c>
      <c r="AF271" s="543"/>
      <c r="AJ271" s="329"/>
    </row>
    <row r="272" spans="1:36" ht="11.25" customHeight="1">
      <c r="A272" s="604">
        <v>8</v>
      </c>
      <c r="B272" s="136"/>
      <c r="C272" s="49"/>
      <c r="D272" s="49"/>
      <c r="E272" s="49"/>
      <c r="F272" s="49"/>
      <c r="G272" s="49"/>
      <c r="H272" s="49"/>
      <c r="I272" s="49"/>
      <c r="J272" s="49"/>
      <c r="K272" s="67"/>
      <c r="L272" s="682" t="s">
        <v>336</v>
      </c>
      <c r="M272" s="136"/>
      <c r="N272" s="49"/>
      <c r="O272" s="49"/>
      <c r="P272" s="49"/>
      <c r="Q272" s="49"/>
      <c r="R272" s="251" t="s">
        <v>469</v>
      </c>
      <c r="S272" s="49"/>
      <c r="T272" s="49"/>
      <c r="U272" s="49"/>
      <c r="V272" s="49"/>
      <c r="W272" s="67"/>
      <c r="X272" s="668" t="s">
        <v>336</v>
      </c>
      <c r="Y272" s="677"/>
      <c r="Z272" s="543"/>
      <c r="AA272" s="1143" t="s">
        <v>369</v>
      </c>
      <c r="AB272" s="924"/>
      <c r="AC272" s="554" t="str">
        <f t="shared" si="48"/>
        <v/>
      </c>
      <c r="AD272" s="936" t="str">
        <f t="shared" si="49"/>
        <v/>
      </c>
      <c r="AE272" s="557" t="s">
        <v>810</v>
      </c>
      <c r="AF272" s="543"/>
      <c r="AJ272" s="329"/>
    </row>
    <row r="273" spans="1:36" ht="11.25" customHeight="1">
      <c r="A273" s="604">
        <v>9</v>
      </c>
      <c r="B273" s="136"/>
      <c r="C273" s="49"/>
      <c r="D273" s="49"/>
      <c r="E273" s="49"/>
      <c r="F273" s="49"/>
      <c r="G273" s="49"/>
      <c r="H273" s="49"/>
      <c r="I273" s="49"/>
      <c r="J273" s="49"/>
      <c r="K273" s="67"/>
      <c r="L273" s="682" t="s">
        <v>336</v>
      </c>
      <c r="M273" s="136"/>
      <c r="N273" s="49"/>
      <c r="O273" s="49"/>
      <c r="P273" s="49"/>
      <c r="Q273" s="49"/>
      <c r="R273" s="49"/>
      <c r="S273" s="49"/>
      <c r="T273" s="49"/>
      <c r="U273" s="49"/>
      <c r="V273" s="49"/>
      <c r="W273" s="67"/>
      <c r="X273" s="668" t="s">
        <v>336</v>
      </c>
      <c r="Y273" s="677"/>
      <c r="Z273" s="543"/>
      <c r="AA273" s="1143" t="s">
        <v>371</v>
      </c>
      <c r="AB273" s="924"/>
      <c r="AC273" s="554" t="str">
        <f t="shared" si="48"/>
        <v/>
      </c>
      <c r="AD273" s="936" t="str">
        <f t="shared" si="49"/>
        <v/>
      </c>
      <c r="AE273" s="557" t="s">
        <v>811</v>
      </c>
      <c r="AF273" s="543"/>
      <c r="AJ273" s="329"/>
    </row>
    <row r="274" spans="1:36" ht="11.25" customHeight="1">
      <c r="A274" s="604">
        <v>10</v>
      </c>
      <c r="B274" s="136"/>
      <c r="C274" s="49"/>
      <c r="D274" s="49"/>
      <c r="E274" s="49"/>
      <c r="F274" s="49"/>
      <c r="G274" s="49"/>
      <c r="H274" s="49"/>
      <c r="I274" s="49"/>
      <c r="J274" s="49"/>
      <c r="K274" s="67"/>
      <c r="L274" s="682" t="s">
        <v>336</v>
      </c>
      <c r="M274" s="136"/>
      <c r="N274" s="48" t="s">
        <v>47</v>
      </c>
      <c r="O274" s="110" t="str">
        <f>IF($O$227="","",$O$227)</f>
        <v>Piranha CB2-17090320</v>
      </c>
      <c r="P274" s="215"/>
      <c r="Q274" s="41"/>
      <c r="R274" s="49"/>
      <c r="S274" s="49"/>
      <c r="T274" s="49"/>
      <c r="U274" s="49"/>
      <c r="V274" s="49"/>
      <c r="W274" s="67"/>
      <c r="X274" s="668" t="s">
        <v>336</v>
      </c>
      <c r="Y274" s="677"/>
      <c r="Z274" s="543"/>
      <c r="AA274" s="1143" t="s">
        <v>426</v>
      </c>
      <c r="AB274" s="924"/>
      <c r="AC274" s="554" t="str">
        <f t="shared" si="48"/>
        <v/>
      </c>
      <c r="AD274" s="936" t="str">
        <f t="shared" si="49"/>
        <v/>
      </c>
      <c r="AE274" s="557" t="s">
        <v>812</v>
      </c>
      <c r="AF274" s="543"/>
      <c r="AJ274" s="329"/>
    </row>
    <row r="275" spans="1:36" ht="11.25" customHeight="1">
      <c r="A275" s="604">
        <v>11</v>
      </c>
      <c r="B275" s="136"/>
      <c r="C275" s="49"/>
      <c r="D275" s="49"/>
      <c r="E275" s="49"/>
      <c r="F275" s="49"/>
      <c r="G275" s="49"/>
      <c r="H275" s="49"/>
      <c r="I275" s="49"/>
      <c r="J275" s="49"/>
      <c r="K275" s="67"/>
      <c r="L275" s="682" t="s">
        <v>336</v>
      </c>
      <c r="M275" s="136"/>
      <c r="N275" s="49"/>
      <c r="O275" s="49"/>
      <c r="P275" s="49"/>
      <c r="Q275" s="49"/>
      <c r="R275" s="49"/>
      <c r="S275" s="49"/>
      <c r="T275" s="49"/>
      <c r="U275" s="49"/>
      <c r="V275" s="49"/>
      <c r="W275" s="67"/>
      <c r="X275" s="668" t="s">
        <v>336</v>
      </c>
      <c r="Y275" s="677"/>
      <c r="Z275" s="543"/>
      <c r="AA275" s="1143" t="s">
        <v>791</v>
      </c>
      <c r="AB275" s="924"/>
      <c r="AC275" s="554" t="str">
        <f t="shared" si="48"/>
        <v/>
      </c>
      <c r="AD275" s="936" t="str">
        <f t="shared" si="49"/>
        <v/>
      </c>
      <c r="AE275" s="557" t="s">
        <v>813</v>
      </c>
      <c r="AF275" s="543"/>
      <c r="AJ275" s="329"/>
    </row>
    <row r="276" spans="1:36" ht="11.25" customHeight="1">
      <c r="A276" s="604">
        <v>12</v>
      </c>
      <c r="B276" s="136"/>
      <c r="C276" s="49"/>
      <c r="D276" s="49"/>
      <c r="E276" s="49"/>
      <c r="F276" s="49"/>
      <c r="G276" s="49"/>
      <c r="H276" s="49"/>
      <c r="I276" s="49"/>
      <c r="J276" s="49"/>
      <c r="K276" s="67"/>
      <c r="L276" s="682" t="s">
        <v>336</v>
      </c>
      <c r="M276" s="290" t="s">
        <v>666</v>
      </c>
      <c r="N276" s="1090"/>
      <c r="O276" s="1090"/>
      <c r="P276" s="1090"/>
      <c r="Q276" s="1090"/>
      <c r="R276" s="1090"/>
      <c r="S276" s="1090"/>
      <c r="T276" s="1090"/>
      <c r="U276" s="1090"/>
      <c r="V276" s="1090"/>
      <c r="W276" s="65"/>
      <c r="X276" s="668" t="s">
        <v>336</v>
      </c>
      <c r="Y276" s="677"/>
      <c r="Z276" s="543"/>
      <c r="AA276" s="1143" t="s">
        <v>792</v>
      </c>
      <c r="AB276" s="924"/>
      <c r="AC276" s="554" t="str">
        <f t="shared" si="48"/>
        <v/>
      </c>
      <c r="AD276" s="936" t="str">
        <f t="shared" si="49"/>
        <v/>
      </c>
      <c r="AE276" s="557" t="s">
        <v>814</v>
      </c>
      <c r="AF276" s="543"/>
      <c r="AJ276" s="329"/>
    </row>
    <row r="277" spans="1:36" ht="11.25" customHeight="1">
      <c r="A277" s="604">
        <v>13</v>
      </c>
      <c r="B277" s="136"/>
      <c r="C277" s="49"/>
      <c r="D277" s="49"/>
      <c r="E277" s="49"/>
      <c r="F277" s="49"/>
      <c r="G277" s="49"/>
      <c r="H277" s="49"/>
      <c r="I277" s="49"/>
      <c r="J277" s="49"/>
      <c r="K277" s="67"/>
      <c r="L277" s="682" t="s">
        <v>336</v>
      </c>
      <c r="M277" s="129"/>
      <c r="N277" s="1090"/>
      <c r="O277" s="1090"/>
      <c r="P277" s="1090"/>
      <c r="Q277" s="1090"/>
      <c r="R277" s="1090"/>
      <c r="S277" s="1090"/>
      <c r="T277" s="1090"/>
      <c r="U277" s="1090"/>
      <c r="V277" s="1090"/>
      <c r="W277" s="65"/>
      <c r="X277" s="668" t="s">
        <v>336</v>
      </c>
      <c r="Y277" s="677"/>
      <c r="Z277" s="543"/>
      <c r="AA277" s="1143" t="s">
        <v>793</v>
      </c>
      <c r="AB277" s="924"/>
      <c r="AC277" s="554" t="str">
        <f t="shared" si="48"/>
        <v/>
      </c>
      <c r="AD277" s="936" t="str">
        <f t="shared" si="49"/>
        <v/>
      </c>
      <c r="AE277" s="557" t="s">
        <v>815</v>
      </c>
      <c r="AF277" s="543"/>
      <c r="AJ277" s="329"/>
    </row>
    <row r="278" spans="1:36" ht="11.25" customHeight="1">
      <c r="A278" s="604">
        <v>14</v>
      </c>
      <c r="B278" s="136"/>
      <c r="C278" s="49"/>
      <c r="D278" s="49"/>
      <c r="E278" s="49"/>
      <c r="F278" s="49"/>
      <c r="G278" s="49"/>
      <c r="H278" s="49"/>
      <c r="I278" s="49"/>
      <c r="J278" s="49"/>
      <c r="K278" s="67"/>
      <c r="L278" s="682" t="s">
        <v>336</v>
      </c>
      <c r="M278" s="129" t="s">
        <v>82</v>
      </c>
      <c r="N278" s="210" t="s">
        <v>108</v>
      </c>
      <c r="O278" s="210" t="s">
        <v>84</v>
      </c>
      <c r="P278" s="210" t="s">
        <v>85</v>
      </c>
      <c r="Q278" s="1090"/>
      <c r="R278" s="210"/>
      <c r="S278" s="210" t="s">
        <v>87</v>
      </c>
      <c r="T278" s="129"/>
      <c r="U278" s="44" t="s">
        <v>88</v>
      </c>
      <c r="V278" s="1090"/>
      <c r="W278" s="65"/>
      <c r="X278" s="668" t="s">
        <v>336</v>
      </c>
      <c r="Y278" s="677"/>
      <c r="Z278" s="543"/>
      <c r="AA278" s="1143" t="s">
        <v>794</v>
      </c>
      <c r="AB278" s="924"/>
      <c r="AC278" s="554" t="str">
        <f t="shared" si="48"/>
        <v/>
      </c>
      <c r="AD278" s="936" t="str">
        <f t="shared" si="49"/>
        <v/>
      </c>
      <c r="AE278" s="557" t="s">
        <v>816</v>
      </c>
      <c r="AF278" s="543"/>
      <c r="AJ278" s="329"/>
    </row>
    <row r="279" spans="1:36" ht="11.25" customHeight="1" thickBot="1">
      <c r="A279" s="604">
        <v>15</v>
      </c>
      <c r="B279" s="136"/>
      <c r="C279" s="49"/>
      <c r="D279" s="49"/>
      <c r="E279" s="49"/>
      <c r="F279" s="49"/>
      <c r="G279" s="49"/>
      <c r="H279" s="49"/>
      <c r="I279" s="49"/>
      <c r="J279" s="49"/>
      <c r="K279" s="67"/>
      <c r="L279" s="682" t="s">
        <v>336</v>
      </c>
      <c r="M279" s="212" t="s">
        <v>89</v>
      </c>
      <c r="N279" s="211" t="str">
        <f>LFSDD</f>
        <v>cm</v>
      </c>
      <c r="O279" s="1094" t="s">
        <v>90</v>
      </c>
      <c r="P279" s="1094" t="s">
        <v>58</v>
      </c>
      <c r="Q279" s="1094" t="s">
        <v>91</v>
      </c>
      <c r="R279" s="211" t="str">
        <f>IF(AND(LFMAS="",SFMAS=""),"mA/mAs",IF(O280="Large",LFMAS,SFMAS))</f>
        <v>mAs</v>
      </c>
      <c r="S279" s="1094" t="s">
        <v>92</v>
      </c>
      <c r="T279" s="212" t="s">
        <v>93</v>
      </c>
      <c r="U279" s="1094" t="s">
        <v>94</v>
      </c>
      <c r="V279" s="1094" t="s">
        <v>92</v>
      </c>
      <c r="W279" s="219" t="s">
        <v>652</v>
      </c>
      <c r="X279" s="668" t="s">
        <v>336</v>
      </c>
      <c r="Y279" s="677"/>
      <c r="Z279" s="543"/>
      <c r="AA279" s="1143" t="s">
        <v>795</v>
      </c>
      <c r="AB279" s="924"/>
      <c r="AC279" s="554" t="str">
        <f t="shared" si="48"/>
        <v/>
      </c>
      <c r="AD279" s="936" t="str">
        <f t="shared" si="49"/>
        <v/>
      </c>
      <c r="AE279" s="557" t="s">
        <v>817</v>
      </c>
      <c r="AF279" s="543"/>
      <c r="AJ279" s="329"/>
    </row>
    <row r="280" spans="1:36" ht="11.25" customHeight="1">
      <c r="A280" s="604">
        <v>16</v>
      </c>
      <c r="B280" s="136"/>
      <c r="C280" s="49"/>
      <c r="D280" s="49"/>
      <c r="E280" s="49"/>
      <c r="F280" s="49"/>
      <c r="G280" s="49"/>
      <c r="H280" s="49"/>
      <c r="I280" s="49"/>
      <c r="J280" s="49"/>
      <c r="K280" s="67"/>
      <c r="L280" s="682" t="s">
        <v>336</v>
      </c>
      <c r="M280" s="464" t="str">
        <f>IF(OR(Tables!N51="",Tables!N51=0,Q280=""),"","Delay:"&amp;Tables!N51&amp;"ms")</f>
        <v/>
      </c>
      <c r="N280" s="472">
        <f>$N$234</f>
        <v>100</v>
      </c>
      <c r="O280" s="473" t="s">
        <v>78</v>
      </c>
      <c r="P280" s="474" t="str">
        <f>IF(OR(Q280="",Tables!F51=""),"",Tables!F51)</f>
        <v>70-120</v>
      </c>
      <c r="Q280" s="475">
        <f>Tables!B51</f>
        <v>80</v>
      </c>
      <c r="R280" s="476">
        <f>IF(OR(Tables!E51="",Tables!E51=0),Tables!C51,Tables!E51)</f>
        <v>20</v>
      </c>
      <c r="S280" s="424">
        <f>IF(OR(Tables!D51="",Tables!D51=0),IF(OR(Tables!Q51="No Anomolies",Tables!Q51=""),"",Tables!Q51),Tables!D51)</f>
        <v>0.05</v>
      </c>
      <c r="T280" s="422" t="str">
        <f>IF(T235="","",T235)</f>
        <v/>
      </c>
      <c r="U280" s="423" t="str">
        <f>IF(U235="","",U235)</f>
        <v/>
      </c>
      <c r="V280" s="424" t="str">
        <f>IF(V235="","",V235)</f>
        <v/>
      </c>
      <c r="W280" s="425" t="str">
        <f>IF(W235="","",W235)</f>
        <v/>
      </c>
      <c r="X280" s="668" t="s">
        <v>336</v>
      </c>
      <c r="Y280" s="677"/>
      <c r="Z280" s="543"/>
      <c r="AA280" s="1143" t="s">
        <v>796</v>
      </c>
      <c r="AB280" s="924"/>
      <c r="AC280" s="554" t="str">
        <f t="shared" si="48"/>
        <v/>
      </c>
      <c r="AD280" s="936" t="str">
        <f t="shared" si="49"/>
        <v/>
      </c>
      <c r="AE280" s="557" t="s">
        <v>818</v>
      </c>
      <c r="AF280" s="543"/>
      <c r="AJ280" s="329"/>
    </row>
    <row r="281" spans="1:36" ht="11.25" customHeight="1">
      <c r="A281" s="604">
        <v>17</v>
      </c>
      <c r="B281" s="136"/>
      <c r="C281" s="49"/>
      <c r="D281" s="49"/>
      <c r="E281" s="49"/>
      <c r="F281" s="49"/>
      <c r="G281" s="49"/>
      <c r="H281" s="49"/>
      <c r="I281" s="49"/>
      <c r="J281" s="49"/>
      <c r="K281" s="67"/>
      <c r="L281" s="682" t="s">
        <v>336</v>
      </c>
      <c r="M281" s="464" t="str">
        <f>IF(OR(Tables!N52="",Tables!N52=0,Q281=""),"","Delay:"&amp;Tables!N52&amp;"ms")</f>
        <v/>
      </c>
      <c r="N281" s="479">
        <f>IF(OR(N$280="",$Q281=""),"",N$280)</f>
        <v>100</v>
      </c>
      <c r="O281" s="473" t="str">
        <f>IF(Q281="","",O280)</f>
        <v>Large</v>
      </c>
      <c r="P281" s="474" t="str">
        <f>IF(OR(Q281="",Tables!F52=""),"",Tables!F52)</f>
        <v>70-120</v>
      </c>
      <c r="Q281" s="475">
        <f>Tables!B52</f>
        <v>80</v>
      </c>
      <c r="R281" s="476">
        <f>IF(OR(Tables!E52="",Tables!E52=0),Tables!C52,Tables!E52)</f>
        <v>20</v>
      </c>
      <c r="S281" s="424">
        <f>IF(OR(Tables!D52="",Tables!D52=0),IF(OR(Tables!Q52="No Anomolies",Tables!Q52=""),"",Tables!Q52),Tables!D52)</f>
        <v>0.05</v>
      </c>
      <c r="T281" s="422" t="str">
        <f>IF(Tables!AA52="","",Tables!AA52)</f>
        <v/>
      </c>
      <c r="U281" s="423" t="str">
        <f>IF(Tables!Y52="","",Tables!Y52)</f>
        <v/>
      </c>
      <c r="V281" s="424" t="str">
        <f>IF(Tables!AB52="","",Tables!AB52)</f>
        <v/>
      </c>
      <c r="W281" s="425" t="str">
        <f>IF(Tables!AC52="","",Tables!AC52)</f>
        <v/>
      </c>
      <c r="X281" s="668" t="s">
        <v>336</v>
      </c>
      <c r="Y281" s="677"/>
      <c r="Z281" s="543"/>
      <c r="AA281" s="1143" t="s">
        <v>797</v>
      </c>
      <c r="AB281" s="924"/>
      <c r="AC281" s="554" t="str">
        <f t="shared" si="48"/>
        <v/>
      </c>
      <c r="AD281" s="936" t="str">
        <f t="shared" si="49"/>
        <v/>
      </c>
      <c r="AE281" s="557" t="s">
        <v>819</v>
      </c>
      <c r="AF281" s="543"/>
      <c r="AJ281" s="329"/>
    </row>
    <row r="282" spans="1:36" ht="11.25" customHeight="1">
      <c r="A282" s="604">
        <v>18</v>
      </c>
      <c r="B282" s="136"/>
      <c r="C282" s="49"/>
      <c r="D282" s="49"/>
      <c r="E282" s="49"/>
      <c r="F282" s="49"/>
      <c r="G282" s="49"/>
      <c r="H282" s="49"/>
      <c r="I282" s="49"/>
      <c r="J282" s="49"/>
      <c r="K282" s="67"/>
      <c r="L282" s="682" t="s">
        <v>336</v>
      </c>
      <c r="M282" s="464" t="str">
        <f>IF(OR(Tables!N53="",Tables!N53=0,Q282=""),"","Delay:"&amp;Tables!N53&amp;"ms")</f>
        <v/>
      </c>
      <c r="N282" s="479">
        <f>IF(OR(N$280="",$Q282=""),"",N$280)</f>
        <v>100</v>
      </c>
      <c r="O282" s="473" t="str">
        <f>IF(Q282="","",O281)</f>
        <v>Large</v>
      </c>
      <c r="P282" s="474" t="str">
        <f>IF(OR(Q282="",Tables!F53=""),"",Tables!F53)</f>
        <v>70-120</v>
      </c>
      <c r="Q282" s="475">
        <f>Tables!B53</f>
        <v>80</v>
      </c>
      <c r="R282" s="476">
        <f>IF(OR(Tables!E53="",Tables!E53=0),Tables!C53,Tables!E53)</f>
        <v>20</v>
      </c>
      <c r="S282" s="424">
        <f>IF(OR(Tables!D53="",Tables!D53=0),IF(OR(Tables!Q53="No Anomolies",Tables!Q53=""),"",Tables!Q53),Tables!D53)</f>
        <v>0.05</v>
      </c>
      <c r="T282" s="422" t="str">
        <f>IF(Tables!AA53="","",Tables!AA53)</f>
        <v/>
      </c>
      <c r="U282" s="423" t="str">
        <f>IF(Tables!Y53="","",Tables!Y53)</f>
        <v/>
      </c>
      <c r="V282" s="424" t="str">
        <f>IF(Tables!AB53="","",Tables!AB53)</f>
        <v/>
      </c>
      <c r="W282" s="425" t="str">
        <f>IF(Tables!AC53="","",Tables!AC53)</f>
        <v/>
      </c>
      <c r="X282" s="668" t="s">
        <v>336</v>
      </c>
      <c r="Y282" s="677"/>
      <c r="Z282" s="543"/>
      <c r="AA282" s="1143" t="s">
        <v>798</v>
      </c>
      <c r="AB282" s="924"/>
      <c r="AC282" s="554" t="str">
        <f t="shared" si="48"/>
        <v/>
      </c>
      <c r="AD282" s="936" t="str">
        <f t="shared" si="49"/>
        <v/>
      </c>
      <c r="AE282" s="557" t="s">
        <v>820</v>
      </c>
      <c r="AF282" s="543"/>
      <c r="AJ282" s="329"/>
    </row>
    <row r="283" spans="1:36" ht="11.25" customHeight="1">
      <c r="A283" s="604">
        <v>19</v>
      </c>
      <c r="B283" s="136"/>
      <c r="C283" s="49"/>
      <c r="D283" s="49"/>
      <c r="E283" s="49"/>
      <c r="F283" s="49"/>
      <c r="G283" s="49"/>
      <c r="H283" s="49"/>
      <c r="I283" s="49"/>
      <c r="J283" s="49"/>
      <c r="K283" s="67"/>
      <c r="L283" s="682" t="s">
        <v>336</v>
      </c>
      <c r="M283" s="464" t="str">
        <f>IF(OR(Tables!N54="",Tables!N54=0,Q283=""),"","Delay:"&amp;Tables!N54&amp;"ms")</f>
        <v/>
      </c>
      <c r="N283" s="479">
        <f>IF(OR(N$280="",$Q283=""),"",N$280)</f>
        <v>100</v>
      </c>
      <c r="O283" s="473" t="str">
        <f>IF(Q283="","",O282)</f>
        <v>Large</v>
      </c>
      <c r="P283" s="474" t="str">
        <f>IF(OR(Q283="",Tables!F54=""),"",Tables!F54)</f>
        <v>70-120</v>
      </c>
      <c r="Q283" s="475">
        <f>Tables!B54</f>
        <v>80</v>
      </c>
      <c r="R283" s="476">
        <f>IF(OR(Tables!E54="",Tables!E54=0),Tables!C54,Tables!E54)</f>
        <v>20</v>
      </c>
      <c r="S283" s="424">
        <f>IF(OR(Tables!D54="",Tables!D54=0),IF(OR(Tables!Q54="No Anomolies",Tables!Q54=""),"",Tables!Q54),Tables!D54)</f>
        <v>0.05</v>
      </c>
      <c r="T283" s="422" t="str">
        <f>IF(Tables!AA54="","",Tables!AA54)</f>
        <v/>
      </c>
      <c r="U283" s="423" t="str">
        <f>IF(Tables!Y54="","",Tables!Y54)</f>
        <v/>
      </c>
      <c r="V283" s="424" t="str">
        <f>IF(Tables!AB54="","",Tables!AB54)</f>
        <v/>
      </c>
      <c r="W283" s="425" t="str">
        <f>IF(Tables!AC54="","",Tables!AC54)</f>
        <v/>
      </c>
      <c r="X283" s="668" t="s">
        <v>336</v>
      </c>
      <c r="Y283" s="677"/>
      <c r="Z283" s="543"/>
      <c r="AA283" s="1143" t="s">
        <v>799</v>
      </c>
      <c r="AB283" s="924"/>
      <c r="AC283" s="554" t="str">
        <f t="shared" si="48"/>
        <v/>
      </c>
      <c r="AD283" s="936" t="str">
        <f t="shared" si="49"/>
        <v/>
      </c>
      <c r="AE283" s="557" t="s">
        <v>821</v>
      </c>
      <c r="AF283" s="543"/>
      <c r="AJ283" s="329"/>
    </row>
    <row r="284" spans="1:36" ht="11.25" customHeight="1">
      <c r="A284" s="604">
        <v>20</v>
      </c>
      <c r="B284" s="136"/>
      <c r="C284" s="49"/>
      <c r="D284" s="49"/>
      <c r="E284" s="49"/>
      <c r="F284" s="49"/>
      <c r="G284" s="49"/>
      <c r="H284" s="49"/>
      <c r="I284" s="49"/>
      <c r="J284" s="49"/>
      <c r="K284" s="67"/>
      <c r="L284" s="682" t="s">
        <v>336</v>
      </c>
      <c r="M284" s="464" t="str">
        <f>IF(OR(Tables!N55="",Tables!N55=0,Q284=""),"","Delay:"&amp;Tables!N55&amp;"ms")</f>
        <v/>
      </c>
      <c r="N284" s="479">
        <f>IF(OR(N$280="",$Q284=""),"",N$280)</f>
        <v>100</v>
      </c>
      <c r="O284" s="473" t="str">
        <f>IF(Q284="","",O283)</f>
        <v>Large</v>
      </c>
      <c r="P284" s="474" t="str">
        <f>IF(OR(Q284="",Tables!F55=""),"",Tables!F55)</f>
        <v>70-120</v>
      </c>
      <c r="Q284" s="475">
        <f>Tables!B55</f>
        <v>80</v>
      </c>
      <c r="R284" s="476">
        <f>IF(OR(Tables!E55="",Tables!E55=0),Tables!C55,Tables!E55)</f>
        <v>20</v>
      </c>
      <c r="S284" s="424">
        <f>IF(OR(Tables!D55="",Tables!D55=0),IF(OR(Tables!Q55="No Anomolies",Tables!Q55=""),"",Tables!Q55),Tables!D55)</f>
        <v>0.05</v>
      </c>
      <c r="T284" s="422" t="str">
        <f>IF(Tables!AA55="","",Tables!AA55)</f>
        <v/>
      </c>
      <c r="U284" s="423" t="str">
        <f>IF(Tables!Y55="","",Tables!Y55)</f>
        <v/>
      </c>
      <c r="V284" s="424" t="str">
        <f>IF(Tables!AB55="","",Tables!AB55)</f>
        <v/>
      </c>
      <c r="W284" s="425" t="str">
        <f>IF(Tables!AC55="","",Tables!AC55)</f>
        <v/>
      </c>
      <c r="X284" s="668" t="s">
        <v>336</v>
      </c>
      <c r="Y284" s="677"/>
      <c r="Z284" s="543"/>
      <c r="AA284" s="1143" t="s">
        <v>800</v>
      </c>
      <c r="AB284" s="924"/>
      <c r="AC284" s="554" t="str">
        <f t="shared" si="48"/>
        <v/>
      </c>
      <c r="AD284" s="936" t="str">
        <f t="shared" si="49"/>
        <v/>
      </c>
      <c r="AE284" s="557" t="s">
        <v>822</v>
      </c>
      <c r="AF284" s="543"/>
      <c r="AJ284" s="329"/>
    </row>
    <row r="285" spans="1:36" ht="11.25" customHeight="1">
      <c r="A285" s="604">
        <v>21</v>
      </c>
      <c r="B285" s="136"/>
      <c r="C285" s="49"/>
      <c r="D285" s="49"/>
      <c r="E285" s="49"/>
      <c r="F285" s="49"/>
      <c r="G285" s="49"/>
      <c r="H285" s="49"/>
      <c r="I285" s="49"/>
      <c r="J285" s="49"/>
      <c r="K285" s="67"/>
      <c r="L285" s="682" t="s">
        <v>336</v>
      </c>
      <c r="M285" s="464"/>
      <c r="N285" s="218" t="str">
        <f t="shared" ref="N285:O289" si="50">IF(AND($T285="",$V285=""),"",N$280)</f>
        <v/>
      </c>
      <c r="O285" s="218" t="str">
        <f t="shared" si="50"/>
        <v/>
      </c>
      <c r="P285" s="466"/>
      <c r="Q285" s="218" t="str">
        <f t="shared" ref="Q285:S289" si="51">IF(AND($T285="",$V285=""),"",Q$280)</f>
        <v/>
      </c>
      <c r="R285" s="218" t="str">
        <f t="shared" si="51"/>
        <v/>
      </c>
      <c r="S285" s="218" t="str">
        <f t="shared" si="51"/>
        <v/>
      </c>
      <c r="T285" s="620"/>
      <c r="U285" s="621"/>
      <c r="V285" s="617"/>
      <c r="W285" s="618"/>
      <c r="X285" s="668" t="s">
        <v>336</v>
      </c>
      <c r="Y285" s="677"/>
      <c r="Z285" s="543"/>
      <c r="AA285" s="1143" t="s">
        <v>801</v>
      </c>
      <c r="AB285" s="924"/>
      <c r="AC285" s="554" t="str">
        <f t="shared" si="48"/>
        <v/>
      </c>
      <c r="AD285" s="936" t="str">
        <f t="shared" si="49"/>
        <v/>
      </c>
      <c r="AE285" s="557" t="s">
        <v>823</v>
      </c>
      <c r="AF285" s="543"/>
      <c r="AJ285" s="329"/>
    </row>
    <row r="286" spans="1:36" ht="11.25" customHeight="1">
      <c r="A286" s="604">
        <v>22</v>
      </c>
      <c r="B286" s="136"/>
      <c r="C286" s="49"/>
      <c r="D286" s="49"/>
      <c r="E286" s="49"/>
      <c r="F286" s="49"/>
      <c r="G286" s="49"/>
      <c r="H286" s="49"/>
      <c r="I286" s="49"/>
      <c r="J286" s="49"/>
      <c r="K286" s="67"/>
      <c r="L286" s="682" t="s">
        <v>336</v>
      </c>
      <c r="M286" s="464"/>
      <c r="N286" s="218" t="str">
        <f t="shared" si="50"/>
        <v/>
      </c>
      <c r="O286" s="218" t="str">
        <f t="shared" si="50"/>
        <v/>
      </c>
      <c r="P286" s="466"/>
      <c r="Q286" s="218" t="str">
        <f t="shared" si="51"/>
        <v/>
      </c>
      <c r="R286" s="218" t="str">
        <f t="shared" si="51"/>
        <v/>
      </c>
      <c r="S286" s="218" t="str">
        <f t="shared" si="51"/>
        <v/>
      </c>
      <c r="T286" s="620"/>
      <c r="U286" s="621"/>
      <c r="V286" s="617"/>
      <c r="W286" s="618"/>
      <c r="X286" s="668" t="s">
        <v>336</v>
      </c>
      <c r="Y286" s="677"/>
      <c r="Z286" s="543"/>
      <c r="AA286" s="1143" t="s">
        <v>802</v>
      </c>
      <c r="AB286" s="924"/>
      <c r="AC286" s="554" t="str">
        <f t="shared" si="48"/>
        <v/>
      </c>
      <c r="AD286" s="936" t="str">
        <f t="shared" si="49"/>
        <v/>
      </c>
      <c r="AE286" s="557" t="s">
        <v>824</v>
      </c>
      <c r="AF286" s="543"/>
      <c r="AJ286" s="329"/>
    </row>
    <row r="287" spans="1:36" ht="11.25" customHeight="1">
      <c r="A287" s="604">
        <v>23</v>
      </c>
      <c r="B287" s="136"/>
      <c r="C287" s="49"/>
      <c r="D287" s="49"/>
      <c r="E287" s="49"/>
      <c r="F287" s="49"/>
      <c r="G287" s="49"/>
      <c r="H287" s="49"/>
      <c r="I287" s="49"/>
      <c r="J287" s="49"/>
      <c r="K287" s="67"/>
      <c r="L287" s="682" t="s">
        <v>336</v>
      </c>
      <c r="M287" s="464"/>
      <c r="N287" s="218" t="str">
        <f t="shared" si="50"/>
        <v/>
      </c>
      <c r="O287" s="218" t="str">
        <f t="shared" si="50"/>
        <v/>
      </c>
      <c r="P287" s="466"/>
      <c r="Q287" s="218" t="str">
        <f t="shared" si="51"/>
        <v/>
      </c>
      <c r="R287" s="218" t="str">
        <f t="shared" si="51"/>
        <v/>
      </c>
      <c r="S287" s="218" t="str">
        <f t="shared" si="51"/>
        <v/>
      </c>
      <c r="T287" s="620"/>
      <c r="U287" s="621"/>
      <c r="V287" s="617"/>
      <c r="W287" s="618"/>
      <c r="X287" s="668" t="s">
        <v>336</v>
      </c>
      <c r="Y287" s="677"/>
      <c r="Z287" s="543"/>
      <c r="AA287" s="1143" t="s">
        <v>803</v>
      </c>
      <c r="AB287" s="924"/>
      <c r="AC287" s="554" t="str">
        <f t="shared" si="48"/>
        <v/>
      </c>
      <c r="AD287" s="936" t="str">
        <f t="shared" si="49"/>
        <v/>
      </c>
      <c r="AE287" s="557" t="s">
        <v>825</v>
      </c>
      <c r="AF287" s="543"/>
      <c r="AJ287" s="329"/>
    </row>
    <row r="288" spans="1:36" ht="11.25" customHeight="1">
      <c r="A288" s="604">
        <v>24</v>
      </c>
      <c r="B288" s="136"/>
      <c r="C288" s="49"/>
      <c r="D288" s="49"/>
      <c r="E288" s="49"/>
      <c r="F288" s="49"/>
      <c r="G288" s="49"/>
      <c r="H288" s="49"/>
      <c r="I288" s="49"/>
      <c r="J288" s="49"/>
      <c r="K288" s="67"/>
      <c r="L288" s="682" t="s">
        <v>336</v>
      </c>
      <c r="M288" s="464"/>
      <c r="N288" s="218" t="str">
        <f t="shared" si="50"/>
        <v/>
      </c>
      <c r="O288" s="218" t="str">
        <f t="shared" si="50"/>
        <v/>
      </c>
      <c r="P288" s="466"/>
      <c r="Q288" s="218" t="str">
        <f t="shared" si="51"/>
        <v/>
      </c>
      <c r="R288" s="218" t="str">
        <f t="shared" si="51"/>
        <v/>
      </c>
      <c r="S288" s="218" t="str">
        <f t="shared" si="51"/>
        <v/>
      </c>
      <c r="T288" s="620"/>
      <c r="U288" s="621"/>
      <c r="V288" s="617"/>
      <c r="W288" s="618"/>
      <c r="X288" s="668" t="s">
        <v>336</v>
      </c>
      <c r="Y288" s="677"/>
      <c r="Z288" s="543"/>
      <c r="AA288" s="1143" t="s">
        <v>804</v>
      </c>
      <c r="AB288" s="924"/>
      <c r="AC288" s="554" t="str">
        <f t="shared" si="48"/>
        <v/>
      </c>
      <c r="AD288" s="936" t="str">
        <f t="shared" si="49"/>
        <v/>
      </c>
      <c r="AE288" s="557" t="s">
        <v>826</v>
      </c>
      <c r="AF288" s="543"/>
      <c r="AJ288" s="329"/>
    </row>
    <row r="289" spans="1:36" ht="11.25" customHeight="1" thickBot="1">
      <c r="A289" s="604">
        <v>25</v>
      </c>
      <c r="B289" s="136"/>
      <c r="C289" s="49"/>
      <c r="D289" s="49"/>
      <c r="E289" s="49"/>
      <c r="F289" s="49"/>
      <c r="G289" s="49"/>
      <c r="H289" s="49"/>
      <c r="I289" s="49"/>
      <c r="J289" s="49"/>
      <c r="K289" s="67"/>
      <c r="L289" s="682" t="s">
        <v>336</v>
      </c>
      <c r="M289" s="465"/>
      <c r="N289" s="220" t="str">
        <f t="shared" si="50"/>
        <v/>
      </c>
      <c r="O289" s="220" t="str">
        <f t="shared" si="50"/>
        <v/>
      </c>
      <c r="P289" s="467"/>
      <c r="Q289" s="220" t="str">
        <f t="shared" si="51"/>
        <v/>
      </c>
      <c r="R289" s="220" t="str">
        <f t="shared" si="51"/>
        <v/>
      </c>
      <c r="S289" s="220" t="str">
        <f t="shared" si="51"/>
        <v/>
      </c>
      <c r="T289" s="622"/>
      <c r="U289" s="623"/>
      <c r="V289" s="624"/>
      <c r="W289" s="625"/>
      <c r="X289" s="668" t="s">
        <v>336</v>
      </c>
      <c r="Y289" s="677"/>
      <c r="Z289" s="543"/>
      <c r="AA289" s="194" t="s">
        <v>806</v>
      </c>
      <c r="AB289" s="1144"/>
      <c r="AC289" s="554" t="str">
        <f t="shared" si="48"/>
        <v/>
      </c>
      <c r="AD289" s="795"/>
      <c r="AF289" s="543"/>
      <c r="AJ289" s="329"/>
    </row>
    <row r="290" spans="1:36" ht="11.25" customHeight="1" thickTop="1">
      <c r="A290" s="604">
        <v>26</v>
      </c>
      <c r="B290" s="136"/>
      <c r="C290" s="49"/>
      <c r="D290" s="49"/>
      <c r="E290" s="49"/>
      <c r="F290" s="49"/>
      <c r="G290" s="49"/>
      <c r="H290" s="49"/>
      <c r="I290" s="49"/>
      <c r="J290" s="49"/>
      <c r="K290" s="67"/>
      <c r="L290" s="682" t="s">
        <v>336</v>
      </c>
      <c r="M290" s="598" t="s">
        <v>110</v>
      </c>
      <c r="N290" s="118"/>
      <c r="O290" s="118"/>
      <c r="P290" s="118"/>
      <c r="Q290" s="118"/>
      <c r="R290" s="118"/>
      <c r="S290" s="118"/>
      <c r="T290" s="118"/>
      <c r="U290" s="118"/>
      <c r="V290" s="118"/>
      <c r="W290" s="61"/>
      <c r="X290" s="668" t="s">
        <v>336</v>
      </c>
      <c r="Y290" s="677"/>
      <c r="Z290" s="543"/>
      <c r="AA290" s="1143" t="s">
        <v>790</v>
      </c>
      <c r="AB290" s="924"/>
      <c r="AC290" s="554" t="str">
        <f t="shared" si="48"/>
        <v/>
      </c>
      <c r="AD290" s="936" t="str">
        <f t="shared" ref="AD290:AD307" si="52">IF(OR(Q564="",Q564=0),"",Q564)</f>
        <v/>
      </c>
      <c r="AE290" s="557" t="s">
        <v>827</v>
      </c>
      <c r="AF290" s="543"/>
      <c r="AJ290" s="329"/>
    </row>
    <row r="291" spans="1:36" ht="11.25" customHeight="1">
      <c r="A291" s="604">
        <v>27</v>
      </c>
      <c r="B291" s="136"/>
      <c r="C291" s="49"/>
      <c r="D291" s="49"/>
      <c r="E291" s="49"/>
      <c r="F291" s="49"/>
      <c r="G291" s="49"/>
      <c r="H291" s="49"/>
      <c r="I291" s="49"/>
      <c r="J291" s="49"/>
      <c r="K291" s="67"/>
      <c r="L291" s="682" t="s">
        <v>336</v>
      </c>
      <c r="M291" s="129"/>
      <c r="N291" s="602" t="s">
        <v>155</v>
      </c>
      <c r="O291" s="900" t="str">
        <f>IF(O292&lt;&gt;"",O292,IF(OR(AB213=0,AB213=""),"",AB213))</f>
        <v/>
      </c>
      <c r="P291" s="41"/>
      <c r="Q291" s="41"/>
      <c r="R291" s="41"/>
      <c r="S291" s="41"/>
      <c r="T291" s="41"/>
      <c r="U291" s="41"/>
      <c r="V291" s="41"/>
      <c r="W291" s="108"/>
      <c r="X291" s="668" t="s">
        <v>336</v>
      </c>
      <c r="Y291" s="677"/>
      <c r="Z291" s="543"/>
      <c r="AA291" s="1143" t="s">
        <v>369</v>
      </c>
      <c r="AB291" s="924"/>
      <c r="AC291" s="554" t="str">
        <f t="shared" si="48"/>
        <v/>
      </c>
      <c r="AD291" s="936" t="str">
        <f t="shared" si="52"/>
        <v/>
      </c>
      <c r="AE291" s="557" t="s">
        <v>828</v>
      </c>
      <c r="AF291" s="543"/>
      <c r="AJ291" s="329"/>
    </row>
    <row r="292" spans="1:36" ht="11.25" customHeight="1" thickBot="1">
      <c r="A292" s="604">
        <v>28</v>
      </c>
      <c r="B292" s="136"/>
      <c r="C292" s="49"/>
      <c r="D292" s="49"/>
      <c r="E292" s="49"/>
      <c r="F292" s="49"/>
      <c r="G292" s="49"/>
      <c r="H292" s="49"/>
      <c r="I292" s="49"/>
      <c r="J292" s="49"/>
      <c r="K292" s="67"/>
      <c r="L292" s="682" t="s">
        <v>336</v>
      </c>
      <c r="M292" s="107"/>
      <c r="N292" s="899" t="s">
        <v>437</v>
      </c>
      <c r="O292" s="901"/>
      <c r="P292" s="798">
        <f>LEN(O291)</f>
        <v>0</v>
      </c>
      <c r="Q292" s="41"/>
      <c r="R292" s="41"/>
      <c r="S292" s="41"/>
      <c r="T292" s="41"/>
      <c r="U292" s="41"/>
      <c r="V292" s="41"/>
      <c r="W292" s="108"/>
      <c r="X292" s="668" t="s">
        <v>336</v>
      </c>
      <c r="Y292" s="677"/>
      <c r="Z292" s="543"/>
      <c r="AA292" s="1143" t="s">
        <v>371</v>
      </c>
      <c r="AB292" s="924"/>
      <c r="AC292" s="554" t="str">
        <f t="shared" si="48"/>
        <v/>
      </c>
      <c r="AD292" s="936" t="str">
        <f t="shared" si="52"/>
        <v/>
      </c>
      <c r="AE292" s="557" t="s">
        <v>829</v>
      </c>
      <c r="AF292" s="543"/>
      <c r="AJ292" s="329"/>
    </row>
    <row r="293" spans="1:36" ht="11.25" customHeight="1" thickBot="1">
      <c r="A293" s="604">
        <v>29</v>
      </c>
      <c r="B293" s="136"/>
      <c r="C293" s="49"/>
      <c r="D293" s="49"/>
      <c r="E293" s="49"/>
      <c r="F293" s="49"/>
      <c r="G293" s="49"/>
      <c r="H293" s="49"/>
      <c r="I293" s="49"/>
      <c r="J293" s="49"/>
      <c r="K293" s="67"/>
      <c r="L293" s="682" t="s">
        <v>336</v>
      </c>
      <c r="M293" s="129"/>
      <c r="N293" s="602" t="s">
        <v>155</v>
      </c>
      <c r="O293" s="900" t="str">
        <f>IF(O294&lt;&gt;"",O294,IF(OR(AB214=0,AB214=""),"",AB214))</f>
        <v/>
      </c>
      <c r="P293" s="876"/>
      <c r="Q293" s="41"/>
      <c r="R293" s="41"/>
      <c r="S293" s="41"/>
      <c r="T293" s="1129"/>
      <c r="U293" s="1130" t="s">
        <v>369</v>
      </c>
      <c r="V293" s="1130" t="s">
        <v>652</v>
      </c>
      <c r="W293" s="1131" t="s">
        <v>372</v>
      </c>
      <c r="X293" s="668" t="s">
        <v>336</v>
      </c>
      <c r="Y293" s="677"/>
      <c r="Z293" s="543"/>
      <c r="AA293" s="1143" t="s">
        <v>426</v>
      </c>
      <c r="AB293" s="924"/>
      <c r="AC293" s="554" t="str">
        <f t="shared" si="48"/>
        <v/>
      </c>
      <c r="AD293" s="936" t="str">
        <f t="shared" si="52"/>
        <v/>
      </c>
      <c r="AE293" s="557" t="s">
        <v>830</v>
      </c>
      <c r="AF293" s="543"/>
      <c r="AJ293" s="329"/>
    </row>
    <row r="294" spans="1:36" ht="11.25" customHeight="1" thickBot="1">
      <c r="A294" s="604">
        <v>30</v>
      </c>
      <c r="B294" s="136"/>
      <c r="C294" s="49"/>
      <c r="D294" s="49"/>
      <c r="E294" s="49"/>
      <c r="F294" s="49"/>
      <c r="G294" s="49"/>
      <c r="H294" s="49"/>
      <c r="I294" s="49"/>
      <c r="J294" s="49"/>
      <c r="K294" s="67"/>
      <c r="L294" s="682" t="s">
        <v>336</v>
      </c>
      <c r="M294" s="129"/>
      <c r="N294" s="782" t="s">
        <v>437</v>
      </c>
      <c r="O294" s="901"/>
      <c r="P294" s="797">
        <f>LEN(O293)</f>
        <v>0</v>
      </c>
      <c r="Q294" s="1090"/>
      <c r="R294" s="1090"/>
      <c r="S294" s="1090"/>
      <c r="T294" s="1130" t="s">
        <v>424</v>
      </c>
      <c r="U294" s="1132" t="str">
        <f>IF(T280="","NA",IF(E428="TBD","TBD",IF(E428&gt;0.05,"NO","YES")))</f>
        <v>NA</v>
      </c>
      <c r="V294" s="1133" t="str">
        <f>IF(W280="","NA",IF(F428="TBD","TBD",IF(F428&gt;0.05,"NO","YES")))</f>
        <v>NA</v>
      </c>
      <c r="W294" s="1134" t="str">
        <f>IF(M332&lt;&gt;1,"NA",IF(K497="TBD","TBD",IF(K497&gt;=0.05,"NO","YES")))</f>
        <v>NA</v>
      </c>
      <c r="X294" s="668" t="s">
        <v>336</v>
      </c>
      <c r="Y294" s="677"/>
      <c r="Z294" s="543"/>
      <c r="AA294" s="1143" t="s">
        <v>791</v>
      </c>
      <c r="AB294" s="924"/>
      <c r="AC294" s="554" t="str">
        <f t="shared" si="48"/>
        <v/>
      </c>
      <c r="AD294" s="936" t="str">
        <f t="shared" si="52"/>
        <v/>
      </c>
      <c r="AE294" s="557" t="s">
        <v>831</v>
      </c>
      <c r="AF294" s="543"/>
      <c r="AJ294" s="329"/>
    </row>
    <row r="295" spans="1:36" ht="11.25" customHeight="1">
      <c r="A295" s="604">
        <v>31</v>
      </c>
      <c r="B295" s="136"/>
      <c r="C295" s="49"/>
      <c r="D295" s="49"/>
      <c r="E295" s="49"/>
      <c r="F295" s="49"/>
      <c r="G295" s="49"/>
      <c r="H295" s="49"/>
      <c r="I295" s="49"/>
      <c r="J295" s="49"/>
      <c r="K295" s="67"/>
      <c r="L295" s="682" t="s">
        <v>336</v>
      </c>
      <c r="M295" s="290" t="s">
        <v>667</v>
      </c>
      <c r="N295" s="1090"/>
      <c r="O295" s="1090"/>
      <c r="P295" s="1090"/>
      <c r="Q295" s="1090"/>
      <c r="R295" s="1090"/>
      <c r="S295" s="1090"/>
      <c r="T295" s="1090"/>
      <c r="U295" s="1090"/>
      <c r="V295" s="1090"/>
      <c r="W295" s="65"/>
      <c r="X295" s="668" t="s">
        <v>336</v>
      </c>
      <c r="Y295" s="677"/>
      <c r="Z295" s="543"/>
      <c r="AA295" s="1143" t="s">
        <v>792</v>
      </c>
      <c r="AB295" s="924"/>
      <c r="AC295" s="554" t="str">
        <f t="shared" si="48"/>
        <v/>
      </c>
      <c r="AD295" s="936" t="str">
        <f t="shared" si="52"/>
        <v/>
      </c>
      <c r="AE295" s="557" t="s">
        <v>832</v>
      </c>
      <c r="AF295" s="543"/>
      <c r="AJ295" s="329"/>
    </row>
    <row r="296" spans="1:36" ht="11.25" customHeight="1">
      <c r="A296" s="604">
        <v>32</v>
      </c>
      <c r="B296" s="136"/>
      <c r="C296" s="49"/>
      <c r="D296" s="49"/>
      <c r="E296" s="49"/>
      <c r="F296" s="49"/>
      <c r="G296" s="49"/>
      <c r="H296" s="49"/>
      <c r="I296" s="49"/>
      <c r="J296" s="49"/>
      <c r="K296" s="67"/>
      <c r="L296" s="682" t="s">
        <v>336</v>
      </c>
      <c r="M296" s="129"/>
      <c r="N296" s="1090"/>
      <c r="O296" s="1090"/>
      <c r="P296" s="1090"/>
      <c r="Q296" s="1090"/>
      <c r="R296" s="1090"/>
      <c r="S296" s="1090"/>
      <c r="T296" s="1090"/>
      <c r="U296" s="1090"/>
      <c r="V296" s="1090"/>
      <c r="W296" s="65"/>
      <c r="X296" s="668" t="s">
        <v>336</v>
      </c>
      <c r="Y296" s="677"/>
      <c r="Z296" s="543"/>
      <c r="AA296" s="1143" t="s">
        <v>793</v>
      </c>
      <c r="AB296" s="924"/>
      <c r="AC296" s="554" t="str">
        <f t="shared" si="48"/>
        <v/>
      </c>
      <c r="AD296" s="936" t="str">
        <f t="shared" si="52"/>
        <v/>
      </c>
      <c r="AE296" s="557" t="s">
        <v>833</v>
      </c>
      <c r="AF296" s="543"/>
      <c r="AJ296" s="329"/>
    </row>
    <row r="297" spans="1:36" ht="11.25" customHeight="1">
      <c r="A297" s="604">
        <v>33</v>
      </c>
      <c r="B297" s="136"/>
      <c r="C297" s="49"/>
      <c r="D297" s="49"/>
      <c r="E297" s="49"/>
      <c r="F297" s="49"/>
      <c r="G297" s="49"/>
      <c r="H297" s="49"/>
      <c r="I297" s="49"/>
      <c r="J297" s="49"/>
      <c r="K297" s="67"/>
      <c r="L297" s="682" t="s">
        <v>336</v>
      </c>
      <c r="M297" s="129" t="s">
        <v>82</v>
      </c>
      <c r="N297" s="210" t="s">
        <v>108</v>
      </c>
      <c r="O297" s="210" t="s">
        <v>84</v>
      </c>
      <c r="P297" s="210" t="s">
        <v>85</v>
      </c>
      <c r="Q297" s="1090"/>
      <c r="R297" s="210"/>
      <c r="S297" s="210" t="s">
        <v>87</v>
      </c>
      <c r="T297" s="131"/>
      <c r="U297" s="44" t="s">
        <v>88</v>
      </c>
      <c r="V297" s="1090"/>
      <c r="W297" s="65"/>
      <c r="X297" s="668" t="s">
        <v>336</v>
      </c>
      <c r="Y297" s="677"/>
      <c r="Z297" s="543"/>
      <c r="AA297" s="1143" t="s">
        <v>794</v>
      </c>
      <c r="AB297" s="924"/>
      <c r="AC297" s="554" t="str">
        <f t="shared" si="48"/>
        <v/>
      </c>
      <c r="AD297" s="936" t="str">
        <f t="shared" si="52"/>
        <v/>
      </c>
      <c r="AE297" s="557" t="s">
        <v>834</v>
      </c>
      <c r="AF297" s="543"/>
      <c r="AJ297" s="329"/>
    </row>
    <row r="298" spans="1:36" ht="11.25" customHeight="1" thickBot="1">
      <c r="A298" s="604">
        <v>34</v>
      </c>
      <c r="B298" s="136"/>
      <c r="C298" s="49"/>
      <c r="D298" s="49"/>
      <c r="E298" s="49"/>
      <c r="F298" s="49"/>
      <c r="G298" s="49"/>
      <c r="H298" s="49"/>
      <c r="I298" s="49"/>
      <c r="J298" s="49"/>
      <c r="K298" s="67"/>
      <c r="L298" s="682" t="s">
        <v>336</v>
      </c>
      <c r="M298" s="212" t="s">
        <v>89</v>
      </c>
      <c r="N298" s="211" t="str">
        <f>SFSDD</f>
        <v>cm</v>
      </c>
      <c r="O298" s="1094" t="s">
        <v>90</v>
      </c>
      <c r="P298" s="1094" t="s">
        <v>58</v>
      </c>
      <c r="Q298" s="1094" t="s">
        <v>91</v>
      </c>
      <c r="R298" s="211" t="str">
        <f>IF(AND(LFMAS="",SFMAS=""),"mA/mAs",IF(O299="Large",LFMAS,SFMAS))</f>
        <v>mAs</v>
      </c>
      <c r="S298" s="1094" t="s">
        <v>92</v>
      </c>
      <c r="T298" s="525" t="s">
        <v>93</v>
      </c>
      <c r="U298" s="1095" t="s">
        <v>94</v>
      </c>
      <c r="V298" s="1095" t="s">
        <v>92</v>
      </c>
      <c r="W298" s="219" t="s">
        <v>652</v>
      </c>
      <c r="X298" s="668" t="s">
        <v>336</v>
      </c>
      <c r="Y298" s="677"/>
      <c r="Z298" s="543"/>
      <c r="AA298" s="1143" t="s">
        <v>795</v>
      </c>
      <c r="AB298" s="924"/>
      <c r="AC298" s="554" t="str">
        <f t="shared" si="48"/>
        <v/>
      </c>
      <c r="AD298" s="936" t="str">
        <f t="shared" si="52"/>
        <v/>
      </c>
      <c r="AE298" s="557" t="s">
        <v>835</v>
      </c>
      <c r="AF298" s="543"/>
      <c r="AJ298" s="329"/>
    </row>
    <row r="299" spans="1:36" ht="11.25" customHeight="1">
      <c r="A299" s="604">
        <v>35</v>
      </c>
      <c r="B299" s="136"/>
      <c r="C299" s="49"/>
      <c r="D299" s="49"/>
      <c r="E299" s="49"/>
      <c r="F299" s="49"/>
      <c r="G299" s="49"/>
      <c r="H299" s="49"/>
      <c r="I299" s="49"/>
      <c r="J299" s="49"/>
      <c r="K299" s="67"/>
      <c r="L299" s="682" t="s">
        <v>336</v>
      </c>
      <c r="M299" s="464" t="str">
        <f>IF(OR(Tables!N73="",Tables!N73=0,Q299=""),"","Delay:"&amp;Tables!N73&amp;"ms")</f>
        <v/>
      </c>
      <c r="N299" s="472">
        <f>$N$234</f>
        <v>100</v>
      </c>
      <c r="O299" s="473" t="s">
        <v>106</v>
      </c>
      <c r="P299" s="474" t="str">
        <f>IF(OR(Q299="",Tables!F73=""),"",Tables!F73&amp;"/"&amp;Tables!L73)</f>
        <v>70-120/Low</v>
      </c>
      <c r="Q299" s="475">
        <f>Tables!B73</f>
        <v>90</v>
      </c>
      <c r="R299" s="476">
        <f>IF(OR(Tables!E73="",Tables!E73=0),Tables!C73,Tables!E73)</f>
        <v>10</v>
      </c>
      <c r="S299" s="424">
        <f>IF(OR(Tables!D73="",Tables!D73=0),IF(OR(Tables!Q73="No Anomolies",Tables!Q73=""),"",Tables!Q73),Tables!D73)</f>
        <v>0.1</v>
      </c>
      <c r="T299" s="526" t="str">
        <f>IF(T254="","",T254)</f>
        <v/>
      </c>
      <c r="U299" s="444" t="str">
        <f>IF(U254="","",U254)</f>
        <v/>
      </c>
      <c r="V299" s="445" t="str">
        <f>IF(V254="","",V254)</f>
        <v/>
      </c>
      <c r="W299" s="446" t="str">
        <f>IF(W254="","",W254)</f>
        <v/>
      </c>
      <c r="X299" s="668" t="s">
        <v>336</v>
      </c>
      <c r="Y299" s="677"/>
      <c r="Z299" s="543"/>
      <c r="AA299" s="1143" t="s">
        <v>796</v>
      </c>
      <c r="AB299" s="924"/>
      <c r="AC299" s="554" t="str">
        <f t="shared" si="48"/>
        <v/>
      </c>
      <c r="AD299" s="936" t="str">
        <f t="shared" si="52"/>
        <v/>
      </c>
      <c r="AE299" s="557" t="s">
        <v>836</v>
      </c>
      <c r="AF299" s="543"/>
      <c r="AJ299" s="329"/>
    </row>
    <row r="300" spans="1:36" ht="11.25" customHeight="1">
      <c r="A300" s="604">
        <v>36</v>
      </c>
      <c r="B300" s="136"/>
      <c r="C300" s="49"/>
      <c r="D300" s="49"/>
      <c r="E300" s="49"/>
      <c r="F300" s="49"/>
      <c r="G300" s="49"/>
      <c r="H300" s="49"/>
      <c r="I300" s="49"/>
      <c r="J300" s="49"/>
      <c r="K300" s="67"/>
      <c r="L300" s="682" t="s">
        <v>336</v>
      </c>
      <c r="M300" s="464" t="str">
        <f>IF(OR(Tables!N74="",Tables!N74=0,Q300=""),"","Delay:"&amp;Tables!N74&amp;"ms")</f>
        <v/>
      </c>
      <c r="N300" s="479">
        <f>IF(OR(N$299="",$Q300=""),"",N$299)</f>
        <v>100</v>
      </c>
      <c r="O300" s="473" t="str">
        <f>IF(Q300="","",O299)</f>
        <v>Small</v>
      </c>
      <c r="P300" s="474" t="str">
        <f>IF(OR(Q300="",Tables!F74=""),"",Tables!F74&amp;"/"&amp;Tables!L74)</f>
        <v>70-120/Low</v>
      </c>
      <c r="Q300" s="475">
        <f>Tables!B74</f>
        <v>90</v>
      </c>
      <c r="R300" s="476">
        <f>IF(OR(Tables!E74="",Tables!E74=0),Tables!C74,Tables!E74)</f>
        <v>10</v>
      </c>
      <c r="S300" s="424">
        <f>IF(OR(Tables!D74="",Tables!D74=0),IF(OR(Tables!Q74="No Anomolies",Tables!Q74=""),"",Tables!Q74),Tables!D74)</f>
        <v>0.1</v>
      </c>
      <c r="T300" s="526" t="str">
        <f>IF(Tables!AA74="","",Tables!AA74)</f>
        <v/>
      </c>
      <c r="U300" s="444" t="str">
        <f>IF(Tables!Y74="","",Tables!Y74)</f>
        <v/>
      </c>
      <c r="V300" s="445" t="str">
        <f>IF(Tables!AB74="","",Tables!AB74)</f>
        <v/>
      </c>
      <c r="W300" s="480" t="str">
        <f>IF(Tables!AC74="","",Tables!AC74)</f>
        <v/>
      </c>
      <c r="X300" s="668" t="s">
        <v>336</v>
      </c>
      <c r="Y300" s="677"/>
      <c r="Z300" s="543"/>
      <c r="AA300" s="1143" t="s">
        <v>797</v>
      </c>
      <c r="AB300" s="924"/>
      <c r="AC300" s="554" t="str">
        <f t="shared" si="48"/>
        <v/>
      </c>
      <c r="AD300" s="936" t="str">
        <f t="shared" si="52"/>
        <v/>
      </c>
      <c r="AE300" s="557" t="s">
        <v>837</v>
      </c>
      <c r="AF300" s="543"/>
      <c r="AJ300" s="329"/>
    </row>
    <row r="301" spans="1:36" ht="11.25" customHeight="1">
      <c r="A301" s="604">
        <v>37</v>
      </c>
      <c r="B301" s="136"/>
      <c r="C301" s="49"/>
      <c r="D301" s="49"/>
      <c r="E301" s="49"/>
      <c r="F301" s="49"/>
      <c r="G301" s="49"/>
      <c r="H301" s="49"/>
      <c r="I301" s="49"/>
      <c r="J301" s="49"/>
      <c r="K301" s="67"/>
      <c r="L301" s="682" t="s">
        <v>336</v>
      </c>
      <c r="M301" s="464" t="str">
        <f>IF(OR(Tables!N75="",Tables!N75=0,Q301=""),"","Delay:"&amp;Tables!N75&amp;"ms")</f>
        <v/>
      </c>
      <c r="N301" s="479">
        <f>IF(OR(N$299="",$Q301=""),"",N$299)</f>
        <v>100</v>
      </c>
      <c r="O301" s="473" t="str">
        <f>IF(Q301="","",O300)</f>
        <v>Small</v>
      </c>
      <c r="P301" s="474" t="str">
        <f>IF(OR(Q301="",Tables!F75=""),"",Tables!F75&amp;"/"&amp;Tables!L75)</f>
        <v>70-120/Low</v>
      </c>
      <c r="Q301" s="475">
        <f>Tables!B75</f>
        <v>90</v>
      </c>
      <c r="R301" s="476">
        <f>IF(OR(Tables!E75="",Tables!E75=0),Tables!C75,Tables!E75)</f>
        <v>10</v>
      </c>
      <c r="S301" s="424">
        <f>IF(OR(Tables!D75="",Tables!D75=0),IF(OR(Tables!Q75="No Anomolies",Tables!Q75=""),"",Tables!Q75),Tables!D75)</f>
        <v>0.1</v>
      </c>
      <c r="T301" s="526" t="str">
        <f>IF(Tables!AA75="","",Tables!AA75)</f>
        <v/>
      </c>
      <c r="U301" s="444" t="str">
        <f>IF(Tables!Y75="","",Tables!Y75)</f>
        <v/>
      </c>
      <c r="V301" s="445" t="str">
        <f>IF(Tables!AB75="","",Tables!AB75)</f>
        <v/>
      </c>
      <c r="W301" s="480" t="str">
        <f>IF(Tables!AC75="","",Tables!AC75)</f>
        <v/>
      </c>
      <c r="X301" s="668" t="s">
        <v>336</v>
      </c>
      <c r="Y301" s="677"/>
      <c r="Z301" s="543"/>
      <c r="AA301" s="1143" t="s">
        <v>798</v>
      </c>
      <c r="AB301" s="924"/>
      <c r="AC301" s="554" t="str">
        <f t="shared" si="48"/>
        <v/>
      </c>
      <c r="AD301" s="936" t="str">
        <f t="shared" si="52"/>
        <v/>
      </c>
      <c r="AE301" s="557" t="s">
        <v>838</v>
      </c>
      <c r="AF301" s="543"/>
      <c r="AJ301" s="329"/>
    </row>
    <row r="302" spans="1:36" ht="11.25" customHeight="1">
      <c r="A302" s="604">
        <v>38</v>
      </c>
      <c r="B302" s="136"/>
      <c r="C302" s="49"/>
      <c r="D302" s="49"/>
      <c r="E302" s="49"/>
      <c r="F302" s="49"/>
      <c r="G302" s="49"/>
      <c r="H302" s="49"/>
      <c r="I302" s="49"/>
      <c r="J302" s="49"/>
      <c r="K302" s="67"/>
      <c r="L302" s="682" t="s">
        <v>336</v>
      </c>
      <c r="M302" s="464" t="str">
        <f>IF(OR(Tables!N76="",Tables!N76=0,Q302=""),"","Delay:"&amp;Tables!N76&amp;"ms")</f>
        <v/>
      </c>
      <c r="N302" s="479">
        <f>IF(OR(N$299="",$Q302=""),"",N$299)</f>
        <v>100</v>
      </c>
      <c r="O302" s="473" t="str">
        <f>IF(Q302="","",O301)</f>
        <v>Small</v>
      </c>
      <c r="P302" s="474" t="str">
        <f>IF(OR(Q302="",Tables!F76=""),"",Tables!F76&amp;"/"&amp;Tables!L76)</f>
        <v>70-120/Low</v>
      </c>
      <c r="Q302" s="475">
        <f>Tables!B76</f>
        <v>90</v>
      </c>
      <c r="R302" s="476">
        <f>IF(OR(Tables!E76="",Tables!E76=0),Tables!C76,Tables!E76)</f>
        <v>10</v>
      </c>
      <c r="S302" s="424">
        <f>IF(OR(Tables!D76="",Tables!D76=0),IF(OR(Tables!Q76="No Anomolies",Tables!Q76=""),"",Tables!Q76),Tables!D76)</f>
        <v>0.1</v>
      </c>
      <c r="T302" s="526" t="str">
        <f>IF(Tables!AA76="","",Tables!AA76)</f>
        <v/>
      </c>
      <c r="U302" s="444" t="str">
        <f>IF(Tables!Y76="","",Tables!Y76)</f>
        <v/>
      </c>
      <c r="V302" s="445" t="str">
        <f>IF(Tables!AB76="","",Tables!AB76)</f>
        <v/>
      </c>
      <c r="W302" s="480" t="str">
        <f>IF(Tables!AC76="","",Tables!AC76)</f>
        <v/>
      </c>
      <c r="X302" s="668" t="s">
        <v>336</v>
      </c>
      <c r="Y302" s="677"/>
      <c r="Z302" s="543"/>
      <c r="AA302" s="1143" t="s">
        <v>799</v>
      </c>
      <c r="AB302" s="924"/>
      <c r="AC302" s="554" t="str">
        <f t="shared" si="48"/>
        <v/>
      </c>
      <c r="AD302" s="936" t="str">
        <f t="shared" si="52"/>
        <v/>
      </c>
      <c r="AE302" s="557" t="s">
        <v>839</v>
      </c>
      <c r="AF302" s="543"/>
      <c r="AJ302" s="329"/>
    </row>
    <row r="303" spans="1:36" ht="11.25" customHeight="1">
      <c r="A303" s="604">
        <v>39</v>
      </c>
      <c r="B303" s="136"/>
      <c r="C303" s="49"/>
      <c r="D303" s="49"/>
      <c r="E303" s="49"/>
      <c r="F303" s="49"/>
      <c r="G303" s="49"/>
      <c r="H303" s="49"/>
      <c r="I303" s="49"/>
      <c r="J303" s="49"/>
      <c r="K303" s="67"/>
      <c r="L303" s="682" t="s">
        <v>336</v>
      </c>
      <c r="M303" s="464" t="str">
        <f>IF(OR(Tables!N77="",Tables!N77=0,Q303=""),"","Delay:"&amp;Tables!N77&amp;"ms")</f>
        <v/>
      </c>
      <c r="N303" s="479">
        <f>IF(OR(N$299="",$Q303=""),"",N$299)</f>
        <v>100</v>
      </c>
      <c r="O303" s="473" t="str">
        <f>IF(Q303="","",O302)</f>
        <v>Small</v>
      </c>
      <c r="P303" s="474" t="str">
        <f>IF(OR(Q303="",Tables!F77=""),"",Tables!F77&amp;"/"&amp;Tables!L77)</f>
        <v>70-120/Low</v>
      </c>
      <c r="Q303" s="475">
        <f>Tables!B77</f>
        <v>90</v>
      </c>
      <c r="R303" s="476">
        <f>IF(OR(Tables!E77="",Tables!E77=0),Tables!C77,Tables!E77)</f>
        <v>10</v>
      </c>
      <c r="S303" s="424">
        <f>IF(OR(Tables!D77="",Tables!D77=0),IF(OR(Tables!Q77="No Anomolies",Tables!Q77=""),"",Tables!Q77),Tables!D77)</f>
        <v>0.1</v>
      </c>
      <c r="T303" s="526" t="str">
        <f>IF(Tables!AA77="","",Tables!AA77)</f>
        <v/>
      </c>
      <c r="U303" s="444" t="str">
        <f>IF(Tables!Y77="","",Tables!Y77)</f>
        <v/>
      </c>
      <c r="V303" s="445" t="str">
        <f>IF(Tables!AB77="","",Tables!AB77)</f>
        <v/>
      </c>
      <c r="W303" s="480" t="str">
        <f>IF(Tables!AC77="","",Tables!AC77)</f>
        <v/>
      </c>
      <c r="X303" s="668" t="s">
        <v>336</v>
      </c>
      <c r="Y303" s="677"/>
      <c r="Z303" s="543"/>
      <c r="AA303" s="1143" t="s">
        <v>800</v>
      </c>
      <c r="AB303" s="924"/>
      <c r="AC303" s="554" t="str">
        <f t="shared" si="48"/>
        <v/>
      </c>
      <c r="AD303" s="936" t="str">
        <f t="shared" si="52"/>
        <v/>
      </c>
      <c r="AE303" s="557" t="s">
        <v>840</v>
      </c>
      <c r="AF303" s="543"/>
      <c r="AJ303" s="329"/>
    </row>
    <row r="304" spans="1:36" ht="11.25" customHeight="1">
      <c r="A304" s="604">
        <v>40</v>
      </c>
      <c r="B304" s="136"/>
      <c r="C304" s="49"/>
      <c r="D304" s="49"/>
      <c r="E304" s="49"/>
      <c r="F304" s="49"/>
      <c r="G304" s="49"/>
      <c r="H304" s="49"/>
      <c r="I304" s="49"/>
      <c r="J304" s="49"/>
      <c r="K304" s="67"/>
      <c r="L304" s="682" t="s">
        <v>336</v>
      </c>
      <c r="M304" s="111"/>
      <c r="N304" s="475" t="str">
        <f t="shared" ref="N304:O308" si="53">IF(AND($T304="",$V304=""),"",N$299)</f>
        <v/>
      </c>
      <c r="O304" s="475" t="str">
        <f t="shared" si="53"/>
        <v/>
      </c>
      <c r="P304" s="479" t="str">
        <f>IF($Q304="","",P$299)</f>
        <v/>
      </c>
      <c r="Q304" s="475" t="str">
        <f t="shared" ref="Q304:S308" si="54">IF(AND($T304="",$V304=""),"",Q$299)</f>
        <v/>
      </c>
      <c r="R304" s="475" t="str">
        <f t="shared" si="54"/>
        <v/>
      </c>
      <c r="S304" s="475" t="str">
        <f t="shared" si="54"/>
        <v/>
      </c>
      <c r="T304" s="626"/>
      <c r="U304" s="627"/>
      <c r="V304" s="628"/>
      <c r="W304" s="629"/>
      <c r="X304" s="668" t="s">
        <v>336</v>
      </c>
      <c r="Y304" s="677"/>
      <c r="Z304" s="543"/>
      <c r="AA304" s="1143" t="s">
        <v>801</v>
      </c>
      <c r="AB304" s="924"/>
      <c r="AC304" s="554" t="str">
        <f t="shared" si="48"/>
        <v/>
      </c>
      <c r="AD304" s="936" t="str">
        <f t="shared" si="52"/>
        <v/>
      </c>
      <c r="AE304" s="557" t="s">
        <v>841</v>
      </c>
      <c r="AF304" s="543"/>
      <c r="AJ304" s="329"/>
    </row>
    <row r="305" spans="1:36" ht="11.25" customHeight="1">
      <c r="A305" s="604">
        <v>41</v>
      </c>
      <c r="B305" s="136"/>
      <c r="C305" s="48" t="s">
        <v>660</v>
      </c>
      <c r="D305" s="157" t="str">
        <f>IF(OR(Y485="",W485=""),"",SLOPE(Y485:Y492,W485:W492))</f>
        <v/>
      </c>
      <c r="E305" s="49"/>
      <c r="F305" s="48" t="s">
        <v>661</v>
      </c>
      <c r="G305" s="41" t="str">
        <f>IF(OR(Y502="",W502=""),"",SLOPE(Y502:Y507,W502:W507))</f>
        <v/>
      </c>
      <c r="H305" s="49"/>
      <c r="I305" s="48" t="s">
        <v>663</v>
      </c>
      <c r="J305" s="41" t="str">
        <f>IF(OR(AH485="",AI485=""),"",SLOPE(AI485:AI498,AH485:AH498))</f>
        <v/>
      </c>
      <c r="K305" s="67"/>
      <c r="L305" s="682" t="s">
        <v>336</v>
      </c>
      <c r="M305" s="111"/>
      <c r="N305" s="475" t="str">
        <f t="shared" si="53"/>
        <v/>
      </c>
      <c r="O305" s="475" t="str">
        <f t="shared" si="53"/>
        <v/>
      </c>
      <c r="P305" s="479" t="str">
        <f>IF($Q305="","",P$299)</f>
        <v/>
      </c>
      <c r="Q305" s="475" t="str">
        <f t="shared" si="54"/>
        <v/>
      </c>
      <c r="R305" s="475" t="str">
        <f t="shared" si="54"/>
        <v/>
      </c>
      <c r="S305" s="475" t="str">
        <f t="shared" si="54"/>
        <v/>
      </c>
      <c r="T305" s="626"/>
      <c r="U305" s="627"/>
      <c r="V305" s="628"/>
      <c r="W305" s="629"/>
      <c r="X305" s="668" t="s">
        <v>336</v>
      </c>
      <c r="Y305" s="677"/>
      <c r="Z305" s="543"/>
      <c r="AA305" s="1143" t="s">
        <v>802</v>
      </c>
      <c r="AB305" s="924"/>
      <c r="AC305" s="554" t="str">
        <f t="shared" si="48"/>
        <v/>
      </c>
      <c r="AD305" s="936" t="str">
        <f t="shared" si="52"/>
        <v/>
      </c>
      <c r="AE305" s="557" t="s">
        <v>842</v>
      </c>
      <c r="AF305" s="543"/>
      <c r="AJ305" s="329"/>
    </row>
    <row r="306" spans="1:36" ht="11.25" customHeight="1">
      <c r="A306" s="604">
        <v>42</v>
      </c>
      <c r="B306" s="39"/>
      <c r="K306" s="67"/>
      <c r="L306" s="682" t="s">
        <v>336</v>
      </c>
      <c r="M306" s="111"/>
      <c r="N306" s="475" t="str">
        <f t="shared" si="53"/>
        <v/>
      </c>
      <c r="O306" s="475" t="str">
        <f t="shared" si="53"/>
        <v/>
      </c>
      <c r="P306" s="479" t="str">
        <f>IF($Q306="","",P$299)</f>
        <v/>
      </c>
      <c r="Q306" s="475" t="str">
        <f t="shared" si="54"/>
        <v/>
      </c>
      <c r="R306" s="475" t="str">
        <f t="shared" si="54"/>
        <v/>
      </c>
      <c r="S306" s="475" t="str">
        <f t="shared" si="54"/>
        <v/>
      </c>
      <c r="T306" s="615"/>
      <c r="U306" s="616"/>
      <c r="V306" s="617"/>
      <c r="W306" s="618"/>
      <c r="X306" s="668" t="s">
        <v>336</v>
      </c>
      <c r="Y306" s="677"/>
      <c r="Z306" s="543"/>
      <c r="AA306" s="1143" t="s">
        <v>803</v>
      </c>
      <c r="AB306" s="924"/>
      <c r="AC306" s="554" t="str">
        <f t="shared" si="48"/>
        <v/>
      </c>
      <c r="AD306" s="936" t="str">
        <f t="shared" si="52"/>
        <v/>
      </c>
      <c r="AE306" s="557" t="s">
        <v>843</v>
      </c>
      <c r="AF306" s="543"/>
      <c r="AJ306" s="329"/>
    </row>
    <row r="307" spans="1:36" ht="11.25" customHeight="1" thickBot="1">
      <c r="A307" s="604">
        <v>43</v>
      </c>
      <c r="B307" s="1101"/>
      <c r="C307" s="347"/>
      <c r="D307" s="347"/>
      <c r="E307" s="347"/>
      <c r="F307" s="347"/>
      <c r="G307" s="347"/>
      <c r="H307" s="347"/>
      <c r="I307" s="347"/>
      <c r="J307" s="347"/>
      <c r="K307" s="1102"/>
      <c r="L307" s="682" t="s">
        <v>336</v>
      </c>
      <c r="M307" s="111"/>
      <c r="N307" s="475" t="str">
        <f t="shared" si="53"/>
        <v/>
      </c>
      <c r="O307" s="475" t="str">
        <f t="shared" si="53"/>
        <v/>
      </c>
      <c r="P307" s="479" t="str">
        <f>IF($Q307="","",P$299)</f>
        <v/>
      </c>
      <c r="Q307" s="475" t="str">
        <f t="shared" si="54"/>
        <v/>
      </c>
      <c r="R307" s="475" t="str">
        <f t="shared" si="54"/>
        <v/>
      </c>
      <c r="S307" s="475" t="str">
        <f t="shared" si="54"/>
        <v/>
      </c>
      <c r="T307" s="615"/>
      <c r="U307" s="616"/>
      <c r="V307" s="617"/>
      <c r="W307" s="618"/>
      <c r="X307" s="668" t="s">
        <v>336</v>
      </c>
      <c r="Y307" s="677"/>
      <c r="Z307" s="543"/>
      <c r="AA307" s="1143" t="s">
        <v>804</v>
      </c>
      <c r="AB307" s="924"/>
      <c r="AC307" s="554" t="str">
        <f t="shared" si="48"/>
        <v/>
      </c>
      <c r="AD307" s="936" t="str">
        <f t="shared" si="52"/>
        <v/>
      </c>
      <c r="AE307" s="557" t="s">
        <v>844</v>
      </c>
      <c r="AF307" s="543"/>
      <c r="AJ307" s="329"/>
    </row>
    <row r="308" spans="1:36" ht="11.25" customHeight="1" thickBot="1">
      <c r="A308" s="604">
        <v>44</v>
      </c>
      <c r="B308" s="136"/>
      <c r="C308" s="49"/>
      <c r="D308" s="49"/>
      <c r="E308" s="49"/>
      <c r="F308" s="49"/>
      <c r="G308" s="49"/>
      <c r="H308" s="49"/>
      <c r="I308" s="49"/>
      <c r="J308" s="49"/>
      <c r="K308" s="67"/>
      <c r="L308" s="682" t="s">
        <v>336</v>
      </c>
      <c r="M308" s="145"/>
      <c r="N308" s="524" t="str">
        <f t="shared" si="53"/>
        <v/>
      </c>
      <c r="O308" s="524" t="str">
        <f t="shared" si="53"/>
        <v/>
      </c>
      <c r="P308" s="523" t="str">
        <f>IF($Q308="","",P$299)</f>
        <v/>
      </c>
      <c r="Q308" s="524" t="str">
        <f t="shared" si="54"/>
        <v/>
      </c>
      <c r="R308" s="524" t="str">
        <f t="shared" si="54"/>
        <v/>
      </c>
      <c r="S308" s="524" t="str">
        <f t="shared" si="54"/>
        <v/>
      </c>
      <c r="T308" s="630"/>
      <c r="U308" s="631"/>
      <c r="V308" s="624"/>
      <c r="W308" s="625"/>
      <c r="X308" s="668" t="s">
        <v>336</v>
      </c>
      <c r="Y308" s="677"/>
      <c r="Z308" s="543"/>
      <c r="AA308" s="194" t="s">
        <v>807</v>
      </c>
      <c r="AB308" s="1144"/>
      <c r="AC308" s="554" t="str">
        <f t="shared" si="48"/>
        <v/>
      </c>
      <c r="AF308" s="543"/>
      <c r="AJ308" s="329"/>
    </row>
    <row r="309" spans="1:36" ht="11.25" customHeight="1" thickTop="1">
      <c r="A309" s="604">
        <v>45</v>
      </c>
      <c r="B309" s="136"/>
      <c r="C309" s="49"/>
      <c r="D309" s="49"/>
      <c r="E309" s="49"/>
      <c r="F309" s="193" t="s">
        <v>331</v>
      </c>
      <c r="G309" s="49"/>
      <c r="H309" s="49"/>
      <c r="I309" s="49"/>
      <c r="J309" s="49"/>
      <c r="K309" s="67"/>
      <c r="L309" s="682" t="s">
        <v>336</v>
      </c>
      <c r="M309" s="139"/>
      <c r="N309" s="118"/>
      <c r="O309" s="118"/>
      <c r="P309" s="118"/>
      <c r="Q309" s="118"/>
      <c r="R309" s="118"/>
      <c r="S309" s="118"/>
      <c r="T309" s="118"/>
      <c r="U309" s="118"/>
      <c r="V309" s="118"/>
      <c r="W309" s="61"/>
      <c r="X309" s="668" t="s">
        <v>336</v>
      </c>
      <c r="Y309" s="677"/>
      <c r="Z309" s="543"/>
      <c r="AA309" s="1143" t="s">
        <v>790</v>
      </c>
      <c r="AB309" s="924"/>
      <c r="AC309" s="554" t="str">
        <f t="shared" si="48"/>
        <v/>
      </c>
      <c r="AD309" s="936" t="str">
        <f t="shared" ref="AD309:AD325" si="55">IF(OR(R564="",R564=0),"",R564)</f>
        <v/>
      </c>
      <c r="AE309" s="557" t="s">
        <v>845</v>
      </c>
      <c r="AF309" s="543"/>
      <c r="AJ309" s="329"/>
    </row>
    <row r="310" spans="1:36" ht="11.25" customHeight="1" thickBot="1">
      <c r="A310" s="604">
        <v>46</v>
      </c>
      <c r="B310" s="136"/>
      <c r="C310" s="49"/>
      <c r="D310" s="49"/>
      <c r="E310" s="49"/>
      <c r="F310" s="49"/>
      <c r="G310" s="49"/>
      <c r="H310" s="49"/>
      <c r="I310" s="49"/>
      <c r="J310" s="49"/>
      <c r="K310" s="67"/>
      <c r="L310" s="682" t="s">
        <v>336</v>
      </c>
      <c r="M310" s="129"/>
      <c r="N310" s="602" t="s">
        <v>155</v>
      </c>
      <c r="O310" s="900" t="str">
        <f>IF(O311&lt;&gt;"",O311,IF(OR(AB215=0,AB215=""),"",AB215))</f>
        <v/>
      </c>
      <c r="P310" s="905"/>
      <c r="Q310" s="41"/>
      <c r="R310" s="41"/>
      <c r="S310" s="41"/>
      <c r="T310" s="41"/>
      <c r="U310" s="49"/>
      <c r="V310" s="1090"/>
      <c r="W310" s="65"/>
      <c r="X310" s="668" t="s">
        <v>336</v>
      </c>
      <c r="Y310" s="677"/>
      <c r="Z310" s="543"/>
      <c r="AA310" s="1143" t="s">
        <v>369</v>
      </c>
      <c r="AB310" s="924"/>
      <c r="AC310" s="554" t="str">
        <f t="shared" si="48"/>
        <v/>
      </c>
      <c r="AD310" s="936" t="str">
        <f t="shared" si="55"/>
        <v/>
      </c>
      <c r="AE310" s="557" t="s">
        <v>846</v>
      </c>
      <c r="AF310" s="543"/>
      <c r="AJ310" s="329"/>
    </row>
    <row r="311" spans="1:36" ht="11.25" customHeight="1">
      <c r="A311" s="604">
        <v>47</v>
      </c>
      <c r="B311" s="834" t="s">
        <v>438</v>
      </c>
      <c r="C311" s="835"/>
      <c r="D311" s="836" t="s">
        <v>439</v>
      </c>
      <c r="E311" s="835"/>
      <c r="F311" s="187" t="s">
        <v>440</v>
      </c>
      <c r="G311" s="833"/>
      <c r="H311" s="1276" t="s">
        <v>444</v>
      </c>
      <c r="I311" s="1277"/>
      <c r="J311" s="437"/>
      <c r="K311" s="67"/>
      <c r="L311" s="682" t="s">
        <v>336</v>
      </c>
      <c r="M311" s="107"/>
      <c r="N311" s="899" t="s">
        <v>437</v>
      </c>
      <c r="O311" s="901"/>
      <c r="P311" s="797">
        <f>LEN(O310)</f>
        <v>0</v>
      </c>
      <c r="Q311" s="49"/>
      <c r="R311" s="1090"/>
      <c r="S311" s="1090"/>
      <c r="T311" s="1090"/>
      <c r="U311" s="49"/>
      <c r="V311" s="49"/>
      <c r="W311" s="65"/>
      <c r="X311" s="668" t="s">
        <v>336</v>
      </c>
      <c r="Y311" s="677"/>
      <c r="Z311" s="543"/>
      <c r="AA311" s="1143" t="s">
        <v>371</v>
      </c>
      <c r="AB311" s="924"/>
      <c r="AC311" s="554" t="str">
        <f t="shared" si="48"/>
        <v/>
      </c>
      <c r="AD311" s="936" t="str">
        <f t="shared" si="55"/>
        <v/>
      </c>
      <c r="AE311" s="557" t="s">
        <v>847</v>
      </c>
      <c r="AF311" s="543"/>
      <c r="AJ311" s="329"/>
    </row>
    <row r="312" spans="1:36" ht="11.25" customHeight="1" thickBot="1">
      <c r="A312" s="604">
        <v>48</v>
      </c>
      <c r="B312" s="173" t="str">
        <f>"("&amp;TBCM_IN&amp;")"</f>
        <v>(cm)</v>
      </c>
      <c r="C312" s="182"/>
      <c r="D312" s="181" t="str">
        <f>"("&amp;TBCM_IN&amp;")"</f>
        <v>(cm)</v>
      </c>
      <c r="E312" s="182"/>
      <c r="F312" s="176" t="s">
        <v>441</v>
      </c>
      <c r="G312" s="175"/>
      <c r="H312" s="177" t="s">
        <v>440</v>
      </c>
      <c r="I312" s="175"/>
      <c r="J312" s="437"/>
      <c r="K312" s="67"/>
      <c r="L312" s="682" t="s">
        <v>336</v>
      </c>
      <c r="M312" s="129"/>
      <c r="N312" s="602" t="s">
        <v>155</v>
      </c>
      <c r="O312" s="900" t="str">
        <f>IF(O313&lt;&gt;"",O313,IF(OR(AB216=0,AB216=""),"",AB216))</f>
        <v/>
      </c>
      <c r="P312" s="905"/>
      <c r="Q312" s="41"/>
      <c r="R312" s="41"/>
      <c r="S312" s="41"/>
      <c r="T312" s="41"/>
      <c r="U312" s="49"/>
      <c r="V312" s="1090"/>
      <c r="W312" s="65"/>
      <c r="X312" s="668" t="s">
        <v>336</v>
      </c>
      <c r="Y312" s="677"/>
      <c r="Z312" s="543"/>
      <c r="AA312" s="1143" t="s">
        <v>426</v>
      </c>
      <c r="AB312" s="924"/>
      <c r="AC312" s="554" t="str">
        <f t="shared" si="48"/>
        <v/>
      </c>
      <c r="AD312" s="936" t="str">
        <f t="shared" si="55"/>
        <v/>
      </c>
      <c r="AE312" s="557" t="s">
        <v>848</v>
      </c>
      <c r="AF312" s="543"/>
      <c r="AJ312" s="329"/>
    </row>
    <row r="313" spans="1:36" ht="11.25" customHeight="1" thickBot="1">
      <c r="A313" s="604">
        <v>49</v>
      </c>
      <c r="B313" s="174" t="s">
        <v>362</v>
      </c>
      <c r="C313" s="179" t="s">
        <v>363</v>
      </c>
      <c r="D313" s="180" t="s">
        <v>362</v>
      </c>
      <c r="E313" s="179" t="s">
        <v>363</v>
      </c>
      <c r="F313" s="178" t="s">
        <v>362</v>
      </c>
      <c r="G313" s="179" t="s">
        <v>363</v>
      </c>
      <c r="H313" s="180" t="s">
        <v>362</v>
      </c>
      <c r="I313" s="179" t="s">
        <v>363</v>
      </c>
      <c r="J313" s="437"/>
      <c r="K313" s="67"/>
      <c r="L313" s="682" t="s">
        <v>336</v>
      </c>
      <c r="M313" s="129"/>
      <c r="N313" s="782" t="s">
        <v>437</v>
      </c>
      <c r="O313" s="901"/>
      <c r="P313" s="797">
        <f>LEN(O312)</f>
        <v>0</v>
      </c>
      <c r="Q313" s="49"/>
      <c r="R313" s="1090"/>
      <c r="S313" s="1090"/>
      <c r="T313" s="1090"/>
      <c r="U313" s="719"/>
      <c r="V313" s="1130" t="s">
        <v>369</v>
      </c>
      <c r="W313" s="1131" t="s">
        <v>652</v>
      </c>
      <c r="X313" s="668" t="s">
        <v>336</v>
      </c>
      <c r="Y313" s="677"/>
      <c r="Z313" s="543"/>
      <c r="AA313" s="1143" t="s">
        <v>791</v>
      </c>
      <c r="AB313" s="924"/>
      <c r="AC313" s="554" t="str">
        <f t="shared" si="48"/>
        <v/>
      </c>
      <c r="AD313" s="936" t="str">
        <f t="shared" si="55"/>
        <v/>
      </c>
      <c r="AE313" s="557" t="s">
        <v>849</v>
      </c>
      <c r="AF313" s="543"/>
      <c r="AJ313" s="329"/>
    </row>
    <row r="314" spans="1:36" ht="11.25" customHeight="1" thickBot="1">
      <c r="A314" s="604">
        <v>50</v>
      </c>
      <c r="B314" s="369">
        <f t="shared" ref="B314:G315" si="56">IF(O189="","",O189)</f>
        <v>5</v>
      </c>
      <c r="C314" s="368">
        <f t="shared" si="56"/>
        <v>5</v>
      </c>
      <c r="D314" s="367">
        <f t="shared" si="56"/>
        <v>5</v>
      </c>
      <c r="E314" s="368">
        <f t="shared" si="56"/>
        <v>5</v>
      </c>
      <c r="F314" s="183">
        <f t="shared" si="56"/>
        <v>0</v>
      </c>
      <c r="G314" s="184">
        <f t="shared" si="56"/>
        <v>0</v>
      </c>
      <c r="H314" s="185" t="str">
        <f>U189</f>
        <v>YES</v>
      </c>
      <c r="I314" s="188" t="str">
        <f>V189</f>
        <v>YES</v>
      </c>
      <c r="J314" s="437"/>
      <c r="K314" s="67"/>
      <c r="L314" s="682" t="s">
        <v>336</v>
      </c>
      <c r="M314" s="107"/>
      <c r="N314" s="1090"/>
      <c r="O314" s="1090"/>
      <c r="P314" s="49"/>
      <c r="Q314" s="104"/>
      <c r="R314" s="1090"/>
      <c r="S314" s="1090"/>
      <c r="T314" s="1090"/>
      <c r="U314" s="1135" t="s">
        <v>424</v>
      </c>
      <c r="V314" s="1133" t="str">
        <f>IF(T299="","NA",IF(I428="TBD","TBD",IF(I428&gt;0.05,"NO","YES")))</f>
        <v>NA</v>
      </c>
      <c r="W314" s="1134" t="str">
        <f>IF(W299="","NA",IF(J428="TBD","TBD",IF(J428&gt;0.05,"NO","YES")))</f>
        <v>NA</v>
      </c>
      <c r="X314" s="668" t="s">
        <v>336</v>
      </c>
      <c r="Y314" s="677"/>
      <c r="Z314" s="543"/>
      <c r="AA314" s="1143" t="s">
        <v>792</v>
      </c>
      <c r="AB314" s="924"/>
      <c r="AC314" s="554" t="str">
        <f t="shared" si="48"/>
        <v/>
      </c>
      <c r="AD314" s="936" t="str">
        <f t="shared" si="55"/>
        <v/>
      </c>
      <c r="AE314" s="557" t="s">
        <v>850</v>
      </c>
      <c r="AF314" s="543"/>
      <c r="AJ314" s="329"/>
    </row>
    <row r="315" spans="1:36" ht="11.25" customHeight="1" thickBot="1">
      <c r="A315" s="604">
        <v>51</v>
      </c>
      <c r="B315" s="369" t="str">
        <f t="shared" si="56"/>
        <v/>
      </c>
      <c r="C315" s="368" t="str">
        <f t="shared" si="56"/>
        <v/>
      </c>
      <c r="D315" s="367" t="str">
        <f t="shared" si="56"/>
        <v/>
      </c>
      <c r="E315" s="368" t="str">
        <f t="shared" si="56"/>
        <v/>
      </c>
      <c r="F315" s="183" t="str">
        <f t="shared" si="56"/>
        <v>NA</v>
      </c>
      <c r="G315" s="184" t="str">
        <f t="shared" si="56"/>
        <v>NA</v>
      </c>
      <c r="H315" s="186" t="str">
        <f>U190</f>
        <v>NA</v>
      </c>
      <c r="I315" s="189" t="str">
        <f>V190</f>
        <v>NA</v>
      </c>
      <c r="J315" s="437"/>
      <c r="K315" s="67"/>
      <c r="L315" s="682" t="s">
        <v>336</v>
      </c>
      <c r="M315" s="129"/>
      <c r="N315" s="143" t="s">
        <v>425</v>
      </c>
      <c r="O315" s="191" t="s">
        <v>116</v>
      </c>
      <c r="P315" s="49"/>
      <c r="Q315" s="49"/>
      <c r="R315" s="49"/>
      <c r="S315" s="1090"/>
      <c r="T315" s="1090"/>
      <c r="U315" s="1090"/>
      <c r="V315" s="1090"/>
      <c r="W315" s="65"/>
      <c r="X315" s="668" t="s">
        <v>336</v>
      </c>
      <c r="Y315" s="677"/>
      <c r="Z315" s="543"/>
      <c r="AA315" s="1143" t="s">
        <v>793</v>
      </c>
      <c r="AB315" s="924"/>
      <c r="AC315" s="554" t="str">
        <f t="shared" si="48"/>
        <v/>
      </c>
      <c r="AD315" s="936" t="str">
        <f t="shared" si="55"/>
        <v/>
      </c>
      <c r="AE315" s="557" t="s">
        <v>851</v>
      </c>
      <c r="AF315" s="543"/>
      <c r="AJ315" s="329"/>
    </row>
    <row r="316" spans="1:36" ht="11.25" customHeight="1">
      <c r="A316" s="604">
        <v>52</v>
      </c>
      <c r="B316" s="171" t="s">
        <v>442</v>
      </c>
      <c r="C316" s="49"/>
      <c r="D316" s="49"/>
      <c r="E316" s="49"/>
      <c r="F316" s="49"/>
      <c r="G316" s="49"/>
      <c r="H316" s="49"/>
      <c r="I316" s="49"/>
      <c r="J316" s="49"/>
      <c r="K316" s="67"/>
      <c r="L316" s="682" t="s">
        <v>336</v>
      </c>
      <c r="M316" s="129"/>
      <c r="N316" s="1090"/>
      <c r="O316" s="49"/>
      <c r="P316" s="49"/>
      <c r="Q316" s="1090"/>
      <c r="R316" s="1090"/>
      <c r="S316" s="1090"/>
      <c r="T316" s="1090"/>
      <c r="U316" s="1090"/>
      <c r="V316" s="1090"/>
      <c r="W316" s="65"/>
      <c r="X316" s="668" t="s">
        <v>336</v>
      </c>
      <c r="Y316" s="677"/>
      <c r="Z316" s="543"/>
      <c r="AA316" s="1143" t="s">
        <v>794</v>
      </c>
      <c r="AB316" s="924"/>
      <c r="AC316" s="554" t="str">
        <f t="shared" si="48"/>
        <v/>
      </c>
      <c r="AD316" s="936" t="str">
        <f t="shared" si="55"/>
        <v/>
      </c>
      <c r="AE316" s="557" t="s">
        <v>852</v>
      </c>
      <c r="AF316" s="543"/>
      <c r="AJ316" s="329"/>
    </row>
    <row r="317" spans="1:36" ht="11.25" customHeight="1" thickBot="1">
      <c r="A317" s="604">
        <v>53</v>
      </c>
      <c r="B317" s="172" t="s">
        <v>443</v>
      </c>
      <c r="C317" s="49"/>
      <c r="D317" s="49"/>
      <c r="E317" s="49"/>
      <c r="F317" s="49"/>
      <c r="G317" s="49"/>
      <c r="J317" s="49"/>
      <c r="K317" s="67"/>
      <c r="L317" s="682" t="s">
        <v>336</v>
      </c>
      <c r="M317" s="98"/>
      <c r="N317" s="80"/>
      <c r="O317" s="80"/>
      <c r="P317" s="80"/>
      <c r="Q317" s="80"/>
      <c r="R317" s="80"/>
      <c r="S317" s="80"/>
      <c r="T317" s="80"/>
      <c r="U317" s="80"/>
      <c r="V317" s="80"/>
      <c r="W317" s="85"/>
      <c r="X317" s="668" t="s">
        <v>336</v>
      </c>
      <c r="Y317" s="677"/>
      <c r="Z317" s="543"/>
      <c r="AA317" s="1143" t="s">
        <v>795</v>
      </c>
      <c r="AB317" s="924"/>
      <c r="AC317" s="554" t="str">
        <f t="shared" si="48"/>
        <v/>
      </c>
      <c r="AD317" s="936" t="str">
        <f t="shared" si="55"/>
        <v/>
      </c>
      <c r="AE317" s="557" t="s">
        <v>853</v>
      </c>
      <c r="AF317" s="543"/>
      <c r="AJ317" s="329"/>
    </row>
    <row r="318" spans="1:36" ht="11.25" customHeight="1" thickTop="1">
      <c r="A318" s="604">
        <v>54</v>
      </c>
      <c r="B318" s="123"/>
      <c r="C318" s="105"/>
      <c r="D318" s="105"/>
      <c r="E318" s="49"/>
      <c r="J318" s="49"/>
      <c r="K318" s="67"/>
      <c r="L318" s="682" t="s">
        <v>336</v>
      </c>
      <c r="X318" s="668" t="s">
        <v>336</v>
      </c>
      <c r="Y318" s="677"/>
      <c r="Z318" s="543"/>
      <c r="AA318" s="1143" t="s">
        <v>796</v>
      </c>
      <c r="AB318" s="924"/>
      <c r="AC318" s="554" t="str">
        <f t="shared" si="48"/>
        <v/>
      </c>
      <c r="AD318" s="936" t="str">
        <f t="shared" si="55"/>
        <v/>
      </c>
      <c r="AE318" s="557" t="s">
        <v>854</v>
      </c>
      <c r="AF318" s="543"/>
      <c r="AJ318" s="329"/>
    </row>
    <row r="319" spans="1:36" ht="11.25" customHeight="1">
      <c r="A319" s="604">
        <v>55</v>
      </c>
      <c r="B319" s="195" t="s">
        <v>425</v>
      </c>
      <c r="C319" s="191" t="s">
        <v>446</v>
      </c>
      <c r="D319" s="168"/>
      <c r="E319" s="49"/>
      <c r="J319" s="49"/>
      <c r="K319" s="67"/>
      <c r="L319" s="682" t="s">
        <v>336</v>
      </c>
      <c r="N319" s="903" t="s">
        <v>625</v>
      </c>
      <c r="X319" s="668" t="s">
        <v>336</v>
      </c>
      <c r="Y319" s="677"/>
      <c r="Z319" s="543"/>
      <c r="AA319" s="1143" t="s">
        <v>797</v>
      </c>
      <c r="AB319" s="924"/>
      <c r="AC319" s="554" t="str">
        <f t="shared" si="48"/>
        <v/>
      </c>
      <c r="AD319" s="936" t="str">
        <f t="shared" si="55"/>
        <v/>
      </c>
      <c r="AE319" s="557" t="s">
        <v>855</v>
      </c>
      <c r="AF319" s="543"/>
      <c r="AJ319" s="329"/>
    </row>
    <row r="320" spans="1:36" ht="11.25" customHeight="1">
      <c r="A320" s="604">
        <v>56</v>
      </c>
      <c r="B320" s="196"/>
      <c r="C320" s="101" t="s">
        <v>358</v>
      </c>
      <c r="D320" s="105"/>
      <c r="E320" s="49"/>
      <c r="J320" s="49"/>
      <c r="K320" s="67"/>
      <c r="L320" s="682" t="s">
        <v>336</v>
      </c>
      <c r="N320" s="904" t="s">
        <v>391</v>
      </c>
      <c r="O320" s="709" t="str">
        <f>IF(AND(O291="",O293=""),"","Lg. F:  "&amp;O291&amp;IF(O293&lt;&gt;"","; "&amp;O293,""))</f>
        <v/>
      </c>
      <c r="X320" s="668" t="s">
        <v>336</v>
      </c>
      <c r="Y320" s="677"/>
      <c r="Z320" s="543"/>
      <c r="AA320" s="1143" t="s">
        <v>798</v>
      </c>
      <c r="AB320" s="924"/>
      <c r="AC320" s="554" t="str">
        <f t="shared" si="48"/>
        <v/>
      </c>
      <c r="AD320" s="936" t="str">
        <f t="shared" si="55"/>
        <v/>
      </c>
      <c r="AE320" s="557" t="s">
        <v>856</v>
      </c>
      <c r="AF320" s="543"/>
      <c r="AJ320" s="329"/>
    </row>
    <row r="321" spans="1:36" ht="11.25" customHeight="1">
      <c r="A321" s="604">
        <v>57</v>
      </c>
      <c r="B321" s="136"/>
      <c r="C321" s="49"/>
      <c r="D321" s="49"/>
      <c r="E321" s="49"/>
      <c r="J321" s="49"/>
      <c r="K321" s="67"/>
      <c r="L321" s="682" t="s">
        <v>336</v>
      </c>
      <c r="N321" s="904"/>
      <c r="X321" s="668" t="s">
        <v>336</v>
      </c>
      <c r="Y321" s="677"/>
      <c r="Z321" s="543"/>
      <c r="AA321" s="1143" t="s">
        <v>799</v>
      </c>
      <c r="AB321" s="924"/>
      <c r="AC321" s="554" t="str">
        <f t="shared" si="48"/>
        <v/>
      </c>
      <c r="AD321" s="936" t="str">
        <f t="shared" si="55"/>
        <v/>
      </c>
      <c r="AE321" s="557" t="s">
        <v>857</v>
      </c>
      <c r="AF321" s="543"/>
      <c r="AJ321" s="329"/>
    </row>
    <row r="322" spans="1:36" ht="11.25" customHeight="1">
      <c r="A322" s="604">
        <v>58</v>
      </c>
      <c r="B322" s="136"/>
      <c r="C322" s="49"/>
      <c r="D322" s="49"/>
      <c r="E322" s="49"/>
      <c r="F322" s="49"/>
      <c r="G322" s="49"/>
      <c r="H322" s="49"/>
      <c r="I322" s="49"/>
      <c r="J322" s="49"/>
      <c r="K322" s="67"/>
      <c r="L322" s="682" t="s">
        <v>336</v>
      </c>
      <c r="N322" s="904" t="s">
        <v>402</v>
      </c>
      <c r="O322" s="362" t="str">
        <f>IF(AND(O310="",O312=""),"","Sm. F:  "&amp;O310&amp;IF(O312&lt;&gt;"","; "&amp;O312,""))</f>
        <v/>
      </c>
      <c r="X322" s="668" t="s">
        <v>336</v>
      </c>
      <c r="Y322" s="677"/>
      <c r="Z322" s="543"/>
      <c r="AA322" s="1143" t="s">
        <v>800</v>
      </c>
      <c r="AB322" s="924"/>
      <c r="AC322" s="554" t="str">
        <f t="shared" si="48"/>
        <v/>
      </c>
      <c r="AD322" s="936" t="str">
        <f t="shared" si="55"/>
        <v/>
      </c>
      <c r="AE322" s="557" t="s">
        <v>858</v>
      </c>
      <c r="AF322" s="543"/>
      <c r="AJ322" s="329"/>
    </row>
    <row r="323" spans="1:36" ht="11.25" customHeight="1" thickBot="1">
      <c r="A323" s="604">
        <v>59</v>
      </c>
      <c r="B323" s="136"/>
      <c r="D323" s="168"/>
      <c r="E323" s="49"/>
      <c r="F323" s="49"/>
      <c r="G323" s="168"/>
      <c r="H323" s="168"/>
      <c r="I323" s="168"/>
      <c r="J323" s="168"/>
      <c r="K323" s="169"/>
      <c r="L323" s="682" t="s">
        <v>336</v>
      </c>
      <c r="X323" s="668" t="s">
        <v>336</v>
      </c>
      <c r="Y323" s="677"/>
      <c r="Z323" s="543"/>
      <c r="AA323" s="1143" t="s">
        <v>801</v>
      </c>
      <c r="AB323" s="924"/>
      <c r="AC323" s="554" t="str">
        <f t="shared" si="48"/>
        <v/>
      </c>
      <c r="AD323" s="936" t="str">
        <f t="shared" si="55"/>
        <v/>
      </c>
      <c r="AE323" s="557" t="s">
        <v>859</v>
      </c>
      <c r="AF323" s="543"/>
      <c r="AJ323" s="329"/>
    </row>
    <row r="324" spans="1:36" ht="11.25" customHeight="1" thickTop="1">
      <c r="A324" s="604">
        <v>60</v>
      </c>
      <c r="B324" s="136"/>
      <c r="D324" s="168"/>
      <c r="E324" s="49"/>
      <c r="F324" s="49"/>
      <c r="G324" s="168"/>
      <c r="H324" s="168"/>
      <c r="I324" s="168"/>
      <c r="J324" s="168"/>
      <c r="K324" s="169"/>
      <c r="L324" s="682" t="s">
        <v>336</v>
      </c>
      <c r="M324" s="75"/>
      <c r="N324" s="58"/>
      <c r="O324" s="58"/>
      <c r="P324" s="58"/>
      <c r="Q324" s="58"/>
      <c r="R324" s="58"/>
      <c r="S324" s="58"/>
      <c r="T324" s="58"/>
      <c r="U324" s="58"/>
      <c r="V324" s="58"/>
      <c r="W324" s="76"/>
      <c r="X324" s="668" t="s">
        <v>336</v>
      </c>
      <c r="Y324" s="677"/>
      <c r="Z324" s="543"/>
      <c r="AA324" s="1143" t="s">
        <v>802</v>
      </c>
      <c r="AB324" s="924"/>
      <c r="AC324" s="554" t="str">
        <f t="shared" si="48"/>
        <v/>
      </c>
      <c r="AD324" s="936" t="str">
        <f t="shared" si="55"/>
        <v/>
      </c>
      <c r="AE324" s="557" t="s">
        <v>860</v>
      </c>
      <c r="AF324" s="543"/>
      <c r="AJ324" s="329"/>
    </row>
    <row r="325" spans="1:36" ht="11.25" customHeight="1">
      <c r="A325" s="604">
        <v>61</v>
      </c>
      <c r="B325" s="136"/>
      <c r="C325" s="49"/>
      <c r="D325" s="49"/>
      <c r="E325" s="49"/>
      <c r="F325" s="49"/>
      <c r="G325" s="49"/>
      <c r="H325" s="49"/>
      <c r="I325" s="49"/>
      <c r="J325" s="49"/>
      <c r="K325" s="67"/>
      <c r="L325" s="682" t="s">
        <v>336</v>
      </c>
      <c r="M325" s="129"/>
      <c r="N325" s="48" t="s">
        <v>47</v>
      </c>
      <c r="O325" s="110" t="str">
        <f>IF($O$227="","",$O$227)</f>
        <v>Piranha CB2-17090320</v>
      </c>
      <c r="P325" s="215"/>
      <c r="Q325" s="41"/>
      <c r="R325" s="1090"/>
      <c r="S325" s="1090"/>
      <c r="T325" s="1090"/>
      <c r="U325" s="1090"/>
      <c r="V325" s="1090"/>
      <c r="W325" s="65"/>
      <c r="X325" s="668" t="s">
        <v>336</v>
      </c>
      <c r="Y325" s="677"/>
      <c r="Z325" s="543"/>
      <c r="AA325" s="1143" t="s">
        <v>803</v>
      </c>
      <c r="AB325" s="924"/>
      <c r="AC325" s="554" t="str">
        <f t="shared" si="48"/>
        <v/>
      </c>
      <c r="AD325" s="936" t="str">
        <f t="shared" si="55"/>
        <v/>
      </c>
      <c r="AE325" s="557" t="s">
        <v>861</v>
      </c>
      <c r="AF325" s="543"/>
      <c r="AJ325" s="329"/>
    </row>
    <row r="326" spans="1:36" ht="11.25" customHeight="1">
      <c r="A326" s="604">
        <v>62</v>
      </c>
      <c r="B326" s="136"/>
      <c r="C326" s="49"/>
      <c r="D326" s="49"/>
      <c r="E326" s="49"/>
      <c r="F326" s="49"/>
      <c r="G326" s="49"/>
      <c r="H326" s="49"/>
      <c r="I326" s="49"/>
      <c r="J326" s="49"/>
      <c r="K326" s="67"/>
      <c r="L326" s="682" t="s">
        <v>336</v>
      </c>
      <c r="M326" s="129"/>
      <c r="N326" s="1090"/>
      <c r="O326" s="1090"/>
      <c r="P326" s="1090"/>
      <c r="Q326" s="1090"/>
      <c r="R326" s="1090"/>
      <c r="S326" s="1090"/>
      <c r="T326" s="1090"/>
      <c r="U326" s="1090"/>
      <c r="V326" s="1090"/>
      <c r="W326" s="65"/>
      <c r="X326" s="668" t="s">
        <v>336</v>
      </c>
      <c r="Y326" s="677"/>
      <c r="Z326" s="543"/>
      <c r="AA326" s="1143" t="s">
        <v>804</v>
      </c>
      <c r="AB326" s="924"/>
      <c r="AC326" s="554" t="str">
        <f t="shared" si="48"/>
        <v/>
      </c>
      <c r="AD326" s="936" t="str">
        <f>IF(OR(R581="",R581=0),"",R581)</f>
        <v/>
      </c>
      <c r="AE326" s="557" t="s">
        <v>862</v>
      </c>
      <c r="AF326" s="543"/>
      <c r="AJ326" s="329"/>
    </row>
    <row r="327" spans="1:36" ht="11.25" customHeight="1">
      <c r="A327" s="604">
        <v>63</v>
      </c>
      <c r="B327" s="136"/>
      <c r="C327" s="49"/>
      <c r="D327" s="49"/>
      <c r="E327" s="49"/>
      <c r="F327" s="49"/>
      <c r="G327" s="49"/>
      <c r="H327" s="49"/>
      <c r="I327" s="49"/>
      <c r="J327" s="49"/>
      <c r="K327" s="67"/>
      <c r="L327" s="682" t="s">
        <v>336</v>
      </c>
      <c r="M327" s="136"/>
      <c r="N327" s="49"/>
      <c r="O327" s="49"/>
      <c r="P327" s="49"/>
      <c r="Q327" s="49"/>
      <c r="R327" s="49"/>
      <c r="S327" s="49"/>
      <c r="T327" s="49"/>
      <c r="U327" s="49"/>
      <c r="V327" s="49"/>
      <c r="W327" s="67"/>
      <c r="X327" s="668" t="s">
        <v>336</v>
      </c>
      <c r="Y327" s="677"/>
      <c r="Z327" s="543"/>
      <c r="AA327" s="194" t="s">
        <v>863</v>
      </c>
      <c r="AF327" s="543"/>
      <c r="AJ327" s="329"/>
    </row>
    <row r="328" spans="1:36" ht="11.25" customHeight="1" thickBot="1">
      <c r="A328" s="604">
        <v>64</v>
      </c>
      <c r="B328" s="98"/>
      <c r="C328" s="80"/>
      <c r="D328" s="80"/>
      <c r="E328" s="80"/>
      <c r="F328" s="80"/>
      <c r="G328" s="80"/>
      <c r="H328" s="80"/>
      <c r="I328" s="80"/>
      <c r="J328" s="80"/>
      <c r="K328" s="85"/>
      <c r="L328" s="682" t="s">
        <v>336</v>
      </c>
      <c r="M328" s="343" t="s">
        <v>117</v>
      </c>
      <c r="N328" s="1090"/>
      <c r="O328" s="1090"/>
      <c r="P328" s="1090"/>
      <c r="Q328" s="1090"/>
      <c r="R328" s="49"/>
      <c r="S328" s="49"/>
      <c r="T328" s="1090"/>
      <c r="U328" s="1090"/>
      <c r="V328" s="1090"/>
      <c r="W328" s="65"/>
      <c r="X328" s="668" t="s">
        <v>336</v>
      </c>
      <c r="Y328" s="677"/>
      <c r="Z328" s="543"/>
      <c r="AA328" s="1143" t="s">
        <v>805</v>
      </c>
      <c r="AB328" s="924"/>
      <c r="AC328" s="554" t="str">
        <f t="shared" si="48"/>
        <v/>
      </c>
      <c r="AD328" s="936" t="str">
        <f>IF(OR(O599="",O599=0),"",O599)</f>
        <v/>
      </c>
      <c r="AE328" s="557" t="s">
        <v>991</v>
      </c>
      <c r="AF328" s="543"/>
      <c r="AJ328" s="329"/>
    </row>
    <row r="329" spans="1:36" ht="11.25" customHeight="1" thickTop="1">
      <c r="A329" s="604">
        <v>65</v>
      </c>
      <c r="B329" s="46" t="str">
        <f t="array" ref="B329:C330">$B$65:$C$66</f>
        <v>Date:</v>
      </c>
      <c r="C329" s="1072" t="str">
        <v/>
      </c>
      <c r="E329" s="45"/>
      <c r="F329" s="45"/>
      <c r="G329" s="45"/>
      <c r="H329" s="45"/>
      <c r="I329" s="46" t="str">
        <f t="array" ref="I329:J330">$I$65:$J$66</f>
        <v>Inspector:</v>
      </c>
      <c r="J329" s="401" t="str">
        <v>Eugene Mah</v>
      </c>
      <c r="L329" s="682" t="s">
        <v>336</v>
      </c>
      <c r="M329" s="136"/>
      <c r="N329" s="49"/>
      <c r="O329" s="49"/>
      <c r="P329" s="49"/>
      <c r="Q329" s="49"/>
      <c r="R329" s="49"/>
      <c r="S329" s="49"/>
      <c r="T329" s="49"/>
      <c r="U329" s="49"/>
      <c r="V329" s="49"/>
      <c r="W329" s="67"/>
      <c r="X329" s="668" t="s">
        <v>336</v>
      </c>
      <c r="Y329" s="677"/>
      <c r="Z329" s="543"/>
      <c r="AA329" s="1143" t="s">
        <v>806</v>
      </c>
      <c r="AB329" s="924"/>
      <c r="AC329" s="554" t="str">
        <f t="shared" si="48"/>
        <v/>
      </c>
      <c r="AD329" s="936" t="str">
        <f>IF(OR(P599="",P599=0),"",P599)</f>
        <v/>
      </c>
      <c r="AE329" s="557" t="s">
        <v>992</v>
      </c>
      <c r="AF329" s="543"/>
      <c r="AJ329" s="329"/>
    </row>
    <row r="330" spans="1:36" ht="11.25" customHeight="1">
      <c r="A330" s="604">
        <v>66</v>
      </c>
      <c r="B330" s="46" t="str">
        <v>Room Number:</v>
      </c>
      <c r="C330" s="363" t="str">
        <v/>
      </c>
      <c r="E330" s="45"/>
      <c r="F330" s="45"/>
      <c r="G330" s="45"/>
      <c r="H330" s="45"/>
      <c r="I330" s="46" t="str">
        <v>Survey ID:</v>
      </c>
      <c r="J330" s="910" t="str">
        <v/>
      </c>
      <c r="L330" s="682" t="s">
        <v>336</v>
      </c>
      <c r="M330" s="136"/>
      <c r="N330" s="44" t="s">
        <v>118</v>
      </c>
      <c r="O330" s="49"/>
      <c r="P330" s="49"/>
      <c r="Q330" s="49"/>
      <c r="R330" s="49"/>
      <c r="S330" s="49"/>
      <c r="T330" s="49"/>
      <c r="U330" s="49"/>
      <c r="V330" s="49"/>
      <c r="W330" s="67"/>
      <c r="X330" s="668" t="s">
        <v>336</v>
      </c>
      <c r="Y330" s="677"/>
      <c r="Z330" s="543"/>
      <c r="AA330" s="1143" t="s">
        <v>807</v>
      </c>
      <c r="AB330" s="924"/>
      <c r="AC330" s="554" t="str">
        <f t="shared" si="48"/>
        <v/>
      </c>
      <c r="AD330" s="936" t="str">
        <f>IF(OR(Q599="",Q599=0),"",Q599)</f>
        <v/>
      </c>
      <c r="AE330" s="557" t="s">
        <v>993</v>
      </c>
      <c r="AF330" s="543"/>
      <c r="AJ330" s="329"/>
    </row>
    <row r="331" spans="1:36" ht="11.25" customHeight="1">
      <c r="A331" s="604">
        <v>1</v>
      </c>
      <c r="K331" s="142" t="str">
        <f>$F$2</f>
        <v>Medical University of South Carolina</v>
      </c>
      <c r="L331" s="682" t="s">
        <v>336</v>
      </c>
      <c r="M331" s="136"/>
      <c r="N331" s="269" t="s">
        <v>119</v>
      </c>
      <c r="O331" s="855" t="str">
        <f>IF(P331&lt;&gt;"",P331,IF(OR(AB103=0,AB103=""),"",AB103))</f>
        <v>HF</v>
      </c>
      <c r="P331" s="694" t="s">
        <v>647</v>
      </c>
      <c r="Q331" s="271" t="str">
        <f>IF(OR($O$331=0,$O$331="",$O$331="Dent"),"",IF(OR($O$331=1,$O$331=3),"-Phase",IF($O$331="HF"," (High Frequency)",IF($O$331="CP"," (Constant Potential)",""))))</f>
        <v xml:space="preserve"> (High Frequency)</v>
      </c>
      <c r="R331" s="49"/>
      <c r="S331" s="49"/>
      <c r="T331" s="49"/>
      <c r="U331" s="49"/>
      <c r="V331" s="49"/>
      <c r="W331" s="67"/>
      <c r="X331" s="668" t="s">
        <v>336</v>
      </c>
      <c r="Y331" s="677"/>
      <c r="Z331" s="543"/>
      <c r="AA331" s="194" t="s">
        <v>874</v>
      </c>
      <c r="AC331" s="554" t="str">
        <f t="shared" si="48"/>
        <v/>
      </c>
      <c r="AJ331" s="329"/>
    </row>
    <row r="332" spans="1:36" ht="11.25" customHeight="1">
      <c r="A332" s="604">
        <v>2</v>
      </c>
      <c r="F332" s="252" t="s">
        <v>418</v>
      </c>
      <c r="K332" s="143" t="str">
        <f>$F$5</f>
        <v>Radiation Oncology IGRT Compliance Inspection</v>
      </c>
      <c r="L332" s="682" t="s">
        <v>336</v>
      </c>
      <c r="M332" s="906">
        <f>IF($N$332&lt;&gt;"",$N$332,IF(OR(AB104=0,AB104=""),"",AB104))</f>
        <v>2</v>
      </c>
      <c r="N332" s="694">
        <v>2</v>
      </c>
      <c r="O332" s="101" t="s">
        <v>120</v>
      </c>
      <c r="P332" s="1090"/>
      <c r="Q332" s="1090"/>
      <c r="R332" s="49"/>
      <c r="S332" s="1090"/>
      <c r="T332" s="1090"/>
      <c r="U332" s="49"/>
      <c r="V332" s="49"/>
      <c r="W332" s="65"/>
      <c r="X332" s="668" t="s">
        <v>336</v>
      </c>
      <c r="Y332" s="677"/>
      <c r="AA332" s="122" t="s">
        <v>805</v>
      </c>
      <c r="AB332" s="924"/>
      <c r="AC332" s="554" t="str">
        <f t="shared" si="48"/>
        <v/>
      </c>
      <c r="AD332" s="936" t="str">
        <f>IF(OR(O606="",O606=0),"",O606)</f>
        <v/>
      </c>
      <c r="AE332" s="557" t="s">
        <v>995</v>
      </c>
      <c r="AJ332" s="329"/>
    </row>
    <row r="333" spans="1:36" ht="11.25" customHeight="1">
      <c r="A333" s="604">
        <v>3</v>
      </c>
      <c r="L333" s="682" t="s">
        <v>336</v>
      </c>
      <c r="M333" s="129" t="s">
        <v>82</v>
      </c>
      <c r="N333" s="210" t="s">
        <v>108</v>
      </c>
      <c r="O333" s="210" t="s">
        <v>84</v>
      </c>
      <c r="P333" s="210" t="s">
        <v>85</v>
      </c>
      <c r="Q333" s="1090"/>
      <c r="R333" s="265" t="s">
        <v>122</v>
      </c>
      <c r="S333" s="1093"/>
      <c r="T333" s="1092"/>
      <c r="U333" s="265" t="s">
        <v>123</v>
      </c>
      <c r="V333" s="1090"/>
      <c r="W333" s="65"/>
      <c r="X333" s="668" t="s">
        <v>336</v>
      </c>
      <c r="Y333" s="677"/>
      <c r="AA333" s="122" t="s">
        <v>806</v>
      </c>
      <c r="AB333" s="924"/>
      <c r="AC333" s="554" t="str">
        <f t="shared" si="48"/>
        <v/>
      </c>
      <c r="AD333" s="936" t="str">
        <f>IF(OR(P606="",P606=0),"",P606)</f>
        <v/>
      </c>
      <c r="AE333" s="557" t="s">
        <v>997</v>
      </c>
      <c r="AJ333" s="329"/>
    </row>
    <row r="334" spans="1:36" ht="11.25" customHeight="1" thickBot="1">
      <c r="A334" s="604">
        <v>4</v>
      </c>
      <c r="B334" s="49"/>
      <c r="C334" s="49"/>
      <c r="D334" s="49"/>
      <c r="E334" s="49"/>
      <c r="F334" s="193" t="s">
        <v>390</v>
      </c>
      <c r="G334" s="49"/>
      <c r="H334" s="49"/>
      <c r="I334" s="49"/>
      <c r="J334" s="49"/>
      <c r="K334" s="49"/>
      <c r="L334" s="682" t="s">
        <v>336</v>
      </c>
      <c r="M334" s="212" t="s">
        <v>89</v>
      </c>
      <c r="N334" s="211" t="str">
        <f>LFSDD</f>
        <v>cm</v>
      </c>
      <c r="O334" s="1094" t="s">
        <v>90</v>
      </c>
      <c r="P334" s="1094" t="s">
        <v>58</v>
      </c>
      <c r="Q334" s="1094" t="s">
        <v>91</v>
      </c>
      <c r="R334" s="7" t="str">
        <f>IF(MIN($T$234:$T$241)&gt;0,LFMAS,IF(MIN($T$252:$T$257)&gt;0,SFMAS,"mA/mAs"))</f>
        <v>mA/mAs</v>
      </c>
      <c r="S334" s="266" t="str">
        <f>IF($O$331=1,"Pulses","seconds")</f>
        <v>seconds</v>
      </c>
      <c r="T334" s="268" t="s">
        <v>93</v>
      </c>
      <c r="U334" s="1094" t="s">
        <v>94</v>
      </c>
      <c r="V334" s="1094" t="str">
        <f>IF($O$331=1,"Pulses","seconds")</f>
        <v>seconds</v>
      </c>
      <c r="W334" s="219" t="s">
        <v>652</v>
      </c>
      <c r="X334" s="668" t="s">
        <v>336</v>
      </c>
      <c r="Y334" s="677"/>
      <c r="AA334" s="122" t="s">
        <v>807</v>
      </c>
      <c r="AB334" s="924"/>
      <c r="AC334" s="554" t="str">
        <f t="shared" si="48"/>
        <v/>
      </c>
      <c r="AD334" s="936" t="str">
        <f>IF(OR(Q606="",Q606=0),"",Q606)</f>
        <v/>
      </c>
      <c r="AE334" s="557" t="s">
        <v>996</v>
      </c>
      <c r="AJ334" s="329"/>
    </row>
    <row r="335" spans="1:36" ht="11.25" customHeight="1" thickBot="1">
      <c r="A335" s="604">
        <v>5</v>
      </c>
      <c r="B335" s="49"/>
      <c r="C335" s="49"/>
      <c r="D335" s="49"/>
      <c r="E335" s="49"/>
      <c r="F335" s="251"/>
      <c r="G335" s="49"/>
      <c r="H335" s="49"/>
      <c r="I335" s="49"/>
      <c r="J335" s="49"/>
      <c r="K335" s="49"/>
      <c r="L335" s="682" t="s">
        <v>336</v>
      </c>
      <c r="M335" s="464" t="str">
        <f>IF(OR(Tables!N85="",Tables!N85=0),"","Delay:"&amp;Tables!N85&amp;"ms")</f>
        <v/>
      </c>
      <c r="N335" s="472">
        <f>$N$234</f>
        <v>100</v>
      </c>
      <c r="O335" s="473" t="str">
        <f>IF(Tables!P85="","Large",Tables!P85)</f>
        <v>Large</v>
      </c>
      <c r="P335" s="474" t="str">
        <f>IF(OR(Q335="",Tables!F85=""),"",Tables!F85&amp;"/"&amp;Tables!L85)</f>
        <v>70-120/Low</v>
      </c>
      <c r="Q335" s="475">
        <f>IF(Tables!B85="",$Q$280,Tables!B85)</f>
        <v>80</v>
      </c>
      <c r="R335" s="476">
        <f>IF(Tables!E85&gt;0,Tables!E85,IF(OR(Tables!C85="",Tables!C85=0),"",Tables!C85))</f>
        <v>2</v>
      </c>
      <c r="S335" s="481" t="str">
        <f>IF(Tables!E85&gt;0,IF(OR(Tables!Q85="",Tables!Q85="No Anomolies"),"",Tables!Q85),IF(OR(Tables!D85="",Tables!D85=0),"",Tables!D85))</f>
        <v/>
      </c>
      <c r="T335" s="423" t="str">
        <f>IF(Tables!AA85="","",Tables!AA85)</f>
        <v/>
      </c>
      <c r="U335" s="423" t="str">
        <f>IF(Tables!Y85="","",Tables!Y85)</f>
        <v/>
      </c>
      <c r="V335" s="424" t="str">
        <f>IF(Tables!AB85="","",Tables!AB85)</f>
        <v/>
      </c>
      <c r="W335" s="425" t="str">
        <f>IF(Tables!AC85="","",Tables!AC85)</f>
        <v/>
      </c>
      <c r="X335" s="668" t="s">
        <v>336</v>
      </c>
      <c r="Y335" s="677"/>
      <c r="AJ335" s="329"/>
    </row>
    <row r="336" spans="1:36" ht="11.25" customHeight="1" thickTop="1">
      <c r="A336" s="604">
        <v>6</v>
      </c>
      <c r="B336" s="75"/>
      <c r="C336" s="58"/>
      <c r="D336" s="58"/>
      <c r="E336" s="58"/>
      <c r="F336" s="58"/>
      <c r="G336" s="58"/>
      <c r="H336" s="58"/>
      <c r="I336" s="58"/>
      <c r="J336" s="58"/>
      <c r="K336" s="76"/>
      <c r="L336" s="682" t="s">
        <v>336</v>
      </c>
      <c r="M336" s="464" t="str">
        <f>IF(OR(Tables!N86="",Tables!N86=0),"","Delay:"&amp;Tables!N86&amp;"ms")</f>
        <v/>
      </c>
      <c r="N336" s="479">
        <f>IF(AND(R336="",S336=""),"",$N$335)</f>
        <v>100</v>
      </c>
      <c r="O336" s="473" t="str">
        <f>IF(Tables!P86="","Large",Tables!P86)</f>
        <v>Large</v>
      </c>
      <c r="P336" s="482" t="str">
        <f>IF(AND(R336="",S336=""),"",$P$335)</f>
        <v>70-120/Low</v>
      </c>
      <c r="Q336" s="475">
        <f>IF(AND(R336="",S336=""),"",$Q$335)</f>
        <v>80</v>
      </c>
      <c r="R336" s="476">
        <f>IF(Tables!E86&gt;0,Tables!E86,IF(OR(Tables!C86="",Tables!C86=0),"",Tables!C86))</f>
        <v>4</v>
      </c>
      <c r="S336" s="481" t="str">
        <f>IF(Tables!E86&gt;0,IF(OR(Tables!Q86="",Tables!Q86="No Anomolies"),"",Tables!Q86),IF(OR(Tables!D86="",Tables!D86=0),"",Tables!D86))</f>
        <v/>
      </c>
      <c r="T336" s="423" t="str">
        <f>IF(Tables!AA86="","",Tables!AA86)</f>
        <v/>
      </c>
      <c r="U336" s="423" t="str">
        <f>IF(Tables!Y86="","",Tables!Y86)</f>
        <v/>
      </c>
      <c r="V336" s="424" t="str">
        <f>IF(Tables!AB86="","",Tables!AB86)</f>
        <v/>
      </c>
      <c r="W336" s="425" t="str">
        <f>IF(Tables!AC86="","",Tables!AC86)</f>
        <v/>
      </c>
      <c r="X336" s="668" t="s">
        <v>336</v>
      </c>
      <c r="Y336" s="677"/>
      <c r="AJ336" s="329"/>
    </row>
    <row r="337" spans="1:36" ht="11.25" customHeight="1">
      <c r="A337" s="604">
        <v>7</v>
      </c>
      <c r="B337" s="290" t="s">
        <v>448</v>
      </c>
      <c r="C337" s="201"/>
      <c r="D337" s="3"/>
      <c r="E337" s="3"/>
      <c r="F337" s="3"/>
      <c r="G337" s="3"/>
      <c r="H337" s="3"/>
      <c r="I337" s="3"/>
      <c r="J337" s="3"/>
      <c r="K337" s="67"/>
      <c r="L337" s="682" t="s">
        <v>336</v>
      </c>
      <c r="M337" s="464" t="str">
        <f>IF(OR(Tables!N87="",Tables!N87=0),"","Delay:"&amp;Tables!N87&amp;"ms")</f>
        <v/>
      </c>
      <c r="N337" s="479">
        <f>IF(AND(R337="",S337=""),"",$N$335)</f>
        <v>100</v>
      </c>
      <c r="O337" s="473" t="str">
        <f>IF(Tables!P87="","Large",Tables!P87)</f>
        <v>Large</v>
      </c>
      <c r="P337" s="482" t="str">
        <f>IF(AND(R337="",S337=""),"",$P$335)</f>
        <v>70-120/Low</v>
      </c>
      <c r="Q337" s="475">
        <f>IF(AND(R337="",S337=""),"",$Q$335)</f>
        <v>80</v>
      </c>
      <c r="R337" s="476">
        <f>IF(Tables!E87&gt;0,Tables!E87,IF(OR(Tables!C87="",Tables!C87=0),"",Tables!C87))</f>
        <v>8</v>
      </c>
      <c r="S337" s="481" t="str">
        <f>IF(Tables!E87&gt;0,IF(OR(Tables!Q87="",Tables!Q87="No Anomolies"),"",Tables!Q87),IF(OR(Tables!D87="",Tables!D87=0),"",Tables!D87))</f>
        <v/>
      </c>
      <c r="T337" s="423" t="str">
        <f>IF(Tables!AA87="","",Tables!AA87)</f>
        <v/>
      </c>
      <c r="U337" s="423" t="str">
        <f>IF(Tables!Y87="","",Tables!Y87)</f>
        <v/>
      </c>
      <c r="V337" s="424" t="str">
        <f>IF(Tables!AB87="","",Tables!AB87)</f>
        <v/>
      </c>
      <c r="W337" s="425" t="str">
        <f>IF(Tables!AC87="","",Tables!AC87)</f>
        <v/>
      </c>
      <c r="X337" s="668" t="s">
        <v>336</v>
      </c>
      <c r="Y337" s="677"/>
      <c r="AJ337" s="329"/>
    </row>
    <row r="338" spans="1:36" ht="11.25" customHeight="1">
      <c r="A338" s="604">
        <v>8</v>
      </c>
      <c r="B338" s="136"/>
      <c r="C338" s="49"/>
      <c r="D338" s="49"/>
      <c r="E338" s="49"/>
      <c r="F338" s="49"/>
      <c r="G338" s="49"/>
      <c r="H338" s="49"/>
      <c r="I338" s="49"/>
      <c r="J338" s="5" t="s">
        <v>455</v>
      </c>
      <c r="K338" s="435" t="s">
        <v>456</v>
      </c>
      <c r="L338" s="682" t="s">
        <v>336</v>
      </c>
      <c r="M338" s="464" t="str">
        <f>IF(OR(Tables!N88="",Tables!N88=0),"","Delay:"&amp;Tables!N88&amp;"ms")</f>
        <v/>
      </c>
      <c r="N338" s="479">
        <f>IF(AND(R338="",S338=""),"",$N$335)</f>
        <v>100</v>
      </c>
      <c r="O338" s="473" t="str">
        <f>IF(Tables!P88="","Large",Tables!P88)</f>
        <v>Large</v>
      </c>
      <c r="P338" s="482" t="str">
        <f>IF(AND(R338="",S338=""),"",$P$335)</f>
        <v>70-120/Low</v>
      </c>
      <c r="Q338" s="475">
        <f>IF(AND(R338="",S338=""),"",$Q$335)</f>
        <v>80</v>
      </c>
      <c r="R338" s="476">
        <f>IF(Tables!E88&gt;0,Tables!E88,IF(OR(Tables!C88="",Tables!C88=0),"",Tables!C88))</f>
        <v>20</v>
      </c>
      <c r="S338" s="481" t="str">
        <f>IF(Tables!E88&gt;0,IF(OR(Tables!Q88="",Tables!Q88="No Anomolies"),"",Tables!Q88),IF(OR(Tables!D88="",Tables!D88=0),"",Tables!D88))</f>
        <v/>
      </c>
      <c r="T338" s="423" t="str">
        <f>IF(Tables!AA88="","",Tables!AA88)</f>
        <v/>
      </c>
      <c r="U338" s="423" t="str">
        <f>IF(Tables!Y88="","",Tables!Y88)</f>
        <v/>
      </c>
      <c r="V338" s="424" t="str">
        <f>IF(Tables!AB88="","",Tables!AB88)</f>
        <v/>
      </c>
      <c r="W338" s="425" t="str">
        <f>IF(Tables!AC88="","",Tables!AC88)</f>
        <v/>
      </c>
      <c r="X338" s="668" t="s">
        <v>336</v>
      </c>
      <c r="Y338" s="677"/>
      <c r="AJ338" s="329"/>
    </row>
    <row r="339" spans="1:36" ht="11.25" customHeight="1">
      <c r="A339" s="604">
        <v>9</v>
      </c>
      <c r="B339" s="199" t="str">
        <f>IF(M207="","",M207)</f>
        <v>Large:</v>
      </c>
      <c r="C339" s="2" t="str">
        <f>IF(N207="","",N207)</f>
        <v/>
      </c>
      <c r="D339" s="4" t="str">
        <f>IF(O207="","",O207)</f>
        <v>mm</v>
      </c>
      <c r="E339" s="3"/>
      <c r="F339" s="3"/>
      <c r="G339" s="3"/>
      <c r="H339" s="3"/>
      <c r="I339" s="5" t="s">
        <v>422</v>
      </c>
      <c r="J339" s="5" t="s">
        <v>457</v>
      </c>
      <c r="K339" s="435" t="s">
        <v>457</v>
      </c>
      <c r="L339" s="682" t="s">
        <v>336</v>
      </c>
      <c r="M339" s="464" t="str">
        <f>IF(OR(Tables!N89="",Tables!N89=0),"","Delay:"&amp;Tables!N89&amp;"ms")</f>
        <v/>
      </c>
      <c r="N339" s="479">
        <f>IF(AND(R339="",S339=""),"",$N$335)</f>
        <v>100</v>
      </c>
      <c r="O339" s="473" t="str">
        <f>IF(Tables!P89="","Large",Tables!P89)</f>
        <v>Large</v>
      </c>
      <c r="P339" s="482" t="str">
        <f>IF(AND(R339="",S339=""),"",$P$335)</f>
        <v>70-120/Low</v>
      </c>
      <c r="Q339" s="475">
        <f>IF(AND(R339="",S339=""),"",$Q$335)</f>
        <v>80</v>
      </c>
      <c r="R339" s="476">
        <f>IF(Tables!E89&gt;0,Tables!E89,IF(OR(Tables!C89="",Tables!C89=0),"",Tables!C89))</f>
        <v>50</v>
      </c>
      <c r="S339" s="481" t="str">
        <f>IF(Tables!E89&gt;0,IF(OR(Tables!Q89="",Tables!Q89="No Anomolies"),"",Tables!Q89),IF(OR(Tables!D89="",Tables!D89=0),"",Tables!D89))</f>
        <v/>
      </c>
      <c r="T339" s="423" t="str">
        <f>IF(Tables!AA89="","",Tables!AA89)</f>
        <v/>
      </c>
      <c r="U339" s="423" t="str">
        <f>IF(Tables!Y89="","",Tables!Y89)</f>
        <v/>
      </c>
      <c r="V339" s="424" t="str">
        <f>IF(Tables!AB89="","",Tables!AB89)</f>
        <v/>
      </c>
      <c r="W339" s="425" t="str">
        <f>IF(Tables!AC89="","",Tables!AC89)</f>
        <v/>
      </c>
      <c r="X339" s="668" t="s">
        <v>336</v>
      </c>
      <c r="Y339" s="677"/>
      <c r="AJ339" s="329"/>
    </row>
    <row r="340" spans="1:36" ht="11.25" customHeight="1">
      <c r="A340" s="604">
        <v>10</v>
      </c>
      <c r="B340" s="39"/>
      <c r="C340" s="3"/>
      <c r="D340" s="3"/>
      <c r="E340" s="3"/>
      <c r="F340" s="3"/>
      <c r="G340" s="3"/>
      <c r="H340" s="3"/>
      <c r="I340" s="5" t="s">
        <v>459</v>
      </c>
      <c r="J340" s="5" t="s">
        <v>459</v>
      </c>
      <c r="K340" s="435" t="s">
        <v>459</v>
      </c>
      <c r="L340" s="682" t="s">
        <v>336</v>
      </c>
      <c r="M340" s="464" t="str">
        <f>IF(OR(Tables!N90="",Tables!N90=0),"","Delay:"&amp;Tables!N90&amp;"ms")</f>
        <v/>
      </c>
      <c r="N340" s="479">
        <f>IF(AND(R340="",S340=""),"",$N$335)</f>
        <v>100</v>
      </c>
      <c r="O340" s="473" t="str">
        <f>IF(Tables!P90="","Large",Tables!P90)</f>
        <v>Large</v>
      </c>
      <c r="P340" s="482" t="str">
        <f>IF(AND(R340="",S340=""),"",$P$335)</f>
        <v>70-120/Low</v>
      </c>
      <c r="Q340" s="475">
        <f>IF(AND(R340="",S340=""),"",$Q$335)</f>
        <v>80</v>
      </c>
      <c r="R340" s="476">
        <f>IF(Tables!E90&gt;0,Tables!E90,IF(OR(Tables!C90="",Tables!C90=0),"",Tables!C90))</f>
        <v>80</v>
      </c>
      <c r="S340" s="481" t="str">
        <f>IF(Tables!E90&gt;0,IF(OR(Tables!Q90="",Tables!Q90="No Anomolies"),"",Tables!Q90),IF(OR(Tables!D90="",Tables!D90=0),"",Tables!D90))</f>
        <v/>
      </c>
      <c r="T340" s="423" t="str">
        <f>IF(Tables!AA90="","",Tables!AA90)</f>
        <v/>
      </c>
      <c r="U340" s="423" t="str">
        <f>IF(Tables!Y90="","",Tables!Y90)</f>
        <v/>
      </c>
      <c r="V340" s="424" t="str">
        <f>IF(Tables!AB90="","",Tables!AB90)</f>
        <v/>
      </c>
      <c r="W340" s="425" t="str">
        <f>IF(Tables!AC90="","",Tables!AC90)</f>
        <v/>
      </c>
      <c r="X340" s="668" t="s">
        <v>336</v>
      </c>
      <c r="Y340" s="677"/>
      <c r="AJ340" s="329"/>
    </row>
    <row r="341" spans="1:36" ht="11.25" customHeight="1" thickBot="1">
      <c r="A341" s="604">
        <v>11</v>
      </c>
      <c r="B341" s="39"/>
      <c r="C341" s="25" t="s">
        <v>369</v>
      </c>
      <c r="D341" s="25" t="str">
        <f>IF(LFMAS="","mA/mAs",LFMAS)</f>
        <v>mAs</v>
      </c>
      <c r="E341" s="25" t="s">
        <v>460</v>
      </c>
      <c r="F341" s="25" t="s">
        <v>461</v>
      </c>
      <c r="G341" s="25" t="s">
        <v>462</v>
      </c>
      <c r="H341" s="257" t="s">
        <v>463</v>
      </c>
      <c r="I341" s="7" t="s">
        <v>464</v>
      </c>
      <c r="J341" s="7" t="s">
        <v>464</v>
      </c>
      <c r="K341" s="24" t="s">
        <v>464</v>
      </c>
      <c r="L341" s="682" t="s">
        <v>336</v>
      </c>
      <c r="M341" s="111"/>
      <c r="N341" s="352" t="str">
        <f t="shared" ref="N341:Q344" si="57">IF(AND($R341="",$S341=""),"",N$335)</f>
        <v/>
      </c>
      <c r="O341" s="352" t="str">
        <f t="shared" si="57"/>
        <v/>
      </c>
      <c r="P341" s="352" t="str">
        <f t="shared" si="57"/>
        <v/>
      </c>
      <c r="Q341" s="352" t="str">
        <f t="shared" si="57"/>
        <v/>
      </c>
      <c r="R341" s="406" t="str">
        <f>IF($S341="","",$R$335)</f>
        <v/>
      </c>
      <c r="S341" s="632"/>
      <c r="T341" s="1091"/>
      <c r="U341" s="621"/>
      <c r="V341" s="617"/>
      <c r="W341" s="618"/>
      <c r="X341" s="668" t="s">
        <v>336</v>
      </c>
      <c r="Y341" s="677"/>
      <c r="AJ341" s="329"/>
    </row>
    <row r="342" spans="1:36" ht="11.25" customHeight="1">
      <c r="A342" s="604">
        <v>12</v>
      </c>
      <c r="B342" s="39"/>
      <c r="C342" s="22" t="str">
        <f t="shared" ref="C342:K342" si="58">IF(O209="","",O209)</f>
        <v/>
      </c>
      <c r="D342" s="22" t="str">
        <f t="shared" si="58"/>
        <v/>
      </c>
      <c r="E342" s="23" t="str">
        <f t="shared" si="58"/>
        <v/>
      </c>
      <c r="F342" s="22" t="str">
        <f t="shared" si="58"/>
        <v/>
      </c>
      <c r="G342" s="22" t="str">
        <f t="shared" si="58"/>
        <v/>
      </c>
      <c r="H342" s="23" t="str">
        <f t="shared" si="58"/>
        <v/>
      </c>
      <c r="I342" s="22" t="str">
        <f t="shared" si="58"/>
        <v/>
      </c>
      <c r="J342" s="9" t="str">
        <f t="shared" si="58"/>
        <v/>
      </c>
      <c r="K342" s="436" t="str">
        <f t="shared" si="58"/>
        <v/>
      </c>
      <c r="L342" s="682" t="s">
        <v>336</v>
      </c>
      <c r="M342" s="111"/>
      <c r="N342" s="352" t="str">
        <f t="shared" si="57"/>
        <v/>
      </c>
      <c r="O342" s="352" t="str">
        <f t="shared" si="57"/>
        <v/>
      </c>
      <c r="P342" s="352" t="str">
        <f t="shared" si="57"/>
        <v/>
      </c>
      <c r="Q342" s="352" t="str">
        <f t="shared" si="57"/>
        <v/>
      </c>
      <c r="R342" s="406" t="str">
        <f>IF($S342="","",$R$335)</f>
        <v/>
      </c>
      <c r="S342" s="632"/>
      <c r="T342" s="1091"/>
      <c r="U342" s="621"/>
      <c r="V342" s="617"/>
      <c r="W342" s="618"/>
      <c r="X342" s="668" t="s">
        <v>336</v>
      </c>
      <c r="Y342" s="677"/>
      <c r="AJ342" s="329"/>
    </row>
    <row r="343" spans="1:36" ht="11.25" customHeight="1">
      <c r="A343" s="604">
        <v>13</v>
      </c>
      <c r="B343" s="39"/>
      <c r="C343" s="3"/>
      <c r="D343" s="3"/>
      <c r="E343" s="3"/>
      <c r="F343" s="3"/>
      <c r="G343" s="3"/>
      <c r="H343" s="3"/>
      <c r="I343" s="3"/>
      <c r="J343" s="3"/>
      <c r="K343" s="34"/>
      <c r="L343" s="682" t="s">
        <v>336</v>
      </c>
      <c r="M343" s="111"/>
      <c r="N343" s="352" t="str">
        <f t="shared" si="57"/>
        <v/>
      </c>
      <c r="O343" s="352" t="str">
        <f t="shared" si="57"/>
        <v/>
      </c>
      <c r="P343" s="352" t="str">
        <f t="shared" si="57"/>
        <v/>
      </c>
      <c r="Q343" s="352" t="str">
        <f t="shared" si="57"/>
        <v/>
      </c>
      <c r="R343" s="406" t="str">
        <f>IF($S343="","",$R$335)</f>
        <v/>
      </c>
      <c r="S343" s="632"/>
      <c r="T343" s="1091"/>
      <c r="U343" s="621"/>
      <c r="V343" s="617"/>
      <c r="W343" s="618"/>
      <c r="X343" s="668" t="s">
        <v>336</v>
      </c>
      <c r="Y343" s="677"/>
      <c r="AJ343" s="329"/>
    </row>
    <row r="344" spans="1:36" ht="11.25" customHeight="1" thickBot="1">
      <c r="A344" s="604">
        <v>14</v>
      </c>
      <c r="B344" s="199" t="str">
        <f>IF(M212="","",M212)</f>
        <v>Small:</v>
      </c>
      <c r="C344" s="2" t="str">
        <f>IF(N212="","",N212)</f>
        <v/>
      </c>
      <c r="D344" s="4" t="str">
        <f>IF(O212="","",O212)</f>
        <v>mm</v>
      </c>
      <c r="E344" s="3"/>
      <c r="F344" s="3"/>
      <c r="G344" s="3"/>
      <c r="H344" s="3"/>
      <c r="I344" s="5" t="s">
        <v>422</v>
      </c>
      <c r="J344" s="5" t="s">
        <v>457</v>
      </c>
      <c r="K344" s="435" t="s">
        <v>457</v>
      </c>
      <c r="L344" s="682" t="s">
        <v>336</v>
      </c>
      <c r="M344" s="145"/>
      <c r="N344" s="353" t="str">
        <f t="shared" si="57"/>
        <v/>
      </c>
      <c r="O344" s="353" t="str">
        <f t="shared" si="57"/>
        <v/>
      </c>
      <c r="P344" s="353" t="str">
        <f t="shared" si="57"/>
        <v/>
      </c>
      <c r="Q344" s="353" t="str">
        <f t="shared" si="57"/>
        <v/>
      </c>
      <c r="R344" s="447" t="str">
        <f>IF($S344="","",$R$335)</f>
        <v/>
      </c>
      <c r="S344" s="633"/>
      <c r="T344" s="634"/>
      <c r="U344" s="623"/>
      <c r="V344" s="624"/>
      <c r="W344" s="625"/>
      <c r="X344" s="668" t="s">
        <v>336</v>
      </c>
      <c r="Y344" s="677"/>
      <c r="AJ344" s="329"/>
    </row>
    <row r="345" spans="1:36" ht="11.25" customHeight="1" thickTop="1">
      <c r="A345" s="604">
        <v>15</v>
      </c>
      <c r="B345" s="39"/>
      <c r="C345" s="3"/>
      <c r="D345" s="3"/>
      <c r="E345" s="3"/>
      <c r="F345" s="3"/>
      <c r="G345" s="3"/>
      <c r="H345" s="3"/>
      <c r="I345" s="5" t="s">
        <v>459</v>
      </c>
      <c r="J345" s="5" t="s">
        <v>459</v>
      </c>
      <c r="K345" s="435" t="s">
        <v>459</v>
      </c>
      <c r="L345" s="682" t="s">
        <v>336</v>
      </c>
      <c r="M345" s="75"/>
      <c r="N345" s="434" t="s">
        <v>125</v>
      </c>
      <c r="O345" s="58"/>
      <c r="P345" s="58"/>
      <c r="Q345" s="58"/>
      <c r="R345" s="58"/>
      <c r="S345" s="58"/>
      <c r="T345" s="58"/>
      <c r="U345" s="58"/>
      <c r="V345" s="58"/>
      <c r="W345" s="76"/>
      <c r="X345" s="668" t="s">
        <v>336</v>
      </c>
      <c r="Y345" s="677"/>
      <c r="AJ345" s="329"/>
    </row>
    <row r="346" spans="1:36" ht="11.25" customHeight="1" thickBot="1">
      <c r="A346" s="604">
        <v>16</v>
      </c>
      <c r="B346" s="39"/>
      <c r="C346" s="25" t="s">
        <v>369</v>
      </c>
      <c r="D346" s="25" t="str">
        <f>IF(SFMAS="","mA/mAs",SFMAS)</f>
        <v>mAs</v>
      </c>
      <c r="E346" s="25" t="s">
        <v>460</v>
      </c>
      <c r="F346" s="25" t="s">
        <v>461</v>
      </c>
      <c r="G346" s="25" t="s">
        <v>462</v>
      </c>
      <c r="H346" s="257" t="s">
        <v>463</v>
      </c>
      <c r="I346" s="7" t="s">
        <v>464</v>
      </c>
      <c r="J346" s="7" t="s">
        <v>464</v>
      </c>
      <c r="K346" s="24" t="s">
        <v>464</v>
      </c>
      <c r="L346" s="682" t="s">
        <v>336</v>
      </c>
      <c r="M346" s="136"/>
      <c r="N346" s="44" t="s">
        <v>126</v>
      </c>
      <c r="O346" s="49"/>
      <c r="P346" s="49"/>
      <c r="Q346" s="49"/>
      <c r="R346" s="49"/>
      <c r="S346" s="49"/>
      <c r="T346" s="49"/>
      <c r="U346" s="49"/>
      <c r="V346" s="49"/>
      <c r="W346" s="67"/>
      <c r="X346" s="668" t="s">
        <v>336</v>
      </c>
      <c r="Y346" s="677"/>
      <c r="AJ346" s="329"/>
    </row>
    <row r="347" spans="1:36" ht="11.25" customHeight="1">
      <c r="A347" s="604">
        <v>17</v>
      </c>
      <c r="B347" s="39"/>
      <c r="C347" s="22" t="str">
        <f t="shared" ref="C347:K347" si="59">IF(O214="","",O214)</f>
        <v/>
      </c>
      <c r="D347" s="22" t="str">
        <f t="shared" si="59"/>
        <v/>
      </c>
      <c r="E347" s="23" t="str">
        <f t="shared" si="59"/>
        <v/>
      </c>
      <c r="F347" s="22" t="str">
        <f t="shared" si="59"/>
        <v/>
      </c>
      <c r="G347" s="22" t="str">
        <f t="shared" si="59"/>
        <v/>
      </c>
      <c r="H347" s="23" t="str">
        <f t="shared" si="59"/>
        <v/>
      </c>
      <c r="I347" s="22" t="str">
        <f t="shared" si="59"/>
        <v/>
      </c>
      <c r="J347" s="9" t="str">
        <f t="shared" si="59"/>
        <v/>
      </c>
      <c r="K347" s="436" t="str">
        <f t="shared" si="59"/>
        <v/>
      </c>
      <c r="L347" s="682" t="s">
        <v>336</v>
      </c>
      <c r="M347" s="136"/>
      <c r="N347" s="49"/>
      <c r="O347" s="49"/>
      <c r="P347" s="49"/>
      <c r="Q347" s="49"/>
      <c r="R347" s="49"/>
      <c r="S347" s="49"/>
      <c r="T347" s="49"/>
      <c r="U347" s="49"/>
      <c r="V347" s="49"/>
      <c r="W347" s="67"/>
      <c r="X347" s="668" t="s">
        <v>336</v>
      </c>
      <c r="Y347" s="677"/>
      <c r="AJ347" s="329"/>
    </row>
    <row r="348" spans="1:36" ht="11.25" customHeight="1" thickBot="1">
      <c r="A348" s="604">
        <v>18</v>
      </c>
      <c r="B348" s="39"/>
      <c r="C348" s="4" t="s">
        <v>466</v>
      </c>
      <c r="D348" s="3"/>
      <c r="E348" s="3"/>
      <c r="F348" s="3"/>
      <c r="G348" s="3"/>
      <c r="H348" s="3"/>
      <c r="I348" s="3"/>
      <c r="J348" s="3"/>
      <c r="K348" s="67"/>
      <c r="L348" s="682" t="s">
        <v>336</v>
      </c>
      <c r="M348" s="129"/>
      <c r="N348" s="160" t="s">
        <v>417</v>
      </c>
      <c r="O348" s="843" t="str">
        <f>IF(O331="1*","Note: Although this is a single phase generator, the exposure time was recorded in seconds, rather than pulses.","")</f>
        <v/>
      </c>
      <c r="P348" s="41"/>
      <c r="Q348" s="41"/>
      <c r="R348" s="41"/>
      <c r="S348" s="41"/>
      <c r="T348" s="41"/>
      <c r="U348" s="41"/>
      <c r="V348" s="41"/>
      <c r="W348" s="108"/>
      <c r="X348" s="668" t="s">
        <v>336</v>
      </c>
      <c r="Y348" s="677"/>
      <c r="AJ348" s="329"/>
    </row>
    <row r="349" spans="1:36" ht="11.25" customHeight="1" thickBot="1">
      <c r="A349" s="604">
        <v>19</v>
      </c>
      <c r="B349" s="199"/>
      <c r="C349" s="4" t="s">
        <v>467</v>
      </c>
      <c r="D349" s="3"/>
      <c r="E349" s="3"/>
      <c r="F349" s="3"/>
      <c r="G349" s="3"/>
      <c r="H349" s="3"/>
      <c r="I349" s="37" t="s">
        <v>424</v>
      </c>
      <c r="J349" s="156" t="str">
        <f>IF($M219="","TBD",IF($M219=1,"YES",IF($M219=2,"NO","NA")))</f>
        <v>TBD</v>
      </c>
      <c r="K349" s="67"/>
      <c r="L349" s="682" t="s">
        <v>336</v>
      </c>
      <c r="M349" s="109" t="s">
        <v>127</v>
      </c>
      <c r="N349" s="41"/>
      <c r="O349" s="41"/>
      <c r="P349" s="41"/>
      <c r="Q349" s="41"/>
      <c r="R349" s="41"/>
      <c r="S349" s="41"/>
      <c r="T349" s="41"/>
      <c r="U349" s="41"/>
      <c r="V349" s="41"/>
      <c r="W349" s="108"/>
      <c r="X349" s="668" t="s">
        <v>336</v>
      </c>
      <c r="Y349" s="677"/>
      <c r="AJ349" s="329"/>
    </row>
    <row r="350" spans="1:36" ht="11.25" customHeight="1">
      <c r="A350" s="604">
        <v>20</v>
      </c>
      <c r="B350" s="136"/>
      <c r="C350" s="49"/>
      <c r="D350" s="49"/>
      <c r="E350" s="49"/>
      <c r="F350" s="49"/>
      <c r="G350" s="49"/>
      <c r="H350" s="49"/>
      <c r="I350" s="49"/>
      <c r="J350" s="49"/>
      <c r="K350" s="67"/>
      <c r="L350" s="682" t="s">
        <v>336</v>
      </c>
      <c r="M350" s="111"/>
      <c r="N350" s="221" t="s">
        <v>111</v>
      </c>
      <c r="O350" s="705" t="str">
        <f>IF(O351&lt;&gt;"",O351,IF(OR(AB217=0,AB217=""),"",AB217))</f>
        <v/>
      </c>
      <c r="P350" s="41"/>
      <c r="Q350" s="41"/>
      <c r="R350" s="41"/>
      <c r="S350" s="41"/>
      <c r="T350" s="41"/>
      <c r="U350" s="41"/>
      <c r="V350" s="41"/>
      <c r="W350" s="108"/>
      <c r="X350" s="668" t="s">
        <v>336</v>
      </c>
      <c r="Y350" s="677"/>
      <c r="AJ350" s="329"/>
    </row>
    <row r="351" spans="1:36" ht="11.25" customHeight="1">
      <c r="A351" s="604">
        <v>21</v>
      </c>
      <c r="B351" s="136"/>
      <c r="C351" s="143" t="s">
        <v>425</v>
      </c>
      <c r="D351" s="191" t="s">
        <v>468</v>
      </c>
      <c r="E351" s="49"/>
      <c r="F351" s="49"/>
      <c r="G351" s="49"/>
      <c r="H351" s="49"/>
      <c r="I351" s="49"/>
      <c r="J351" s="49"/>
      <c r="K351" s="67"/>
      <c r="L351" s="682" t="s">
        <v>336</v>
      </c>
      <c r="M351" s="129"/>
      <c r="N351" s="899" t="s">
        <v>437</v>
      </c>
      <c r="O351" s="901"/>
      <c r="P351" s="798">
        <f>LEN(O350)</f>
        <v>0</v>
      </c>
      <c r="Q351" s="650"/>
      <c r="R351" s="650"/>
      <c r="S351" s="650"/>
      <c r="T351" s="650"/>
      <c r="U351" s="650"/>
      <c r="V351" s="650"/>
      <c r="W351" s="902"/>
      <c r="X351" s="668" t="s">
        <v>336</v>
      </c>
      <c r="Y351" s="677"/>
      <c r="AB351" s="542"/>
      <c r="AC351" s="554" t="str">
        <f t="shared" ref="AC351" si="60">IF(AND(OR(AB351="",AB351=0),OR(AD351="",AD351=0)),"",IF(AB351&lt;&gt;AD351,"Change",""))</f>
        <v/>
      </c>
      <c r="AD351" s="937"/>
      <c r="AE351" s="578"/>
      <c r="AJ351" s="329"/>
    </row>
    <row r="352" spans="1:36" ht="11.25" customHeight="1">
      <c r="A352" s="604">
        <v>22</v>
      </c>
      <c r="B352" s="136"/>
      <c r="C352" s="49"/>
      <c r="D352" s="49"/>
      <c r="E352" s="49"/>
      <c r="F352" s="49"/>
      <c r="G352" s="49"/>
      <c r="H352" s="49"/>
      <c r="I352" s="49"/>
      <c r="J352" s="49"/>
      <c r="K352" s="67"/>
      <c r="L352" s="682" t="s">
        <v>336</v>
      </c>
      <c r="M352" s="129"/>
      <c r="N352" s="49"/>
      <c r="O352" s="49"/>
      <c r="P352" s="49"/>
      <c r="Q352" s="49"/>
      <c r="R352" s="162" t="str">
        <f>"Time"&amp;IF($O$331=1," (Pulses)"," (sec)")</f>
        <v>Time (sec)</v>
      </c>
      <c r="S352" s="163"/>
      <c r="T352" s="42" t="s">
        <v>423</v>
      </c>
      <c r="U352" s="719" t="s">
        <v>128</v>
      </c>
      <c r="V352" s="719" t="s">
        <v>129</v>
      </c>
      <c r="W352" s="720" t="s">
        <v>130</v>
      </c>
      <c r="X352" s="668" t="s">
        <v>336</v>
      </c>
      <c r="Y352" s="677"/>
      <c r="AC352"/>
      <c r="AD352"/>
      <c r="AE352"/>
      <c r="AJ352" s="329"/>
    </row>
    <row r="353" spans="1:36" ht="11.25" customHeight="1" thickBot="1">
      <c r="A353" s="604">
        <v>23</v>
      </c>
      <c r="B353" s="106" t="s">
        <v>417</v>
      </c>
      <c r="C353" s="799" t="str">
        <f>IF(O223="","",IF(LEN(O223)&lt;=135,O223,IF(LEN(O223)&lt;=260,LEFT(O223,SEARCH(" ",O223,125)),LEFT(O223,SEARCH(" ",O223,130)))))</f>
        <v/>
      </c>
      <c r="D353" s="2"/>
      <c r="E353" s="2"/>
      <c r="F353" s="2"/>
      <c r="G353" s="2"/>
      <c r="H353" s="2"/>
      <c r="I353" s="2"/>
      <c r="J353" s="2"/>
      <c r="K353" s="67"/>
      <c r="L353" s="682" t="s">
        <v>336</v>
      </c>
      <c r="M353" s="129"/>
      <c r="N353" s="49"/>
      <c r="O353" s="49"/>
      <c r="P353" s="49"/>
      <c r="Q353" s="49"/>
      <c r="R353" s="161" t="s">
        <v>421</v>
      </c>
      <c r="S353" s="151" t="s">
        <v>422</v>
      </c>
      <c r="T353" s="161" t="str">
        <f>IF($O$331=1," (Pulses)"," (Percent)")</f>
        <v xml:space="preserve"> (Percent)</v>
      </c>
      <c r="U353" s="721" t="s">
        <v>444</v>
      </c>
      <c r="V353" s="721" t="s">
        <v>444</v>
      </c>
      <c r="W353" s="722" t="s">
        <v>444</v>
      </c>
      <c r="X353" s="668" t="s">
        <v>336</v>
      </c>
      <c r="Y353" s="677"/>
      <c r="AC353"/>
      <c r="AD353"/>
      <c r="AE353"/>
      <c r="AJ353" s="329"/>
    </row>
    <row r="354" spans="1:36" ht="11.25" customHeight="1">
      <c r="A354" s="604">
        <v>24</v>
      </c>
      <c r="B354" s="39"/>
      <c r="C354" s="800" t="str">
        <f>IF(LEN(O223)&lt;=135,"",IF(LEN(O223)&lt;=260,RIGHT(O223,LEN(O223)-SEARCH(" ",O223,125)),MID(O223,SEARCH(" ",O223,130),IF(LEN(O223)&lt;=265,LEN(O223),SEARCH(" ",O223,255)-SEARCH(" ",O223,130)))))</f>
        <v/>
      </c>
      <c r="D354" s="2"/>
      <c r="E354" s="2"/>
      <c r="F354" s="2"/>
      <c r="G354" s="2"/>
      <c r="H354" s="2"/>
      <c r="I354" s="2"/>
      <c r="J354" s="2"/>
      <c r="K354" s="67"/>
      <c r="L354" s="682" t="s">
        <v>336</v>
      </c>
      <c r="M354" s="129"/>
      <c r="N354" s="49"/>
      <c r="O354" s="49"/>
      <c r="P354" s="49"/>
      <c r="Q354" s="49"/>
      <c r="R354" s="128" t="str">
        <f t="shared" ref="R354:R363" si="61">IF(S335="","",S335)</f>
        <v/>
      </c>
      <c r="S354" s="260" t="str">
        <f t="shared" ref="S354:S363" si="62">IF(V335="","",V335)</f>
        <v/>
      </c>
      <c r="T354" s="734" t="str">
        <f>IF(OR(E484="",F484="",AND(LFMAS="",SFMAS=""),AND(Tables!$P$83="Large",LFMAS="mAs"),AND(Tables!$P$83="Small",SFMAS="mAs")),"",IF($O$331=1,(F484-E484),IF(AND(E484&gt;0,F484&gt;0),(ROUND(100*(F484-E484)/E484,1)),"")))</f>
        <v/>
      </c>
      <c r="U354" s="1139" t="str">
        <f t="shared" ref="U354:U363" si="63">IF(OR($M$332&lt;&gt;1,P331=1,AND(LFMAS="",SFMAS="")),"",IF(V335="","",IF(E484&lt;0.002,IF(ABS(G484)&gt;25,"NO","YES"),IF(E484&lt;=0.01,IF(ABS(G484)&gt;20,"NO","YES"),IF(E484&lt;=0.05,IF(ABS(G484)&gt;15,"NO","YES"),IF(E484&lt;=0.1,IF(ABS(G484)&gt;10,"NO","YES"),IF(ABS(G484)&gt;5,"NO","YES")))))))</f>
        <v/>
      </c>
      <c r="V354" s="1139" t="str">
        <f t="shared" ref="V354:V363" si="64">IF(OR($M$332&lt;&gt;1,P331&lt;&gt;1,AND(LFMAS="",SFMAS="")),"",IF(V335="","",IF(E484&lt;=4,IF(ABS(G484)&gt;0,"NO","YES"),IF(E484&lt;=24,IF(ABS(G484)&gt;1,"NO","YES"),IF(E484&lt;=60,IF(ABS(G484)&gt;2,"NO","YES"),IF(ABS(G484)&gt;3,"NO","YES"))))))</f>
        <v/>
      </c>
      <c r="W354" s="1140" t="str">
        <f t="shared" ref="W354:W363" si="65">IF(OR($M$332&lt;&gt;1,P331&lt;&gt;"Dent",AND(LFMAS="",SFMAS="")),"",IF(V335="","",IF(ABS(G484)&gt;15,"NO","YES")))</f>
        <v/>
      </c>
      <c r="X354" s="668" t="s">
        <v>336</v>
      </c>
      <c r="Y354" s="677"/>
      <c r="Z354" s="543"/>
      <c r="AC354"/>
      <c r="AD354"/>
      <c r="AE354"/>
      <c r="AJ354" s="329"/>
    </row>
    <row r="355" spans="1:36" ht="11.25" customHeight="1">
      <c r="A355" s="604">
        <v>25</v>
      </c>
      <c r="B355" s="39"/>
      <c r="C355" s="799" t="str">
        <f>IF(LEN(O223)&lt;=265,"",RIGHT(O223,LEN(O223)-SEARCH(" ",O223,255)))</f>
        <v/>
      </c>
      <c r="D355" s="2"/>
      <c r="E355" s="2"/>
      <c r="F355" s="2"/>
      <c r="G355" s="2"/>
      <c r="H355" s="2"/>
      <c r="I355" s="2"/>
      <c r="J355" s="2"/>
      <c r="K355" s="67"/>
      <c r="L355" s="682" t="s">
        <v>336</v>
      </c>
      <c r="M355" s="129"/>
      <c r="N355" s="49"/>
      <c r="O355" s="49"/>
      <c r="P355" s="49"/>
      <c r="Q355" s="49"/>
      <c r="R355" s="128" t="str">
        <f t="shared" si="61"/>
        <v/>
      </c>
      <c r="S355" s="260" t="str">
        <f t="shared" si="62"/>
        <v/>
      </c>
      <c r="T355" s="734" t="str">
        <f>IF(OR(E485="",F485="",AND(LFMAS="",SFMAS=""),AND(Tables!$P$83="Large",LFMAS="mAs"),AND(Tables!$P$83="Small",SFMAS="mAs")),"",IF($O$331=1,(F485-E485),IF(AND(E485&gt;0,F485&gt;0),(ROUND(100*(F485-E485)/E485,1)),"")))</f>
        <v/>
      </c>
      <c r="U355" s="1139" t="str">
        <f t="shared" si="63"/>
        <v/>
      </c>
      <c r="V355" s="1139" t="str">
        <f t="shared" si="64"/>
        <v/>
      </c>
      <c r="W355" s="1140" t="str">
        <f t="shared" si="65"/>
        <v/>
      </c>
      <c r="X355" s="668" t="s">
        <v>336</v>
      </c>
      <c r="Y355" s="677"/>
      <c r="Z355" s="543"/>
      <c r="AC355"/>
      <c r="AD355"/>
      <c r="AE355"/>
      <c r="AJ355" s="329"/>
    </row>
    <row r="356" spans="1:36" ht="11.25" customHeight="1" thickBot="1">
      <c r="A356" s="604">
        <v>26</v>
      </c>
      <c r="B356" s="98"/>
      <c r="C356" s="80"/>
      <c r="D356" s="80"/>
      <c r="E356" s="80"/>
      <c r="F356" s="80"/>
      <c r="G356" s="80"/>
      <c r="H356" s="80"/>
      <c r="I356" s="80"/>
      <c r="J356" s="80"/>
      <c r="K356" s="85"/>
      <c r="L356" s="682" t="s">
        <v>336</v>
      </c>
      <c r="M356" s="129"/>
      <c r="N356" s="49"/>
      <c r="O356" s="49"/>
      <c r="P356" s="49"/>
      <c r="Q356" s="49"/>
      <c r="R356" s="128" t="str">
        <f t="shared" si="61"/>
        <v/>
      </c>
      <c r="S356" s="260" t="str">
        <f t="shared" si="62"/>
        <v/>
      </c>
      <c r="T356" s="734" t="str">
        <f>IF(OR(E486="",F486="",AND(LFMAS="",SFMAS=""),AND(Tables!$P$83="Large",LFMAS="mAs"),AND(Tables!$P$83="Small",SFMAS="mAs")),"",IF($O$331=1,(F486-E486),IF(AND(E486&gt;0,F486&gt;0),(ROUND(100*(F486-E486)/E486,1)),"")))</f>
        <v/>
      </c>
      <c r="U356" s="1139" t="str">
        <f t="shared" si="63"/>
        <v/>
      </c>
      <c r="V356" s="1139" t="str">
        <f t="shared" si="64"/>
        <v/>
      </c>
      <c r="W356" s="1140" t="str">
        <f t="shared" si="65"/>
        <v/>
      </c>
      <c r="X356" s="668" t="s">
        <v>336</v>
      </c>
      <c r="Y356" s="677"/>
      <c r="Z356" s="543"/>
      <c r="AC356"/>
      <c r="AD356"/>
      <c r="AE356"/>
      <c r="AJ356" s="329"/>
    </row>
    <row r="357" spans="1:36" ht="11.25" customHeight="1" thickTop="1">
      <c r="A357" s="604">
        <v>27</v>
      </c>
      <c r="B357" s="49"/>
      <c r="C357" s="49"/>
      <c r="D357" s="49"/>
      <c r="E357" s="49"/>
      <c r="F357" s="49"/>
      <c r="G357" s="49"/>
      <c r="H357" s="49"/>
      <c r="I357" s="49"/>
      <c r="J357" s="49"/>
      <c r="K357" s="49"/>
      <c r="L357" s="682" t="s">
        <v>336</v>
      </c>
      <c r="M357" s="136"/>
      <c r="N357" s="49"/>
      <c r="O357" s="49"/>
      <c r="P357" s="49"/>
      <c r="Q357" s="49"/>
      <c r="R357" s="128" t="str">
        <f t="shared" si="61"/>
        <v/>
      </c>
      <c r="S357" s="260" t="str">
        <f t="shared" si="62"/>
        <v/>
      </c>
      <c r="T357" s="734" t="str">
        <f>IF(OR(E487="",F487="",AND(LFMAS="",SFMAS=""),AND(Tables!$P$83="Large",LFMAS="mAs"),AND(Tables!$P$83="Small",SFMAS="mAs")),"",IF($O$331=1,(F487-E487),IF(AND(E487&gt;0,F487&gt;0),(ROUND(100*(F487-E487)/E487,1)),"")))</f>
        <v/>
      </c>
      <c r="U357" s="1139" t="str">
        <f t="shared" si="63"/>
        <v/>
      </c>
      <c r="V357" s="1139" t="str">
        <f t="shared" si="64"/>
        <v/>
      </c>
      <c r="W357" s="1140" t="str">
        <f t="shared" si="65"/>
        <v/>
      </c>
      <c r="X357" s="668" t="s">
        <v>336</v>
      </c>
      <c r="Y357" s="677"/>
      <c r="Z357" s="543"/>
      <c r="AC357"/>
      <c r="AD357"/>
      <c r="AE357"/>
      <c r="AJ357" s="329"/>
    </row>
    <row r="358" spans="1:36" ht="11.25" customHeight="1">
      <c r="A358" s="604">
        <v>28</v>
      </c>
      <c r="B358" s="49"/>
      <c r="C358" s="49"/>
      <c r="D358" s="49"/>
      <c r="E358" s="49"/>
      <c r="F358" s="49"/>
      <c r="G358" s="49"/>
      <c r="H358" s="49"/>
      <c r="I358" s="49"/>
      <c r="J358" s="49"/>
      <c r="K358" s="49"/>
      <c r="L358" s="682" t="s">
        <v>336</v>
      </c>
      <c r="M358" s="107"/>
      <c r="N358" s="49"/>
      <c r="O358" s="49"/>
      <c r="P358" s="49"/>
      <c r="Q358" s="49"/>
      <c r="R358" s="128" t="str">
        <f t="shared" si="61"/>
        <v/>
      </c>
      <c r="S358" s="260" t="str">
        <f t="shared" si="62"/>
        <v/>
      </c>
      <c r="T358" s="734" t="str">
        <f>IF(OR(E488="",F488="",AND(LFMAS="",SFMAS=""),AND(Tables!$P$83="Large",LFMAS="mAs"),AND(Tables!$P$83="Small",SFMAS="mAs")),"",IF($O$331=1,(F488-E488),IF(AND(E488&gt;0,F488&gt;0),(ROUND(100*(F488-E488)/E488,1)),"")))</f>
        <v/>
      </c>
      <c r="U358" s="1139" t="str">
        <f t="shared" si="63"/>
        <v/>
      </c>
      <c r="V358" s="1139" t="str">
        <f t="shared" si="64"/>
        <v/>
      </c>
      <c r="W358" s="1140" t="str">
        <f t="shared" si="65"/>
        <v/>
      </c>
      <c r="X358" s="668" t="s">
        <v>336</v>
      </c>
      <c r="Y358" s="677"/>
      <c r="Z358" s="543"/>
      <c r="AC358"/>
      <c r="AD358"/>
      <c r="AE358"/>
      <c r="AJ358" s="329"/>
    </row>
    <row r="359" spans="1:36" ht="11.25" customHeight="1">
      <c r="A359" s="604">
        <v>29</v>
      </c>
      <c r="B359" s="49"/>
      <c r="C359" s="49"/>
      <c r="D359" s="49"/>
      <c r="E359" s="49"/>
      <c r="F359" s="193" t="s">
        <v>79</v>
      </c>
      <c r="G359" s="49"/>
      <c r="H359" s="49"/>
      <c r="I359" s="49"/>
      <c r="J359" s="49"/>
      <c r="K359" s="49"/>
      <c r="L359" s="682" t="s">
        <v>336</v>
      </c>
      <c r="M359" s="129"/>
      <c r="N359" s="42"/>
      <c r="O359" s="362" t="str">
        <f>IF(AND(O348="",O291=""),"",IF(AND(O348&lt;&gt;"",O291=""),"Accuracy:  "&amp;O348,IF(AND(O348="",O291&lt;&gt;""),"Reproducibility:  "&amp;O291,"Accuracy:  "&amp;O348&amp;";  Reproducibility:  "&amp;O291)))</f>
        <v/>
      </c>
      <c r="P359" s="42"/>
      <c r="Q359" s="42"/>
      <c r="R359" s="128" t="str">
        <f t="shared" si="61"/>
        <v/>
      </c>
      <c r="S359" s="260" t="str">
        <f t="shared" si="62"/>
        <v/>
      </c>
      <c r="T359" s="734" t="str">
        <f>IF(OR(E489="",F489="",AND(LFMAS="",SFMAS=""),AND(Tables!$P$83="Large",LFMAS="mAs"),AND(Tables!$P$83="Small",SFMAS="mAs")),"",IF($O$331=1,(F489-E489),IF(AND(E489&gt;0,F489&gt;0),(ROUND(100*(F489-E489)/E489,1)),"")))</f>
        <v/>
      </c>
      <c r="U359" s="1139" t="str">
        <f t="shared" si="63"/>
        <v/>
      </c>
      <c r="V359" s="1139" t="str">
        <f t="shared" si="64"/>
        <v/>
      </c>
      <c r="W359" s="1140" t="str">
        <f t="shared" si="65"/>
        <v/>
      </c>
      <c r="X359" s="668" t="s">
        <v>336</v>
      </c>
      <c r="Y359" s="677"/>
      <c r="Z359" s="543"/>
      <c r="AC359"/>
      <c r="AD359"/>
      <c r="AE359"/>
      <c r="AJ359" s="329"/>
    </row>
    <row r="360" spans="1:36" ht="11.25" customHeight="1" thickBot="1">
      <c r="A360" s="604">
        <v>30</v>
      </c>
      <c r="B360" s="49"/>
      <c r="C360" s="49"/>
      <c r="D360" s="49"/>
      <c r="E360" s="49"/>
      <c r="F360" s="251"/>
      <c r="G360" s="49"/>
      <c r="H360" s="49"/>
      <c r="I360" s="49"/>
      <c r="J360" s="49"/>
      <c r="K360" s="49"/>
      <c r="L360" s="682" t="s">
        <v>336</v>
      </c>
      <c r="M360" s="129"/>
      <c r="N360" s="42"/>
      <c r="O360" s="44"/>
      <c r="P360" s="42" t="s">
        <v>132</v>
      </c>
      <c r="Q360" s="42"/>
      <c r="R360" s="128" t="str">
        <f t="shared" si="61"/>
        <v/>
      </c>
      <c r="S360" s="260" t="str">
        <f t="shared" si="62"/>
        <v/>
      </c>
      <c r="T360" s="295" t="str">
        <f>IF(OR(E490="",F490="",AND(LFMAS="",SFMAS=""),AND(Tables!$P$83="Large",LFMAS="mAs"),AND(Tables!$P$83="Small",SFMAS="mAs")),"",IF($O$331=1,(F490-E490),IF(AND(E490&gt;0,F490&gt;0),(ROUND(100*(F490-E490)/E490,1)),"")))</f>
        <v/>
      </c>
      <c r="U360" s="1139" t="str">
        <f t="shared" si="63"/>
        <v/>
      </c>
      <c r="V360" s="1139" t="str">
        <f t="shared" si="64"/>
        <v/>
      </c>
      <c r="W360" s="1140" t="str">
        <f t="shared" si="65"/>
        <v/>
      </c>
      <c r="X360" s="668" t="s">
        <v>336</v>
      </c>
      <c r="Y360" s="677"/>
      <c r="Z360" s="543"/>
      <c r="AC360"/>
      <c r="AD360"/>
      <c r="AE360"/>
      <c r="AJ360" s="329"/>
    </row>
    <row r="361" spans="1:36" ht="11.25" customHeight="1" thickTop="1">
      <c r="A361" s="604">
        <v>31</v>
      </c>
      <c r="B361" s="75"/>
      <c r="C361" s="58"/>
      <c r="D361" s="58"/>
      <c r="E361" s="58"/>
      <c r="F361" s="58"/>
      <c r="G361" s="58"/>
      <c r="H361" s="58"/>
      <c r="I361" s="58"/>
      <c r="J361" s="58"/>
      <c r="K361" s="76"/>
      <c r="L361" s="682" t="s">
        <v>336</v>
      </c>
      <c r="M361" s="129"/>
      <c r="N361" s="42"/>
      <c r="O361" s="49"/>
      <c r="P361" s="42"/>
      <c r="Q361" s="42"/>
      <c r="R361" s="128" t="str">
        <f t="shared" si="61"/>
        <v/>
      </c>
      <c r="S361" s="260" t="str">
        <f t="shared" si="62"/>
        <v/>
      </c>
      <c r="T361" s="295" t="str">
        <f>IF(OR(E491="",F491="",AND(LFMAS="",SFMAS=""),AND(Tables!$P$83="Large",LFMAS="mAs"),AND(Tables!$P$83="Small",SFMAS="mAs")),"",IF($O$331=1,(F491-E491),IF(AND(E491&gt;0,F491&gt;0),(ROUND(100*(F491-E491)/E491,1)),"")))</f>
        <v/>
      </c>
      <c r="U361" s="1139" t="str">
        <f t="shared" si="63"/>
        <v/>
      </c>
      <c r="V361" s="1139" t="str">
        <f t="shared" si="64"/>
        <v/>
      </c>
      <c r="W361" s="1140" t="str">
        <f t="shared" si="65"/>
        <v/>
      </c>
      <c r="X361" s="668" t="s">
        <v>336</v>
      </c>
      <c r="Y361" s="677"/>
      <c r="Z361" s="543"/>
      <c r="AC361"/>
      <c r="AD361"/>
      <c r="AE361"/>
      <c r="AJ361" s="329"/>
    </row>
    <row r="362" spans="1:36" ht="11.25" customHeight="1">
      <c r="A362" s="604">
        <v>32</v>
      </c>
      <c r="B362" s="136"/>
      <c r="C362" s="48" t="s">
        <v>47</v>
      </c>
      <c r="D362" s="110" t="str">
        <f>IF($O$227="","",$O$227)</f>
        <v>Piranha CB2-17090320</v>
      </c>
      <c r="E362" s="215"/>
      <c r="F362" s="1079"/>
      <c r="G362" s="48" t="s">
        <v>681</v>
      </c>
      <c r="H362" s="1083" t="str">
        <f>IF(S227="","",S227)</f>
        <v/>
      </c>
      <c r="I362" s="49"/>
      <c r="J362" s="48" t="s">
        <v>684</v>
      </c>
      <c r="K362" s="1084" t="str">
        <f>IF(S228="","",S228)</f>
        <v/>
      </c>
      <c r="L362" s="682" t="s">
        <v>336</v>
      </c>
      <c r="M362" s="129"/>
      <c r="N362" s="42"/>
      <c r="O362" s="362" t="str">
        <f>IF(AND(O350="",O293=""),"",IF(AND(O350&lt;&gt;"",O293=""),"Accuracy:  "&amp;O350,IF(AND(O350="",O293&lt;&gt;""),"Reproducibility:  "&amp;O293,"Accuracy:  "&amp;O350&amp;";  Reproducibility:  "&amp;O293)))</f>
        <v/>
      </c>
      <c r="P362" s="42"/>
      <c r="Q362" s="42"/>
      <c r="R362" s="128" t="str">
        <f t="shared" si="61"/>
        <v/>
      </c>
      <c r="S362" s="260" t="str">
        <f t="shared" si="62"/>
        <v/>
      </c>
      <c r="T362" s="295" t="str">
        <f>IF(OR(E492="",F492="",AND(LFMAS="",SFMAS=""),AND(Tables!$P$83="Large",LFMAS="mAs"),AND(Tables!$P$83="Small",SFMAS="mAs")),"",IF($O$331=1,(F492-E492),IF(AND(E492&gt;0,F492&gt;0),(ROUND(100*(F492-E492)/E492,1)),"")))</f>
        <v/>
      </c>
      <c r="U362" s="1139" t="str">
        <f t="shared" si="63"/>
        <v/>
      </c>
      <c r="V362" s="1139" t="str">
        <f t="shared" si="64"/>
        <v/>
      </c>
      <c r="W362" s="1140" t="str">
        <f t="shared" si="65"/>
        <v/>
      </c>
      <c r="X362" s="668" t="s">
        <v>336</v>
      </c>
      <c r="Y362" s="677"/>
      <c r="Z362" s="543"/>
      <c r="AC362"/>
      <c r="AD362"/>
      <c r="AE362"/>
      <c r="AJ362" s="329"/>
    </row>
    <row r="363" spans="1:36" ht="11.25" customHeight="1">
      <c r="A363" s="604">
        <v>33</v>
      </c>
      <c r="B363" s="136"/>
      <c r="C363" s="36"/>
      <c r="D363" s="36"/>
      <c r="E363" s="36"/>
      <c r="F363" s="49"/>
      <c r="G363" s="36"/>
      <c r="H363" s="36"/>
      <c r="I363" s="36"/>
      <c r="J363" s="36"/>
      <c r="K363" s="67"/>
      <c r="L363" s="682" t="s">
        <v>336</v>
      </c>
      <c r="M363" s="129"/>
      <c r="N363" s="42"/>
      <c r="O363" s="42"/>
      <c r="P363" s="42"/>
      <c r="Q363" s="42"/>
      <c r="R363" s="128" t="str">
        <f t="shared" si="61"/>
        <v/>
      </c>
      <c r="S363" s="260" t="str">
        <f t="shared" si="62"/>
        <v/>
      </c>
      <c r="T363" s="295" t="str">
        <f>IF(OR(E493="",F493="",AND(LFMAS="",SFMAS=""),AND(Tables!$P$83="Large",LFMAS="mAs"),AND(Tables!$P$83="Small",SFMAS="mAs")),"",IF($O$331=1,(F493-E493),IF(AND(E493&gt;0,F493&gt;0),(ROUND(100*(F493-E493)/E493,1)),"")))</f>
        <v/>
      </c>
      <c r="U363" s="1139" t="str">
        <f t="shared" si="63"/>
        <v/>
      </c>
      <c r="V363" s="1139" t="str">
        <f t="shared" si="64"/>
        <v/>
      </c>
      <c r="W363" s="1140" t="str">
        <f t="shared" si="65"/>
        <v/>
      </c>
      <c r="X363" s="668" t="s">
        <v>336</v>
      </c>
      <c r="Y363" s="677"/>
      <c r="Z363" s="543"/>
      <c r="AC363"/>
      <c r="AD363"/>
      <c r="AE363"/>
      <c r="AJ363" s="329"/>
    </row>
    <row r="364" spans="1:36" ht="11.25" customHeight="1">
      <c r="A364" s="604">
        <v>34</v>
      </c>
      <c r="B364" s="290" t="s">
        <v>95</v>
      </c>
      <c r="C364" s="114"/>
      <c r="D364" s="36"/>
      <c r="E364" s="36"/>
      <c r="F364" s="49"/>
      <c r="G364" s="36"/>
      <c r="H364" s="36"/>
      <c r="I364" s="36"/>
      <c r="J364" s="36"/>
      <c r="K364" s="67"/>
      <c r="L364" s="682" t="s">
        <v>336</v>
      </c>
      <c r="M364" s="129"/>
      <c r="N364" s="344" t="s">
        <v>133</v>
      </c>
      <c r="O364" s="42"/>
      <c r="P364" s="42"/>
      <c r="Q364" s="42"/>
      <c r="R364" s="42"/>
      <c r="S364" s="42"/>
      <c r="T364" s="42"/>
      <c r="U364" s="42"/>
      <c r="V364" s="42"/>
      <c r="W364" s="65"/>
      <c r="X364" s="668" t="s">
        <v>336</v>
      </c>
      <c r="Y364" s="677"/>
      <c r="Z364" s="543"/>
      <c r="AC364"/>
      <c r="AD364"/>
      <c r="AE364"/>
      <c r="AJ364" s="329"/>
    </row>
    <row r="365" spans="1:36" ht="11.25" customHeight="1">
      <c r="A365" s="604">
        <v>35</v>
      </c>
      <c r="B365" s="129"/>
      <c r="C365" s="42"/>
      <c r="D365" s="42"/>
      <c r="E365" s="105"/>
      <c r="F365" s="105"/>
      <c r="G365" s="42"/>
      <c r="H365" s="42"/>
      <c r="I365" s="42"/>
      <c r="J365" s="42"/>
      <c r="K365" s="65"/>
      <c r="L365" s="682" t="s">
        <v>336</v>
      </c>
      <c r="M365" s="129"/>
      <c r="N365" s="42" t="s">
        <v>364</v>
      </c>
      <c r="O365" s="42"/>
      <c r="P365" s="42"/>
      <c r="Q365" s="42"/>
      <c r="R365" s="42" t="s">
        <v>364</v>
      </c>
      <c r="S365" s="42"/>
      <c r="T365" s="42"/>
      <c r="U365" s="42"/>
      <c r="V365" s="42"/>
      <c r="W365" s="65"/>
      <c r="X365" s="668" t="s">
        <v>336</v>
      </c>
      <c r="Y365" s="677"/>
      <c r="Z365" s="543"/>
      <c r="AC365"/>
      <c r="AD365"/>
      <c r="AE365"/>
      <c r="AJ365" s="329"/>
    </row>
    <row r="366" spans="1:36" ht="11.25" customHeight="1">
      <c r="A366" s="604">
        <v>36</v>
      </c>
      <c r="B366" s="136"/>
      <c r="C366" s="49"/>
      <c r="D366" s="49"/>
      <c r="E366" s="49"/>
      <c r="F366" s="49"/>
      <c r="G366" s="49"/>
      <c r="H366" s="49"/>
      <c r="I366" s="49"/>
      <c r="J366" s="49"/>
      <c r="K366" s="67"/>
      <c r="L366" s="682" t="s">
        <v>336</v>
      </c>
      <c r="M366" s="129"/>
      <c r="N366" s="41" t="s">
        <v>134</v>
      </c>
      <c r="O366" s="209" t="s">
        <v>135</v>
      </c>
      <c r="P366" s="209" t="s">
        <v>136</v>
      </c>
      <c r="Q366" s="42"/>
      <c r="R366" s="41" t="s">
        <v>134</v>
      </c>
      <c r="S366" s="209" t="s">
        <v>426</v>
      </c>
      <c r="T366" s="209" t="s">
        <v>136</v>
      </c>
      <c r="U366" s="42"/>
      <c r="V366" s="42"/>
      <c r="W366" s="65"/>
      <c r="X366" s="668" t="s">
        <v>336</v>
      </c>
      <c r="Y366" s="677"/>
      <c r="Z366" s="543"/>
      <c r="AC366"/>
      <c r="AD366"/>
      <c r="AE366"/>
      <c r="AJ366" s="329"/>
    </row>
    <row r="367" spans="1:36" ht="11.25" customHeight="1">
      <c r="A367" s="604">
        <v>37</v>
      </c>
      <c r="B367" s="136"/>
      <c r="C367" s="42" t="s">
        <v>97</v>
      </c>
      <c r="D367" s="49"/>
      <c r="E367" s="49"/>
      <c r="F367" s="49"/>
      <c r="G367" s="49"/>
      <c r="H367" s="42" t="s">
        <v>98</v>
      </c>
      <c r="I367" s="49"/>
      <c r="J367" s="49"/>
      <c r="K367" s="67"/>
      <c r="L367" s="682" t="s">
        <v>336</v>
      </c>
      <c r="M367" s="129"/>
      <c r="N367" s="42" t="s">
        <v>137</v>
      </c>
      <c r="O367" s="210" t="s">
        <v>629</v>
      </c>
      <c r="P367" s="222">
        <v>0</v>
      </c>
      <c r="Q367" s="44" t="s">
        <v>138</v>
      </c>
      <c r="R367" s="42" t="s">
        <v>139</v>
      </c>
      <c r="S367" s="210" t="s">
        <v>140</v>
      </c>
      <c r="T367" s="223">
        <v>0.15</v>
      </c>
      <c r="U367" s="42"/>
      <c r="V367" s="42"/>
      <c r="W367" s="65"/>
      <c r="X367" s="668" t="s">
        <v>336</v>
      </c>
      <c r="Y367" s="677"/>
      <c r="Z367" s="543"/>
      <c r="AC367"/>
      <c r="AD367"/>
      <c r="AE367"/>
      <c r="AJ367" s="329"/>
    </row>
    <row r="368" spans="1:36" ht="11.25" customHeight="1">
      <c r="A368" s="604">
        <v>38</v>
      </c>
      <c r="B368" s="136"/>
      <c r="C368" s="49"/>
      <c r="D368" s="49"/>
      <c r="E368" s="49"/>
      <c r="F368" s="49"/>
      <c r="G368" s="49"/>
      <c r="H368" s="49"/>
      <c r="I368" s="49"/>
      <c r="J368" s="49"/>
      <c r="K368" s="67"/>
      <c r="L368" s="682" t="s">
        <v>336</v>
      </c>
      <c r="M368" s="129"/>
      <c r="N368" s="42"/>
      <c r="O368" s="210" t="s">
        <v>630</v>
      </c>
      <c r="P368" s="222">
        <v>1</v>
      </c>
      <c r="Q368" s="44" t="s">
        <v>626</v>
      </c>
      <c r="R368" s="42"/>
      <c r="S368" s="224" t="s">
        <v>141</v>
      </c>
      <c r="T368" s="223">
        <v>0.1</v>
      </c>
      <c r="U368" s="42"/>
      <c r="V368" s="42"/>
      <c r="W368" s="65"/>
      <c r="X368" s="668" t="s">
        <v>336</v>
      </c>
      <c r="Y368" s="677"/>
      <c r="Z368" s="543"/>
      <c r="AC368"/>
      <c r="AD368"/>
      <c r="AE368"/>
      <c r="AJ368" s="329"/>
    </row>
    <row r="369" spans="1:36" ht="11.25" customHeight="1">
      <c r="A369" s="604">
        <v>39</v>
      </c>
      <c r="B369" s="106" t="s">
        <v>99</v>
      </c>
      <c r="C369" s="203">
        <f>IF(N234="","",N234)</f>
        <v>100</v>
      </c>
      <c r="D369" s="104" t="str">
        <f>N233</f>
        <v>cm</v>
      </c>
      <c r="E369" s="105"/>
      <c r="F369" s="105"/>
      <c r="G369" s="160" t="s">
        <v>99</v>
      </c>
      <c r="H369" s="203">
        <f>IF(N252="","",N252)</f>
        <v>100</v>
      </c>
      <c r="I369" s="104" t="str">
        <f>N251</f>
        <v>cm</v>
      </c>
      <c r="J369" s="42"/>
      <c r="K369" s="65"/>
      <c r="L369" s="682" t="s">
        <v>336</v>
      </c>
      <c r="M369" s="129"/>
      <c r="N369" s="42"/>
      <c r="O369" s="210" t="s">
        <v>627</v>
      </c>
      <c r="P369" s="222">
        <v>2</v>
      </c>
      <c r="Q369" s="44" t="s">
        <v>138</v>
      </c>
      <c r="R369" s="42"/>
      <c r="S369" s="210" t="s">
        <v>142</v>
      </c>
      <c r="T369" s="223">
        <v>0.05</v>
      </c>
      <c r="U369" s="42"/>
      <c r="V369" s="42"/>
      <c r="W369" s="65"/>
      <c r="X369" s="668" t="s">
        <v>336</v>
      </c>
      <c r="Y369" s="677"/>
      <c r="Z369" s="543"/>
      <c r="AC369"/>
      <c r="AD369"/>
      <c r="AE369"/>
      <c r="AJ369" s="329"/>
    </row>
    <row r="370" spans="1:36" ht="11.25" customHeight="1">
      <c r="A370" s="604">
        <v>40</v>
      </c>
      <c r="B370" s="106" t="s">
        <v>431</v>
      </c>
      <c r="C370" s="57" t="str">
        <f>IF(R234="","",IF(LFMAS="mA",R234,""))</f>
        <v/>
      </c>
      <c r="D370" s="105"/>
      <c r="E370" s="105"/>
      <c r="F370" s="160"/>
      <c r="G370" s="160" t="s">
        <v>100</v>
      </c>
      <c r="H370" s="57" t="str">
        <f>IF(R252="","",IF(SFMAS="mA",R252,""))</f>
        <v/>
      </c>
      <c r="I370" s="49"/>
      <c r="J370" s="105"/>
      <c r="K370" s="65"/>
      <c r="L370" s="682" t="s">
        <v>336</v>
      </c>
      <c r="M370" s="129"/>
      <c r="N370" s="41"/>
      <c r="O370" s="209" t="s">
        <v>628</v>
      </c>
      <c r="P370" s="218">
        <v>3</v>
      </c>
      <c r="Q370" s="44" t="s">
        <v>138</v>
      </c>
      <c r="R370" s="71" t="s">
        <v>143</v>
      </c>
      <c r="S370" s="226" t="s">
        <v>140</v>
      </c>
      <c r="T370" s="227">
        <v>0.2</v>
      </c>
      <c r="U370" s="42"/>
      <c r="V370" s="42"/>
      <c r="W370" s="65"/>
      <c r="X370" s="668" t="s">
        <v>336</v>
      </c>
      <c r="Y370" s="677"/>
      <c r="Z370" s="543"/>
      <c r="AC370"/>
      <c r="AD370"/>
      <c r="AE370"/>
      <c r="AJ370" s="329"/>
    </row>
    <row r="371" spans="1:36" ht="11.25" customHeight="1">
      <c r="A371" s="604">
        <v>41</v>
      </c>
      <c r="B371" s="106" t="s">
        <v>432</v>
      </c>
      <c r="C371" s="57">
        <f>IF(R234="","",IF(LFMAS="mAs",R234,""))</f>
        <v>20</v>
      </c>
      <c r="D371" s="105"/>
      <c r="E371" s="105"/>
      <c r="F371" s="105"/>
      <c r="G371" s="160" t="s">
        <v>432</v>
      </c>
      <c r="H371" s="57">
        <f>IF(R252="","",IF(SFMAS="mAs",R252,""))</f>
        <v>10</v>
      </c>
      <c r="I371" s="49"/>
      <c r="J371" s="105"/>
      <c r="K371" s="65"/>
      <c r="L371" s="682" t="s">
        <v>336</v>
      </c>
      <c r="M371" s="129"/>
      <c r="N371" s="42" t="s">
        <v>144</v>
      </c>
      <c r="O371" s="210" t="s">
        <v>140</v>
      </c>
      <c r="P371" s="223">
        <v>0.25</v>
      </c>
      <c r="Q371" s="42"/>
      <c r="R371" s="42"/>
      <c r="S371" s="224" t="s">
        <v>141</v>
      </c>
      <c r="T371" s="223">
        <v>0.15</v>
      </c>
      <c r="U371" s="42"/>
      <c r="V371" s="42"/>
      <c r="W371" s="65"/>
      <c r="X371" s="668" t="s">
        <v>336</v>
      </c>
      <c r="Y371" s="677"/>
      <c r="Z371" s="543"/>
      <c r="AC371"/>
      <c r="AD371"/>
      <c r="AE371"/>
      <c r="AJ371" s="329"/>
    </row>
    <row r="372" spans="1:36" ht="11.25" customHeight="1">
      <c r="A372" s="604">
        <v>42</v>
      </c>
      <c r="B372" s="106" t="s">
        <v>101</v>
      </c>
      <c r="C372" s="165">
        <f>IF(S234="","",S234)</f>
        <v>0.05</v>
      </c>
      <c r="D372" s="105"/>
      <c r="E372" s="105"/>
      <c r="F372" s="105"/>
      <c r="G372" s="160" t="s">
        <v>101</v>
      </c>
      <c r="H372" s="165">
        <f>IF(S252="","",S252)</f>
        <v>0.1</v>
      </c>
      <c r="I372" s="49"/>
      <c r="J372" s="105"/>
      <c r="K372" s="65"/>
      <c r="L372" s="682" t="s">
        <v>336</v>
      </c>
      <c r="M372" s="129"/>
      <c r="N372" s="42"/>
      <c r="O372" s="224" t="s">
        <v>145</v>
      </c>
      <c r="P372" s="223">
        <v>0.2</v>
      </c>
      <c r="Q372" s="42"/>
      <c r="R372" s="42"/>
      <c r="S372" s="224" t="s">
        <v>146</v>
      </c>
      <c r="T372" s="223">
        <v>0.1</v>
      </c>
      <c r="U372" s="42"/>
      <c r="V372" s="42"/>
      <c r="W372" s="65"/>
      <c r="X372" s="668" t="s">
        <v>336</v>
      </c>
      <c r="Y372" s="677"/>
      <c r="Z372" s="543"/>
      <c r="AC372"/>
      <c r="AD372"/>
      <c r="AE372"/>
      <c r="AJ372" s="329"/>
    </row>
    <row r="373" spans="1:36" ht="11.25" customHeight="1">
      <c r="A373" s="604">
        <v>43</v>
      </c>
      <c r="B373" s="107" t="s">
        <v>102</v>
      </c>
      <c r="C373" s="105"/>
      <c r="D373" s="105"/>
      <c r="E373" s="105"/>
      <c r="F373" s="105"/>
      <c r="G373" s="44" t="s">
        <v>102</v>
      </c>
      <c r="H373" s="105"/>
      <c r="I373" s="105"/>
      <c r="J373" s="105"/>
      <c r="K373" s="65"/>
      <c r="L373" s="682" t="s">
        <v>336</v>
      </c>
      <c r="M373" s="129"/>
      <c r="N373" s="42"/>
      <c r="O373" s="224" t="s">
        <v>147</v>
      </c>
      <c r="P373" s="223">
        <v>0.15</v>
      </c>
      <c r="Q373" s="42"/>
      <c r="R373" s="42"/>
      <c r="S373" s="210" t="s">
        <v>148</v>
      </c>
      <c r="T373" s="223">
        <v>0.05</v>
      </c>
      <c r="U373" s="42"/>
      <c r="V373" s="42"/>
      <c r="W373" s="65"/>
      <c r="X373" s="668" t="s">
        <v>336</v>
      </c>
      <c r="Y373" s="677"/>
      <c r="Z373" s="543"/>
      <c r="AC373"/>
      <c r="AD373"/>
      <c r="AE373"/>
      <c r="AJ373" s="329"/>
    </row>
    <row r="374" spans="1:36" ht="11.25" customHeight="1">
      <c r="A374" s="604">
        <v>44</v>
      </c>
      <c r="B374" s="136"/>
      <c r="C374" s="49"/>
      <c r="D374" s="49"/>
      <c r="E374" s="49"/>
      <c r="F374" s="49"/>
      <c r="G374" s="49"/>
      <c r="H374" s="49"/>
      <c r="I374" s="49"/>
      <c r="J374" s="49"/>
      <c r="K374" s="65"/>
      <c r="L374" s="682" t="s">
        <v>336</v>
      </c>
      <c r="M374" s="129"/>
      <c r="N374" s="42"/>
      <c r="O374" s="224" t="s">
        <v>149</v>
      </c>
      <c r="P374" s="223">
        <v>0.1</v>
      </c>
      <c r="Q374" s="42"/>
      <c r="R374" s="42"/>
      <c r="S374" s="42"/>
      <c r="T374" s="42"/>
      <c r="U374" s="42"/>
      <c r="V374" s="42"/>
      <c r="W374" s="65"/>
      <c r="X374" s="668" t="s">
        <v>336</v>
      </c>
      <c r="Y374" s="677"/>
      <c r="Z374" s="543"/>
      <c r="AC374"/>
      <c r="AD374"/>
      <c r="AE374"/>
      <c r="AJ374" s="329"/>
    </row>
    <row r="375" spans="1:36" ht="11.25" customHeight="1">
      <c r="A375" s="604">
        <v>45</v>
      </c>
      <c r="B375" s="131" t="s">
        <v>421</v>
      </c>
      <c r="C375" s="137" t="s">
        <v>422</v>
      </c>
      <c r="D375" s="47"/>
      <c r="E375" s="125" t="s">
        <v>93</v>
      </c>
      <c r="F375" s="49"/>
      <c r="G375" s="125" t="s">
        <v>421</v>
      </c>
      <c r="H375" s="137" t="s">
        <v>422</v>
      </c>
      <c r="I375" s="47"/>
      <c r="J375" s="125" t="s">
        <v>93</v>
      </c>
      <c r="K375" s="65"/>
      <c r="L375" s="682" t="s">
        <v>336</v>
      </c>
      <c r="M375" s="129"/>
      <c r="N375" s="41"/>
      <c r="O375" s="209" t="s">
        <v>148</v>
      </c>
      <c r="P375" s="225">
        <v>0.05</v>
      </c>
      <c r="Q375" s="42"/>
      <c r="R375" s="42"/>
      <c r="S375" s="42"/>
      <c r="T375" s="42"/>
      <c r="U375" s="42"/>
      <c r="V375" s="42"/>
      <c r="W375" s="65"/>
      <c r="X375" s="668" t="s">
        <v>336</v>
      </c>
      <c r="Y375" s="543"/>
      <c r="Z375" s="543"/>
      <c r="AC375"/>
      <c r="AD375"/>
      <c r="AE375"/>
      <c r="AJ375" s="329"/>
    </row>
    <row r="376" spans="1:36" ht="11.25" customHeight="1" thickBot="1">
      <c r="A376" s="604">
        <v>46</v>
      </c>
      <c r="B376" s="255" t="s">
        <v>369</v>
      </c>
      <c r="C376" s="211" t="s">
        <v>93</v>
      </c>
      <c r="D376" s="211" t="s">
        <v>94</v>
      </c>
      <c r="E376" s="256" t="s">
        <v>104</v>
      </c>
      <c r="F376" s="105"/>
      <c r="G376" s="256" t="s">
        <v>369</v>
      </c>
      <c r="H376" s="211" t="s">
        <v>93</v>
      </c>
      <c r="I376" s="211" t="s">
        <v>94</v>
      </c>
      <c r="J376" s="256" t="s">
        <v>104</v>
      </c>
      <c r="K376" s="65"/>
      <c r="L376" s="682" t="s">
        <v>336</v>
      </c>
      <c r="M376" s="129"/>
      <c r="N376" s="42" t="s">
        <v>150</v>
      </c>
      <c r="O376" s="210" t="s">
        <v>151</v>
      </c>
      <c r="P376" s="541" t="s">
        <v>152</v>
      </c>
      <c r="Q376" s="44" t="s">
        <v>138</v>
      </c>
      <c r="R376" s="42"/>
      <c r="S376" s="42"/>
      <c r="T376" s="42"/>
      <c r="U376" s="42"/>
      <c r="V376" s="42"/>
      <c r="W376" s="65"/>
      <c r="X376" s="668" t="s">
        <v>336</v>
      </c>
      <c r="Y376" s="543"/>
      <c r="Z376" s="543"/>
      <c r="AC376"/>
      <c r="AD376"/>
      <c r="AE376"/>
      <c r="AJ376" s="329"/>
    </row>
    <row r="377" spans="1:36" ht="11.25" customHeight="1">
      <c r="A377" s="604">
        <v>47</v>
      </c>
      <c r="B377" s="527">
        <f t="shared" ref="B377:B384" si="66">IF(Q234="","",Q234)</f>
        <v>60</v>
      </c>
      <c r="C377" s="359" t="str">
        <f t="shared" ref="C377:D384" si="67">IF(T234="","",T234)</f>
        <v/>
      </c>
      <c r="D377" s="360" t="str">
        <f t="shared" si="67"/>
        <v/>
      </c>
      <c r="E377" s="254" t="str">
        <f t="shared" ref="E377:E384" si="68">IF(OR(B377="",C377=""),"",IF(AND(B377&gt;0,C377&gt;0),(C377-B377)/B377,""))</f>
        <v/>
      </c>
      <c r="F377" s="105"/>
      <c r="G377" s="204">
        <f t="shared" ref="G377:G382" si="69">IF(Q252="","",Q252)</f>
        <v>50</v>
      </c>
      <c r="H377" s="213" t="str">
        <f t="shared" ref="H377:I382" si="70">IF(T252="","",T252)</f>
        <v/>
      </c>
      <c r="I377" s="213" t="str">
        <f t="shared" si="70"/>
        <v/>
      </c>
      <c r="J377" s="254" t="str">
        <f t="shared" ref="J377:J382" si="71">IF(OR(G377="",H377=""),"",IF(AND(G377&gt;0,H377&gt;0),(H377-G377)/G377,""))</f>
        <v/>
      </c>
      <c r="K377" s="65"/>
      <c r="L377" s="682" t="s">
        <v>336</v>
      </c>
      <c r="M377" s="129"/>
      <c r="N377" s="41"/>
      <c r="O377" s="209" t="s">
        <v>151</v>
      </c>
      <c r="P377" s="540" t="s">
        <v>154</v>
      </c>
      <c r="Q377" s="42"/>
      <c r="R377" s="42"/>
      <c r="S377" s="42"/>
      <c r="T377" s="42"/>
      <c r="U377" s="42"/>
      <c r="V377" s="42"/>
      <c r="W377" s="65"/>
      <c r="X377" s="668" t="s">
        <v>336</v>
      </c>
      <c r="Y377" s="543"/>
      <c r="Z377" s="543"/>
      <c r="AC377"/>
      <c r="AD377"/>
      <c r="AE377"/>
      <c r="AJ377" s="329"/>
    </row>
    <row r="378" spans="1:36" ht="11.25" customHeight="1">
      <c r="A378" s="604">
        <v>48</v>
      </c>
      <c r="B378" s="527">
        <f t="shared" si="66"/>
        <v>80</v>
      </c>
      <c r="C378" s="359" t="str">
        <f t="shared" si="67"/>
        <v/>
      </c>
      <c r="D378" s="360" t="str">
        <f t="shared" si="67"/>
        <v/>
      </c>
      <c r="E378" s="254" t="str">
        <f t="shared" si="68"/>
        <v/>
      </c>
      <c r="F378" s="105"/>
      <c r="G378" s="204">
        <f t="shared" si="69"/>
        <v>70</v>
      </c>
      <c r="H378" s="213" t="str">
        <f t="shared" si="70"/>
        <v/>
      </c>
      <c r="I378" s="213" t="str">
        <f t="shared" si="70"/>
        <v/>
      </c>
      <c r="J378" s="254" t="str">
        <f t="shared" si="71"/>
        <v/>
      </c>
      <c r="K378" s="65"/>
      <c r="L378" s="682" t="s">
        <v>336</v>
      </c>
      <c r="M378" s="129"/>
      <c r="N378" s="42"/>
      <c r="O378" s="42"/>
      <c r="P378" s="42"/>
      <c r="Q378" s="42"/>
      <c r="R378" s="42"/>
      <c r="S378" s="42"/>
      <c r="T378" s="42"/>
      <c r="U378" s="42"/>
      <c r="V378" s="42"/>
      <c r="W378" s="65"/>
      <c r="X378" s="668" t="s">
        <v>336</v>
      </c>
      <c r="Y378" s="543"/>
      <c r="Z378" s="543"/>
      <c r="AC378"/>
      <c r="AD378"/>
      <c r="AE378"/>
      <c r="AJ378" s="329"/>
    </row>
    <row r="379" spans="1:36" ht="11.25" customHeight="1" thickBot="1">
      <c r="A379" s="604">
        <v>49</v>
      </c>
      <c r="B379" s="527">
        <f t="shared" si="66"/>
        <v>100</v>
      </c>
      <c r="C379" s="359" t="str">
        <f t="shared" si="67"/>
        <v/>
      </c>
      <c r="D379" s="360" t="str">
        <f t="shared" si="67"/>
        <v/>
      </c>
      <c r="E379" s="254" t="str">
        <f t="shared" si="68"/>
        <v/>
      </c>
      <c r="F379" s="105"/>
      <c r="G379" s="204">
        <f t="shared" si="69"/>
        <v>90</v>
      </c>
      <c r="H379" s="213" t="str">
        <f t="shared" si="70"/>
        <v/>
      </c>
      <c r="I379" s="213" t="str">
        <f t="shared" si="70"/>
        <v/>
      </c>
      <c r="J379" s="254" t="str">
        <f t="shared" si="71"/>
        <v/>
      </c>
      <c r="K379" s="65"/>
      <c r="L379" s="682" t="s">
        <v>336</v>
      </c>
      <c r="M379" s="145"/>
      <c r="N379" s="69"/>
      <c r="O379" s="69"/>
      <c r="P379" s="69"/>
      <c r="Q379" s="69"/>
      <c r="R379" s="69"/>
      <c r="S379" s="69"/>
      <c r="T379" s="69"/>
      <c r="U379" s="69"/>
      <c r="V379" s="69"/>
      <c r="W379" s="70"/>
      <c r="X379" s="668" t="s">
        <v>336</v>
      </c>
      <c r="Y379" s="543"/>
      <c r="Z379" s="543"/>
      <c r="AC379"/>
      <c r="AD379"/>
      <c r="AE379"/>
      <c r="AJ379" s="329"/>
    </row>
    <row r="380" spans="1:36" ht="11.25" customHeight="1" thickTop="1">
      <c r="A380" s="604">
        <v>50</v>
      </c>
      <c r="B380" s="527">
        <f t="shared" si="66"/>
        <v>120</v>
      </c>
      <c r="C380" s="359" t="str">
        <f t="shared" si="67"/>
        <v/>
      </c>
      <c r="D380" s="360" t="str">
        <f t="shared" si="67"/>
        <v/>
      </c>
      <c r="E380" s="254" t="str">
        <f t="shared" si="68"/>
        <v/>
      </c>
      <c r="F380" s="105"/>
      <c r="G380" s="204">
        <f t="shared" si="69"/>
        <v>110</v>
      </c>
      <c r="H380" s="213" t="str">
        <f t="shared" si="70"/>
        <v/>
      </c>
      <c r="I380" s="213" t="str">
        <f t="shared" si="70"/>
        <v/>
      </c>
      <c r="J380" s="254" t="str">
        <f t="shared" si="71"/>
        <v/>
      </c>
      <c r="K380" s="65"/>
      <c r="L380" s="682" t="s">
        <v>336</v>
      </c>
      <c r="M380" s="75"/>
      <c r="N380" s="58"/>
      <c r="O380" s="58"/>
      <c r="P380" s="58"/>
      <c r="Q380" s="58"/>
      <c r="R380" s="58"/>
      <c r="S380" s="58"/>
      <c r="T380" s="58"/>
      <c r="U380" s="58"/>
      <c r="V380" s="58"/>
      <c r="W380" s="76"/>
      <c r="X380" s="668" t="s">
        <v>336</v>
      </c>
      <c r="Y380" s="543"/>
      <c r="Z380" s="543"/>
      <c r="AC380"/>
      <c r="AD380"/>
      <c r="AE380"/>
      <c r="AJ380" s="329"/>
    </row>
    <row r="381" spans="1:36" ht="11.25" customHeight="1">
      <c r="A381" s="604">
        <v>51</v>
      </c>
      <c r="B381" s="527">
        <f t="shared" si="66"/>
        <v>140</v>
      </c>
      <c r="C381" s="359" t="str">
        <f t="shared" si="67"/>
        <v/>
      </c>
      <c r="D381" s="360" t="str">
        <f t="shared" si="67"/>
        <v/>
      </c>
      <c r="E381" s="254" t="str">
        <f t="shared" si="68"/>
        <v/>
      </c>
      <c r="F381" s="105"/>
      <c r="G381" s="204">
        <f t="shared" si="69"/>
        <v>130</v>
      </c>
      <c r="H381" s="213" t="str">
        <f t="shared" si="70"/>
        <v/>
      </c>
      <c r="I381" s="213" t="str">
        <f t="shared" si="70"/>
        <v/>
      </c>
      <c r="J381" s="254" t="str">
        <f t="shared" si="71"/>
        <v/>
      </c>
      <c r="K381" s="65"/>
      <c r="L381" s="682" t="s">
        <v>336</v>
      </c>
      <c r="M381" s="172"/>
      <c r="N381" s="48" t="s">
        <v>47</v>
      </c>
      <c r="O381" s="55" t="str">
        <f>IF($O$227="","",$O$227)</f>
        <v>Piranha CB2-17090320</v>
      </c>
      <c r="P381" s="41"/>
      <c r="Q381" s="41"/>
      <c r="R381" s="49"/>
      <c r="S381" s="49"/>
      <c r="T381" s="3"/>
      <c r="U381" s="3"/>
      <c r="V381" s="3"/>
      <c r="W381" s="34"/>
      <c r="X381" s="668" t="s">
        <v>336</v>
      </c>
      <c r="Y381" s="543"/>
      <c r="Z381" s="543"/>
      <c r="AC381"/>
      <c r="AD381"/>
      <c r="AE381"/>
      <c r="AJ381" s="329"/>
    </row>
    <row r="382" spans="1:36" ht="11.25" customHeight="1">
      <c r="A382" s="604">
        <v>52</v>
      </c>
      <c r="B382" s="527" t="str">
        <f t="shared" si="66"/>
        <v/>
      </c>
      <c r="C382" s="359" t="str">
        <f t="shared" si="67"/>
        <v/>
      </c>
      <c r="D382" s="360" t="str">
        <f t="shared" si="67"/>
        <v/>
      </c>
      <c r="E382" s="254" t="str">
        <f t="shared" si="68"/>
        <v/>
      </c>
      <c r="F382" s="105"/>
      <c r="G382" s="204" t="str">
        <f t="shared" si="69"/>
        <v/>
      </c>
      <c r="H382" s="213" t="str">
        <f t="shared" si="70"/>
        <v/>
      </c>
      <c r="I382" s="213" t="str">
        <f t="shared" si="70"/>
        <v/>
      </c>
      <c r="J382" s="254" t="str">
        <f t="shared" si="71"/>
        <v/>
      </c>
      <c r="K382" s="65"/>
      <c r="L382" s="682" t="s">
        <v>336</v>
      </c>
      <c r="M382" s="39"/>
      <c r="N382" s="3"/>
      <c r="O382" s="32"/>
      <c r="P382" s="3"/>
      <c r="Q382" s="3"/>
      <c r="R382" s="3"/>
      <c r="S382" s="3"/>
      <c r="T382" s="3"/>
      <c r="U382" s="3"/>
      <c r="V382" s="3"/>
      <c r="W382" s="34"/>
      <c r="X382" s="668" t="s">
        <v>336</v>
      </c>
      <c r="Y382" s="543"/>
      <c r="Z382" s="543"/>
      <c r="AC382"/>
      <c r="AD382"/>
      <c r="AE382"/>
      <c r="AJ382" s="329"/>
    </row>
    <row r="383" spans="1:36" ht="11.25" customHeight="1">
      <c r="A383" s="604">
        <v>53</v>
      </c>
      <c r="B383" s="527" t="str">
        <f t="shared" si="66"/>
        <v/>
      </c>
      <c r="C383" s="359" t="str">
        <f t="shared" si="67"/>
        <v/>
      </c>
      <c r="D383" s="360" t="str">
        <f t="shared" si="67"/>
        <v/>
      </c>
      <c r="E383" s="254" t="str">
        <f t="shared" si="68"/>
        <v/>
      </c>
      <c r="F383" s="105"/>
      <c r="G383" s="42"/>
      <c r="H383" s="42"/>
      <c r="I383" s="49"/>
      <c r="J383" s="49"/>
      <c r="K383" s="65"/>
      <c r="L383" s="682" t="s">
        <v>336</v>
      </c>
      <c r="M383" s="290" t="s">
        <v>452</v>
      </c>
      <c r="N383" s="47"/>
      <c r="O383" s="47"/>
      <c r="P383" s="49"/>
      <c r="Q383" s="49"/>
      <c r="R383" s="49"/>
      <c r="S383" s="49"/>
      <c r="T383" s="49"/>
      <c r="U383" s="49"/>
      <c r="V383" s="49"/>
      <c r="W383" s="67"/>
      <c r="X383" s="668" t="s">
        <v>336</v>
      </c>
      <c r="Y383" s="543"/>
      <c r="Z383" s="543"/>
      <c r="AC383"/>
      <c r="AD383"/>
      <c r="AE383"/>
      <c r="AJ383" s="329"/>
    </row>
    <row r="384" spans="1:36" ht="11.25" customHeight="1">
      <c r="A384" s="604">
        <v>54</v>
      </c>
      <c r="B384" s="528" t="str">
        <f t="shared" si="66"/>
        <v/>
      </c>
      <c r="C384" s="361" t="str">
        <f t="shared" si="67"/>
        <v/>
      </c>
      <c r="D384" s="360" t="str">
        <f t="shared" si="67"/>
        <v/>
      </c>
      <c r="E384" s="254" t="str">
        <f t="shared" si="68"/>
        <v/>
      </c>
      <c r="F384" s="105"/>
      <c r="G384" s="42"/>
      <c r="H384" s="42"/>
      <c r="I384" s="42"/>
      <c r="J384" s="42"/>
      <c r="K384" s="65"/>
      <c r="L384" s="682" t="s">
        <v>336</v>
      </c>
      <c r="M384" s="129"/>
      <c r="N384" s="42"/>
      <c r="O384" s="42"/>
      <c r="P384" s="42"/>
      <c r="Q384" s="42"/>
      <c r="R384" s="42"/>
      <c r="S384" s="42"/>
      <c r="T384" s="42"/>
      <c r="U384" s="42"/>
      <c r="V384" s="42"/>
      <c r="W384" s="65"/>
      <c r="X384" s="668" t="s">
        <v>336</v>
      </c>
      <c r="Y384" s="543"/>
      <c r="Z384" s="543"/>
      <c r="AC384"/>
      <c r="AD384"/>
      <c r="AE384"/>
      <c r="AJ384" s="329"/>
    </row>
    <row r="385" spans="1:36" ht="11.25" customHeight="1" thickBot="1">
      <c r="A385" s="604">
        <v>55</v>
      </c>
      <c r="B385" s="123"/>
      <c r="C385" s="42"/>
      <c r="D385" s="49"/>
      <c r="E385" s="49"/>
      <c r="F385" s="42"/>
      <c r="G385" s="42"/>
      <c r="H385" s="42"/>
      <c r="I385" s="42"/>
      <c r="J385" s="42"/>
      <c r="K385" s="65"/>
      <c r="L385" s="682" t="s">
        <v>336</v>
      </c>
      <c r="M385" s="129"/>
      <c r="N385" s="42"/>
      <c r="O385" s="42"/>
      <c r="P385" s="42"/>
      <c r="Q385" s="42"/>
      <c r="R385" s="42"/>
      <c r="S385" s="42"/>
      <c r="T385" s="42"/>
      <c r="U385" s="42"/>
      <c r="V385" s="42"/>
      <c r="W385" s="65"/>
      <c r="X385" s="668" t="s">
        <v>336</v>
      </c>
      <c r="Y385" s="543"/>
      <c r="Z385" s="543"/>
      <c r="AC385"/>
      <c r="AD385"/>
      <c r="AE385"/>
      <c r="AJ385" s="329"/>
    </row>
    <row r="386" spans="1:36" ht="11.25" customHeight="1" thickBot="1">
      <c r="A386" s="604">
        <v>56</v>
      </c>
      <c r="B386" s="129"/>
      <c r="C386" s="42"/>
      <c r="D386" s="205" t="s">
        <v>424</v>
      </c>
      <c r="E386" s="206" t="str">
        <f>IF(E377="","TBD",(IF(AND(ABS(MAX(E377:E384))&lt;=0.05,ABS(MIN(E377:E384))&lt;=0.05),"YES","NO")))</f>
        <v>TBD</v>
      </c>
      <c r="F386" s="42"/>
      <c r="G386" s="42"/>
      <c r="H386" s="42"/>
      <c r="I386" s="205" t="s">
        <v>424</v>
      </c>
      <c r="J386" s="206" t="str">
        <f>IF(J377="","TBD",(IF(AND(ABS(MAX(J377:J382))&lt;=0.05,ABS(MIN(J377:J382))&lt;=0.05),"YES","NO")))</f>
        <v>TBD</v>
      </c>
      <c r="K386" s="65"/>
      <c r="L386" s="682" t="s">
        <v>336</v>
      </c>
      <c r="M386" s="129" t="s">
        <v>392</v>
      </c>
      <c r="N386" s="210" t="s">
        <v>108</v>
      </c>
      <c r="O386" s="210" t="s">
        <v>84</v>
      </c>
      <c r="P386" s="210" t="s">
        <v>85</v>
      </c>
      <c r="Q386" s="42"/>
      <c r="R386" s="210"/>
      <c r="S386" s="130" t="s">
        <v>87</v>
      </c>
      <c r="T386" s="42"/>
      <c r="U386" s="44" t="s">
        <v>88</v>
      </c>
      <c r="V386" s="42"/>
      <c r="W386" s="65"/>
      <c r="X386" s="668" t="s">
        <v>336</v>
      </c>
      <c r="Y386" s="543"/>
      <c r="Z386" s="543"/>
      <c r="AC386"/>
      <c r="AD386"/>
      <c r="AE386"/>
      <c r="AJ386" s="329"/>
    </row>
    <row r="387" spans="1:36" ht="11.25" customHeight="1" thickBot="1">
      <c r="A387" s="604">
        <v>57</v>
      </c>
      <c r="B387" s="136"/>
      <c r="C387" s="49"/>
      <c r="D387" s="49"/>
      <c r="E387" s="49"/>
      <c r="F387" s="49"/>
      <c r="G387" s="49"/>
      <c r="H387" s="49"/>
      <c r="I387" s="49"/>
      <c r="J387" s="49"/>
      <c r="K387" s="65"/>
      <c r="L387" s="682" t="s">
        <v>336</v>
      </c>
      <c r="M387" s="212" t="s">
        <v>89</v>
      </c>
      <c r="N387" s="152" t="str">
        <f>LFSDD</f>
        <v>cm</v>
      </c>
      <c r="O387" s="152" t="s">
        <v>90</v>
      </c>
      <c r="P387" s="152" t="s">
        <v>58</v>
      </c>
      <c r="Q387" s="152" t="s">
        <v>91</v>
      </c>
      <c r="R387" s="211" t="str">
        <f>IF(AND(LFMAS="",SFMAS=""),"mA/mAs",IF(O388="Large",LFMAS,SFMAS))</f>
        <v>mAs</v>
      </c>
      <c r="S387" s="219" t="s">
        <v>92</v>
      </c>
      <c r="T387" s="152" t="s">
        <v>93</v>
      </c>
      <c r="U387" s="152" t="s">
        <v>94</v>
      </c>
      <c r="V387" s="152" t="s">
        <v>92</v>
      </c>
      <c r="W387" s="219" t="s">
        <v>652</v>
      </c>
      <c r="X387" s="668" t="s">
        <v>336</v>
      </c>
      <c r="Y387" s="543"/>
      <c r="Z387" s="543"/>
      <c r="AC387"/>
      <c r="AD387"/>
      <c r="AE387"/>
      <c r="AJ387" s="329"/>
    </row>
    <row r="388" spans="1:36" ht="11.25" customHeight="1">
      <c r="A388" s="604">
        <v>58</v>
      </c>
      <c r="B388" s="136"/>
      <c r="C388" s="143" t="s">
        <v>425</v>
      </c>
      <c r="D388" s="191" t="s">
        <v>370</v>
      </c>
      <c r="E388" s="49"/>
      <c r="F388" s="49"/>
      <c r="G388" s="49"/>
      <c r="H388" s="49"/>
      <c r="I388" s="49"/>
      <c r="J388" s="49"/>
      <c r="K388" s="67"/>
      <c r="L388" s="682" t="s">
        <v>336</v>
      </c>
      <c r="M388" s="279" t="s">
        <v>172</v>
      </c>
      <c r="N388" s="472">
        <f>$N$234</f>
        <v>100</v>
      </c>
      <c r="O388" s="473" t="str">
        <f>IF(Q388="","","Large")</f>
        <v>Large</v>
      </c>
      <c r="P388" s="474" t="str">
        <f>IF(OR(Q388="",R388="",Tables!F51=""),"",Tables!F51&amp;"/"&amp;Tables!L51)</f>
        <v>70-120/Low</v>
      </c>
      <c r="Q388" s="475">
        <f>IF(R388="","",Tables!B51)</f>
        <v>80</v>
      </c>
      <c r="R388" s="476">
        <f>IF(Tables!E51&gt;0,Tables!E51,IF(Tables!C51&gt;0,Tables!C51,""))</f>
        <v>20</v>
      </c>
      <c r="S388" s="230" t="str">
        <f>IF(Tables!E51&gt;0,IF(OR(Tables!Q51="",Tables!Q51="No Anomolies"),"",Tables!Q51),IF(Tables!D51&gt;0,Tables!D51,""))</f>
        <v/>
      </c>
      <c r="T388" s="423" t="str">
        <f>IF(Tables!AA51="","",Tables!AA51)</f>
        <v/>
      </c>
      <c r="U388" s="423" t="str">
        <f>IF(Tables!Y51="","",Tables!Y51)</f>
        <v/>
      </c>
      <c r="V388" s="424" t="str">
        <f>IF(Tables!AB51="","",Tables!AB51)</f>
        <v/>
      </c>
      <c r="W388" s="425" t="str">
        <f>IF(Tables!AC51="","",Tables!AC51)</f>
        <v/>
      </c>
      <c r="X388" s="668" t="s">
        <v>336</v>
      </c>
      <c r="Y388" s="543"/>
      <c r="Z388" s="543"/>
      <c r="AC388"/>
      <c r="AD388"/>
      <c r="AE388"/>
      <c r="AJ388" s="329"/>
    </row>
    <row r="389" spans="1:36" ht="11.25" customHeight="1" thickBot="1">
      <c r="A389" s="604">
        <v>59</v>
      </c>
      <c r="B389" s="136"/>
      <c r="D389" s="49"/>
      <c r="E389" s="49"/>
      <c r="F389" s="49"/>
      <c r="G389" s="49"/>
      <c r="H389" s="49"/>
      <c r="I389" s="49"/>
      <c r="J389" s="49"/>
      <c r="K389" s="67"/>
      <c r="L389" s="682" t="s">
        <v>336</v>
      </c>
      <c r="M389" s="212" t="s">
        <v>172</v>
      </c>
      <c r="N389" s="483">
        <f>IF(R389="","",$N$388)</f>
        <v>100</v>
      </c>
      <c r="O389" s="484" t="str">
        <f>IF(Q389="","",O388)</f>
        <v>Large</v>
      </c>
      <c r="P389" s="485" t="str">
        <f>IF(OR(Q389="",R389="",Tables!F62=""),"",Tables!F62&amp;"/"&amp;Tables!L62)</f>
        <v>70-120/Low</v>
      </c>
      <c r="Q389" s="486">
        <f>IF(R389="","",Tables!B62)</f>
        <v>80</v>
      </c>
      <c r="R389" s="487">
        <f>IF(Tables!E62&gt;0,Tables!E62,IF(Tables!C62&gt;0,Tables!C62,""))</f>
        <v>25</v>
      </c>
      <c r="S389" s="235" t="str">
        <f>IF(Tables!E62&gt;0,IF(OR(Tables!Q62="",Tables!Q62="No Anomolies"),"",Tables!Q62),IF(Tables!D62&gt;0,Tables!D62,""))</f>
        <v/>
      </c>
      <c r="T389" s="488" t="str">
        <f>IF(Tables!AA62="","",Tables!AA62)</f>
        <v/>
      </c>
      <c r="U389" s="488" t="str">
        <f>IF(Tables!Y62="","",Tables!Y62)</f>
        <v/>
      </c>
      <c r="V389" s="489" t="str">
        <f>IF(Tables!AB62="","",Tables!AB62)</f>
        <v/>
      </c>
      <c r="W389" s="490" t="str">
        <f>IF(Tables!AC62="","",Tables!AC62)</f>
        <v/>
      </c>
      <c r="X389" s="668" t="s">
        <v>336</v>
      </c>
      <c r="Y389" s="543"/>
      <c r="Z389" s="543"/>
      <c r="AC389"/>
      <c r="AD389"/>
      <c r="AE389"/>
      <c r="AJ389" s="329"/>
    </row>
    <row r="390" spans="1:36" ht="11.25" customHeight="1">
      <c r="A390" s="604">
        <v>60</v>
      </c>
      <c r="B390" s="106"/>
      <c r="D390" s="49"/>
      <c r="E390" s="49"/>
      <c r="F390" s="49"/>
      <c r="G390" s="49"/>
      <c r="H390" s="49"/>
      <c r="I390" s="49"/>
      <c r="J390" s="49"/>
      <c r="K390" s="67"/>
      <c r="L390" s="682" t="s">
        <v>336</v>
      </c>
      <c r="M390" s="111" t="s">
        <v>174</v>
      </c>
      <c r="N390" s="479">
        <f>IF(R390="","",$N$388)</f>
        <v>100</v>
      </c>
      <c r="O390" s="473" t="str">
        <f>IF(Q390="","",O389)</f>
        <v>Large</v>
      </c>
      <c r="P390" s="474" t="str">
        <f>IF(OR(Q390="",R390="",Tables!F63=""),"",Tables!F63&amp;"/"&amp;Tables!L63)</f>
        <v>70-120/High</v>
      </c>
      <c r="Q390" s="475">
        <f>IF(R390="","",Tables!B63)</f>
        <v>80</v>
      </c>
      <c r="R390" s="476">
        <f>IF(Tables!E63&gt;0,Tables!E63,IF(Tables!C63&gt;0,Tables!C63,""))</f>
        <v>2.5</v>
      </c>
      <c r="S390" s="230" t="str">
        <f>IF(Tables!E63&gt;0,IF(OR(Tables!Q63="",Tables!Q63="No Anomolies"),"",Tables!Q63),IF(Tables!D63&gt;0,Tables!D63,""))</f>
        <v/>
      </c>
      <c r="T390" s="423" t="str">
        <f>IF(Tables!AA63="","",Tables!AA63)</f>
        <v/>
      </c>
      <c r="U390" s="423" t="str">
        <f>IF(Tables!Y63="","",Tables!Y63)</f>
        <v/>
      </c>
      <c r="V390" s="424" t="str">
        <f>IF(Tables!AB63="","",Tables!AB63)</f>
        <v/>
      </c>
      <c r="W390" s="425" t="str">
        <f>IF(Tables!AC63="","",Tables!AC63)</f>
        <v/>
      </c>
      <c r="X390" s="668" t="s">
        <v>336</v>
      </c>
      <c r="Y390" s="543"/>
      <c r="Z390" s="543"/>
      <c r="AC390"/>
      <c r="AD390"/>
      <c r="AE390"/>
      <c r="AJ390" s="329"/>
    </row>
    <row r="391" spans="1:36" ht="11.25" customHeight="1">
      <c r="A391" s="604">
        <v>61</v>
      </c>
      <c r="B391" s="123" t="s">
        <v>417</v>
      </c>
      <c r="C391" s="799" t="str">
        <f>IF(O261="","",IF(LEN(O261)&lt;=135,O261,IF(LEN(O261)&lt;=260,LEFT(O261,SEARCH(" ",O261,125)),LEFT(O261,SEARCH(" ",O261,130)))))</f>
        <v/>
      </c>
      <c r="D391" s="43"/>
      <c r="E391" s="43"/>
      <c r="F391" s="43"/>
      <c r="G391" s="43"/>
      <c r="H391" s="43"/>
      <c r="I391" s="43"/>
      <c r="J391" s="43"/>
      <c r="K391" s="67"/>
      <c r="L391" s="682" t="s">
        <v>336</v>
      </c>
      <c r="M391" s="111" t="s">
        <v>174</v>
      </c>
      <c r="N391" s="479">
        <f>IF(R391="","",$N$388)</f>
        <v>100</v>
      </c>
      <c r="O391" s="473" t="str">
        <f>IF(Q391="","",O390)</f>
        <v>Large</v>
      </c>
      <c r="P391" s="474" t="str">
        <f>IF(OR(Q391="",R391="",Tables!F64=""),"",Tables!F64&amp;"/"&amp;Tables!L64)</f>
        <v>70-120/Low</v>
      </c>
      <c r="Q391" s="475">
        <f>IF(R391="","",Tables!B64)</f>
        <v>80</v>
      </c>
      <c r="R391" s="476">
        <f>IF(Tables!E64&gt;0,Tables!E64,IF(Tables!C64&gt;0,Tables!C64,""))</f>
        <v>40</v>
      </c>
      <c r="S391" s="230" t="str">
        <f>IF(Tables!E64&gt;0,IF(OR(Tables!Q64="",Tables!Q64="No Anomolies"),"",Tables!Q64),IF(Tables!D64&gt;0,Tables!D64,""))</f>
        <v/>
      </c>
      <c r="T391" s="423" t="str">
        <f>IF(Tables!AA64="","",Tables!AA64)</f>
        <v/>
      </c>
      <c r="U391" s="423" t="str">
        <f>IF(Tables!Y64="","",Tables!Y64)</f>
        <v/>
      </c>
      <c r="V391" s="424" t="str">
        <f>IF(Tables!AB64="","",Tables!AB64)</f>
        <v/>
      </c>
      <c r="W391" s="425" t="str">
        <f>IF(Tables!AC64="","",Tables!AC64)</f>
        <v/>
      </c>
      <c r="X391" s="668" t="s">
        <v>336</v>
      </c>
      <c r="Y391" s="543"/>
      <c r="Z391" s="543"/>
      <c r="AC391"/>
      <c r="AD391"/>
      <c r="AE391"/>
      <c r="AJ391" s="329"/>
    </row>
    <row r="392" spans="1:36" ht="11.25" customHeight="1" thickBot="1">
      <c r="A392" s="604">
        <v>62</v>
      </c>
      <c r="B392" s="123"/>
      <c r="C392" s="800" t="str">
        <f>IF(LEN(O261)&lt;=135,"",IF(LEN(O261)&lt;=260,RIGHT(O261,LEN(O261)-SEARCH(" ",O261,125)),MID(O261,SEARCH(" ",O261,130),IF(LEN(O261)&lt;=265,LEN(O261),SEARCH(" ",O261,255)-SEARCH(" ",O261,130)))))</f>
        <v/>
      </c>
      <c r="D392" s="43"/>
      <c r="E392" s="43"/>
      <c r="F392" s="43"/>
      <c r="G392" s="43"/>
      <c r="H392" s="43"/>
      <c r="I392" s="43"/>
      <c r="J392" s="43"/>
      <c r="K392" s="67"/>
      <c r="L392" s="682" t="s">
        <v>336</v>
      </c>
      <c r="M392" s="212" t="s">
        <v>174</v>
      </c>
      <c r="N392" s="483">
        <f>IF(R392="","",$N$388)</f>
        <v>100</v>
      </c>
      <c r="O392" s="484" t="str">
        <f>IF(Q392="","",O391)</f>
        <v>Large</v>
      </c>
      <c r="P392" s="485" t="str">
        <f>IF(OR(Q392="",R392="",Tables!F65=""),"",Tables!F65&amp;"/"&amp;Tables!L65)</f>
        <v>70-120/Low</v>
      </c>
      <c r="Q392" s="486">
        <f>IF(R392="","",Tables!B65)</f>
        <v>80</v>
      </c>
      <c r="R392" s="487">
        <f>IF(Tables!E65&gt;0,Tables!E65,IF(Tables!C65&gt;0,Tables!C65,""))</f>
        <v>12.5</v>
      </c>
      <c r="S392" s="235" t="str">
        <f>IF(Tables!E65&gt;0,IF(OR(Tables!Q65="",Tables!Q65="No Anomolies"),"",Tables!Q65),IF(Tables!D65&gt;0,Tables!D65,""))</f>
        <v/>
      </c>
      <c r="T392" s="488" t="str">
        <f>IF(Tables!AA65="","",Tables!AA65)</f>
        <v/>
      </c>
      <c r="U392" s="488" t="str">
        <f>IF(Tables!Y65="","",Tables!Y65)</f>
        <v/>
      </c>
      <c r="V392" s="489" t="str">
        <f>IF(Tables!AB65="","",Tables!AB65)</f>
        <v/>
      </c>
      <c r="W392" s="490" t="str">
        <f>IF(Tables!AC65="","",Tables!AC65)</f>
        <v/>
      </c>
      <c r="X392" s="668" t="s">
        <v>336</v>
      </c>
      <c r="Y392" s="543"/>
      <c r="Z392" s="543"/>
      <c r="AC392"/>
      <c r="AD392"/>
      <c r="AE392"/>
      <c r="AJ392" s="329"/>
    </row>
    <row r="393" spans="1:36" ht="11.25" customHeight="1" thickBot="1">
      <c r="A393" s="604">
        <v>63</v>
      </c>
      <c r="B393" s="136"/>
      <c r="C393" s="799" t="str">
        <f>IF(LEN(O261)&lt;=265,"",RIGHT(O261,LEN(O261)-SEARCH(" ",O261,255)))</f>
        <v/>
      </c>
      <c r="D393" s="43"/>
      <c r="E393" s="43"/>
      <c r="F393" s="43"/>
      <c r="G393" s="43"/>
      <c r="H393" s="43"/>
      <c r="I393" s="43"/>
      <c r="J393" s="43"/>
      <c r="K393" s="67"/>
      <c r="L393" s="682" t="s">
        <v>336</v>
      </c>
      <c r="M393" s="107" t="s">
        <v>175</v>
      </c>
      <c r="N393" s="42"/>
      <c r="O393" s="42"/>
      <c r="P393" s="42"/>
      <c r="Q393" s="42"/>
      <c r="R393" s="42"/>
      <c r="S393" s="42"/>
      <c r="T393" s="42"/>
      <c r="U393" s="42"/>
      <c r="V393" s="42"/>
      <c r="W393" s="65"/>
      <c r="X393" s="668" t="s">
        <v>336</v>
      </c>
      <c r="Y393" s="543"/>
      <c r="Z393" s="543"/>
      <c r="AC393"/>
      <c r="AD393"/>
      <c r="AE393"/>
      <c r="AJ393" s="329"/>
    </row>
    <row r="394" spans="1:36" ht="11.25" customHeight="1" thickBot="1">
      <c r="A394" s="604">
        <v>64</v>
      </c>
      <c r="B394" s="98"/>
      <c r="C394" s="80"/>
      <c r="D394" s="80"/>
      <c r="E394" s="80"/>
      <c r="F394" s="80"/>
      <c r="G394" s="80"/>
      <c r="H394" s="80"/>
      <c r="I394" s="80"/>
      <c r="J394" s="80"/>
      <c r="K394" s="85"/>
      <c r="L394" s="682" t="s">
        <v>336</v>
      </c>
      <c r="M394" s="129"/>
      <c r="N394" s="42"/>
      <c r="O394" s="42"/>
      <c r="P394" s="42"/>
      <c r="Q394" s="42"/>
      <c r="R394" s="42"/>
      <c r="S394" s="42"/>
      <c r="T394" s="42"/>
      <c r="U394" s="42"/>
      <c r="V394" s="1135" t="s">
        <v>444</v>
      </c>
      <c r="W394" s="66"/>
      <c r="X394" s="668" t="s">
        <v>336</v>
      </c>
      <c r="Y394" s="543"/>
      <c r="Z394" s="543"/>
      <c r="AC394"/>
      <c r="AD394"/>
      <c r="AE394"/>
      <c r="AJ394" s="329"/>
    </row>
    <row r="395" spans="1:36" ht="11.25" customHeight="1" thickTop="1">
      <c r="A395" s="604">
        <v>65</v>
      </c>
      <c r="B395" s="46" t="str">
        <f t="array" ref="B395:C396">$B$65:$C$66</f>
        <v>Date:</v>
      </c>
      <c r="C395" s="1072" t="str">
        <v/>
      </c>
      <c r="E395" s="45"/>
      <c r="F395" s="45"/>
      <c r="G395" s="45"/>
      <c r="H395" s="45"/>
      <c r="I395" s="46" t="str">
        <f t="array" ref="I395:J396">$I$65:$J$66</f>
        <v>Inspector:</v>
      </c>
      <c r="J395" s="401" t="str">
        <v>Eugene Mah</v>
      </c>
      <c r="L395" s="682" t="s">
        <v>336</v>
      </c>
      <c r="M395" s="136"/>
      <c r="N395" s="582" t="s">
        <v>417</v>
      </c>
      <c r="O395" s="705" t="str">
        <f>IF(O397&lt;&gt;"",O397,IF(OR(AB218=0,AB218=""),"",AB218))</f>
        <v/>
      </c>
      <c r="P395" s="41"/>
      <c r="Q395" s="41"/>
      <c r="R395" s="41"/>
      <c r="S395" s="41"/>
      <c r="T395" s="41"/>
      <c r="U395" s="41"/>
      <c r="V395" s="1136" t="s">
        <v>173</v>
      </c>
      <c r="W395" s="66"/>
      <c r="X395" s="668" t="s">
        <v>336</v>
      </c>
      <c r="Y395" s="543"/>
      <c r="Z395" s="543"/>
      <c r="AC395"/>
      <c r="AD395"/>
      <c r="AE395"/>
      <c r="AJ395" s="329"/>
    </row>
    <row r="396" spans="1:36" ht="11.25" customHeight="1" thickBot="1">
      <c r="A396" s="604">
        <v>66</v>
      </c>
      <c r="B396" s="46" t="str">
        <v>Room Number:</v>
      </c>
      <c r="C396" s="363" t="str">
        <v/>
      </c>
      <c r="E396" s="45"/>
      <c r="F396" s="45"/>
      <c r="G396" s="45"/>
      <c r="H396" s="45"/>
      <c r="I396" s="46" t="str">
        <v>Survey ID:</v>
      </c>
      <c r="J396" s="910" t="str">
        <v/>
      </c>
      <c r="L396" s="682" t="s">
        <v>336</v>
      </c>
      <c r="M396" s="107"/>
      <c r="N396" s="602" t="s">
        <v>257</v>
      </c>
      <c r="O396" s="110"/>
      <c r="P396" s="798">
        <f>LEN(O395)</f>
        <v>0</v>
      </c>
      <c r="Q396" s="41"/>
      <c r="R396" s="41"/>
      <c r="S396" s="41"/>
      <c r="T396" s="41"/>
      <c r="U396" s="41"/>
      <c r="V396" s="1137" t="str">
        <f>IF(J541="","TBD",IF(J541&gt;0.1,"NO","YES"))</f>
        <v>TBD</v>
      </c>
      <c r="W396" s="66"/>
      <c r="X396" s="668" t="s">
        <v>336</v>
      </c>
      <c r="Y396" s="543"/>
      <c r="Z396" s="543"/>
      <c r="AC396"/>
      <c r="AD396"/>
      <c r="AE396"/>
      <c r="AJ396" s="329"/>
    </row>
    <row r="397" spans="1:36" ht="11.25" customHeight="1">
      <c r="A397" s="604">
        <v>1</v>
      </c>
      <c r="B397" s="1"/>
      <c r="C397" s="1"/>
      <c r="D397" s="1"/>
      <c r="E397" s="1"/>
      <c r="F397" s="1"/>
      <c r="G397" s="1"/>
      <c r="H397" s="1"/>
      <c r="I397" s="1"/>
      <c r="J397" s="1"/>
      <c r="K397" s="142" t="str">
        <f>$F$2</f>
        <v>Medical University of South Carolina</v>
      </c>
      <c r="L397" s="682" t="s">
        <v>336</v>
      </c>
      <c r="M397" s="129"/>
      <c r="N397" s="899" t="s">
        <v>437</v>
      </c>
      <c r="O397" s="901"/>
      <c r="P397" s="110"/>
      <c r="Q397" s="110"/>
      <c r="R397" s="110"/>
      <c r="S397" s="110"/>
      <c r="T397" s="110"/>
      <c r="U397" s="110"/>
      <c r="V397" s="1136" t="s">
        <v>174</v>
      </c>
      <c r="W397" s="66"/>
      <c r="X397" s="668" t="s">
        <v>336</v>
      </c>
      <c r="Y397" s="543"/>
      <c r="Z397" s="543"/>
      <c r="AC397"/>
      <c r="AD397"/>
      <c r="AE397"/>
      <c r="AJ397" s="329"/>
    </row>
    <row r="398" spans="1:36" ht="11.25" customHeight="1" thickBot="1">
      <c r="A398" s="604">
        <v>2</v>
      </c>
      <c r="F398" s="252" t="str">
        <f>$F$332</f>
        <v>Measurement Data</v>
      </c>
      <c r="K398" s="143" t="str">
        <f>$F$5</f>
        <v>Radiation Oncology IGRT Compliance Inspection</v>
      </c>
      <c r="L398" s="682" t="s">
        <v>336</v>
      </c>
      <c r="M398" s="129"/>
      <c r="N398" s="42"/>
      <c r="O398" s="42"/>
      <c r="P398" s="42"/>
      <c r="Q398" s="42"/>
      <c r="R398" s="42"/>
      <c r="S398" s="42"/>
      <c r="T398" s="42"/>
      <c r="U398" s="42"/>
      <c r="V398" s="1137" t="str">
        <f>IF(J544="","TBD",IF(J544&gt;0.1,"NO","YES"))</f>
        <v>TBD</v>
      </c>
      <c r="W398" s="66"/>
      <c r="X398" s="668" t="s">
        <v>336</v>
      </c>
      <c r="Y398" s="543"/>
      <c r="Z398" s="543"/>
      <c r="AC398"/>
      <c r="AD398"/>
      <c r="AE398"/>
      <c r="AJ398" s="329"/>
    </row>
    <row r="399" spans="1:36" ht="11.25" customHeight="1" thickBot="1">
      <c r="A399" s="604">
        <v>3</v>
      </c>
      <c r="L399" s="682" t="s">
        <v>336</v>
      </c>
      <c r="M399" s="342" t="s">
        <v>453</v>
      </c>
      <c r="N399" s="137"/>
      <c r="O399" s="137"/>
      <c r="P399" s="42"/>
      <c r="Q399" s="42"/>
      <c r="R399" s="42"/>
      <c r="S399" s="42"/>
      <c r="T399" s="42"/>
      <c r="U399" s="42"/>
      <c r="V399" s="42"/>
      <c r="W399" s="66"/>
      <c r="X399" s="668" t="s">
        <v>336</v>
      </c>
      <c r="Y399" s="543"/>
      <c r="Z399" s="543"/>
      <c r="AC399"/>
      <c r="AD399"/>
      <c r="AE399"/>
      <c r="AJ399" s="329"/>
    </row>
    <row r="400" spans="1:36" ht="11.25" customHeight="1" thickTop="1">
      <c r="A400" s="604">
        <v>4</v>
      </c>
      <c r="B400" s="75"/>
      <c r="C400" s="58"/>
      <c r="D400" s="58"/>
      <c r="E400" s="58"/>
      <c r="F400" s="58"/>
      <c r="G400" s="58"/>
      <c r="H400" s="58"/>
      <c r="I400" s="58"/>
      <c r="J400" s="58"/>
      <c r="K400" s="76"/>
      <c r="L400" s="682" t="s">
        <v>336</v>
      </c>
      <c r="M400" s="129"/>
      <c r="N400" s="44"/>
      <c r="O400" s="44"/>
      <c r="P400" s="44"/>
      <c r="Q400" s="44"/>
      <c r="R400" s="44"/>
      <c r="S400" s="44"/>
      <c r="T400" s="44"/>
      <c r="U400" s="44"/>
      <c r="V400" s="44"/>
      <c r="W400" s="66"/>
      <c r="X400" s="668" t="s">
        <v>336</v>
      </c>
      <c r="Y400" s="543"/>
      <c r="Z400" s="543"/>
      <c r="AC400"/>
      <c r="AD400"/>
      <c r="AE400"/>
      <c r="AJ400" s="329"/>
    </row>
    <row r="401" spans="1:36" ht="11.25" customHeight="1">
      <c r="A401" s="604">
        <v>5</v>
      </c>
      <c r="B401" s="136"/>
      <c r="C401" s="49"/>
      <c r="D401" s="49"/>
      <c r="E401" s="49"/>
      <c r="F401" s="251" t="s">
        <v>469</v>
      </c>
      <c r="G401" s="49"/>
      <c r="H401" s="49"/>
      <c r="I401" s="49"/>
      <c r="J401" s="49"/>
      <c r="K401" s="67"/>
      <c r="L401" s="682" t="s">
        <v>336</v>
      </c>
      <c r="M401" s="129" t="s">
        <v>392</v>
      </c>
      <c r="N401" s="210" t="s">
        <v>108</v>
      </c>
      <c r="O401" s="210" t="s">
        <v>84</v>
      </c>
      <c r="P401" s="210" t="s">
        <v>85</v>
      </c>
      <c r="Q401" s="42"/>
      <c r="R401" s="210"/>
      <c r="S401" s="130" t="s">
        <v>87</v>
      </c>
      <c r="T401" s="210"/>
      <c r="U401" s="44" t="s">
        <v>88</v>
      </c>
      <c r="V401" s="42"/>
      <c r="W401" s="65"/>
      <c r="X401" s="668" t="s">
        <v>336</v>
      </c>
      <c r="Y401" s="543"/>
      <c r="Z401" s="543"/>
      <c r="AC401"/>
      <c r="AD401"/>
      <c r="AE401"/>
      <c r="AJ401" s="329"/>
    </row>
    <row r="402" spans="1:36" ht="11.25" customHeight="1" thickBot="1">
      <c r="A402" s="604">
        <v>6</v>
      </c>
      <c r="B402" s="136"/>
      <c r="C402" s="49"/>
      <c r="D402" s="49"/>
      <c r="E402" s="49"/>
      <c r="F402" s="49"/>
      <c r="G402" s="49"/>
      <c r="H402" s="49"/>
      <c r="I402" s="49"/>
      <c r="J402" s="49"/>
      <c r="K402" s="67"/>
      <c r="L402" s="682" t="s">
        <v>336</v>
      </c>
      <c r="M402" s="212" t="s">
        <v>89</v>
      </c>
      <c r="N402" s="152" t="str">
        <f>SFSDD</f>
        <v>cm</v>
      </c>
      <c r="O402" s="152" t="s">
        <v>90</v>
      </c>
      <c r="P402" s="152" t="s">
        <v>58</v>
      </c>
      <c r="Q402" s="152" t="s">
        <v>91</v>
      </c>
      <c r="R402" s="211" t="str">
        <f>IF(AND(LFMAS="",SFMAS=""),"mA/mAs",IF(O403="Large",LFMAS,SFMAS))</f>
        <v>mAs</v>
      </c>
      <c r="S402" s="219" t="s">
        <v>92</v>
      </c>
      <c r="T402" s="152" t="s">
        <v>93</v>
      </c>
      <c r="U402" s="152" t="s">
        <v>94</v>
      </c>
      <c r="V402" s="152" t="s">
        <v>92</v>
      </c>
      <c r="W402" s="219" t="s">
        <v>652</v>
      </c>
      <c r="X402" s="668" t="s">
        <v>336</v>
      </c>
      <c r="Y402" s="543"/>
      <c r="Z402" s="543"/>
      <c r="AC402"/>
      <c r="AD402"/>
      <c r="AE402"/>
      <c r="AJ402" s="329"/>
    </row>
    <row r="403" spans="1:36" ht="11.25" customHeight="1">
      <c r="A403" s="604">
        <v>7</v>
      </c>
      <c r="B403" s="136"/>
      <c r="C403" s="48" t="s">
        <v>47</v>
      </c>
      <c r="D403" s="110" t="str">
        <f>IF($O$227="","",$O$227)</f>
        <v>Piranha CB2-17090320</v>
      </c>
      <c r="E403" s="215"/>
      <c r="F403" s="41"/>
      <c r="G403" s="49"/>
      <c r="H403" s="49"/>
      <c r="I403" s="49"/>
      <c r="J403" s="49"/>
      <c r="K403" s="67"/>
      <c r="L403" s="682" t="s">
        <v>336</v>
      </c>
      <c r="M403" s="279" t="s">
        <v>172</v>
      </c>
      <c r="N403" s="472">
        <f>$N$234</f>
        <v>100</v>
      </c>
      <c r="O403" s="473" t="str">
        <f>IF(Q403="","","Small")</f>
        <v>Small</v>
      </c>
      <c r="P403" s="474" t="str">
        <f>IF(OR(Q403="",R403="",Tables!F78=""),"",Tables!F78&amp;"/"&amp;Tables!L78)</f>
        <v>70-120/Low</v>
      </c>
      <c r="Q403" s="475">
        <f>IF(R403="","",Tables!B78)</f>
        <v>80</v>
      </c>
      <c r="R403" s="476">
        <f>IF(Tables!E78&gt;0,Tables!E78,IF(Tables!C78&gt;0,Tables!C78,""))</f>
        <v>10</v>
      </c>
      <c r="S403" s="230" t="str">
        <f>IF(Tables!E78&gt;0,IF(OR(Tables!Q78="",Tables!Q78="No Anomolies"),"",Tables!Q78),IF(Tables!D78&gt;0,Tables!D78,""))</f>
        <v/>
      </c>
      <c r="T403" s="423" t="str">
        <f>IF(Tables!AA78="","",Tables!AA78)</f>
        <v/>
      </c>
      <c r="U403" s="423" t="str">
        <f>IF(Tables!Y78="","",Tables!Y78)</f>
        <v/>
      </c>
      <c r="V403" s="424" t="str">
        <f>IF(Tables!AB78="","",Tables!AB78)</f>
        <v/>
      </c>
      <c r="W403" s="425" t="str">
        <f>IF(Tables!AC78="","",Tables!AC78)</f>
        <v/>
      </c>
      <c r="X403" s="668" t="s">
        <v>336</v>
      </c>
      <c r="Y403" s="543"/>
      <c r="Z403" s="543"/>
      <c r="AC403"/>
      <c r="AD403"/>
      <c r="AE403"/>
      <c r="AJ403" s="329"/>
    </row>
    <row r="404" spans="1:36" ht="11.25" customHeight="1" thickBot="1">
      <c r="A404" s="604">
        <v>8</v>
      </c>
      <c r="B404" s="136"/>
      <c r="C404" s="49"/>
      <c r="D404" s="49"/>
      <c r="E404" s="49"/>
      <c r="F404" s="49"/>
      <c r="G404" s="49"/>
      <c r="H404" s="49"/>
      <c r="I404" s="49"/>
      <c r="J404" s="49"/>
      <c r="K404" s="67"/>
      <c r="L404" s="682" t="s">
        <v>336</v>
      </c>
      <c r="M404" s="212" t="s">
        <v>172</v>
      </c>
      <c r="N404" s="483">
        <f>IF(R404="","",$N$403)</f>
        <v>100</v>
      </c>
      <c r="O404" s="484" t="str">
        <f>IF(Q404="","",$O$403)</f>
        <v>Small</v>
      </c>
      <c r="P404" s="485" t="str">
        <f>IF(OR(Q404="",R404="",Tables!F79=""),"",Tables!F79&amp;"/"&amp;Tables!L79)</f>
        <v>70-120/Low</v>
      </c>
      <c r="Q404" s="486">
        <f>IF(R404="","",Tables!B79)</f>
        <v>80</v>
      </c>
      <c r="R404" s="487">
        <f>IF(Tables!E79&gt;0,Tables!E79,IF(Tables!C79&gt;0,Tables!C79,""))</f>
        <v>11</v>
      </c>
      <c r="S404" s="235" t="str">
        <f>IF(Tables!E79&gt;0,IF(OR(Tables!Q79="",Tables!Q79="No Anomolies"),"",Tables!Q79),IF(Tables!D79&gt;0,Tables!D79,""))</f>
        <v/>
      </c>
      <c r="T404" s="488" t="str">
        <f>IF(Tables!AA79="","",Tables!AA79)</f>
        <v/>
      </c>
      <c r="U404" s="488" t="str">
        <f>IF(Tables!Y79="","",Tables!Y79)</f>
        <v/>
      </c>
      <c r="V404" s="489" t="str">
        <f>IF(Tables!AB79="","",Tables!AB79)</f>
        <v/>
      </c>
      <c r="W404" s="490" t="str">
        <f>IF(Tables!AC79="","",Tables!AC79)</f>
        <v/>
      </c>
      <c r="X404" s="668" t="s">
        <v>336</v>
      </c>
      <c r="Y404" s="543"/>
      <c r="Z404" s="543"/>
      <c r="AC404"/>
      <c r="AD404"/>
      <c r="AE404"/>
      <c r="AJ404" s="329"/>
    </row>
    <row r="405" spans="1:36" ht="11.25" customHeight="1">
      <c r="A405" s="604">
        <v>9</v>
      </c>
      <c r="B405" s="290" t="s">
        <v>665</v>
      </c>
      <c r="C405" s="137"/>
      <c r="D405" s="137"/>
      <c r="E405" s="137"/>
      <c r="F405" s="49"/>
      <c r="G405" s="42"/>
      <c r="H405" s="42"/>
      <c r="I405" s="42"/>
      <c r="J405" s="42"/>
      <c r="K405" s="65"/>
      <c r="L405" s="682" t="s">
        <v>336</v>
      </c>
      <c r="M405" s="111" t="s">
        <v>174</v>
      </c>
      <c r="N405" s="479">
        <f>IF(R405="","",$N$403)</f>
        <v>100</v>
      </c>
      <c r="O405" s="473" t="str">
        <f>IF(Q405="","",$O$403)</f>
        <v>Small</v>
      </c>
      <c r="P405" s="474" t="str">
        <f>IF(OR(Q405="",R405="",Tables!F80=""),"",Tables!F80&amp;"/"&amp;Tables!L80)</f>
        <v>70-120/High</v>
      </c>
      <c r="Q405" s="475">
        <f>IF(R405="","",Tables!B80)</f>
        <v>80</v>
      </c>
      <c r="R405" s="476">
        <f>IF(Tables!E80&gt;0,Tables!E80,IF(Tables!C80&gt;0,Tables!C80,""))</f>
        <v>25</v>
      </c>
      <c r="S405" s="230" t="str">
        <f>IF(Tables!E80&gt;0,IF(OR(Tables!Q80="",Tables!Q80="No Anomolies"),"",Tables!Q80),IF(Tables!D80&gt;0,Tables!D80,""))</f>
        <v/>
      </c>
      <c r="T405" s="423" t="str">
        <f>IF(Tables!AA80="","",Tables!AA80)</f>
        <v/>
      </c>
      <c r="U405" s="423" t="str">
        <f>IF(Tables!Y80="","",Tables!Y80)</f>
        <v/>
      </c>
      <c r="V405" s="424" t="str">
        <f>IF(Tables!AB80="","",Tables!AB80)</f>
        <v/>
      </c>
      <c r="W405" s="425" t="str">
        <f>IF(Tables!AC80="","",Tables!AC80)</f>
        <v/>
      </c>
      <c r="X405" s="668" t="s">
        <v>336</v>
      </c>
      <c r="Y405" s="543"/>
      <c r="Z405" s="543"/>
      <c r="AC405"/>
      <c r="AD405"/>
      <c r="AE405"/>
      <c r="AJ405" s="329"/>
    </row>
    <row r="406" spans="1:36" ht="11.25" customHeight="1">
      <c r="A406" s="604">
        <v>10</v>
      </c>
      <c r="B406" s="129"/>
      <c r="C406" s="42"/>
      <c r="D406" s="42"/>
      <c r="E406" s="42"/>
      <c r="F406" s="42"/>
      <c r="G406" s="42"/>
      <c r="H406" s="42"/>
      <c r="I406" s="42"/>
      <c r="J406" s="42"/>
      <c r="K406" s="65"/>
      <c r="L406" s="682" t="s">
        <v>336</v>
      </c>
      <c r="M406" s="111" t="s">
        <v>174</v>
      </c>
      <c r="N406" s="479">
        <f>IF(R406="","",$N$403)</f>
        <v>100</v>
      </c>
      <c r="O406" s="473" t="str">
        <f>IF(Q406="","",$O$403)</f>
        <v>Small</v>
      </c>
      <c r="P406" s="474" t="str">
        <f>IF(OR(Q406="",R406="",Tables!F81=""),"",Tables!F81&amp;"/"&amp;Tables!L81)</f>
        <v>70-120/High</v>
      </c>
      <c r="Q406" s="475">
        <f>IF(R406="","",Tables!B81)</f>
        <v>80</v>
      </c>
      <c r="R406" s="476">
        <f>IF(Tables!E81&gt;0,Tables!E81,IF(Tables!C81&gt;0,Tables!C81,""))</f>
        <v>5</v>
      </c>
      <c r="S406" s="230" t="str">
        <f>IF(Tables!E81&gt;0,IF(OR(Tables!Q81="",Tables!Q81="No Anomolies"),"",Tables!Q81),IF(Tables!D81&gt;0,Tables!D81,""))</f>
        <v/>
      </c>
      <c r="T406" s="423" t="str">
        <f>IF(Tables!AA81="","",Tables!AA81)</f>
        <v/>
      </c>
      <c r="U406" s="423" t="str">
        <f>IF(Tables!Y81="","",Tables!Y81)</f>
        <v/>
      </c>
      <c r="V406" s="424" t="str">
        <f>IF(Tables!AB81="","",Tables!AB81)</f>
        <v/>
      </c>
      <c r="W406" s="425" t="str">
        <f>IF(Tables!AC81="","",Tables!AC81)</f>
        <v/>
      </c>
      <c r="X406" s="668" t="s">
        <v>336</v>
      </c>
      <c r="Y406" s="543"/>
      <c r="Z406" s="543"/>
      <c r="AC406"/>
      <c r="AD406"/>
      <c r="AE406"/>
      <c r="AJ406" s="329"/>
    </row>
    <row r="407" spans="1:36" ht="11.25" customHeight="1" thickBot="1">
      <c r="A407" s="604">
        <v>11</v>
      </c>
      <c r="B407" s="136"/>
      <c r="C407" s="49"/>
      <c r="D407" s="259" t="s">
        <v>97</v>
      </c>
      <c r="E407" s="47"/>
      <c r="F407" s="49"/>
      <c r="G407" s="49"/>
      <c r="H407" s="259" t="s">
        <v>98</v>
      </c>
      <c r="I407" s="47"/>
      <c r="J407" s="49"/>
      <c r="K407" s="65"/>
      <c r="L407" s="682" t="s">
        <v>336</v>
      </c>
      <c r="M407" s="212" t="s">
        <v>174</v>
      </c>
      <c r="N407" s="483">
        <f>IF(R407="","",$N$403)</f>
        <v>100</v>
      </c>
      <c r="O407" s="484" t="str">
        <f>IF(Q407="","",$O$403)</f>
        <v>Small</v>
      </c>
      <c r="P407" s="485" t="str">
        <f>IF(OR(Q407="",R407="",Tables!F82=""),"",Tables!F82&amp;"/"&amp;Tables!L82)</f>
        <v>70-120/Low</v>
      </c>
      <c r="Q407" s="486">
        <f>IF(R407="","",Tables!B82)</f>
        <v>80</v>
      </c>
      <c r="R407" s="487">
        <f>IF(Tables!E82&gt;0,Tables!E82,IF(Tables!C82&gt;0,Tables!C82,""))</f>
        <v>16</v>
      </c>
      <c r="S407" s="235" t="str">
        <f>IF(Tables!E82&gt;0,IF(OR(Tables!Q82="",Tables!Q82="No Anomolies"),"",Tables!Q82),IF(Tables!D82&gt;0,Tables!D82,""))</f>
        <v/>
      </c>
      <c r="T407" s="488" t="str">
        <f>IF(Tables!AA82="","",Tables!AA82)</f>
        <v/>
      </c>
      <c r="U407" s="488" t="str">
        <f>IF(Tables!Y82="","",Tables!Y82)</f>
        <v/>
      </c>
      <c r="V407" s="489" t="str">
        <f>IF(Tables!AB82="","",Tables!AB82)</f>
        <v/>
      </c>
      <c r="W407" s="490" t="str">
        <f>IF(Tables!AC82="","",Tables!AC82)</f>
        <v/>
      </c>
      <c r="X407" s="668" t="s">
        <v>336</v>
      </c>
      <c r="Y407" s="543"/>
      <c r="Z407" s="543"/>
      <c r="AC407"/>
      <c r="AD407"/>
      <c r="AE407"/>
      <c r="AJ407" s="329"/>
    </row>
    <row r="408" spans="1:36" ht="11.25" customHeight="1" thickBot="1">
      <c r="A408" s="604">
        <v>12</v>
      </c>
      <c r="B408" s="136"/>
      <c r="C408" s="49"/>
      <c r="D408" s="48" t="s">
        <v>109</v>
      </c>
      <c r="E408" s="157">
        <f>IF(N280="","",N280)</f>
        <v>100</v>
      </c>
      <c r="F408" s="44" t="str">
        <f>N279</f>
        <v>cm</v>
      </c>
      <c r="G408" s="42"/>
      <c r="H408" s="48" t="s">
        <v>109</v>
      </c>
      <c r="I408" s="157">
        <f>IF(N299="","",N299)</f>
        <v>100</v>
      </c>
      <c r="J408" s="44" t="str">
        <f>N298</f>
        <v>cm</v>
      </c>
      <c r="K408" s="65"/>
      <c r="L408" s="682" t="s">
        <v>336</v>
      </c>
      <c r="M408" s="107" t="s">
        <v>175</v>
      </c>
      <c r="N408" s="42"/>
      <c r="O408" s="42"/>
      <c r="P408" s="42"/>
      <c r="Q408" s="42"/>
      <c r="R408" s="42"/>
      <c r="S408" s="42"/>
      <c r="T408" s="42"/>
      <c r="U408" s="42"/>
      <c r="V408" s="42"/>
      <c r="W408" s="65"/>
      <c r="X408" s="668" t="s">
        <v>336</v>
      </c>
      <c r="Y408" s="543"/>
      <c r="Z408" s="543"/>
      <c r="AC408"/>
      <c r="AD408"/>
      <c r="AE408"/>
      <c r="AJ408" s="329"/>
    </row>
    <row r="409" spans="1:36" ht="11.25" customHeight="1" thickBot="1">
      <c r="A409" s="604">
        <v>13</v>
      </c>
      <c r="B409" s="136"/>
      <c r="C409" s="48"/>
      <c r="D409" s="48" t="s">
        <v>431</v>
      </c>
      <c r="E409" s="207" t="str">
        <f>IF(R280="","",IF(LFMAS="mA",R280,""))</f>
        <v/>
      </c>
      <c r="F409" s="42"/>
      <c r="G409" s="48"/>
      <c r="H409" s="48" t="s">
        <v>431</v>
      </c>
      <c r="I409" s="207" t="str">
        <f>IF(R299="","",IF(SFMAS="mA",R299,""))</f>
        <v/>
      </c>
      <c r="J409" s="49"/>
      <c r="K409" s="65"/>
      <c r="L409" s="682" t="s">
        <v>336</v>
      </c>
      <c r="M409" s="129"/>
      <c r="N409" s="42"/>
      <c r="O409" s="42"/>
      <c r="P409" s="42"/>
      <c r="Q409" s="42"/>
      <c r="R409" s="42"/>
      <c r="S409" s="42"/>
      <c r="T409" s="42"/>
      <c r="U409" s="42"/>
      <c r="V409" s="1135" t="s">
        <v>444</v>
      </c>
      <c r="W409" s="65"/>
      <c r="X409" s="668" t="s">
        <v>336</v>
      </c>
      <c r="Y409" s="543"/>
      <c r="Z409" s="543"/>
      <c r="AC409"/>
      <c r="AD409"/>
      <c r="AE409"/>
      <c r="AJ409" s="329"/>
    </row>
    <row r="410" spans="1:36" ht="11.25" customHeight="1">
      <c r="A410" s="604">
        <v>14</v>
      </c>
      <c r="B410" s="136"/>
      <c r="C410" s="42"/>
      <c r="D410" s="48" t="s">
        <v>432</v>
      </c>
      <c r="E410" s="207">
        <f>IF(R280="","",IF(LFMAS="mAs",R280,""))</f>
        <v>20</v>
      </c>
      <c r="F410" s="42"/>
      <c r="G410" s="42"/>
      <c r="H410" s="48" t="s">
        <v>432</v>
      </c>
      <c r="I410" s="207">
        <f>IF(R299="","",IF(SFMAS="mAs",R299,""))</f>
        <v>10</v>
      </c>
      <c r="J410" s="49"/>
      <c r="K410" s="65"/>
      <c r="L410" s="682" t="s">
        <v>336</v>
      </c>
      <c r="M410" s="136"/>
      <c r="N410" s="582" t="s">
        <v>417</v>
      </c>
      <c r="O410" s="705" t="str">
        <f>IF(O412&lt;&gt;"",O412,IF(OR(AB219=0,AB219=""),"",AB219))</f>
        <v/>
      </c>
      <c r="P410" s="41"/>
      <c r="Q410" s="41"/>
      <c r="R410" s="41"/>
      <c r="S410" s="41"/>
      <c r="T410" s="41"/>
      <c r="U410" s="41"/>
      <c r="V410" s="1136" t="s">
        <v>173</v>
      </c>
      <c r="W410" s="65"/>
      <c r="X410" s="668" t="s">
        <v>336</v>
      </c>
      <c r="Y410" s="543"/>
      <c r="Z410" s="543"/>
      <c r="AC410"/>
      <c r="AD410"/>
      <c r="AE410"/>
      <c r="AJ410" s="329"/>
    </row>
    <row r="411" spans="1:36" ht="11.25" customHeight="1" thickBot="1">
      <c r="A411" s="604">
        <v>15</v>
      </c>
      <c r="B411" s="136"/>
      <c r="C411" s="42"/>
      <c r="D411" s="48" t="s">
        <v>101</v>
      </c>
      <c r="E411" s="208">
        <f>IF(S280="","",S280)</f>
        <v>0.05</v>
      </c>
      <c r="F411" s="42"/>
      <c r="G411" s="42"/>
      <c r="H411" s="48" t="s">
        <v>101</v>
      </c>
      <c r="I411" s="208">
        <f>IF(S299="","",S299)</f>
        <v>0.1</v>
      </c>
      <c r="J411" s="49"/>
      <c r="K411" s="65"/>
      <c r="L411" s="682" t="s">
        <v>336</v>
      </c>
      <c r="M411" s="107"/>
      <c r="N411" s="602" t="s">
        <v>257</v>
      </c>
      <c r="O411" s="110"/>
      <c r="P411" s="798">
        <f>LEN(O410)</f>
        <v>0</v>
      </c>
      <c r="Q411" s="110"/>
      <c r="R411" s="110"/>
      <c r="S411" s="110"/>
      <c r="T411" s="110"/>
      <c r="U411" s="110"/>
      <c r="V411" s="1137" t="str">
        <f>IF(J556="","TBD",IF(J556&gt;0.1,"NO","YES"))</f>
        <v>TBD</v>
      </c>
      <c r="W411" s="65"/>
      <c r="X411" s="668" t="s">
        <v>336</v>
      </c>
      <c r="Y411" s="543"/>
      <c r="Z411" s="543"/>
      <c r="AC411"/>
      <c r="AD411"/>
      <c r="AE411"/>
      <c r="AF411" s="543"/>
      <c r="AJ411" s="329"/>
    </row>
    <row r="412" spans="1:36" ht="11.25" customHeight="1">
      <c r="A412" s="604">
        <v>16</v>
      </c>
      <c r="B412" s="136"/>
      <c r="C412" s="42"/>
      <c r="D412" s="42"/>
      <c r="E412" s="42"/>
      <c r="F412" s="42"/>
      <c r="G412" s="42"/>
      <c r="H412" s="42"/>
      <c r="I412" s="42"/>
      <c r="J412" s="49"/>
      <c r="K412" s="65"/>
      <c r="L412" s="682" t="s">
        <v>336</v>
      </c>
      <c r="M412" s="129"/>
      <c r="N412" s="899" t="s">
        <v>437</v>
      </c>
      <c r="O412" s="901"/>
      <c r="P412" s="41"/>
      <c r="Q412" s="41"/>
      <c r="R412" s="41"/>
      <c r="S412" s="41"/>
      <c r="T412" s="41"/>
      <c r="U412" s="41"/>
      <c r="V412" s="1136" t="s">
        <v>174</v>
      </c>
      <c r="W412" s="65"/>
      <c r="X412" s="668" t="s">
        <v>336</v>
      </c>
      <c r="Y412" s="543"/>
      <c r="Z412" s="543"/>
      <c r="AC412"/>
      <c r="AD412"/>
      <c r="AE412"/>
      <c r="AF412" s="543"/>
      <c r="AJ412" s="329"/>
    </row>
    <row r="413" spans="1:36" ht="11.25" customHeight="1" thickBot="1">
      <c r="A413" s="604">
        <v>17</v>
      </c>
      <c r="B413" s="136"/>
      <c r="C413" s="49"/>
      <c r="D413" s="42" t="s">
        <v>421</v>
      </c>
      <c r="E413" s="137" t="s">
        <v>422</v>
      </c>
      <c r="F413" s="137"/>
      <c r="G413" s="42"/>
      <c r="H413" s="42" t="s">
        <v>421</v>
      </c>
      <c r="I413" s="137" t="s">
        <v>422</v>
      </c>
      <c r="J413" s="137"/>
      <c r="K413" s="67"/>
      <c r="L413" s="682" t="s">
        <v>336</v>
      </c>
      <c r="M413" s="129"/>
      <c r="N413" s="42"/>
      <c r="O413" s="42"/>
      <c r="P413" s="42"/>
      <c r="Q413" s="42"/>
      <c r="R413" s="42"/>
      <c r="S413" s="42"/>
      <c r="T413" s="42"/>
      <c r="U413" s="42"/>
      <c r="V413" s="1137" t="str">
        <f>IF(J559="","TBD",IF(J559&gt;0.1,"NO","YES"))</f>
        <v>TBD</v>
      </c>
      <c r="W413" s="65"/>
      <c r="X413" s="668" t="s">
        <v>336</v>
      </c>
      <c r="Y413" s="543"/>
      <c r="Z413" s="543"/>
      <c r="AC413"/>
      <c r="AD413"/>
      <c r="AE413"/>
      <c r="AF413" s="543"/>
      <c r="AJ413" s="329"/>
    </row>
    <row r="414" spans="1:36" ht="11.25" customHeight="1" thickBot="1">
      <c r="A414" s="604">
        <v>18</v>
      </c>
      <c r="B414" s="136"/>
      <c r="C414" s="42"/>
      <c r="D414" s="161" t="s">
        <v>369</v>
      </c>
      <c r="E414" s="161" t="s">
        <v>369</v>
      </c>
      <c r="F414" s="161" t="s">
        <v>652</v>
      </c>
      <c r="G414" s="42"/>
      <c r="H414" s="161" t="s">
        <v>369</v>
      </c>
      <c r="I414" s="161" t="s">
        <v>369</v>
      </c>
      <c r="J414" s="161" t="s">
        <v>652</v>
      </c>
      <c r="K414" s="65"/>
      <c r="L414" s="682" t="s">
        <v>336</v>
      </c>
      <c r="M414" s="129"/>
      <c r="N414" s="42"/>
      <c r="O414" s="42"/>
      <c r="P414" s="42"/>
      <c r="Q414" s="42"/>
      <c r="R414" s="42"/>
      <c r="S414" s="42"/>
      <c r="T414" s="42"/>
      <c r="U414" s="42"/>
      <c r="V414" s="42"/>
      <c r="W414" s="65"/>
      <c r="X414" s="668" t="s">
        <v>336</v>
      </c>
      <c r="Y414" s="543"/>
      <c r="Z414" s="543"/>
      <c r="AC414"/>
      <c r="AD414"/>
      <c r="AE414"/>
      <c r="AF414" s="543"/>
      <c r="AJ414" s="329"/>
    </row>
    <row r="415" spans="1:36" ht="11.25" customHeight="1">
      <c r="A415" s="604">
        <v>19</v>
      </c>
      <c r="B415" s="136"/>
      <c r="C415" s="42"/>
      <c r="D415" s="209">
        <f>IF(Q280="","",Q280)</f>
        <v>80</v>
      </c>
      <c r="E415" s="126" t="str">
        <f t="shared" ref="E415:E424" si="72">IF(T280="","",T280)</f>
        <v/>
      </c>
      <c r="F415" s="403" t="str">
        <f t="shared" ref="F415:F424" si="73">IF(W280="","",W280)</f>
        <v/>
      </c>
      <c r="G415" s="42"/>
      <c r="H415" s="209">
        <f>IF(Q299="","",Q299)</f>
        <v>90</v>
      </c>
      <c r="I415" s="126" t="str">
        <f t="shared" ref="I415:I424" si="74">IF(T299="","",T299)</f>
        <v/>
      </c>
      <c r="J415" s="403" t="str">
        <f t="shared" ref="J415:J424" si="75">IF(W299="","",W299)</f>
        <v/>
      </c>
      <c r="K415" s="65"/>
      <c r="L415" s="682" t="s">
        <v>336</v>
      </c>
      <c r="M415" s="129"/>
      <c r="N415" s="42"/>
      <c r="O415" s="42"/>
      <c r="P415" s="42"/>
      <c r="Q415" s="42"/>
      <c r="R415" s="42"/>
      <c r="S415" s="42"/>
      <c r="T415" s="42"/>
      <c r="U415" s="42"/>
      <c r="V415" s="42"/>
      <c r="W415" s="65"/>
      <c r="X415" s="668" t="s">
        <v>336</v>
      </c>
      <c r="Y415" s="543"/>
      <c r="Z415" s="543"/>
      <c r="AC415"/>
      <c r="AD415"/>
      <c r="AE415"/>
      <c r="AF415" s="543"/>
      <c r="AJ415" s="329"/>
    </row>
    <row r="416" spans="1:36" ht="11.25" customHeight="1">
      <c r="A416" s="604">
        <v>20</v>
      </c>
      <c r="B416" s="136"/>
      <c r="C416" s="42"/>
      <c r="D416" s="42"/>
      <c r="E416" s="126" t="str">
        <f t="shared" si="72"/>
        <v/>
      </c>
      <c r="F416" s="403" t="str">
        <f t="shared" si="73"/>
        <v/>
      </c>
      <c r="G416" s="42"/>
      <c r="H416" s="42"/>
      <c r="I416" s="126" t="str">
        <f t="shared" si="74"/>
        <v/>
      </c>
      <c r="J416" s="403" t="str">
        <f t="shared" si="75"/>
        <v/>
      </c>
      <c r="K416" s="65"/>
      <c r="L416" s="682" t="s">
        <v>336</v>
      </c>
      <c r="M416" s="129"/>
      <c r="N416" s="42"/>
      <c r="O416" s="42"/>
      <c r="P416" s="42"/>
      <c r="Q416" s="42"/>
      <c r="R416" s="42"/>
      <c r="S416" s="42"/>
      <c r="T416" s="42"/>
      <c r="U416" s="42"/>
      <c r="V416" s="42"/>
      <c r="W416" s="65"/>
      <c r="X416" s="668" t="s">
        <v>336</v>
      </c>
      <c r="Y416" s="543"/>
      <c r="Z416" s="543"/>
      <c r="AC416"/>
      <c r="AD416"/>
      <c r="AE416"/>
      <c r="AF416" s="543"/>
      <c r="AJ416" s="329"/>
    </row>
    <row r="417" spans="1:36" ht="11.25" customHeight="1">
      <c r="A417" s="604">
        <v>21</v>
      </c>
      <c r="B417" s="136"/>
      <c r="C417" s="42"/>
      <c r="D417" s="42"/>
      <c r="E417" s="126" t="str">
        <f t="shared" si="72"/>
        <v/>
      </c>
      <c r="F417" s="403" t="str">
        <f t="shared" si="73"/>
        <v/>
      </c>
      <c r="G417" s="42"/>
      <c r="H417" s="42"/>
      <c r="I417" s="126" t="str">
        <f t="shared" si="74"/>
        <v/>
      </c>
      <c r="J417" s="403" t="str">
        <f t="shared" si="75"/>
        <v/>
      </c>
      <c r="K417" s="65"/>
      <c r="L417" s="682" t="s">
        <v>336</v>
      </c>
      <c r="M417" s="129"/>
      <c r="N417" s="44" t="s">
        <v>179</v>
      </c>
      <c r="O417" s="42"/>
      <c r="P417" s="42"/>
      <c r="Q417" s="42"/>
      <c r="R417" s="42"/>
      <c r="S417" s="42"/>
      <c r="T417" s="42"/>
      <c r="U417" s="42"/>
      <c r="V417" s="877" t="s">
        <v>177</v>
      </c>
      <c r="W417" s="878"/>
      <c r="X417" s="668" t="s">
        <v>336</v>
      </c>
      <c r="Y417" s="543"/>
      <c r="Z417" s="543"/>
      <c r="AC417"/>
      <c r="AD417"/>
      <c r="AE417"/>
      <c r="AF417" s="543"/>
      <c r="AJ417" s="329"/>
    </row>
    <row r="418" spans="1:36" ht="11.25" customHeight="1" thickBot="1">
      <c r="A418" s="604">
        <v>22</v>
      </c>
      <c r="B418" s="136"/>
      <c r="C418" s="42"/>
      <c r="D418" s="42"/>
      <c r="E418" s="126" t="str">
        <f t="shared" si="72"/>
        <v/>
      </c>
      <c r="F418" s="403" t="str">
        <f t="shared" si="73"/>
        <v/>
      </c>
      <c r="G418" s="42"/>
      <c r="H418" s="42"/>
      <c r="I418" s="126" t="str">
        <f t="shared" si="74"/>
        <v/>
      </c>
      <c r="J418" s="403" t="str">
        <f t="shared" si="75"/>
        <v/>
      </c>
      <c r="K418" s="65"/>
      <c r="L418" s="682" t="s">
        <v>336</v>
      </c>
      <c r="M418" s="129"/>
      <c r="N418" s="42"/>
      <c r="O418" s="48" t="s">
        <v>181</v>
      </c>
      <c r="P418" s="42"/>
      <c r="Q418" s="153" t="s">
        <v>656</v>
      </c>
      <c r="R418" s="42"/>
      <c r="S418" s="42"/>
      <c r="T418" s="42"/>
      <c r="U418" s="42"/>
      <c r="V418" s="42"/>
      <c r="W418" s="67"/>
      <c r="X418" s="668" t="s">
        <v>336</v>
      </c>
      <c r="Y418" s="543"/>
      <c r="Z418" s="543"/>
      <c r="AC418"/>
      <c r="AD418"/>
      <c r="AE418"/>
      <c r="AF418" s="543"/>
      <c r="AH418" s="578"/>
      <c r="AJ418" s="329"/>
    </row>
    <row r="419" spans="1:36" ht="11.25" customHeight="1" thickBot="1">
      <c r="A419" s="604">
        <v>23</v>
      </c>
      <c r="B419" s="136"/>
      <c r="C419" s="42"/>
      <c r="D419" s="42"/>
      <c r="E419" s="126" t="str">
        <f t="shared" si="72"/>
        <v/>
      </c>
      <c r="F419" s="403" t="str">
        <f t="shared" si="73"/>
        <v/>
      </c>
      <c r="G419" s="42"/>
      <c r="H419" s="42"/>
      <c r="I419" s="126" t="str">
        <f t="shared" si="74"/>
        <v/>
      </c>
      <c r="J419" s="403" t="str">
        <f t="shared" si="75"/>
        <v/>
      </c>
      <c r="K419" s="67"/>
      <c r="L419" s="682" t="s">
        <v>336</v>
      </c>
      <c r="M419" s="129"/>
      <c r="N419" s="42"/>
      <c r="O419" s="42"/>
      <c r="P419" s="42"/>
      <c r="Q419" s="978" t="s">
        <v>657</v>
      </c>
      <c r="R419" s="42"/>
      <c r="S419" s="42"/>
      <c r="T419" s="42"/>
      <c r="U419" s="42"/>
      <c r="V419" s="1135" t="s">
        <v>444</v>
      </c>
      <c r="W419" s="67"/>
      <c r="X419" s="668" t="s">
        <v>336</v>
      </c>
      <c r="Y419" s="543"/>
      <c r="Z419" s="543"/>
      <c r="AC419"/>
      <c r="AD419"/>
      <c r="AE419"/>
      <c r="AF419" s="543"/>
      <c r="AJ419" s="329"/>
    </row>
    <row r="420" spans="1:36" ht="11.25" customHeight="1">
      <c r="A420" s="604">
        <v>24</v>
      </c>
      <c r="B420" s="136"/>
      <c r="C420" s="49"/>
      <c r="D420" s="42"/>
      <c r="E420" s="126" t="str">
        <f t="shared" si="72"/>
        <v/>
      </c>
      <c r="F420" s="403" t="str">
        <f t="shared" si="73"/>
        <v/>
      </c>
      <c r="G420" s="42"/>
      <c r="H420" s="42"/>
      <c r="I420" s="126" t="str">
        <f t="shared" si="74"/>
        <v/>
      </c>
      <c r="J420" s="403" t="str">
        <f t="shared" si="75"/>
        <v/>
      </c>
      <c r="K420" s="67"/>
      <c r="L420" s="682" t="s">
        <v>336</v>
      </c>
      <c r="M420" s="136"/>
      <c r="N420" s="42"/>
      <c r="O420" s="42"/>
      <c r="P420" s="42"/>
      <c r="Q420" s="978"/>
      <c r="R420" s="42"/>
      <c r="S420" s="42"/>
      <c r="T420" s="42"/>
      <c r="U420" s="49"/>
      <c r="V420" s="1136" t="s">
        <v>174</v>
      </c>
      <c r="W420" s="67"/>
      <c r="X420" s="668" t="s">
        <v>336</v>
      </c>
      <c r="Y420" s="543"/>
      <c r="Z420" s="543"/>
      <c r="AC420"/>
      <c r="AD420"/>
      <c r="AE420"/>
      <c r="AF420" s="543"/>
      <c r="AJ420" s="329"/>
    </row>
    <row r="421" spans="1:36" ht="11.25" customHeight="1" thickBot="1">
      <c r="A421" s="604">
        <v>25</v>
      </c>
      <c r="B421" s="136"/>
      <c r="C421" s="49"/>
      <c r="D421" s="42"/>
      <c r="E421" s="126" t="str">
        <f t="shared" si="72"/>
        <v/>
      </c>
      <c r="F421" s="403" t="str">
        <f t="shared" si="73"/>
        <v/>
      </c>
      <c r="G421" s="42"/>
      <c r="H421" s="42"/>
      <c r="I421" s="126" t="str">
        <f t="shared" si="74"/>
        <v/>
      </c>
      <c r="J421" s="403" t="str">
        <f t="shared" si="75"/>
        <v/>
      </c>
      <c r="K421" s="67"/>
      <c r="L421" s="682" t="s">
        <v>336</v>
      </c>
      <c r="M421" s="136"/>
      <c r="N421" s="42"/>
      <c r="O421" s="48" t="s">
        <v>183</v>
      </c>
      <c r="P421" s="42"/>
      <c r="Q421" s="153" t="s">
        <v>658</v>
      </c>
      <c r="R421" s="42"/>
      <c r="S421" s="42"/>
      <c r="T421" s="42"/>
      <c r="U421" s="49"/>
      <c r="V421" s="1137" t="str">
        <f>IF(OR(E571="NA",$Q$388&lt;&gt;$Q$403),"NA",IF(E571&gt;0.1,"NO","YES"))</f>
        <v>NA</v>
      </c>
      <c r="W421" s="67"/>
      <c r="X421" s="668" t="s">
        <v>336</v>
      </c>
      <c r="Y421" s="543"/>
      <c r="Z421" s="543"/>
      <c r="AC421"/>
      <c r="AD421"/>
      <c r="AE421"/>
      <c r="AF421" s="543"/>
      <c r="AJ421" s="329"/>
    </row>
    <row r="422" spans="1:36" ht="11.25" customHeight="1">
      <c r="A422" s="604">
        <v>26</v>
      </c>
      <c r="B422" s="136"/>
      <c r="C422" s="49"/>
      <c r="D422" s="42"/>
      <c r="E422" s="126" t="str">
        <f t="shared" si="72"/>
        <v/>
      </c>
      <c r="F422" s="403" t="str">
        <f t="shared" si="73"/>
        <v/>
      </c>
      <c r="G422" s="42"/>
      <c r="H422" s="42"/>
      <c r="I422" s="126" t="str">
        <f t="shared" si="74"/>
        <v/>
      </c>
      <c r="J422" s="403" t="str">
        <f t="shared" si="75"/>
        <v/>
      </c>
      <c r="K422" s="67"/>
      <c r="L422" s="682" t="s">
        <v>336</v>
      </c>
      <c r="M422" s="136"/>
      <c r="N422" s="42"/>
      <c r="O422" s="42"/>
      <c r="P422" s="42"/>
      <c r="Q422" s="978" t="s">
        <v>659</v>
      </c>
      <c r="R422" s="42"/>
      <c r="S422" s="42"/>
      <c r="T422" s="42"/>
      <c r="U422" s="49"/>
      <c r="V422" s="49"/>
      <c r="W422" s="67"/>
      <c r="X422" s="668" t="s">
        <v>336</v>
      </c>
      <c r="Y422" s="543"/>
      <c r="Z422" s="543"/>
      <c r="AC422"/>
      <c r="AD422"/>
      <c r="AE422"/>
      <c r="AF422" s="543"/>
      <c r="AJ422" s="329"/>
    </row>
    <row r="423" spans="1:36" ht="11.25" customHeight="1">
      <c r="A423" s="604">
        <v>27</v>
      </c>
      <c r="B423" s="136"/>
      <c r="C423" s="49"/>
      <c r="D423" s="42"/>
      <c r="E423" s="126" t="str">
        <f t="shared" si="72"/>
        <v/>
      </c>
      <c r="F423" s="403" t="str">
        <f t="shared" si="73"/>
        <v/>
      </c>
      <c r="G423" s="42"/>
      <c r="H423" s="42"/>
      <c r="I423" s="126" t="str">
        <f t="shared" si="74"/>
        <v/>
      </c>
      <c r="J423" s="403" t="str">
        <f t="shared" si="75"/>
        <v/>
      </c>
      <c r="K423" s="67"/>
      <c r="L423" s="682" t="s">
        <v>336</v>
      </c>
      <c r="M423" s="129"/>
      <c r="N423" s="49"/>
      <c r="O423" s="49"/>
      <c r="P423" s="49"/>
      <c r="Q423" s="42"/>
      <c r="R423" s="42"/>
      <c r="S423" s="42"/>
      <c r="T423" s="42"/>
      <c r="U423" s="42"/>
      <c r="V423" s="42"/>
      <c r="W423" s="65"/>
      <c r="X423" s="668" t="s">
        <v>336</v>
      </c>
      <c r="Y423" s="543"/>
      <c r="Z423" s="543"/>
      <c r="AC423"/>
      <c r="AD423"/>
      <c r="AE423"/>
      <c r="AF423" s="543"/>
      <c r="AJ423" s="329"/>
    </row>
    <row r="424" spans="1:36" ht="11.25" customHeight="1">
      <c r="A424" s="604">
        <v>28</v>
      </c>
      <c r="B424" s="136"/>
      <c r="C424" s="49"/>
      <c r="D424" s="42"/>
      <c r="E424" s="126" t="str">
        <f t="shared" si="72"/>
        <v/>
      </c>
      <c r="F424" s="403" t="str">
        <f t="shared" si="73"/>
        <v/>
      </c>
      <c r="G424" s="42"/>
      <c r="H424" s="42"/>
      <c r="I424" s="126" t="str">
        <f t="shared" si="74"/>
        <v/>
      </c>
      <c r="J424" s="403" t="str">
        <f t="shared" si="75"/>
        <v/>
      </c>
      <c r="K424" s="65"/>
      <c r="L424" s="682" t="s">
        <v>336</v>
      </c>
      <c r="M424" s="129"/>
      <c r="N424" s="143" t="s">
        <v>425</v>
      </c>
      <c r="O424" s="191" t="s">
        <v>184</v>
      </c>
      <c r="P424" s="42"/>
      <c r="Q424" s="42"/>
      <c r="R424" s="42"/>
      <c r="S424" s="42"/>
      <c r="T424" s="42"/>
      <c r="U424" s="42"/>
      <c r="V424" s="42"/>
      <c r="W424" s="65"/>
      <c r="X424" s="668" t="s">
        <v>336</v>
      </c>
      <c r="Y424" s="543"/>
      <c r="Z424" s="543"/>
      <c r="AC424"/>
      <c r="AD424"/>
      <c r="AE424"/>
      <c r="AF424" s="543"/>
      <c r="AJ424" s="329"/>
    </row>
    <row r="425" spans="1:36" ht="11.25" customHeight="1">
      <c r="A425" s="604">
        <v>29</v>
      </c>
      <c r="B425" s="136"/>
      <c r="C425" s="49"/>
      <c r="D425" s="42"/>
      <c r="E425" s="42"/>
      <c r="F425" s="404"/>
      <c r="G425" s="42"/>
      <c r="H425" s="42"/>
      <c r="I425" s="42"/>
      <c r="J425" s="404"/>
      <c r="K425" s="65"/>
      <c r="L425" s="682" t="s">
        <v>336</v>
      </c>
      <c r="M425" s="129"/>
      <c r="N425" s="42"/>
      <c r="O425" s="42"/>
      <c r="P425" s="42"/>
      <c r="Q425" s="42"/>
      <c r="R425" s="42"/>
      <c r="S425" s="42"/>
      <c r="T425" s="42"/>
      <c r="U425" s="42"/>
      <c r="V425" s="42"/>
      <c r="W425" s="65"/>
      <c r="X425" s="668" t="s">
        <v>336</v>
      </c>
      <c r="Y425" s="543"/>
      <c r="Z425" s="543"/>
      <c r="AC425"/>
      <c r="AD425"/>
      <c r="AE425"/>
      <c r="AF425" s="543"/>
      <c r="AJ425" s="329"/>
    </row>
    <row r="426" spans="1:36" ht="11.25" customHeight="1">
      <c r="A426" s="604">
        <v>30</v>
      </c>
      <c r="B426" s="136"/>
      <c r="C426" s="42"/>
      <c r="D426" s="42" t="s">
        <v>112</v>
      </c>
      <c r="E426" s="127" t="str">
        <f>IF(AND(E415&gt;0,MIN(E416:E424)&gt;0),AVERAGE(E415:E424),"")</f>
        <v/>
      </c>
      <c r="F426" s="405" t="str">
        <f>IF(AND(F415&gt;0,MIN(F416:F424)&gt;0),AVERAGE(F415:F424),"")</f>
        <v/>
      </c>
      <c r="G426" s="42"/>
      <c r="H426" s="42" t="s">
        <v>112</v>
      </c>
      <c r="I426" s="127" t="str">
        <f>IF(AND(I415&gt;0,MIN(I416:I424)&gt;0),AVERAGE(I415:I424),"")</f>
        <v/>
      </c>
      <c r="J426" s="405" t="str">
        <f>IF(AND(J415&gt;0,MIN(J416:J424)&gt;0),AVERAGE(J415:J424),"")</f>
        <v/>
      </c>
      <c r="K426" s="65"/>
      <c r="L426" s="682" t="s">
        <v>336</v>
      </c>
      <c r="M426" s="129"/>
      <c r="N426" s="42"/>
      <c r="O426" s="42"/>
      <c r="P426" s="42"/>
      <c r="Q426" s="42"/>
      <c r="R426" s="42"/>
      <c r="S426" s="42"/>
      <c r="T426" s="42"/>
      <c r="U426" s="42"/>
      <c r="V426" s="42"/>
      <c r="W426" s="65"/>
      <c r="X426" s="668" t="s">
        <v>336</v>
      </c>
      <c r="Y426" s="543"/>
      <c r="Z426" s="543"/>
      <c r="AC426"/>
      <c r="AD426"/>
      <c r="AE426"/>
      <c r="AF426" s="543"/>
      <c r="AJ426" s="329"/>
    </row>
    <row r="427" spans="1:36" ht="11.25" customHeight="1">
      <c r="A427" s="604">
        <v>31</v>
      </c>
      <c r="B427" s="136"/>
      <c r="C427" s="42"/>
      <c r="D427" s="42" t="s">
        <v>113</v>
      </c>
      <c r="E427" s="126" t="str">
        <f>IF(AND(E415&gt;0,MIN(E416:E424)&gt;0),STDEV(E415:E424),"")</f>
        <v/>
      </c>
      <c r="F427" s="126" t="str">
        <f>IF(AND(F415&gt;0,MIN(F416:F424)&gt;0),STDEV(F415:F424),"")</f>
        <v/>
      </c>
      <c r="G427" s="42"/>
      <c r="H427" s="42" t="s">
        <v>113</v>
      </c>
      <c r="I427" s="126" t="str">
        <f>IF(AND(I415&gt;0,MIN(I416:I424)&gt;0),STDEV(I415:I424),"")</f>
        <v/>
      </c>
      <c r="J427" s="126" t="str">
        <f>IF(AND(J415&gt;0,MIN(J416:J424)&gt;0),STDEV(J415:J424),"")</f>
        <v/>
      </c>
      <c r="K427" s="65"/>
      <c r="L427" s="682" t="s">
        <v>336</v>
      </c>
      <c r="M427" s="129"/>
      <c r="N427" s="42"/>
      <c r="O427" s="42"/>
      <c r="P427" s="42"/>
      <c r="Q427" s="42"/>
      <c r="R427" s="42"/>
      <c r="S427" s="42"/>
      <c r="T427" s="42"/>
      <c r="U427" s="42"/>
      <c r="V427" s="42"/>
      <c r="W427" s="65"/>
      <c r="X427" s="668" t="s">
        <v>336</v>
      </c>
      <c r="Y427" s="543"/>
      <c r="Z427" s="543"/>
      <c r="AA427" s="543"/>
      <c r="AB427" s="542"/>
      <c r="AC427" s="554" t="str">
        <f t="shared" ref="AC427" si="76">IF(AND(OR(AB427="",AB427=0),OR(AD427="",AD427=0)),"",IF(AB427&lt;&gt;AD427,"Change",""))</f>
        <v/>
      </c>
      <c r="AD427" s="579"/>
      <c r="AE427" s="581"/>
      <c r="AF427" s="543"/>
      <c r="AJ427" s="329"/>
    </row>
    <row r="428" spans="1:36" ht="11.25" customHeight="1">
      <c r="A428" s="604">
        <v>32</v>
      </c>
      <c r="B428" s="136"/>
      <c r="C428" s="42"/>
      <c r="D428" s="42" t="s">
        <v>114</v>
      </c>
      <c r="E428" s="149" t="str">
        <f>IF(E426="","TBD",IF(E426&gt;0,E427/E426,"TBD"))</f>
        <v>TBD</v>
      </c>
      <c r="F428" s="149" t="str">
        <f>IF(F426="","TBD",IF(F426&gt;0,F427/F426,"TBD"))</f>
        <v>TBD</v>
      </c>
      <c r="G428" s="42"/>
      <c r="H428" s="42" t="s">
        <v>114</v>
      </c>
      <c r="I428" s="149" t="str">
        <f>IF(I426="","TBD",IF(I426&gt;0,I427/I426,"TBD"))</f>
        <v>TBD</v>
      </c>
      <c r="J428" s="149" t="str">
        <f>IF(J426="","TBD",IF(J426&gt;0,J427/J426,"TBD"))</f>
        <v>TBD</v>
      </c>
      <c r="K428" s="65"/>
      <c r="L428" s="682" t="s">
        <v>336</v>
      </c>
      <c r="M428" s="129"/>
      <c r="N428" s="42"/>
      <c r="O428" s="42"/>
      <c r="P428" s="42"/>
      <c r="Q428" s="42"/>
      <c r="R428" s="42"/>
      <c r="S428" s="42"/>
      <c r="T428" s="42"/>
      <c r="U428" s="42"/>
      <c r="V428" s="42"/>
      <c r="W428" s="65"/>
      <c r="X428" s="668" t="s">
        <v>336</v>
      </c>
      <c r="Y428" s="543"/>
      <c r="Z428" s="543"/>
      <c r="AF428" s="543"/>
      <c r="AJ428" s="329"/>
    </row>
    <row r="429" spans="1:36" ht="11.25" customHeight="1" thickBot="1">
      <c r="A429" s="604">
        <v>33</v>
      </c>
      <c r="B429" s="136"/>
      <c r="C429" s="49"/>
      <c r="D429" s="42"/>
      <c r="E429" s="42"/>
      <c r="F429" s="42"/>
      <c r="G429" s="42"/>
      <c r="H429" s="42"/>
      <c r="I429" s="42"/>
      <c r="J429" s="42"/>
      <c r="K429" s="65"/>
      <c r="L429" s="682" t="s">
        <v>336</v>
      </c>
      <c r="M429" s="197" t="s">
        <v>341</v>
      </c>
      <c r="N429" s="42"/>
      <c r="O429" s="42"/>
      <c r="P429" s="42"/>
      <c r="Q429" s="42"/>
      <c r="R429" s="42"/>
      <c r="S429" s="42"/>
      <c r="T429" s="42"/>
      <c r="U429" s="42"/>
      <c r="V429" s="42"/>
      <c r="W429" s="65"/>
      <c r="X429" s="668" t="s">
        <v>336</v>
      </c>
      <c r="Y429" s="543"/>
      <c r="Z429" s="543"/>
      <c r="AF429" s="543"/>
      <c r="AJ429" s="329"/>
    </row>
    <row r="430" spans="1:36" ht="11.25" customHeight="1" thickBot="1">
      <c r="A430" s="604">
        <v>34</v>
      </c>
      <c r="B430" s="129"/>
      <c r="C430" s="42"/>
      <c r="D430" s="253" t="s">
        <v>424</v>
      </c>
      <c r="E430" s="258" t="str">
        <f>IF(T280="","NA",IF(E428="TBD","TBD",IF(E428&gt;0.05,"NO","YES")))</f>
        <v>NA</v>
      </c>
      <c r="F430" s="156" t="str">
        <f>IF(W280="","NA",IF(F428="TBD","TBD",IF(F428&gt;0.05,"NO","YES")))</f>
        <v>NA</v>
      </c>
      <c r="G430" s="42"/>
      <c r="H430" s="253" t="s">
        <v>424</v>
      </c>
      <c r="I430" s="258" t="str">
        <f>IF(T299="","NA",IF(I428="TBD","TBD",IF(I428&gt;0.05,"NO","YES")))</f>
        <v>NA</v>
      </c>
      <c r="J430" s="156" t="str">
        <f>IF(W299="","NA",IF(J428="TBD","TBD",IF(J428&gt;0.05,"NO","YES")))</f>
        <v>NA</v>
      </c>
      <c r="K430" s="65"/>
      <c r="L430" s="682" t="s">
        <v>336</v>
      </c>
      <c r="M430" s="129"/>
      <c r="N430" s="49"/>
      <c r="O430" s="49"/>
      <c r="P430" s="49"/>
      <c r="Q430" s="103" t="s">
        <v>185</v>
      </c>
      <c r="R430" s="49"/>
      <c r="S430" s="49"/>
      <c r="T430" s="49"/>
      <c r="U430" s="49"/>
      <c r="V430" s="49"/>
      <c r="W430" s="67"/>
      <c r="X430" s="668" t="s">
        <v>336</v>
      </c>
      <c r="Y430" s="543"/>
      <c r="Z430" s="543"/>
      <c r="AF430" s="543"/>
      <c r="AJ430" s="329"/>
    </row>
    <row r="431" spans="1:36" ht="11.25" customHeight="1">
      <c r="A431" s="604">
        <v>35</v>
      </c>
      <c r="B431" s="136"/>
      <c r="C431" s="49"/>
      <c r="D431" s="49"/>
      <c r="E431" s="49"/>
      <c r="F431" s="49"/>
      <c r="G431" s="49"/>
      <c r="H431" s="49"/>
      <c r="I431" s="49"/>
      <c r="J431" s="49"/>
      <c r="K431" s="65"/>
      <c r="L431" s="682" t="s">
        <v>336</v>
      </c>
      <c r="M431" s="610"/>
      <c r="N431" s="44"/>
      <c r="O431" s="104" t="str">
        <f>IF(M53=1,"","Means provided to indicate technique factors prior to exposure.")</f>
        <v>Means provided to indicate technique factors prior to exposure.</v>
      </c>
      <c r="P431" s="105"/>
      <c r="Q431" s="105"/>
      <c r="R431" s="105"/>
      <c r="S431" s="105"/>
      <c r="T431" s="105"/>
      <c r="U431" s="42"/>
      <c r="V431" s="42"/>
      <c r="W431" s="65"/>
      <c r="X431" s="668" t="s">
        <v>336</v>
      </c>
      <c r="Y431" s="543"/>
      <c r="Z431" s="543"/>
      <c r="AF431" s="543"/>
      <c r="AJ431" s="329"/>
    </row>
    <row r="432" spans="1:36" ht="11.25" customHeight="1">
      <c r="A432" s="604">
        <v>36</v>
      </c>
      <c r="B432" s="136"/>
      <c r="C432" s="44" t="s">
        <v>115</v>
      </c>
      <c r="D432" s="49"/>
      <c r="E432" s="49"/>
      <c r="F432" s="49"/>
      <c r="G432" s="49"/>
      <c r="H432" s="49"/>
      <c r="I432" s="49"/>
      <c r="J432" s="49"/>
      <c r="K432" s="65"/>
      <c r="L432" s="682" t="s">
        <v>336</v>
      </c>
      <c r="M432" s="610"/>
      <c r="N432" s="49"/>
      <c r="O432" s="44" t="str">
        <f>IF(M53=1,"","All technique indicators functional and are free of excessive wear.")</f>
        <v>All technique indicators functional and are free of excessive wear.</v>
      </c>
      <c r="P432" s="49"/>
      <c r="Q432" s="49"/>
      <c r="R432" s="49"/>
      <c r="S432" s="49"/>
      <c r="T432" s="49"/>
      <c r="U432" s="49"/>
      <c r="V432" s="49"/>
      <c r="W432" s="67"/>
      <c r="X432" s="668" t="s">
        <v>336</v>
      </c>
      <c r="Y432" s="543"/>
      <c r="Z432" s="543"/>
      <c r="AF432" s="543"/>
      <c r="AJ432" s="329"/>
    </row>
    <row r="433" spans="1:36" ht="11.25" customHeight="1">
      <c r="A433" s="604">
        <v>37</v>
      </c>
      <c r="B433" s="136"/>
      <c r="C433" s="49"/>
      <c r="D433" s="49"/>
      <c r="E433" s="49"/>
      <c r="F433" s="49"/>
      <c r="G433" s="49"/>
      <c r="H433" s="49"/>
      <c r="I433" s="49"/>
      <c r="J433" s="49"/>
      <c r="K433" s="65"/>
      <c r="L433" s="682" t="s">
        <v>336</v>
      </c>
      <c r="M433" s="610"/>
      <c r="N433" s="49"/>
      <c r="O433" s="104" t="s">
        <v>189</v>
      </c>
      <c r="P433" s="49"/>
      <c r="Q433" s="49"/>
      <c r="R433" s="49"/>
      <c r="S433" s="49"/>
      <c r="T433" s="49"/>
      <c r="U433" s="49"/>
      <c r="V433" s="49"/>
      <c r="W433" s="67"/>
      <c r="X433" s="668" t="s">
        <v>336</v>
      </c>
      <c r="Y433" s="543"/>
      <c r="Z433" s="543"/>
      <c r="AF433" s="543"/>
      <c r="AJ433" s="329"/>
    </row>
    <row r="434" spans="1:36" ht="11.25" customHeight="1">
      <c r="A434" s="604">
        <v>38</v>
      </c>
      <c r="B434" s="136"/>
      <c r="C434" s="42"/>
      <c r="D434" s="143" t="s">
        <v>425</v>
      </c>
      <c r="E434" s="191" t="s">
        <v>116</v>
      </c>
      <c r="F434" s="42"/>
      <c r="G434" s="42"/>
      <c r="H434" s="42"/>
      <c r="I434" s="42"/>
      <c r="J434" s="42"/>
      <c r="K434" s="65"/>
      <c r="L434" s="682" t="s">
        <v>336</v>
      </c>
      <c r="M434" s="610">
        <v>3</v>
      </c>
      <c r="N434" s="49"/>
      <c r="O434" s="44" t="s">
        <v>191</v>
      </c>
      <c r="P434" s="49"/>
      <c r="Q434" s="49"/>
      <c r="R434" s="49"/>
      <c r="S434" s="49"/>
      <c r="T434" s="49"/>
      <c r="U434" s="49"/>
      <c r="V434" s="49"/>
      <c r="W434" s="67"/>
      <c r="X434" s="668" t="s">
        <v>336</v>
      </c>
      <c r="Y434" s="543"/>
      <c r="Z434" s="543"/>
      <c r="AF434" s="543"/>
      <c r="AJ434" s="329"/>
    </row>
    <row r="435" spans="1:36" ht="11.25" customHeight="1">
      <c r="A435" s="604">
        <v>39</v>
      </c>
      <c r="B435" s="136"/>
      <c r="C435" s="49"/>
      <c r="D435" s="49"/>
      <c r="E435" s="49"/>
      <c r="F435" s="49"/>
      <c r="G435" s="49"/>
      <c r="H435" s="49"/>
      <c r="I435" s="49"/>
      <c r="J435" s="49"/>
      <c r="K435" s="67"/>
      <c r="L435" s="682" t="s">
        <v>336</v>
      </c>
      <c r="M435" s="610"/>
      <c r="N435" s="44"/>
      <c r="O435" s="104" t="s">
        <v>193</v>
      </c>
      <c r="P435" s="105"/>
      <c r="Q435" s="105"/>
      <c r="R435" s="105"/>
      <c r="S435" s="105"/>
      <c r="T435" s="105"/>
      <c r="U435" s="42"/>
      <c r="V435" s="42"/>
      <c r="W435" s="65"/>
      <c r="X435" s="668" t="s">
        <v>336</v>
      </c>
      <c r="Y435" s="543"/>
      <c r="Z435" s="543"/>
      <c r="AF435" s="543"/>
      <c r="AJ435" s="329"/>
    </row>
    <row r="436" spans="1:36" ht="11.25" customHeight="1">
      <c r="A436" s="604">
        <v>40</v>
      </c>
      <c r="B436" s="136"/>
      <c r="C436" s="49"/>
      <c r="D436" s="49"/>
      <c r="E436" s="49"/>
      <c r="F436" s="49"/>
      <c r="G436" s="49"/>
      <c r="H436" s="49"/>
      <c r="I436" s="49"/>
      <c r="J436" s="49"/>
      <c r="K436" s="67"/>
      <c r="L436" s="682" t="s">
        <v>336</v>
      </c>
      <c r="M436" s="610"/>
      <c r="N436" s="44"/>
      <c r="O436" s="104" t="s">
        <v>195</v>
      </c>
      <c r="P436" s="105"/>
      <c r="Q436" s="105"/>
      <c r="R436" s="105"/>
      <c r="S436" s="105"/>
      <c r="T436" s="105"/>
      <c r="U436" s="42"/>
      <c r="V436" s="42"/>
      <c r="W436" s="65"/>
      <c r="X436" s="668" t="s">
        <v>336</v>
      </c>
      <c r="Y436" s="543"/>
      <c r="Z436" s="543"/>
      <c r="AF436" s="543"/>
      <c r="AJ436" s="329"/>
    </row>
    <row r="437" spans="1:36" ht="11.25" customHeight="1">
      <c r="A437" s="604">
        <v>41</v>
      </c>
      <c r="B437" s="136"/>
      <c r="C437" s="49"/>
      <c r="D437" s="49"/>
      <c r="E437" s="49"/>
      <c r="F437" s="49"/>
      <c r="G437" s="49"/>
      <c r="H437" s="49"/>
      <c r="I437" s="49"/>
      <c r="J437" s="49"/>
      <c r="K437" s="67"/>
      <c r="L437" s="682" t="s">
        <v>336</v>
      </c>
      <c r="M437" s="610"/>
      <c r="N437" s="44"/>
      <c r="O437" s="104" t="s">
        <v>197</v>
      </c>
      <c r="P437" s="105"/>
      <c r="Q437" s="105"/>
      <c r="R437" s="105"/>
      <c r="S437" s="105"/>
      <c r="T437" s="105"/>
      <c r="U437" s="42"/>
      <c r="V437" s="42"/>
      <c r="W437" s="65"/>
      <c r="X437" s="668" t="s">
        <v>336</v>
      </c>
      <c r="Y437" s="543"/>
      <c r="Z437" s="543"/>
      <c r="AF437" s="543"/>
      <c r="AJ437" s="329"/>
    </row>
    <row r="438" spans="1:36" ht="11.25" customHeight="1">
      <c r="A438" s="604">
        <v>42</v>
      </c>
      <c r="B438" s="136"/>
      <c r="C438" s="49"/>
      <c r="D438" s="49"/>
      <c r="E438" s="49"/>
      <c r="F438" s="49"/>
      <c r="G438" s="49"/>
      <c r="H438" s="49"/>
      <c r="I438" s="49"/>
      <c r="J438" s="49"/>
      <c r="K438" s="67"/>
      <c r="L438" s="682" t="s">
        <v>336</v>
      </c>
      <c r="M438" s="610"/>
      <c r="N438" s="97"/>
      <c r="O438" s="44" t="s">
        <v>198</v>
      </c>
      <c r="P438" s="97"/>
      <c r="Q438" s="97"/>
      <c r="R438" s="97"/>
      <c r="S438" s="97"/>
      <c r="T438" s="97"/>
      <c r="U438" s="97"/>
      <c r="V438" s="97"/>
      <c r="W438" s="82"/>
      <c r="X438" s="668" t="s">
        <v>336</v>
      </c>
      <c r="Y438" s="543"/>
      <c r="Z438" s="543"/>
      <c r="AF438" s="543"/>
      <c r="AJ438" s="329"/>
    </row>
    <row r="439" spans="1:36" ht="11.25" customHeight="1" thickBot="1">
      <c r="A439" s="604">
        <v>43</v>
      </c>
      <c r="B439" s="121" t="s">
        <v>417</v>
      </c>
      <c r="C439" s="799" t="str">
        <f>IF(O320="","",IF(LEN(O320)&lt;=135,O320,IF(LEN(O320)&lt;=260,LEFT(O320,SEARCH(" ",O320,125)),LEFT(O320,SEARCH(" ",O320,130)))))</f>
        <v/>
      </c>
      <c r="D439" s="41"/>
      <c r="E439" s="41"/>
      <c r="F439" s="41"/>
      <c r="G439" s="41"/>
      <c r="H439" s="41"/>
      <c r="I439" s="41"/>
      <c r="J439" s="41"/>
      <c r="K439" s="67"/>
      <c r="L439" s="682" t="s">
        <v>336</v>
      </c>
      <c r="M439" s="145"/>
      <c r="N439" s="69"/>
      <c r="O439" s="69"/>
      <c r="P439" s="69"/>
      <c r="Q439" s="69"/>
      <c r="R439" s="69"/>
      <c r="S439" s="69"/>
      <c r="T439" s="69"/>
      <c r="U439" s="69"/>
      <c r="V439" s="69"/>
      <c r="W439" s="70"/>
      <c r="X439" s="668" t="s">
        <v>336</v>
      </c>
      <c r="Y439" s="543"/>
      <c r="Z439" s="543"/>
      <c r="AF439" s="543"/>
      <c r="AJ439" s="329"/>
    </row>
    <row r="440" spans="1:36" ht="11.25" customHeight="1" thickTop="1">
      <c r="A440" s="604">
        <v>44</v>
      </c>
      <c r="B440" s="129"/>
      <c r="C440" s="800" t="str">
        <f>IF(LEN(O320)&lt;=135,"",IF(LEN(O320)&lt;=260,RIGHT(O320,LEN(O320)-SEARCH(" ",O320,125)),MID(O320,SEARCH(" ",O320,130),IF(LEN(O320)&lt;=265,LEN(O320),SEARCH(" ",O320,255)-SEARCH(" ",O320,130)))))</f>
        <v/>
      </c>
      <c r="D440" s="41"/>
      <c r="E440" s="41"/>
      <c r="F440" s="41"/>
      <c r="G440" s="41"/>
      <c r="H440" s="41"/>
      <c r="I440" s="41"/>
      <c r="J440" s="41"/>
      <c r="K440" s="67"/>
      <c r="L440" s="682" t="s">
        <v>336</v>
      </c>
      <c r="X440" s="668" t="s">
        <v>336</v>
      </c>
      <c r="Y440" s="543"/>
      <c r="Z440" s="543"/>
      <c r="AF440" s="543"/>
      <c r="AJ440" s="329"/>
    </row>
    <row r="441" spans="1:36" ht="11.25" customHeight="1">
      <c r="A441" s="604">
        <v>45</v>
      </c>
      <c r="B441" s="121"/>
      <c r="C441" s="799" t="str">
        <f>IF(LEN(O320)&lt;=265,"",RIGHT(O320,LEN(O320)-SEARCH(" ",O320,255)))</f>
        <v/>
      </c>
      <c r="D441" s="41"/>
      <c r="E441" s="41"/>
      <c r="F441" s="41"/>
      <c r="G441" s="41"/>
      <c r="H441" s="41"/>
      <c r="I441" s="41"/>
      <c r="J441" s="41"/>
      <c r="K441" s="67"/>
      <c r="L441" s="682" t="s">
        <v>336</v>
      </c>
      <c r="M441" s="609">
        <v>2</v>
      </c>
      <c r="N441" s="101" t="s">
        <v>15</v>
      </c>
      <c r="X441" s="668" t="s">
        <v>336</v>
      </c>
      <c r="Y441" s="543"/>
      <c r="Z441" s="543"/>
      <c r="AF441" s="543"/>
      <c r="AJ441" s="329"/>
    </row>
    <row r="442" spans="1:36" ht="11.25" customHeight="1" thickBot="1">
      <c r="A442" s="604">
        <v>46</v>
      </c>
      <c r="B442" s="129"/>
      <c r="C442" s="799" t="str">
        <f>IF(O322="","",IF(LEN(O322)&lt;=135,O322,IF(LEN(O322)&lt;=260,LEFT(O322,SEARCH(" ",O322,125)),LEFT(O322,SEARCH(" ",O322,130)))))</f>
        <v/>
      </c>
      <c r="D442" s="41"/>
      <c r="E442" s="41"/>
      <c r="F442" s="41"/>
      <c r="G442" s="41"/>
      <c r="H442" s="41"/>
      <c r="I442" s="41"/>
      <c r="J442" s="41"/>
      <c r="K442" s="67"/>
      <c r="L442" s="682" t="s">
        <v>336</v>
      </c>
      <c r="M442" s="532" t="s">
        <v>16</v>
      </c>
      <c r="N442" s="414"/>
      <c r="X442" s="668" t="s">
        <v>336</v>
      </c>
      <c r="Y442" s="543"/>
      <c r="Z442" s="543"/>
      <c r="AF442" s="543"/>
      <c r="AJ442" s="329"/>
    </row>
    <row r="443" spans="1:36" ht="11.25" customHeight="1" thickTop="1">
      <c r="A443" s="604">
        <v>47</v>
      </c>
      <c r="B443" s="129"/>
      <c r="C443" s="800" t="str">
        <f>IF(LEN(O322)&lt;=135,"",IF(LEN(O322)&lt;=260,RIGHT(O322,LEN(O322)-SEARCH(" ",O322,125)),MID(O322,SEARCH(" ",O322,130),IF(LEN(O322)&lt;=265,LEN(O322),SEARCH(" ",O322,255)-SEARCH(" ",O322,130)))))</f>
        <v/>
      </c>
      <c r="D443" s="41"/>
      <c r="E443" s="41"/>
      <c r="F443" s="41"/>
      <c r="G443" s="41"/>
      <c r="H443" s="41"/>
      <c r="I443" s="41"/>
      <c r="J443" s="41"/>
      <c r="K443" s="67"/>
      <c r="L443" s="682" t="s">
        <v>336</v>
      </c>
      <c r="M443" s="75"/>
      <c r="N443" s="58"/>
      <c r="O443" s="58"/>
      <c r="P443" s="58"/>
      <c r="Q443" s="58"/>
      <c r="R443" s="58"/>
      <c r="S443" s="58"/>
      <c r="T443" s="410" t="s">
        <v>200</v>
      </c>
      <c r="U443" s="416"/>
      <c r="V443" s="58"/>
      <c r="W443" s="76"/>
      <c r="X443" s="668" t="s">
        <v>336</v>
      </c>
      <c r="Y443" s="543"/>
      <c r="Z443" s="543"/>
      <c r="AF443" s="543"/>
      <c r="AJ443" s="329"/>
    </row>
    <row r="444" spans="1:36" ht="11.25" customHeight="1">
      <c r="A444" s="604">
        <v>48</v>
      </c>
      <c r="B444" s="136"/>
      <c r="C444" s="799" t="str">
        <f>IF(LEN(O322)&lt;=265,"",RIGHT(O322,LEN(O322)-SEARCH(" ",O322,255)))</f>
        <v/>
      </c>
      <c r="D444" s="41"/>
      <c r="E444" s="41"/>
      <c r="F444" s="41"/>
      <c r="G444" s="41"/>
      <c r="H444" s="41"/>
      <c r="I444" s="41"/>
      <c r="J444" s="41"/>
      <c r="K444" s="67"/>
      <c r="L444" s="682" t="s">
        <v>336</v>
      </c>
      <c r="M444" s="342" t="s">
        <v>201</v>
      </c>
      <c r="N444" s="47"/>
      <c r="O444" s="47"/>
      <c r="P444" s="201"/>
      <c r="Q444" s="4" t="s">
        <v>202</v>
      </c>
      <c r="R444" s="3"/>
      <c r="S444" s="3"/>
      <c r="T444" s="3"/>
      <c r="U444" s="635" t="s">
        <v>203</v>
      </c>
      <c r="V444" s="3"/>
      <c r="W444" s="34"/>
      <c r="X444" s="668" t="s">
        <v>336</v>
      </c>
      <c r="Y444" s="543"/>
      <c r="Z444" s="543"/>
      <c r="AF444" s="543"/>
      <c r="AJ444" s="329"/>
    </row>
    <row r="445" spans="1:36" ht="11.25" customHeight="1">
      <c r="A445" s="604">
        <v>49</v>
      </c>
      <c r="B445" s="136"/>
      <c r="C445" s="49"/>
      <c r="D445" s="49"/>
      <c r="E445" s="49"/>
      <c r="F445" s="49"/>
      <c r="G445" s="49"/>
      <c r="H445" s="49"/>
      <c r="I445" s="49"/>
      <c r="J445" s="49"/>
      <c r="K445" s="67"/>
      <c r="L445" s="682" t="s">
        <v>336</v>
      </c>
      <c r="M445" s="39"/>
      <c r="N445" s="3"/>
      <c r="O445" s="3"/>
      <c r="P445" s="3"/>
      <c r="Q445" s="4" t="s">
        <v>204</v>
      </c>
      <c r="R445" s="3"/>
      <c r="S445" s="3"/>
      <c r="T445" s="3"/>
      <c r="U445" s="3"/>
      <c r="V445" s="3"/>
      <c r="W445" s="34"/>
      <c r="X445" s="668" t="s">
        <v>336</v>
      </c>
      <c r="Y445" s="543"/>
      <c r="Z445" s="543"/>
      <c r="AF445" s="543"/>
      <c r="AJ445" s="329"/>
    </row>
    <row r="446" spans="1:36" ht="11.25" customHeight="1">
      <c r="A446" s="604">
        <v>50</v>
      </c>
      <c r="B446" s="136"/>
      <c r="C446" s="49"/>
      <c r="D446" s="49"/>
      <c r="E446" s="49"/>
      <c r="F446" s="49"/>
      <c r="G446" s="49"/>
      <c r="H446" s="49"/>
      <c r="I446" s="49"/>
      <c r="J446" s="49"/>
      <c r="K446" s="67"/>
      <c r="L446" s="682" t="s">
        <v>336</v>
      </c>
      <c r="M446" s="39"/>
      <c r="N446" s="5" t="s">
        <v>108</v>
      </c>
      <c r="O446" s="5" t="s">
        <v>84</v>
      </c>
      <c r="P446" s="470" t="s">
        <v>85</v>
      </c>
      <c r="Q446" s="3"/>
      <c r="R446" s="5"/>
      <c r="S446" s="5" t="s">
        <v>87</v>
      </c>
      <c r="T446" s="26"/>
      <c r="U446" s="4" t="s">
        <v>88</v>
      </c>
      <c r="V446" s="3"/>
      <c r="W446" s="34"/>
      <c r="X446" s="668" t="s">
        <v>336</v>
      </c>
      <c r="Y446" s="543"/>
      <c r="Z446" s="543"/>
      <c r="AF446" s="543"/>
      <c r="AJ446" s="329"/>
    </row>
    <row r="447" spans="1:36" ht="11.25" customHeight="1" thickBot="1">
      <c r="A447" s="604">
        <v>51</v>
      </c>
      <c r="B447" s="98"/>
      <c r="C447" s="80"/>
      <c r="D447" s="80"/>
      <c r="E447" s="80"/>
      <c r="F447" s="80"/>
      <c r="G447" s="80"/>
      <c r="H447" s="80"/>
      <c r="I447" s="80"/>
      <c r="J447" s="80"/>
      <c r="K447" s="85"/>
      <c r="L447" s="682" t="s">
        <v>336</v>
      </c>
      <c r="M447" s="8" t="s">
        <v>205</v>
      </c>
      <c r="N447" s="7" t="str">
        <f>LFSDD</f>
        <v>cm</v>
      </c>
      <c r="O447" s="7" t="s">
        <v>90</v>
      </c>
      <c r="P447" s="471" t="s">
        <v>58</v>
      </c>
      <c r="Q447" s="7" t="s">
        <v>91</v>
      </c>
      <c r="R447" s="7" t="str">
        <f>IF(MIN($T$234:$T$241)&gt;0,LFMAS,IF(MIN($T$252:$T$257)&gt;0,SFMAS,"mA/mAs"))</f>
        <v>mA/mAs</v>
      </c>
      <c r="S447" s="7" t="s">
        <v>92</v>
      </c>
      <c r="T447" s="293" t="s">
        <v>93</v>
      </c>
      <c r="U447" s="7" t="s">
        <v>94</v>
      </c>
      <c r="V447" s="7" t="s">
        <v>92</v>
      </c>
      <c r="W447" s="24" t="s">
        <v>652</v>
      </c>
      <c r="X447" s="668" t="s">
        <v>336</v>
      </c>
      <c r="Y447" s="543"/>
      <c r="Z447" s="543"/>
      <c r="AF447" s="543"/>
      <c r="AJ447" s="329"/>
    </row>
    <row r="448" spans="1:36" ht="11.25" customHeight="1" thickTop="1">
      <c r="A448" s="604">
        <v>52</v>
      </c>
      <c r="L448" s="682" t="s">
        <v>336</v>
      </c>
      <c r="M448" s="491">
        <v>0</v>
      </c>
      <c r="N448" s="492">
        <f>$N$234</f>
        <v>100</v>
      </c>
      <c r="O448" s="493" t="s">
        <v>78</v>
      </c>
      <c r="P448" s="482" t="str">
        <f>$P$235</f>
        <v>70-120/Low</v>
      </c>
      <c r="Q448" s="494">
        <f>$Q$235</f>
        <v>80</v>
      </c>
      <c r="R448" s="495">
        <f>IF(R234="","",R234)</f>
        <v>20</v>
      </c>
      <c r="S448" s="428">
        <f>IF(S234="","",S234)</f>
        <v>0.05</v>
      </c>
      <c r="T448" s="426" t="str">
        <f t="shared" ref="T448:W449" si="77">IF(T283="","",T283)</f>
        <v/>
      </c>
      <c r="U448" s="427" t="str">
        <f t="shared" si="77"/>
        <v/>
      </c>
      <c r="V448" s="428" t="str">
        <f t="shared" si="77"/>
        <v/>
      </c>
      <c r="W448" s="429" t="str">
        <f t="shared" si="77"/>
        <v/>
      </c>
      <c r="X448" s="668" t="s">
        <v>336</v>
      </c>
      <c r="Y448" s="329"/>
      <c r="Z448" s="329"/>
      <c r="AJ448" s="329"/>
    </row>
    <row r="449" spans="1:36" ht="11.25" customHeight="1" thickBot="1">
      <c r="A449" s="604">
        <v>53</v>
      </c>
      <c r="B449" s="124"/>
      <c r="C449" s="124"/>
      <c r="D449" s="124"/>
      <c r="E449" s="124"/>
      <c r="F449" s="124"/>
      <c r="G449" s="124"/>
      <c r="H449" s="124"/>
      <c r="I449" s="124"/>
      <c r="J449" s="124"/>
      <c r="K449" s="124"/>
      <c r="L449" s="682" t="s">
        <v>336</v>
      </c>
      <c r="M449" s="496">
        <v>0</v>
      </c>
      <c r="N449" s="497">
        <f>IF(N448="","",N448)</f>
        <v>100</v>
      </c>
      <c r="O449" s="498" t="str">
        <f t="shared" ref="O449:O459" si="78">IF(Q449="","",O448)</f>
        <v>Large</v>
      </c>
      <c r="P449" s="499" t="str">
        <f>IF(P448="","",P448)</f>
        <v>70-120/Low</v>
      </c>
      <c r="Q449" s="500">
        <f>IF(Q448="","",Q448)</f>
        <v>80</v>
      </c>
      <c r="R449" s="501">
        <f>IF(R448="","",R448)</f>
        <v>20</v>
      </c>
      <c r="S449" s="502">
        <f>IF(S448="","",S448)</f>
        <v>0.05</v>
      </c>
      <c r="T449" s="430" t="str">
        <f t="shared" si="77"/>
        <v/>
      </c>
      <c r="U449" s="431" t="str">
        <f t="shared" si="77"/>
        <v/>
      </c>
      <c r="V449" s="432" t="str">
        <f t="shared" si="77"/>
        <v/>
      </c>
      <c r="W449" s="433" t="str">
        <f t="shared" si="77"/>
        <v/>
      </c>
      <c r="X449" s="668" t="s">
        <v>336</v>
      </c>
      <c r="Y449" s="543"/>
      <c r="Z449" s="543"/>
      <c r="AJ449" s="329"/>
    </row>
    <row r="450" spans="1:36" ht="11.25" customHeight="1">
      <c r="A450" s="604">
        <v>54</v>
      </c>
      <c r="B450" s="124"/>
      <c r="C450" s="124"/>
      <c r="D450" s="124"/>
      <c r="E450" s="124"/>
      <c r="F450" s="124"/>
      <c r="G450" s="124"/>
      <c r="H450" s="124"/>
      <c r="I450" s="124"/>
      <c r="J450" s="124"/>
      <c r="K450" s="124"/>
      <c r="L450" s="682" t="s">
        <v>336</v>
      </c>
      <c r="M450" s="503">
        <f>Tables!G56</f>
        <v>3</v>
      </c>
      <c r="N450" s="504">
        <f>IF(M450="","",$N$448)</f>
        <v>100</v>
      </c>
      <c r="O450" s="493" t="str">
        <f t="shared" si="78"/>
        <v>Large</v>
      </c>
      <c r="P450" s="505" t="str">
        <f>IF(M450="","",P449)</f>
        <v>70-120/Low</v>
      </c>
      <c r="Q450" s="506">
        <f>IF(M450="","",Q449)</f>
        <v>80</v>
      </c>
      <c r="R450" s="507">
        <f>IF(M450="","",R449)</f>
        <v>20</v>
      </c>
      <c r="S450" s="508">
        <f>IF(M450="","",S449)</f>
        <v>0.05</v>
      </c>
      <c r="T450" s="426" t="str">
        <f>IF(Tables!AA56="","",Tables!AA56)</f>
        <v/>
      </c>
      <c r="U450" s="427" t="str">
        <f>IF(Tables!Y56="","",Tables!Y56)</f>
        <v/>
      </c>
      <c r="V450" s="428" t="str">
        <f>IF(Tables!AB56="","",Tables!AB56)</f>
        <v/>
      </c>
      <c r="W450" s="429" t="str">
        <f>IF(Tables!AC56="","",Tables!AC56)</f>
        <v/>
      </c>
      <c r="X450" s="668" t="s">
        <v>336</v>
      </c>
      <c r="Y450" s="543"/>
      <c r="Z450" s="543"/>
      <c r="AJ450" s="329"/>
    </row>
    <row r="451" spans="1:36" ht="11.25" customHeight="1" thickBot="1">
      <c r="A451" s="604">
        <v>55</v>
      </c>
      <c r="B451" s="124"/>
      <c r="C451" s="124"/>
      <c r="D451" s="124"/>
      <c r="E451" s="124"/>
      <c r="F451" s="124"/>
      <c r="G451" s="124"/>
      <c r="H451" s="124"/>
      <c r="I451" s="124"/>
      <c r="J451" s="124"/>
      <c r="K451" s="124"/>
      <c r="L451" s="682" t="s">
        <v>336</v>
      </c>
      <c r="M451" s="496">
        <f>IF(M450="","",M450)</f>
        <v>3</v>
      </c>
      <c r="N451" s="497">
        <f>IF(N450="","",N450)</f>
        <v>100</v>
      </c>
      <c r="O451" s="498" t="str">
        <f t="shared" si="78"/>
        <v>Large</v>
      </c>
      <c r="P451" s="499" t="str">
        <f>IF(P450="","",P450)</f>
        <v>70-120/Low</v>
      </c>
      <c r="Q451" s="500">
        <f>IF(Q450="","",Q450)</f>
        <v>80</v>
      </c>
      <c r="R451" s="501">
        <f>IF(R450="","",R450)</f>
        <v>20</v>
      </c>
      <c r="S451" s="502">
        <f>IF(S450="","",S450)</f>
        <v>0.05</v>
      </c>
      <c r="T451" s="430" t="str">
        <f>IF(Tables!AA57="","",Tables!AA57)</f>
        <v/>
      </c>
      <c r="U451" s="431" t="str">
        <f>IF(Tables!Y57="","",Tables!Y57)</f>
        <v/>
      </c>
      <c r="V451" s="432" t="str">
        <f>IF(Tables!AB57="","",Tables!AB57)</f>
        <v/>
      </c>
      <c r="W451" s="433" t="str">
        <f>IF(Tables!AC57="","",Tables!AC57)</f>
        <v/>
      </c>
      <c r="X451" s="668" t="s">
        <v>336</v>
      </c>
      <c r="Y451" s="543"/>
      <c r="Z451" s="543"/>
      <c r="AJ451" s="329"/>
    </row>
    <row r="452" spans="1:36" ht="11.25" customHeight="1">
      <c r="A452" s="604">
        <v>56</v>
      </c>
      <c r="B452" s="124"/>
      <c r="C452" s="124"/>
      <c r="D452" s="124"/>
      <c r="E452" s="124"/>
      <c r="F452" s="124"/>
      <c r="G452" s="124"/>
      <c r="H452" s="124"/>
      <c r="I452" s="124"/>
      <c r="J452" s="124"/>
      <c r="K452" s="124"/>
      <c r="L452" s="682" t="s">
        <v>336</v>
      </c>
      <c r="M452" s="503" t="str">
        <f>IF(AND(Tables!AA58="",Tables!AA60=""),"",IF(Tables!AA58&lt;&gt;"",Tables!G58,Tables!G60))</f>
        <v/>
      </c>
      <c r="N452" s="504" t="str">
        <f>IF(M452="","",$N$448)</f>
        <v/>
      </c>
      <c r="O452" s="493" t="str">
        <f t="shared" si="78"/>
        <v/>
      </c>
      <c r="P452" s="505" t="str">
        <f>IF(M452="","",P451)</f>
        <v/>
      </c>
      <c r="Q452" s="506" t="str">
        <f>IF(M452="","",Q451)</f>
        <v/>
      </c>
      <c r="R452" s="507" t="str">
        <f>IF(M452="","",R451)</f>
        <v/>
      </c>
      <c r="S452" s="508" t="str">
        <f>IF(M452="","",S451)</f>
        <v/>
      </c>
      <c r="T452" s="426" t="str">
        <f>IF(AND(Tables!AA58="",Tables!AA60=""),"",IF($M$452=Tables!$G$58,Tables!AA58,IF($M$452=Tables!$G$60,Tables!AA60,"")))</f>
        <v/>
      </c>
      <c r="U452" s="427" t="str">
        <f>IF(AND(Tables!Y58="",Tables!Y60=""),"",IF($M$452=Tables!$G$58,Tables!Y58,IF($M$452=Tables!$G$60,Tables!Y60,"")))</f>
        <v/>
      </c>
      <c r="V452" s="428" t="str">
        <f>IF(AND(Tables!AB58="",Tables!AB60=""),"",IF($M$452=Tables!$G$58,Tables!AB58,IF($M$452=Tables!$G$60,Tables!AB60,"")))</f>
        <v/>
      </c>
      <c r="W452" s="429" t="str">
        <f>IF(AND(Tables!AC58="",Tables!AC60=""),"",IF($M$452=Tables!$G$58,Tables!AC58,IF($M$452=Tables!$G$60,Tables!AC60,"")))</f>
        <v/>
      </c>
      <c r="X452" s="668" t="s">
        <v>336</v>
      </c>
      <c r="Y452" s="543"/>
      <c r="Z452" s="543"/>
      <c r="AJ452" s="329"/>
    </row>
    <row r="453" spans="1:36" ht="11.25" customHeight="1" thickBot="1">
      <c r="A453" s="604">
        <v>57</v>
      </c>
      <c r="B453" s="124"/>
      <c r="C453" s="124"/>
      <c r="D453" s="124"/>
      <c r="E453" s="124"/>
      <c r="F453" s="124"/>
      <c r="G453" s="124"/>
      <c r="H453" s="124"/>
      <c r="I453" s="124"/>
      <c r="J453" s="124"/>
      <c r="K453" s="124"/>
      <c r="L453" s="682" t="s">
        <v>336</v>
      </c>
      <c r="M453" s="496" t="str">
        <f>IF(M452="","",M452)</f>
        <v/>
      </c>
      <c r="N453" s="497" t="str">
        <f>IF(N452="","",N452)</f>
        <v/>
      </c>
      <c r="O453" s="498" t="str">
        <f t="shared" si="78"/>
        <v/>
      </c>
      <c r="P453" s="499" t="str">
        <f>IF(P452="","",P452)</f>
        <v/>
      </c>
      <c r="Q453" s="500" t="str">
        <f>IF(Q452="","",Q452)</f>
        <v/>
      </c>
      <c r="R453" s="501" t="str">
        <f>IF(R452="","",R452)</f>
        <v/>
      </c>
      <c r="S453" s="502" t="str">
        <f>IF(S452="","",S452)</f>
        <v/>
      </c>
      <c r="T453" s="430" t="str">
        <f>IF(AND(Tables!AA59="",Tables!AA61=""),"",IF($M$452=Tables!$G$58,Tables!AA59,IF($M$452=Tables!$G$60,Tables!AA61,"")))</f>
        <v/>
      </c>
      <c r="U453" s="431" t="str">
        <f>IF(AND(Tables!Y59="",Tables!Y61=""),"",IF($M$452=Tables!$G$58,Tables!Y59,IF($M$452=Tables!$G$60,Tables!Y61,"")))</f>
        <v/>
      </c>
      <c r="V453" s="432" t="str">
        <f>IF(AND(Tables!AB59="",Tables!AB61=""),"",IF($M$452=Tables!$G$58,Tables!AB59,IF($M$452=Tables!$G$60,Tables!AB61,"")))</f>
        <v/>
      </c>
      <c r="W453" s="433" t="str">
        <f>IF(AND(Tables!AC59="",Tables!AC61=""),"",IF($M$452=Tables!$G$58,Tables!AC59,IF($M$452=Tables!$G$60,Tables!AC61,"")))</f>
        <v/>
      </c>
      <c r="X453" s="668" t="s">
        <v>336</v>
      </c>
      <c r="Y453" s="543"/>
      <c r="Z453" s="543"/>
      <c r="AJ453" s="329"/>
    </row>
    <row r="454" spans="1:36" ht="11.25" customHeight="1">
      <c r="A454" s="604">
        <v>58</v>
      </c>
      <c r="B454" s="124"/>
      <c r="C454" s="124"/>
      <c r="D454" s="124"/>
      <c r="E454" s="124"/>
      <c r="F454" s="124"/>
      <c r="G454" s="124"/>
      <c r="H454" s="124"/>
      <c r="I454" s="124"/>
      <c r="J454" s="124"/>
      <c r="K454" s="124"/>
      <c r="L454" s="682" t="s">
        <v>336</v>
      </c>
      <c r="M454" s="503" t="str">
        <f>IF(OR(Tables!AA60="",AND(Tables!AA58="",Tables!AA60&lt;&gt;"")),"",Tables!G60)</f>
        <v/>
      </c>
      <c r="N454" s="504" t="str">
        <f>IF(M454="","",$N$448)</f>
        <v/>
      </c>
      <c r="O454" s="493" t="str">
        <f t="shared" si="78"/>
        <v/>
      </c>
      <c r="P454" s="505" t="str">
        <f>IF(M454="","",P453)</f>
        <v/>
      </c>
      <c r="Q454" s="506" t="str">
        <f>IF(M454="","",Q453)</f>
        <v/>
      </c>
      <c r="R454" s="507" t="str">
        <f>IF(M454="","",R453)</f>
        <v/>
      </c>
      <c r="S454" s="508" t="str">
        <f>IF(M454="","",S453)</f>
        <v/>
      </c>
      <c r="T454" s="426" t="str">
        <f>IF($M$454="","",Tables!AA60)</f>
        <v/>
      </c>
      <c r="U454" s="427" t="str">
        <f>IF($M$454="","",Tables!Y60)</f>
        <v/>
      </c>
      <c r="V454" s="428" t="str">
        <f>IF($M$454="","",Tables!AB60)</f>
        <v/>
      </c>
      <c r="W454" s="429" t="str">
        <f>IF($M$454="","",Tables!AC60)</f>
        <v/>
      </c>
      <c r="X454" s="668" t="s">
        <v>336</v>
      </c>
      <c r="Y454" s="543"/>
      <c r="Z454" s="543"/>
      <c r="AJ454" s="329"/>
    </row>
    <row r="455" spans="1:36" ht="11.25" customHeight="1" thickBot="1">
      <c r="A455" s="604">
        <v>59</v>
      </c>
      <c r="B455" s="124"/>
      <c r="C455" s="124"/>
      <c r="D455" s="124"/>
      <c r="E455" s="124"/>
      <c r="F455" s="124"/>
      <c r="G455" s="124"/>
      <c r="H455" s="124"/>
      <c r="I455" s="124"/>
      <c r="J455" s="124"/>
      <c r="K455" s="124"/>
      <c r="L455" s="682" t="s">
        <v>336</v>
      </c>
      <c r="M455" s="496" t="str">
        <f>IF(M454="","",M454)</f>
        <v/>
      </c>
      <c r="N455" s="497" t="str">
        <f>IF(N454="","",N454)</f>
        <v/>
      </c>
      <c r="O455" s="498" t="str">
        <f t="shared" si="78"/>
        <v/>
      </c>
      <c r="P455" s="499" t="str">
        <f>IF(P454="","",P454)</f>
        <v/>
      </c>
      <c r="Q455" s="500" t="str">
        <f>IF(Q454="","",Q454)</f>
        <v/>
      </c>
      <c r="R455" s="501" t="str">
        <f>IF(R454="","",R454)</f>
        <v/>
      </c>
      <c r="S455" s="502" t="str">
        <f>IF(S454="","",S454)</f>
        <v/>
      </c>
      <c r="T455" s="430" t="str">
        <f>IF($M$454="","",Tables!AA61)</f>
        <v/>
      </c>
      <c r="U455" s="431" t="str">
        <f>IF($M$454="","",Tables!Y61)</f>
        <v/>
      </c>
      <c r="V455" s="432" t="str">
        <f>IF($M$454="","",Tables!AB61)</f>
        <v/>
      </c>
      <c r="W455" s="433" t="str">
        <f>IF($M$454="","",Tables!AC61)</f>
        <v/>
      </c>
      <c r="X455" s="668" t="s">
        <v>336</v>
      </c>
      <c r="Y455" s="543"/>
      <c r="Z455" s="543"/>
      <c r="AJ455" s="329"/>
    </row>
    <row r="456" spans="1:36" ht="11.25" customHeight="1">
      <c r="A456" s="604">
        <v>60</v>
      </c>
      <c r="B456" s="124"/>
      <c r="C456" s="124"/>
      <c r="D456" s="124"/>
      <c r="E456" s="124"/>
      <c r="F456" s="124"/>
      <c r="G456" s="124"/>
      <c r="H456" s="124"/>
      <c r="I456" s="124"/>
      <c r="J456" s="124"/>
      <c r="K456" s="124"/>
      <c r="L456" s="682" t="s">
        <v>336</v>
      </c>
      <c r="M456" s="636"/>
      <c r="N456" s="355" t="str">
        <f>IF(M456="","",$N$448)</f>
        <v/>
      </c>
      <c r="O456" s="9" t="str">
        <f t="shared" si="78"/>
        <v/>
      </c>
      <c r="P456" s="469" t="str">
        <f>IF(M456="","",P455)</f>
        <v/>
      </c>
      <c r="Q456" s="11" t="str">
        <f>IF(M456="","",Q455)</f>
        <v/>
      </c>
      <c r="R456" s="408" t="str">
        <f>IF(M456="","",R455)</f>
        <v/>
      </c>
      <c r="S456" s="10" t="str">
        <f>IF(M456="","",S455)</f>
        <v/>
      </c>
      <c r="T456" s="637"/>
      <c r="U456" s="638"/>
      <c r="V456" s="639"/>
      <c r="W456" s="640"/>
      <c r="X456" s="668" t="s">
        <v>336</v>
      </c>
      <c r="Y456" s="543"/>
      <c r="Z456" s="543"/>
      <c r="AJ456" s="329"/>
    </row>
    <row r="457" spans="1:36" ht="11.25" customHeight="1" thickBot="1">
      <c r="A457" s="604">
        <v>61</v>
      </c>
      <c r="B457" s="124"/>
      <c r="C457" s="124"/>
      <c r="D457" s="124"/>
      <c r="E457" s="124"/>
      <c r="F457" s="124"/>
      <c r="G457" s="124"/>
      <c r="H457" s="124"/>
      <c r="I457" s="124"/>
      <c r="J457" s="124"/>
      <c r="K457" s="124"/>
      <c r="L457" s="682" t="s">
        <v>336</v>
      </c>
      <c r="M457" s="8" t="str">
        <f>IF(M456="","",M456)</f>
        <v/>
      </c>
      <c r="N457" s="354" t="str">
        <f>IF(N456="","",N456)</f>
        <v/>
      </c>
      <c r="O457" s="7" t="str">
        <f t="shared" si="78"/>
        <v/>
      </c>
      <c r="P457" s="468" t="str">
        <f>IF(P456="","",P456)</f>
        <v/>
      </c>
      <c r="Q457" s="339" t="str">
        <f>IF(Q456="","",Q456)</f>
        <v/>
      </c>
      <c r="R457" s="407" t="str">
        <f>IF(R456="","",R456)</f>
        <v/>
      </c>
      <c r="S457" s="340" t="str">
        <f>IF(S456="","",S456)</f>
        <v/>
      </c>
      <c r="T457" s="641"/>
      <c r="U457" s="642"/>
      <c r="V457" s="643"/>
      <c r="W457" s="644"/>
      <c r="X457" s="668" t="s">
        <v>336</v>
      </c>
      <c r="Y457" s="543"/>
      <c r="Z457" s="543"/>
      <c r="AJ457" s="329"/>
    </row>
    <row r="458" spans="1:36" ht="11.25" customHeight="1">
      <c r="A458" s="604">
        <v>62</v>
      </c>
      <c r="B458" s="124"/>
      <c r="C458" s="124"/>
      <c r="D458" s="124"/>
      <c r="E458" s="124"/>
      <c r="F458" s="124"/>
      <c r="G458" s="124"/>
      <c r="H458" s="124"/>
      <c r="I458" s="124"/>
      <c r="J458" s="124"/>
      <c r="K458" s="124"/>
      <c r="L458" s="682" t="s">
        <v>336</v>
      </c>
      <c r="M458" s="636"/>
      <c r="N458" s="355" t="str">
        <f>IF(M458="","",$N$448)</f>
        <v/>
      </c>
      <c r="O458" s="9" t="str">
        <f t="shared" si="78"/>
        <v/>
      </c>
      <c r="P458" s="469" t="str">
        <f>IF(M458="","",P457)</f>
        <v/>
      </c>
      <c r="Q458" s="11" t="str">
        <f>IF(M458="","",Q457)</f>
        <v/>
      </c>
      <c r="R458" s="408" t="str">
        <f>IF(M458="","",R457)</f>
        <v/>
      </c>
      <c r="S458" s="10" t="str">
        <f>IF(M458="","",S457)</f>
        <v/>
      </c>
      <c r="T458" s="637"/>
      <c r="U458" s="638"/>
      <c r="V458" s="639"/>
      <c r="W458" s="640"/>
      <c r="X458" s="668" t="s">
        <v>336</v>
      </c>
      <c r="Y458" s="543"/>
      <c r="Z458" s="543"/>
      <c r="AJ458" s="329"/>
    </row>
    <row r="459" spans="1:36" ht="11.25" customHeight="1" thickBot="1">
      <c r="A459" s="604">
        <v>63</v>
      </c>
      <c r="B459" s="124"/>
      <c r="C459" s="124"/>
      <c r="D459" s="124"/>
      <c r="E459" s="124"/>
      <c r="F459" s="124"/>
      <c r="G459" s="124"/>
      <c r="H459" s="124"/>
      <c r="I459" s="124"/>
      <c r="J459" s="124"/>
      <c r="K459" s="124"/>
      <c r="L459" s="682" t="s">
        <v>336</v>
      </c>
      <c r="M459" s="8" t="str">
        <f>IF(M458="","",M458)</f>
        <v/>
      </c>
      <c r="N459" s="354" t="str">
        <f>IF(N458="","",N458)</f>
        <v/>
      </c>
      <c r="O459" s="7" t="str">
        <f t="shared" si="78"/>
        <v/>
      </c>
      <c r="P459" s="468" t="str">
        <f>IF(P458="","",P458)</f>
        <v/>
      </c>
      <c r="Q459" s="339" t="str">
        <f>IF(Q458="","",Q458)</f>
        <v/>
      </c>
      <c r="R459" s="407" t="str">
        <f>IF(R458="","",R458)</f>
        <v/>
      </c>
      <c r="S459" s="340" t="str">
        <f>IF(S458="","",S458)</f>
        <v/>
      </c>
      <c r="T459" s="641"/>
      <c r="U459" s="642"/>
      <c r="V459" s="643"/>
      <c r="W459" s="644"/>
      <c r="X459" s="668" t="s">
        <v>336</v>
      </c>
      <c r="Y459" s="543"/>
      <c r="Z459" s="543"/>
      <c r="AJ459" s="329"/>
    </row>
    <row r="460" spans="1:36" ht="11.25" customHeight="1">
      <c r="A460" s="604">
        <v>64</v>
      </c>
      <c r="B460" s="124"/>
      <c r="C460" s="124"/>
      <c r="D460" s="124"/>
      <c r="E460" s="124"/>
      <c r="F460" s="124"/>
      <c r="G460" s="124"/>
      <c r="H460" s="124"/>
      <c r="I460" s="124"/>
      <c r="J460" s="124"/>
      <c r="K460" s="124"/>
      <c r="L460" s="682" t="s">
        <v>336</v>
      </c>
      <c r="M460" s="136"/>
      <c r="N460" s="160" t="s">
        <v>417</v>
      </c>
      <c r="O460" s="705" t="str">
        <f>IF(O462&lt;&gt;"",O462,IF(OR(AB220=0,AB220=""),"",AB220))</f>
        <v/>
      </c>
      <c r="P460" s="2"/>
      <c r="Q460" s="2"/>
      <c r="R460" s="2"/>
      <c r="S460" s="2"/>
      <c r="T460" s="2"/>
      <c r="U460" s="2"/>
      <c r="V460" s="2"/>
      <c r="W460" s="27"/>
      <c r="X460" s="668" t="s">
        <v>336</v>
      </c>
      <c r="Y460" s="543"/>
      <c r="Z460" s="543"/>
      <c r="AJ460" s="329"/>
    </row>
    <row r="461" spans="1:36" ht="11.25" customHeight="1">
      <c r="A461" s="604">
        <v>65</v>
      </c>
      <c r="B461" s="46" t="str">
        <f t="array" ref="B461:C462">$B$65:$C$66</f>
        <v>Date:</v>
      </c>
      <c r="C461" s="1072" t="str">
        <v/>
      </c>
      <c r="E461" s="45"/>
      <c r="F461" s="45"/>
      <c r="G461" s="45"/>
      <c r="H461" s="45"/>
      <c r="I461" s="46" t="str">
        <f t="array" ref="I461:J462">$I$65:$J$66</f>
        <v>Inspector:</v>
      </c>
      <c r="J461" s="401" t="str">
        <v>Eugene Mah</v>
      </c>
      <c r="L461" s="682" t="s">
        <v>336</v>
      </c>
      <c r="M461" s="107"/>
      <c r="N461" s="602" t="s">
        <v>257</v>
      </c>
      <c r="O461" s="110"/>
      <c r="P461" s="798">
        <f>LEN(O460)</f>
        <v>0</v>
      </c>
      <c r="Q461" s="2"/>
      <c r="R461" s="2"/>
      <c r="S461" s="2"/>
      <c r="T461" s="2"/>
      <c r="U461" s="2"/>
      <c r="V461" s="2"/>
      <c r="W461" s="27"/>
      <c r="X461" s="668" t="s">
        <v>336</v>
      </c>
      <c r="Y461" s="543"/>
      <c r="Z461" s="543"/>
      <c r="AJ461" s="329"/>
    </row>
    <row r="462" spans="1:36" ht="11.25" customHeight="1">
      <c r="A462" s="604">
        <v>66</v>
      </c>
      <c r="B462" s="46" t="str">
        <v>Room Number:</v>
      </c>
      <c r="C462" s="363" t="str">
        <v/>
      </c>
      <c r="E462" s="45"/>
      <c r="F462" s="45"/>
      <c r="G462" s="45"/>
      <c r="H462" s="45"/>
      <c r="I462" s="46" t="str">
        <v>Survey ID:</v>
      </c>
      <c r="J462" s="910" t="str">
        <v/>
      </c>
      <c r="L462" s="682" t="s">
        <v>336</v>
      </c>
      <c r="M462" s="39"/>
      <c r="N462" s="899" t="s">
        <v>437</v>
      </c>
      <c r="O462" s="901"/>
      <c r="P462" s="2"/>
      <c r="Q462" s="2"/>
      <c r="R462" s="2"/>
      <c r="S462" s="2"/>
      <c r="T462" s="2"/>
      <c r="U462" s="2"/>
      <c r="V462" s="2"/>
      <c r="W462" s="27"/>
      <c r="X462" s="668" t="s">
        <v>336</v>
      </c>
      <c r="Y462" s="543"/>
      <c r="Z462" s="543"/>
      <c r="AJ462" s="329"/>
    </row>
    <row r="463" spans="1:36" ht="11.25" customHeight="1">
      <c r="A463" s="604">
        <v>1</v>
      </c>
      <c r="B463" s="49"/>
      <c r="C463" s="49"/>
      <c r="D463" s="49"/>
      <c r="E463" s="49"/>
      <c r="G463" s="49"/>
      <c r="H463" s="49"/>
      <c r="I463" s="49"/>
      <c r="J463" s="49"/>
      <c r="K463" s="142" t="str">
        <f>$F$2</f>
        <v>Medical University of South Carolina</v>
      </c>
      <c r="L463" s="682" t="s">
        <v>336</v>
      </c>
      <c r="M463" s="286" t="s">
        <v>215</v>
      </c>
      <c r="N463" s="3"/>
      <c r="O463" s="3"/>
      <c r="P463" s="3"/>
      <c r="Q463" s="3" t="str">
        <f>IF(AND(U444="",T448&lt;&gt;""),"Meas.",IF(MAXAVG="","Set",MAXAVG))</f>
        <v>Max kV</v>
      </c>
      <c r="R463" s="3"/>
      <c r="S463" s="4"/>
      <c r="T463" s="3"/>
      <c r="U463" s="49"/>
      <c r="V463" s="3"/>
      <c r="W463" s="34"/>
      <c r="X463" s="668" t="s">
        <v>336</v>
      </c>
      <c r="Y463" s="329"/>
      <c r="Z463" s="329"/>
      <c r="AJ463" s="329"/>
    </row>
    <row r="464" spans="1:36" ht="11.25" customHeight="1" thickBot="1">
      <c r="A464" s="604">
        <v>2</v>
      </c>
      <c r="F464" s="252" t="str">
        <f>$F$332</f>
        <v>Measurement Data</v>
      </c>
      <c r="K464" s="143" t="str">
        <f>$F$5</f>
        <v>Radiation Oncology IGRT Compliance Inspection</v>
      </c>
      <c r="L464" s="682" t="s">
        <v>336</v>
      </c>
      <c r="M464" s="8" t="s">
        <v>216</v>
      </c>
      <c r="N464" s="6" t="s">
        <v>217</v>
      </c>
      <c r="O464" s="6" t="s">
        <v>218</v>
      </c>
      <c r="P464" s="6" t="s">
        <v>219</v>
      </c>
      <c r="Q464" s="6" t="s">
        <v>369</v>
      </c>
      <c r="R464" s="3"/>
      <c r="S464" s="6" t="str">
        <f>"HVL @"&amp;ROUND(avgkvp,2)&amp;" kVp ("&amp;IF(AND(U444="",T448&lt;&gt;""),"Meas.",IF(MAXAVG="","Set",MAXAVG))&amp;")"</f>
        <v>HVL @80 kVp (Max kV)</v>
      </c>
      <c r="T464" s="3"/>
      <c r="U464" s="415" t="str">
        <f>"Criteria:  "&amp;IF(M441=1,"MDPH STANDARD","MUSC STANDARD")</f>
        <v>Criteria:  MUSC STANDARD</v>
      </c>
      <c r="V464" s="49"/>
      <c r="W464" s="67"/>
      <c r="X464" s="668" t="s">
        <v>336</v>
      </c>
      <c r="Y464" s="704" t="s">
        <v>301</v>
      </c>
      <c r="Z464" s="705" t="str">
        <f>IF(OR(AB238=0,AB238=""),"",AB238)</f>
        <v/>
      </c>
      <c r="AJ464" s="329"/>
    </row>
    <row r="465" spans="1:36" ht="11.25" customHeight="1" thickTop="1" thickBot="1">
      <c r="A465" s="604">
        <v>3</v>
      </c>
      <c r="B465" s="124"/>
      <c r="C465" s="124"/>
      <c r="D465" s="124"/>
      <c r="E465" s="124"/>
      <c r="F465" s="124"/>
      <c r="G465" s="124"/>
      <c r="H465" s="124"/>
      <c r="I465" s="124"/>
      <c r="J465" s="124"/>
      <c r="K465" s="124"/>
      <c r="L465" s="682" t="s">
        <v>336</v>
      </c>
      <c r="M465" s="40">
        <f>M448</f>
        <v>0</v>
      </c>
      <c r="N465" s="289" t="str">
        <f>IF(MIN(W448:W449)=0,"",AVERAGE(W448:W449))</f>
        <v/>
      </c>
      <c r="O465" s="15" t="str">
        <f>IF(EXP_0="","",ABS(EXP_0-EXP_0/2))</f>
        <v/>
      </c>
      <c r="P465" s="16" t="str">
        <f>IF(OR(EXP_0="",EXP_1=""),"",IF(ABS(EXP_0-EXP_0/2)=SMALL(DHALF,1),ALUM_0,IF(ABS(EXP_1-EXP_0/2)=SMALL(DHALF,1),ALUM_1,IF(ABS(EXP_2-EXP_0/2)=SMALL(DHALF,1),ALUM_2,IF(ABS(EXP_3-EXP_0/2)=SMALL(DHALF,1),ALUM_3,IF(ABS(EXP_4-EXP_0/2)=SMALL(DHALF,1),ALUM_4,IF(ABS(EXP_5-EXP_0/2)=SMALL(DHALF,1),ALUM_5,"")))))))</f>
        <v/>
      </c>
      <c r="Q465" s="17">
        <f>IF(AND(Q448="",T448=""),"TBD",IF(AND(U448&lt;&gt;"",MAXAVG="Avg kV"),AVERAGE(U448:U449),IF(AND(T448&lt;&gt;"",MAXAVG="Max kV"),AVERAGE(T448:T449),IF(T448&lt;&gt;"",AVERAGE(T448:T449),Q448))))</f>
        <v>80</v>
      </c>
      <c r="R465" s="3"/>
      <c r="S465" s="735" t="e">
        <f>IF(OR(MIN(ALUMLOW:ALUMHIGH)=0,MIN(EXPLOW:EXPHIGH)=0),AVERAGE(Tables!R6:R10),TREND(ALUM,LN_EXP,LN(EXP_0/2)))</f>
        <v>#DIV/0!</v>
      </c>
      <c r="T465" s="3"/>
      <c r="U465" s="314" t="s">
        <v>209</v>
      </c>
      <c r="V465" s="314" t="s">
        <v>210</v>
      </c>
      <c r="W465" s="319" t="s">
        <v>211</v>
      </c>
      <c r="X465" s="668" t="s">
        <v>336</v>
      </c>
      <c r="Z465" s="710" t="str">
        <f>IF(OR(AB239=0,AB239=""),"",AB239)</f>
        <v/>
      </c>
      <c r="AJ465" s="329"/>
    </row>
    <row r="466" spans="1:36" ht="11.25" customHeight="1" thickTop="1" thickBot="1">
      <c r="A466" s="604">
        <v>4</v>
      </c>
      <c r="B466" s="75"/>
      <c r="C466" s="58"/>
      <c r="D466" s="58"/>
      <c r="E466" s="58"/>
      <c r="F466" s="58"/>
      <c r="G466" s="58"/>
      <c r="H466" s="58"/>
      <c r="I466" s="58"/>
      <c r="J466" s="58"/>
      <c r="K466" s="76"/>
      <c r="L466" s="682" t="s">
        <v>336</v>
      </c>
      <c r="M466" s="40">
        <f>IF(M450="","",M450)</f>
        <v>3</v>
      </c>
      <c r="N466" s="289" t="str">
        <f>IF(MIN(W450:W451)=0,"",AVERAGE(W450:W451))</f>
        <v/>
      </c>
      <c r="O466" s="15" t="str">
        <f>IF(EXP_1="","",ABS(EXP_1-EXP_0/2))</f>
        <v/>
      </c>
      <c r="P466" s="15" t="str">
        <f>IF(OR(EXP_0="",EXP_1=""),"",IF(ABS(EXP_0-EXP_0/2)=SMALL(DHALF,2),ALUM_0,IF(ABS(EXP_1-EXP_0/2)=SMALL(DHALF,2),ALUM_1,IF(ABS(EXP_2-EXP_0/2)=SMALL(DHALF,2),ALUM_2,IF(ABS(EXP_3-EXP_0/2)=SMALL(DHALF,2),ALUM_3,IF(ABS(EXP_4-EXP_0/2)=SMALL(DHALF,2),ALUM_4,IF(ABS(EXP_5-EXP_0/2)=SMALL(DHALF,2),ALUM_5,"")))))))</f>
        <v/>
      </c>
      <c r="Q466" s="18"/>
      <c r="R466" s="3"/>
      <c r="S466" s="3"/>
      <c r="T466" s="320" t="s">
        <v>369</v>
      </c>
      <c r="U466" s="316" t="s">
        <v>213</v>
      </c>
      <c r="V466" s="316" t="s">
        <v>213</v>
      </c>
      <c r="W466" s="321" t="s">
        <v>213</v>
      </c>
      <c r="X466" s="668" t="s">
        <v>336</v>
      </c>
      <c r="Y466" s="329"/>
      <c r="Z466" s="329"/>
      <c r="AJ466" s="329"/>
    </row>
    <row r="467" spans="1:36" ht="11.25" customHeight="1">
      <c r="A467" s="604">
        <v>5</v>
      </c>
      <c r="B467" s="129"/>
      <c r="C467" s="48" t="s">
        <v>47</v>
      </c>
      <c r="D467" s="110" t="str">
        <f>IF($O$227="","",$O$227)</f>
        <v>Piranha CB2-17090320</v>
      </c>
      <c r="E467" s="215"/>
      <c r="F467" s="41"/>
      <c r="G467" s="42"/>
      <c r="H467" s="42"/>
      <c r="I467" s="42"/>
      <c r="J467" s="42"/>
      <c r="K467" s="65"/>
      <c r="L467" s="682" t="s">
        <v>336</v>
      </c>
      <c r="M467" s="40" t="str">
        <f>IF(M452="","",M452)</f>
        <v/>
      </c>
      <c r="N467" s="289" t="str">
        <f>IF(MIN(W452:W453)=0,"",AVERAGE(W452:W453))</f>
        <v/>
      </c>
      <c r="O467" s="15" t="str">
        <f>IF(EXP_2="","",ABS(EXP_2-EXP_0/2))</f>
        <v/>
      </c>
      <c r="P467" s="3"/>
      <c r="Q467" s="3"/>
      <c r="R467" s="452" t="s">
        <v>220</v>
      </c>
      <c r="S467" s="389"/>
      <c r="T467" s="322">
        <f>IF($M$441=1,Tables!AB5,Tables!W5)</f>
        <v>60</v>
      </c>
      <c r="U467" s="348">
        <f>IF($M$441=1,Tables!AC5,Tables!X5)</f>
        <v>2.1854545454545447</v>
      </c>
      <c r="V467" s="317">
        <f>IF($M$441=1,Tables!AD5,Tables!Y5)</f>
        <v>1.9</v>
      </c>
      <c r="W467" s="323">
        <f>IF($M$441=1,Tables!AE5,Tables!Z5)</f>
        <v>2.4</v>
      </c>
      <c r="X467" s="668" t="s">
        <v>336</v>
      </c>
      <c r="Y467" s="329"/>
      <c r="Z467" s="329"/>
      <c r="AJ467" s="329"/>
    </row>
    <row r="468" spans="1:36" ht="11.25" customHeight="1" thickBot="1">
      <c r="A468" s="604">
        <v>6</v>
      </c>
      <c r="B468" s="129"/>
      <c r="C468" s="42"/>
      <c r="D468" s="42"/>
      <c r="E468" s="42"/>
      <c r="F468" s="42"/>
      <c r="G468" s="42"/>
      <c r="H468" s="42"/>
      <c r="I468" s="42"/>
      <c r="J468" s="42"/>
      <c r="K468" s="65"/>
      <c r="L468" s="682" t="s">
        <v>336</v>
      </c>
      <c r="M468" s="40" t="str">
        <f>IF(M454="","",M454)</f>
        <v/>
      </c>
      <c r="N468" s="289" t="str">
        <f>IF(MIN(W454:W455)=0,"",AVERAGE(W454:W455))</f>
        <v/>
      </c>
      <c r="O468" s="15" t="str">
        <f>IF(EXP_3="","",ABS(EXP_3-EXP_0/2))</f>
        <v/>
      </c>
      <c r="P468" s="6" t="s">
        <v>221</v>
      </c>
      <c r="Q468" s="6" t="s">
        <v>222</v>
      </c>
      <c r="R468" s="390" t="s">
        <v>223</v>
      </c>
      <c r="S468" s="453">
        <f>IF($M$441=1,IF(avgkvp&lt;=75,MIN(ROUND(TREND(V467:V469,T467:T469,avgkvp),1),TRUNC(TREND(V467:V469,T467:T469,avgkvp),2)),MIN(ROUND(TREND(V470:V474,T470:T474,avgkvp),1),TRUNC(TREND(V470:V474,T470:T474,avgkvp),2))),MIN(ROUND(TREND(V467:V474,T467:T474,avgkvp),1),TRUNC(TREND(V467:V474,T467:T474,avgkvp),2)))</f>
        <v>2.6</v>
      </c>
      <c r="T468" s="322">
        <f>IF($M$441=1,Tables!AB6,Tables!W6)</f>
        <v>70</v>
      </c>
      <c r="U468" s="348">
        <f>IF($M$441=1,Tables!AC6,Tables!X6)</f>
        <v>2.6109090909090904</v>
      </c>
      <c r="V468" s="317">
        <f>IF($M$441=1,Tables!AD6,Tables!Y6)</f>
        <v>2.2999999999999998</v>
      </c>
      <c r="W468" s="323">
        <f>IF($M$441=1,Tables!AE6,Tables!Z6)</f>
        <v>2.9</v>
      </c>
      <c r="X468" s="668" t="s">
        <v>336</v>
      </c>
      <c r="Y468" s="329"/>
      <c r="Z468" s="329"/>
      <c r="AJ468" s="329"/>
    </row>
    <row r="469" spans="1:36" ht="11.25" customHeight="1">
      <c r="A469" s="604">
        <v>7</v>
      </c>
      <c r="B469" s="136"/>
      <c r="C469" s="49"/>
      <c r="D469" s="49"/>
      <c r="E469" s="49"/>
      <c r="F469" s="49"/>
      <c r="G469" s="49"/>
      <c r="H469" s="49"/>
      <c r="I469" s="49"/>
      <c r="J469" s="49"/>
      <c r="K469" s="67"/>
      <c r="L469" s="682" t="s">
        <v>336</v>
      </c>
      <c r="M469" s="40" t="str">
        <f>IF(M456="","",M456)</f>
        <v/>
      </c>
      <c r="N469" s="289" t="str">
        <f>IF(MIN(W456:W457)=0,"",AVERAGE(W456:W457))</f>
        <v/>
      </c>
      <c r="O469" s="15" t="str">
        <f>IF(EXP_4="","",ABS(EXP_4-EXP_0/2))</f>
        <v/>
      </c>
      <c r="P469" s="16" t="str">
        <f>IF(OR(EXP_0="",EXP_1=""),"",IF(ALUM_0=ALUMLOW,EXP_0,IF(ALUM_1=ALUMLOW,EXP_1,IF(ALUM_2=ALUMLOW,EXP_2,IF(ALUM_3=ALUMLOW,EXP_3,IF(ALUM_4=ALUMLOW,EXP_4,IF(ALUM_5=ALUMLOW,EXP_5,"")))))))</f>
        <v/>
      </c>
      <c r="Q469" s="19" t="str">
        <f>IF(EXPLOW="","",LN(EXPLOW))</f>
        <v/>
      </c>
      <c r="R469" s="454" t="s">
        <v>224</v>
      </c>
      <c r="S469" s="399">
        <f>IF($M$441=1,IF(avgkvp&lt;=75,ROUND(AVERAGE(ROUND(TREND(U467:U469,T467:T469,avgkvp),2),TRUNC(TREND(U467:U469,T467:T469,avgkvp),2)),1),ROUND(AVERAGE(ROUND(TREND(U470:U474,T470:T474,avgkvp),2),TRUNC(TREND(U470:U474,T470:T474,avgkvp),2)),1)),ROUND(AVERAGE(ROUND(TREND(U467:U474,T467:T474,avgkvp),2),TRUNC(TREND(U467:U474,T467:T474,avgkvp),2)),1))</f>
        <v>3</v>
      </c>
      <c r="T469" s="322">
        <f>IF($M$441=1,Tables!AB7,Tables!W7)</f>
        <v>80</v>
      </c>
      <c r="U469" s="348">
        <f>IF($M$441=1,Tables!AC7,Tables!X7)</f>
        <v>3.0363636363636357</v>
      </c>
      <c r="V469" s="317">
        <f>IF($M$441=1,Tables!AD7,Tables!Y7)</f>
        <v>2.6</v>
      </c>
      <c r="W469" s="323">
        <f>IF($M$441=1,Tables!AE7,Tables!Z7)</f>
        <v>3.4</v>
      </c>
      <c r="X469" s="668" t="s">
        <v>336</v>
      </c>
      <c r="Y469" s="329"/>
      <c r="Z469" s="329"/>
      <c r="AJ469" s="329"/>
    </row>
    <row r="470" spans="1:36" ht="11.25" customHeight="1" thickBot="1">
      <c r="A470" s="604">
        <v>8</v>
      </c>
      <c r="B470" s="136"/>
      <c r="C470" s="49"/>
      <c r="D470" s="49"/>
      <c r="E470" s="49"/>
      <c r="F470" s="49"/>
      <c r="G470" s="263" t="str">
        <f>"Timer performance ("&amp;O335&amp;" Focal Spot)"</f>
        <v>Timer performance (Large Focal Spot)</v>
      </c>
      <c r="H470" s="49"/>
      <c r="I470" s="49"/>
      <c r="J470" s="49"/>
      <c r="K470" s="67"/>
      <c r="L470" s="682" t="s">
        <v>336</v>
      </c>
      <c r="M470" s="40" t="str">
        <f>IF(M458="","",M458)</f>
        <v/>
      </c>
      <c r="N470" s="289" t="str">
        <f>IF(MIN(W458:W459)=0,"",AVERAGE(W458:W459))</f>
        <v/>
      </c>
      <c r="O470" s="15" t="str">
        <f>IF(EXP_5="","",ABS(EXP_5-EXP_0/2))</f>
        <v/>
      </c>
      <c r="P470" s="15" t="str">
        <f>IF(OR(EXP_0="",EXP_1=""),"",IF(ALUM_0=ALUMHIGH,EXP_0,IF(ALUM_1=ALUMHIGH,EXP_1,IF(ALUM_2=ALUMHIGH,EXP_2,IF(ALUM_3=ALUMHIGH,EXP_3,IF(ALUM_4=ALUMHIGH,EXP_4,IF(ALUM_5=ALUMHIGH,EXP_5,"")))))))</f>
        <v/>
      </c>
      <c r="Q470" s="20" t="str">
        <f>IF(EXPHIGH="","",LN(EXPHIGH))</f>
        <v/>
      </c>
      <c r="R470" s="391" t="s">
        <v>225</v>
      </c>
      <c r="S470" s="400">
        <f>IF($M$441=1,IF(avgkvp&lt;=75,MAX(ROUND(TREND(W467:W469,T467:T469,avgkvp),1),TRUNC(TREND(W467:W469,T467:T469,avgkvp),2)),MAX(ROUND(TREND(W470:W474,T470:T474,avgkvp),1),TRUNC(TREND(W470:W474,T470:T474,avgkvp),2))),MAX(ROUND(TREND(W467:W474,T467:T474,avgkvp),1),TRUNC(TREND(W467:W474,T467:T474,avgkvp),2)))</f>
        <v>3.4</v>
      </c>
      <c r="T470" s="322">
        <f>IF($M$441=1,Tables!AB8,Tables!W8)</f>
        <v>90</v>
      </c>
      <c r="U470" s="348">
        <f>IF($M$441=1,Tables!AC8,Tables!X8)</f>
        <v>3.4618181818181815</v>
      </c>
      <c r="V470" s="317">
        <f>IF($M$441=1,Tables!AD8,Tables!Y8)</f>
        <v>3</v>
      </c>
      <c r="W470" s="323">
        <f>IF($M$441=1,Tables!AE8,Tables!Z8)</f>
        <v>3.8</v>
      </c>
      <c r="X470" s="668" t="s">
        <v>336</v>
      </c>
      <c r="Y470" s="329"/>
      <c r="Z470" s="329"/>
      <c r="AJ470" s="329"/>
    </row>
    <row r="471" spans="1:36" ht="11.25" customHeight="1" thickBot="1">
      <c r="A471" s="604">
        <v>9</v>
      </c>
      <c r="B471" s="136"/>
      <c r="C471" s="49"/>
      <c r="D471" s="49"/>
      <c r="E471" s="49"/>
      <c r="F471" s="49"/>
      <c r="G471" s="49"/>
      <c r="H471" s="49"/>
      <c r="I471" s="49"/>
      <c r="J471" s="49"/>
      <c r="K471" s="67"/>
      <c r="L471" s="682" t="s">
        <v>336</v>
      </c>
      <c r="M471" s="785" t="e">
        <f>HVL</f>
        <v>#DIV/0!</v>
      </c>
      <c r="N471" s="793" t="e">
        <f>IF(HVL="TBD","TBD",EXP(TREND(LN_EXP,ALUM,M471)))</f>
        <v>#DIV/0!</v>
      </c>
      <c r="O471" s="3"/>
      <c r="P471" s="3"/>
      <c r="Q471" s="3"/>
      <c r="R471" s="3"/>
      <c r="S471" s="3"/>
      <c r="T471" s="322">
        <f>IF($M$441=1,Tables!AB9,Tables!W9)</f>
        <v>100</v>
      </c>
      <c r="U471" s="348">
        <f>IF($M$441=1,Tables!AC9,Tables!X9)</f>
        <v>3.8872727272727272</v>
      </c>
      <c r="V471" s="317">
        <f>IF($M$441=1,Tables!AD9,Tables!Y9)</f>
        <v>3.4</v>
      </c>
      <c r="W471" s="323">
        <f>IF($M$441=1,Tables!AE9,Tables!Z9)</f>
        <v>4.3</v>
      </c>
      <c r="X471" s="668" t="s">
        <v>336</v>
      </c>
      <c r="AJ471" s="329"/>
    </row>
    <row r="472" spans="1:36" ht="11.25" customHeight="1" thickBot="1">
      <c r="A472" s="604">
        <v>10</v>
      </c>
      <c r="B472" s="136"/>
      <c r="C472" s="49"/>
      <c r="D472" s="49"/>
      <c r="E472" s="49"/>
      <c r="F472" s="49"/>
      <c r="G472" s="49"/>
      <c r="H472" s="49"/>
      <c r="I472" s="49"/>
      <c r="J472" s="49"/>
      <c r="K472" s="67"/>
      <c r="L472" s="682" t="s">
        <v>336</v>
      </c>
      <c r="M472" s="39"/>
      <c r="N472" s="3"/>
      <c r="P472" s="3"/>
      <c r="Q472" s="3"/>
      <c r="R472" s="1127" t="s">
        <v>424</v>
      </c>
      <c r="S472" s="1128" t="str">
        <f>IF(OR($W$448="",$W$448=0),"TBD",IF(AND(ROUND(HVL,2)&gt;=$S$468,TRUNC(100*HVL)/100&lt;=S470),"YES","NO"))</f>
        <v>TBD</v>
      </c>
      <c r="T472" s="322">
        <f>IF($M$441=1,Tables!AB10,Tables!W10)</f>
        <v>110</v>
      </c>
      <c r="U472" s="348">
        <f>IF($M$441=1,Tables!AC10,Tables!X10)</f>
        <v>4.3127272727272734</v>
      </c>
      <c r="V472" s="317">
        <f>IF($M$441=1,Tables!AD10,Tables!Y10)</f>
        <v>3.8</v>
      </c>
      <c r="W472" s="323">
        <f>IF($M$441=1,Tables!AE10,Tables!Z10)</f>
        <v>4.8</v>
      </c>
      <c r="X472" s="668" t="s">
        <v>336</v>
      </c>
      <c r="AJ472" s="329"/>
    </row>
    <row r="473" spans="1:36" ht="11.25" customHeight="1" thickBot="1">
      <c r="A473" s="604">
        <v>11</v>
      </c>
      <c r="B473" s="129"/>
      <c r="C473" s="49"/>
      <c r="D473" s="269" t="s">
        <v>119</v>
      </c>
      <c r="E473" s="270" t="str">
        <f>IF($O$331="","",$O$331)</f>
        <v>HF</v>
      </c>
      <c r="F473" s="271" t="str">
        <f>$Q$331</f>
        <v xml:space="preserve"> (High Frequency)</v>
      </c>
      <c r="G473" s="49"/>
      <c r="H473" s="49"/>
      <c r="I473" s="49"/>
      <c r="J473" s="49"/>
      <c r="K473" s="67"/>
      <c r="L473" s="682" t="s">
        <v>336</v>
      </c>
      <c r="M473" s="167"/>
      <c r="N473" s="3"/>
      <c r="O473" s="3"/>
      <c r="P473" s="3"/>
      <c r="Q473" s="3"/>
      <c r="R473" s="1127" t="s">
        <v>648</v>
      </c>
      <c r="S473" s="1128" t="str">
        <f>IF(OR($W$448="",$W$448=0),"TBD",IF(ROUND(HVL,2)&gt;=$S$468,"YES","NO"))</f>
        <v>TBD</v>
      </c>
      <c r="T473" s="322">
        <f>IF($M$441=1,Tables!AB11,Tables!W11)</f>
        <v>120</v>
      </c>
      <c r="U473" s="348">
        <f>IF($M$441=1,Tables!AC11,Tables!X11)</f>
        <v>4.7381818181818192</v>
      </c>
      <c r="V473" s="317">
        <f>IF($M$441=1,Tables!AD11,Tables!Y11)</f>
        <v>4.2</v>
      </c>
      <c r="W473" s="323">
        <f>IF($M$441=1,Tables!AE11,Tables!Z11)</f>
        <v>5.2</v>
      </c>
      <c r="X473" s="668" t="s">
        <v>336</v>
      </c>
      <c r="AJ473" s="329"/>
    </row>
    <row r="474" spans="1:36" ht="11.25" customHeight="1" thickBot="1">
      <c r="A474" s="604">
        <v>12</v>
      </c>
      <c r="B474" s="136"/>
      <c r="C474" s="49"/>
      <c r="D474" s="42"/>
      <c r="E474" s="42"/>
      <c r="F474" s="42"/>
      <c r="G474" s="42"/>
      <c r="H474" s="42"/>
      <c r="I474" s="42"/>
      <c r="J474" s="42"/>
      <c r="K474" s="65"/>
      <c r="L474" s="682" t="s">
        <v>336</v>
      </c>
      <c r="M474" s="337"/>
      <c r="N474" s="80"/>
      <c r="O474" s="80"/>
      <c r="P474" s="80"/>
      <c r="Q474" s="80"/>
      <c r="R474" s="80"/>
      <c r="S474" s="80"/>
      <c r="T474" s="381">
        <f>IF($M$441=1,Tables!AB12,Tables!W12)</f>
        <v>130</v>
      </c>
      <c r="U474" s="455">
        <f>IF($M$441=1,Tables!AC12,Tables!X12)</f>
        <v>5.1636363636363649</v>
      </c>
      <c r="V474" s="382">
        <f>IF($M$441=1,Tables!AD12,Tables!Y12)</f>
        <v>4.5999999999999996</v>
      </c>
      <c r="W474" s="383">
        <f>IF($M$441=1,Tables!AE12,Tables!Z12)</f>
        <v>5.7</v>
      </c>
      <c r="X474" s="668" t="s">
        <v>336</v>
      </c>
      <c r="AJ474" s="329"/>
    </row>
    <row r="475" spans="1:36" ht="11.25" customHeight="1" thickTop="1">
      <c r="A475" s="604">
        <v>13</v>
      </c>
      <c r="B475" s="264"/>
      <c r="C475" s="49"/>
      <c r="D475" s="49"/>
      <c r="E475" s="49"/>
      <c r="F475" s="273" t="s">
        <v>420</v>
      </c>
      <c r="G475" s="48"/>
      <c r="H475" s="42"/>
      <c r="I475" s="42"/>
      <c r="J475" s="274" t="s">
        <v>121</v>
      </c>
      <c r="K475" s="456"/>
      <c r="L475" s="682" t="s">
        <v>336</v>
      </c>
      <c r="M475" s="1"/>
      <c r="N475" s="1"/>
      <c r="O475" s="1"/>
      <c r="P475" s="1"/>
      <c r="Q475" s="1"/>
      <c r="R475" s="1"/>
      <c r="S475" s="1"/>
      <c r="T475" s="1"/>
      <c r="U475" s="1"/>
      <c r="V475" s="1"/>
      <c r="W475" s="142"/>
      <c r="X475" s="668" t="s">
        <v>336</v>
      </c>
      <c r="AJ475" s="329"/>
    </row>
    <row r="476" spans="1:36" ht="11.25" customHeight="1">
      <c r="A476" s="604">
        <v>14</v>
      </c>
      <c r="B476" s="136"/>
      <c r="C476" s="49"/>
      <c r="D476" s="49"/>
      <c r="E476" s="49"/>
      <c r="F476" s="49"/>
      <c r="G476" s="49"/>
      <c r="H476" s="49"/>
      <c r="I476" s="49"/>
      <c r="J476" s="49"/>
      <c r="K476" s="67"/>
      <c r="L476" s="682" t="s">
        <v>336</v>
      </c>
      <c r="M476" s="1"/>
      <c r="N476" s="1"/>
      <c r="O476" s="1"/>
      <c r="P476" s="1"/>
      <c r="Q476" s="252"/>
      <c r="R476" s="1"/>
      <c r="S476" s="1"/>
      <c r="T476" s="1"/>
      <c r="U476" s="1"/>
      <c r="V476" s="1"/>
      <c r="W476" s="143"/>
      <c r="X476" s="668" t="s">
        <v>336</v>
      </c>
      <c r="AJ476" s="329"/>
    </row>
    <row r="477" spans="1:36" ht="11.25" customHeight="1" thickBot="1">
      <c r="A477" s="604">
        <v>15</v>
      </c>
      <c r="B477" s="136"/>
      <c r="C477" s="48" t="s">
        <v>99</v>
      </c>
      <c r="D477" s="157">
        <f>IF(N335="","",N335)</f>
        <v>100</v>
      </c>
      <c r="E477" s="216" t="str">
        <f>IF(N334="","",N334)</f>
        <v>cm</v>
      </c>
      <c r="F477" s="49"/>
      <c r="G477" s="42"/>
      <c r="H477" s="42"/>
      <c r="I477" s="48" t="s">
        <v>99</v>
      </c>
      <c r="J477" s="157">
        <f>IF(N280="","",N280)</f>
        <v>100</v>
      </c>
      <c r="K477" s="66" t="str">
        <f>IF(N279="","",N279)</f>
        <v>cm</v>
      </c>
      <c r="L477" s="682" t="s">
        <v>336</v>
      </c>
      <c r="M477" s="1"/>
      <c r="N477" s="1"/>
      <c r="O477" s="1"/>
      <c r="P477" s="1"/>
      <c r="Q477" s="1"/>
      <c r="R477" s="1"/>
      <c r="S477" s="1"/>
      <c r="T477" s="1"/>
      <c r="U477" s="1"/>
      <c r="V477" s="1"/>
      <c r="W477" s="1"/>
      <c r="X477" s="668" t="s">
        <v>336</v>
      </c>
      <c r="AJ477" s="329"/>
    </row>
    <row r="478" spans="1:36" ht="11.25" customHeight="1" thickTop="1">
      <c r="A478" s="604">
        <v>16</v>
      </c>
      <c r="B478" s="136"/>
      <c r="C478" s="48" t="s">
        <v>430</v>
      </c>
      <c r="D478" s="41">
        <f>IF(Q335="","",Q335)</f>
        <v>80</v>
      </c>
      <c r="E478" s="42"/>
      <c r="F478" s="49"/>
      <c r="G478" s="42"/>
      <c r="H478" s="42"/>
      <c r="I478" s="48" t="s">
        <v>430</v>
      </c>
      <c r="J478" s="41">
        <f>IF(Q280="","",Q280)</f>
        <v>80</v>
      </c>
      <c r="K478" s="65"/>
      <c r="L478" s="682" t="s">
        <v>336</v>
      </c>
      <c r="M478" s="75"/>
      <c r="N478" s="58"/>
      <c r="O478" s="58"/>
      <c r="P478" s="58"/>
      <c r="Q478" s="58"/>
      <c r="R478" s="58"/>
      <c r="S478" s="58"/>
      <c r="T478" s="58"/>
      <c r="U478" s="58"/>
      <c r="V478" s="58"/>
      <c r="W478" s="76"/>
      <c r="X478" s="668" t="s">
        <v>336</v>
      </c>
      <c r="AJ478" s="329"/>
    </row>
    <row r="479" spans="1:36" ht="11.25" customHeight="1">
      <c r="A479" s="604">
        <v>17</v>
      </c>
      <c r="B479" s="121"/>
      <c r="C479" s="49"/>
      <c r="D479" s="348"/>
      <c r="E479" s="42"/>
      <c r="F479" s="49"/>
      <c r="G479" s="42"/>
      <c r="H479" s="42"/>
      <c r="I479" s="48" t="s">
        <v>431</v>
      </c>
      <c r="J479" s="207" t="str">
        <f>IF(R280="","",IF(R279="mA",R280,""))</f>
        <v/>
      </c>
      <c r="K479" s="65"/>
      <c r="L479" s="682" t="s">
        <v>336</v>
      </c>
      <c r="M479" s="290" t="s">
        <v>226</v>
      </c>
      <c r="N479" s="201"/>
      <c r="O479" s="201"/>
      <c r="P479" s="49"/>
      <c r="Q479" s="300"/>
      <c r="R479" s="49"/>
      <c r="S479" s="301" t="s">
        <v>227</v>
      </c>
      <c r="T479" s="49"/>
      <c r="U479" s="301" t="s">
        <v>228</v>
      </c>
      <c r="V479" s="49"/>
      <c r="W479" s="309"/>
      <c r="X479" s="668" t="s">
        <v>336</v>
      </c>
      <c r="Y479" s="748" t="s">
        <v>272</v>
      </c>
      <c r="AI479" s="748" t="s">
        <v>272</v>
      </c>
      <c r="AJ479" s="329"/>
    </row>
    <row r="480" spans="1:36" ht="11.25" customHeight="1">
      <c r="A480" s="604">
        <v>18</v>
      </c>
      <c r="B480" s="121"/>
      <c r="C480" s="49"/>
      <c r="D480" s="49"/>
      <c r="E480" s="49"/>
      <c r="F480" s="42"/>
      <c r="G480" s="42"/>
      <c r="H480" s="42"/>
      <c r="I480" s="48" t="s">
        <v>432</v>
      </c>
      <c r="J480" s="217">
        <f>IF(R280="","",IF(R279="mAs",R280,""))</f>
        <v>20</v>
      </c>
      <c r="K480" s="65"/>
      <c r="L480" s="682" t="s">
        <v>336</v>
      </c>
      <c r="M480" s="136"/>
      <c r="N480" s="49"/>
      <c r="O480" s="49"/>
      <c r="P480" s="49"/>
      <c r="Q480" s="49"/>
      <c r="R480" s="3" t="s">
        <v>229</v>
      </c>
      <c r="S480" s="302" t="s">
        <v>457</v>
      </c>
      <c r="T480" s="49"/>
      <c r="U480" s="302" t="s">
        <v>457</v>
      </c>
      <c r="V480" s="302" t="s">
        <v>228</v>
      </c>
      <c r="W480" s="310" t="s">
        <v>228</v>
      </c>
      <c r="X480" s="668" t="s">
        <v>336</v>
      </c>
      <c r="Y480" s="302" t="s">
        <v>229</v>
      </c>
      <c r="AH480" s="310" t="s">
        <v>228</v>
      </c>
      <c r="AI480" s="302" t="s">
        <v>229</v>
      </c>
      <c r="AJ480" s="329"/>
    </row>
    <row r="481" spans="1:36" ht="11.25" customHeight="1">
      <c r="A481" s="604">
        <v>19</v>
      </c>
      <c r="B481" s="129"/>
      <c r="C481" s="49"/>
      <c r="D481" s="42"/>
      <c r="E481" s="42"/>
      <c r="F481" s="42"/>
      <c r="G481" s="42"/>
      <c r="H481" s="42"/>
      <c r="I481" s="42"/>
      <c r="J481" s="42"/>
      <c r="K481" s="65"/>
      <c r="L481" s="682" t="s">
        <v>336</v>
      </c>
      <c r="M481" s="292" t="s">
        <v>230</v>
      </c>
      <c r="N481" s="137"/>
      <c r="O481" s="308"/>
      <c r="P481" s="177" t="s">
        <v>231</v>
      </c>
      <c r="Q481" s="137"/>
      <c r="R481" s="14" t="s">
        <v>653</v>
      </c>
      <c r="S481" s="302" t="s">
        <v>653</v>
      </c>
      <c r="T481" s="49"/>
      <c r="U481" s="302" t="s">
        <v>653</v>
      </c>
      <c r="V481" s="302" t="s">
        <v>232</v>
      </c>
      <c r="W481" s="310" t="s">
        <v>229</v>
      </c>
      <c r="X481" s="668" t="s">
        <v>336</v>
      </c>
      <c r="Y481" s="302" t="s">
        <v>653</v>
      </c>
      <c r="AH481" s="310" t="s">
        <v>229</v>
      </c>
      <c r="AI481" s="302" t="s">
        <v>653</v>
      </c>
      <c r="AJ481" s="329"/>
    </row>
    <row r="482" spans="1:36" ht="11.25" customHeight="1">
      <c r="A482" s="604">
        <v>20</v>
      </c>
      <c r="B482" s="463" t="s">
        <v>124</v>
      </c>
      <c r="C482" s="651"/>
      <c r="D482" s="42"/>
      <c r="E482" s="162" t="str">
        <f>"Time"&amp;IF($O$331=1," (Pulses)"," (sec)")</f>
        <v>Time (sec)</v>
      </c>
      <c r="F482" s="163"/>
      <c r="G482" s="42" t="s">
        <v>423</v>
      </c>
      <c r="H482" s="42"/>
      <c r="I482" s="42"/>
      <c r="J482" s="162" t="str">
        <f>"Time"&amp;IF($O$331=1," (Pulses)"," (sec)")</f>
        <v>Time (sec)</v>
      </c>
      <c r="K482" s="364"/>
      <c r="L482" s="682" t="s">
        <v>336</v>
      </c>
      <c r="M482" s="199" t="s">
        <v>234</v>
      </c>
      <c r="N482" s="766" t="str">
        <f>IF(OR(AB109=0,AB109=""),"",AB109)</f>
        <v/>
      </c>
      <c r="O482" s="306"/>
      <c r="P482" s="48" t="str">
        <f>"SDD ("&amp;LFSDD&amp;"):"</f>
        <v>SDD (cm):</v>
      </c>
      <c r="Q482" s="356">
        <f>IF($N$234="","",$N$234)</f>
        <v>100</v>
      </c>
      <c r="R482" s="296" t="s">
        <v>233</v>
      </c>
      <c r="S482" s="303" t="s">
        <v>233</v>
      </c>
      <c r="T482" s="49"/>
      <c r="U482" s="302" t="s">
        <v>235</v>
      </c>
      <c r="V482" s="302" t="s">
        <v>457</v>
      </c>
      <c r="W482" s="311" t="s">
        <v>422</v>
      </c>
      <c r="X482" s="668" t="s">
        <v>336</v>
      </c>
      <c r="Y482" s="669" t="s">
        <v>233</v>
      </c>
      <c r="AH482" s="311" t="s">
        <v>422</v>
      </c>
      <c r="AI482" s="669" t="s">
        <v>233</v>
      </c>
      <c r="AJ482" s="329"/>
    </row>
    <row r="483" spans="1:36" ht="11.25" customHeight="1" thickBot="1">
      <c r="A483" s="604">
        <v>21</v>
      </c>
      <c r="B483" s="212" t="s">
        <v>93</v>
      </c>
      <c r="C483" s="152" t="s">
        <v>94</v>
      </c>
      <c r="D483" s="152" t="str">
        <f t="shared" ref="D483:D493" si="79">IF(R334="","",R334)</f>
        <v>mA/mAs</v>
      </c>
      <c r="E483" s="161" t="s">
        <v>421</v>
      </c>
      <c r="F483" s="151" t="s">
        <v>422</v>
      </c>
      <c r="G483" s="161" t="str">
        <f>IF($O$331=1," (Pulses)"," (Percent)")</f>
        <v xml:space="preserve"> (Percent)</v>
      </c>
      <c r="H483" s="161" t="s">
        <v>444</v>
      </c>
      <c r="I483" s="42"/>
      <c r="J483" s="161" t="s">
        <v>421</v>
      </c>
      <c r="K483" s="219" t="s">
        <v>422</v>
      </c>
      <c r="L483" s="682" t="s">
        <v>336</v>
      </c>
      <c r="M483" s="136"/>
      <c r="N483" s="3" t="s">
        <v>653</v>
      </c>
      <c r="O483" s="306" t="s">
        <v>653</v>
      </c>
      <c r="P483" s="26"/>
      <c r="Q483" s="13" t="s">
        <v>653</v>
      </c>
      <c r="R483" s="14" t="s">
        <v>369</v>
      </c>
      <c r="S483" s="302" t="s">
        <v>237</v>
      </c>
      <c r="T483" s="49"/>
      <c r="U483" s="302" t="s">
        <v>238</v>
      </c>
      <c r="V483" s="302" t="s">
        <v>239</v>
      </c>
      <c r="W483" s="311" t="s">
        <v>239</v>
      </c>
      <c r="X483" s="668" t="s">
        <v>336</v>
      </c>
      <c r="Y483" s="669" t="s">
        <v>369</v>
      </c>
      <c r="AH483" s="311" t="s">
        <v>239</v>
      </c>
      <c r="AI483" s="669" t="s">
        <v>369</v>
      </c>
      <c r="AJ483" s="329"/>
    </row>
    <row r="484" spans="1:36" ht="11.25" customHeight="1" thickBot="1">
      <c r="A484" s="604">
        <v>22</v>
      </c>
      <c r="B484" s="460" t="str">
        <f t="shared" ref="B484:B493" si="80">IF(T335="","",T335)</f>
        <v/>
      </c>
      <c r="C484" s="462" t="str">
        <f t="shared" ref="C484:C493" si="81">IF(U335="","",U335)</f>
        <v/>
      </c>
      <c r="D484" s="209">
        <f t="shared" si="79"/>
        <v>2</v>
      </c>
      <c r="E484" s="128" t="str">
        <f t="shared" ref="E484:E493" si="82">IF(S335="","",S335)</f>
        <v/>
      </c>
      <c r="F484" s="260" t="str">
        <f t="shared" ref="F484:F493" si="83">IF(V335="","",V335)</f>
        <v/>
      </c>
      <c r="G484" s="272" t="str">
        <f>IF(OR(E484="",F484="",AND(LFMAS="",SFMAS=""),AND(Tables!$P$83="Large",LFMAS="mAs"),AND(Tables!$P$83="Small",SFMAS="mAs")),"",IF($O$331=1,(F484-E484),IF(AND(E484&gt;0,F484&gt;0),(ROUND(100*(F484-E484)/E484,1)),"")))</f>
        <v/>
      </c>
      <c r="H484" s="126" t="str">
        <f t="shared" ref="H484:H493" si="84">IF(AND($D$483&lt;&gt;"mAs",E484&lt;&gt;"",F484=""),"TBD",IF(G484="",IF(E484="","","NA"),IF($O$331="Dent",W354,IF($O$331=1,V354,U354))))</f>
        <v/>
      </c>
      <c r="I484" s="42"/>
      <c r="J484" s="262">
        <f>IF(S280="","",S280)</f>
        <v>0.05</v>
      </c>
      <c r="K484" s="457" t="str">
        <f t="shared" ref="K484:K493" si="85">IF(V280="","",V280)</f>
        <v/>
      </c>
      <c r="L484" s="682" t="s">
        <v>336</v>
      </c>
      <c r="M484" s="285" t="s">
        <v>369</v>
      </c>
      <c r="N484" s="28" t="s">
        <v>242</v>
      </c>
      <c r="O484" s="307" t="s">
        <v>240</v>
      </c>
      <c r="P484" s="293" t="s">
        <v>93</v>
      </c>
      <c r="Q484" s="28" t="s">
        <v>242</v>
      </c>
      <c r="R484" s="28" t="s">
        <v>240</v>
      </c>
      <c r="S484" s="304" t="s">
        <v>240</v>
      </c>
      <c r="T484" s="49"/>
      <c r="U484" s="298" t="s">
        <v>654</v>
      </c>
      <c r="V484" s="298" t="s">
        <v>243</v>
      </c>
      <c r="W484" s="312" t="s">
        <v>243</v>
      </c>
      <c r="X484" s="668" t="s">
        <v>336</v>
      </c>
      <c r="Y484" s="298" t="s">
        <v>240</v>
      </c>
      <c r="AH484" s="310" t="s">
        <v>243</v>
      </c>
      <c r="AI484" s="302" t="s">
        <v>240</v>
      </c>
      <c r="AJ484" s="329"/>
    </row>
    <row r="485" spans="1:36" ht="11.25" customHeight="1">
      <c r="A485" s="604">
        <v>23</v>
      </c>
      <c r="B485" s="460" t="str">
        <f t="shared" si="80"/>
        <v/>
      </c>
      <c r="C485" s="462" t="str">
        <f t="shared" si="81"/>
        <v/>
      </c>
      <c r="D485" s="209">
        <f t="shared" si="79"/>
        <v>4</v>
      </c>
      <c r="E485" s="128" t="str">
        <f t="shared" si="82"/>
        <v/>
      </c>
      <c r="F485" s="260" t="str">
        <f t="shared" si="83"/>
        <v/>
      </c>
      <c r="G485" s="272" t="str">
        <f>IF(OR(E485="",F485="",AND(LFMAS="",SFMAS=""),AND(Tables!$P$83="Large",LFMAS="mAs"),AND(Tables!$P$83="Small",SFMAS="mAs")),"",IF($O$331=1,(F485-E485),IF(AND(E485&gt;0,F485&gt;0),(ROUND(100*(F485-E485)/E485,1)),"")))</f>
        <v/>
      </c>
      <c r="H485" s="126" t="str">
        <f t="shared" si="84"/>
        <v/>
      </c>
      <c r="I485" s="42"/>
      <c r="J485" s="261"/>
      <c r="K485" s="457" t="str">
        <f t="shared" si="85"/>
        <v/>
      </c>
      <c r="L485" s="682" t="s">
        <v>336</v>
      </c>
      <c r="M485" s="767" t="str">
        <f t="shared" ref="M485:M492" si="86">IF(OR(AB111=0,AB111=""),"",AB111)</f>
        <v/>
      </c>
      <c r="N485" s="1015" t="str">
        <f t="shared" ref="N485:N492" si="87">IF(OR(AB120=0,AB120=""),"",AB120)</f>
        <v/>
      </c>
      <c r="O485" s="1016" t="str">
        <f>IF(OR(M485=0,M485="",N485=0,N485="",$N$482=0,$N$482=""),"",N485*($N$482/40)^2)</f>
        <v/>
      </c>
      <c r="P485" s="739" t="str">
        <f>IF(T234="","",T234)</f>
        <v/>
      </c>
      <c r="Q485" s="740" t="str">
        <f>IF(OR(AND(LFMAS="",SFMAS=""),R234="",R234=0,W234=""),"",IF(LFMAS="mAs",W234/R234,IF(OR(S234="",S234=0),"",W234/(R234*S234))))</f>
        <v/>
      </c>
      <c r="R485" s="741" t="str">
        <f t="shared" ref="R485:R492" si="88">IF(Q485="","",IF(LFSDD="in.",Q485*($Q$482/40)^2,Q485*(($Q$482/2.54)/40)^2))</f>
        <v/>
      </c>
      <c r="S485" s="742" t="str">
        <f t="array" ref="S485:S492">IF(OR(M485="",M486="",N485="",N486="",P485="",P486="",$N$482=""),"",EXP(TREND(U485:U492,V485:V492,W485:W492)))</f>
        <v/>
      </c>
      <c r="T485" s="42"/>
      <c r="U485" s="744" t="str">
        <f>IF(O485="","",LN(O485))</f>
        <v/>
      </c>
      <c r="V485" s="745" t="str">
        <f>IF(M485="","",LN(M485))</f>
        <v/>
      </c>
      <c r="W485" s="746" t="str">
        <f>IF(P485="","",LN(P485))</f>
        <v/>
      </c>
      <c r="X485" s="668" t="s">
        <v>336</v>
      </c>
      <c r="Y485" s="744" t="str">
        <f t="shared" ref="Y485:Y492" si="89">IF(R485="","",LN(R485))</f>
        <v/>
      </c>
      <c r="AH485" s="1004" t="str">
        <f t="shared" ref="AH485:AH492" si="90">W485</f>
        <v/>
      </c>
      <c r="AI485" s="1004" t="str">
        <f>Y485</f>
        <v/>
      </c>
      <c r="AJ485" s="329"/>
    </row>
    <row r="486" spans="1:36" ht="11.25" customHeight="1">
      <c r="A486" s="604">
        <v>24</v>
      </c>
      <c r="B486" s="460" t="str">
        <f t="shared" si="80"/>
        <v/>
      </c>
      <c r="C486" s="462" t="str">
        <f t="shared" si="81"/>
        <v/>
      </c>
      <c r="D486" s="209">
        <f t="shared" si="79"/>
        <v>8</v>
      </c>
      <c r="E486" s="128" t="str">
        <f t="shared" si="82"/>
        <v/>
      </c>
      <c r="F486" s="260" t="str">
        <f t="shared" si="83"/>
        <v/>
      </c>
      <c r="G486" s="272" t="str">
        <f>IF(OR(E486="",F486="",AND(LFMAS="",SFMAS=""),AND(Tables!$P$83="Large",LFMAS="mAs"),AND(Tables!$P$83="Small",SFMAS="mAs")),"",IF($O$331=1,(F486-E486),IF(AND(E486&gt;0,F486&gt;0),(ROUND(100*(F486-E486)/E486,1)),"")))</f>
        <v/>
      </c>
      <c r="H486" s="126" t="str">
        <f t="shared" si="84"/>
        <v/>
      </c>
      <c r="I486" s="42"/>
      <c r="J486" s="261"/>
      <c r="K486" s="457" t="str">
        <f t="shared" si="85"/>
        <v/>
      </c>
      <c r="L486" s="682" t="s">
        <v>336</v>
      </c>
      <c r="M486" s="767" t="str">
        <f t="shared" si="86"/>
        <v/>
      </c>
      <c r="N486" s="1015" t="str">
        <f t="shared" si="87"/>
        <v/>
      </c>
      <c r="O486" s="1017" t="str">
        <f t="shared" ref="O486:O492" si="91">IF(OR(M486=0,M486="",N486=0,N486="",$N$482=0,$N$482=""),O485,N486*($N$482/40)^2)</f>
        <v/>
      </c>
      <c r="P486" s="743" t="str">
        <f t="shared" ref="P486:P492" si="92">IF(T235="",P485,T235)</f>
        <v/>
      </c>
      <c r="Q486" s="740" t="str">
        <f t="shared" ref="Q486:Q492" si="93">IF(OR(AND(LFMAS="",SFMAS=""),R235="",R235=0,W235=""),Q485,IF(LFMAS="mAs",W235/R235,IF(OR(S235="",S235=0),"",W235/(R235*S235))))</f>
        <v/>
      </c>
      <c r="R486" s="741" t="str">
        <f t="shared" si="88"/>
        <v/>
      </c>
      <c r="S486" s="742" t="str">
        <v/>
      </c>
      <c r="T486" s="42"/>
      <c r="U486" s="744" t="str">
        <f t="shared" ref="U486:U492" si="94">IF(O486="",U485,LN(O486))</f>
        <v/>
      </c>
      <c r="V486" s="745" t="str">
        <f t="shared" ref="V486:V492" si="95">IF(M486="",V485,LN(M486))</f>
        <v/>
      </c>
      <c r="W486" s="746" t="str">
        <f t="shared" ref="W486:W492" si="96">IF(P486="",W485,LN(P486))</f>
        <v/>
      </c>
      <c r="X486" s="668" t="s">
        <v>336</v>
      </c>
      <c r="Y486" s="744" t="str">
        <f t="shared" si="89"/>
        <v/>
      </c>
      <c r="AH486" s="1004" t="str">
        <f t="shared" si="90"/>
        <v/>
      </c>
      <c r="AI486" s="1004" t="str">
        <f t="shared" ref="AI486:AI492" si="97">Y486</f>
        <v/>
      </c>
      <c r="AJ486" s="329"/>
    </row>
    <row r="487" spans="1:36" ht="11.25" customHeight="1">
      <c r="A487" s="604">
        <v>25</v>
      </c>
      <c r="B487" s="460" t="str">
        <f t="shared" si="80"/>
        <v/>
      </c>
      <c r="C487" s="462" t="str">
        <f t="shared" si="81"/>
        <v/>
      </c>
      <c r="D487" s="209">
        <f t="shared" si="79"/>
        <v>20</v>
      </c>
      <c r="E487" s="128" t="str">
        <f t="shared" si="82"/>
        <v/>
      </c>
      <c r="F487" s="260" t="str">
        <f t="shared" si="83"/>
        <v/>
      </c>
      <c r="G487" s="272" t="str">
        <f>IF(OR(E487="",F487="",AND(LFMAS="",SFMAS=""),AND(Tables!$P$83="Large",LFMAS="mAs"),AND(Tables!$P$83="Small",SFMAS="mAs")),"",IF($O$331=1,(F487-E487),IF(AND(E487&gt;0,F487&gt;0),(ROUND(100*(F487-E487)/E487,1)),"")))</f>
        <v/>
      </c>
      <c r="H487" s="126" t="str">
        <f t="shared" si="84"/>
        <v/>
      </c>
      <c r="I487" s="42"/>
      <c r="J487" s="261"/>
      <c r="K487" s="457" t="str">
        <f t="shared" si="85"/>
        <v/>
      </c>
      <c r="L487" s="682" t="s">
        <v>336</v>
      </c>
      <c r="M487" s="767" t="str">
        <f t="shared" si="86"/>
        <v/>
      </c>
      <c r="N487" s="1015" t="str">
        <f t="shared" si="87"/>
        <v/>
      </c>
      <c r="O487" s="1017" t="str">
        <f t="shared" si="91"/>
        <v/>
      </c>
      <c r="P487" s="743" t="str">
        <f t="shared" si="92"/>
        <v/>
      </c>
      <c r="Q487" s="740" t="str">
        <f t="shared" si="93"/>
        <v/>
      </c>
      <c r="R487" s="741" t="str">
        <f t="shared" si="88"/>
        <v/>
      </c>
      <c r="S487" s="742" t="str">
        <v/>
      </c>
      <c r="T487" s="42"/>
      <c r="U487" s="744" t="str">
        <f t="shared" si="94"/>
        <v/>
      </c>
      <c r="V487" s="745" t="str">
        <f t="shared" si="95"/>
        <v/>
      </c>
      <c r="W487" s="746" t="str">
        <f t="shared" si="96"/>
        <v/>
      </c>
      <c r="X487" s="668" t="s">
        <v>336</v>
      </c>
      <c r="Y487" s="744" t="str">
        <f t="shared" si="89"/>
        <v/>
      </c>
      <c r="AH487" s="1004" t="str">
        <f t="shared" si="90"/>
        <v/>
      </c>
      <c r="AI487" s="1004" t="str">
        <f t="shared" si="97"/>
        <v/>
      </c>
      <c r="AJ487" s="329"/>
    </row>
    <row r="488" spans="1:36" ht="11.25" customHeight="1">
      <c r="A488" s="604">
        <v>26</v>
      </c>
      <c r="B488" s="460" t="str">
        <f t="shared" si="80"/>
        <v/>
      </c>
      <c r="C488" s="462" t="str">
        <f t="shared" si="81"/>
        <v/>
      </c>
      <c r="D488" s="209">
        <f t="shared" si="79"/>
        <v>50</v>
      </c>
      <c r="E488" s="128" t="str">
        <f t="shared" si="82"/>
        <v/>
      </c>
      <c r="F488" s="260" t="str">
        <f t="shared" si="83"/>
        <v/>
      </c>
      <c r="G488" s="272" t="str">
        <f>IF(OR(E488="",F488="",AND(LFMAS="",SFMAS=""),AND(Tables!$P$83="Large",LFMAS="mAs"),AND(Tables!$P$83="Small",SFMAS="mAs")),"",IF($O$331=1,(F488-E488),IF(AND(E488&gt;0,F488&gt;0),(ROUND(100*(F488-E488)/E488,1)),"")))</f>
        <v/>
      </c>
      <c r="H488" s="126" t="str">
        <f t="shared" si="84"/>
        <v/>
      </c>
      <c r="I488" s="42"/>
      <c r="J488" s="261"/>
      <c r="K488" s="457" t="str">
        <f t="shared" si="85"/>
        <v/>
      </c>
      <c r="L488" s="682" t="s">
        <v>336</v>
      </c>
      <c r="M488" s="767" t="str">
        <f t="shared" si="86"/>
        <v/>
      </c>
      <c r="N488" s="1015" t="str">
        <f t="shared" si="87"/>
        <v/>
      </c>
      <c r="O488" s="1017" t="str">
        <f t="shared" si="91"/>
        <v/>
      </c>
      <c r="P488" s="743" t="str">
        <f t="shared" si="92"/>
        <v/>
      </c>
      <c r="Q488" s="740" t="str">
        <f t="shared" si="93"/>
        <v/>
      </c>
      <c r="R488" s="741" t="str">
        <f t="shared" si="88"/>
        <v/>
      </c>
      <c r="S488" s="742" t="str">
        <v/>
      </c>
      <c r="T488" s="42"/>
      <c r="U488" s="744" t="str">
        <f t="shared" si="94"/>
        <v/>
      </c>
      <c r="V488" s="745" t="str">
        <f t="shared" si="95"/>
        <v/>
      </c>
      <c r="W488" s="746" t="str">
        <f t="shared" si="96"/>
        <v/>
      </c>
      <c r="X488" s="668" t="s">
        <v>336</v>
      </c>
      <c r="Y488" s="744" t="str">
        <f t="shared" si="89"/>
        <v/>
      </c>
      <c r="AH488" s="1004" t="str">
        <f t="shared" si="90"/>
        <v/>
      </c>
      <c r="AI488" s="1004" t="str">
        <f t="shared" si="97"/>
        <v/>
      </c>
      <c r="AJ488" s="329"/>
    </row>
    <row r="489" spans="1:36" ht="11.25" customHeight="1">
      <c r="A489" s="604">
        <v>27</v>
      </c>
      <c r="B489" s="460" t="str">
        <f t="shared" si="80"/>
        <v/>
      </c>
      <c r="C489" s="462" t="str">
        <f t="shared" si="81"/>
        <v/>
      </c>
      <c r="D489" s="209">
        <f t="shared" si="79"/>
        <v>80</v>
      </c>
      <c r="E489" s="128" t="str">
        <f t="shared" si="82"/>
        <v/>
      </c>
      <c r="F489" s="260" t="str">
        <f t="shared" si="83"/>
        <v/>
      </c>
      <c r="G489" s="272" t="str">
        <f>IF(OR(E489="",F489="",AND(LFMAS="",SFMAS=""),AND(Tables!$P$83="Large",LFMAS="mAs"),AND(Tables!$P$83="Small",SFMAS="mAs")),"",IF($O$331=1,(F489-E489),IF(AND(E489&gt;0,F489&gt;0),(ROUND(100*(F489-E489)/E489,1)),"")))</f>
        <v/>
      </c>
      <c r="H489" s="126" t="str">
        <f t="shared" si="84"/>
        <v/>
      </c>
      <c r="I489" s="42"/>
      <c r="J489" s="261"/>
      <c r="K489" s="457" t="str">
        <f t="shared" si="85"/>
        <v/>
      </c>
      <c r="L489" s="682" t="s">
        <v>336</v>
      </c>
      <c r="M489" s="767" t="str">
        <f t="shared" si="86"/>
        <v/>
      </c>
      <c r="N489" s="1015" t="str">
        <f t="shared" si="87"/>
        <v/>
      </c>
      <c r="O489" s="1017" t="str">
        <f t="shared" si="91"/>
        <v/>
      </c>
      <c r="P489" s="743" t="str">
        <f t="shared" si="92"/>
        <v/>
      </c>
      <c r="Q489" s="740" t="str">
        <f t="shared" si="93"/>
        <v/>
      </c>
      <c r="R489" s="741" t="str">
        <f t="shared" si="88"/>
        <v/>
      </c>
      <c r="S489" s="742" t="str">
        <v/>
      </c>
      <c r="T489" s="42"/>
      <c r="U489" s="744" t="str">
        <f t="shared" si="94"/>
        <v/>
      </c>
      <c r="V489" s="745" t="str">
        <f t="shared" si="95"/>
        <v/>
      </c>
      <c r="W489" s="746" t="str">
        <f t="shared" si="96"/>
        <v/>
      </c>
      <c r="X489" s="668" t="s">
        <v>336</v>
      </c>
      <c r="Y489" s="744" t="str">
        <f t="shared" si="89"/>
        <v/>
      </c>
      <c r="AH489" s="1004" t="str">
        <f t="shared" si="90"/>
        <v/>
      </c>
      <c r="AI489" s="1004" t="str">
        <f t="shared" si="97"/>
        <v/>
      </c>
      <c r="AJ489" s="329"/>
    </row>
    <row r="490" spans="1:36" ht="11.25" customHeight="1">
      <c r="A490" s="604">
        <v>28</v>
      </c>
      <c r="B490" s="460" t="str">
        <f t="shared" si="80"/>
        <v/>
      </c>
      <c r="C490" s="461" t="str">
        <f t="shared" si="81"/>
        <v/>
      </c>
      <c r="D490" s="209" t="str">
        <f t="shared" si="79"/>
        <v/>
      </c>
      <c r="E490" s="128" t="str">
        <f t="shared" si="82"/>
        <v/>
      </c>
      <c r="F490" s="260" t="str">
        <f t="shared" si="83"/>
        <v/>
      </c>
      <c r="G490" s="272" t="str">
        <f>IF(OR(E490="",F490="",AND(LFMAS="",SFMAS=""),AND(Tables!$P$83="Large",LFMAS="mAs"),AND(Tables!$P$83="Small",SFMAS="mAs")),"",IF($O$331=1,(F490-E490),IF(AND(E490&gt;0,F490&gt;0),(ROUND(100*(F490-E490)/E490,1)),"")))</f>
        <v/>
      </c>
      <c r="H490" s="126" t="str">
        <f t="shared" si="84"/>
        <v/>
      </c>
      <c r="I490" s="42"/>
      <c r="J490" s="261"/>
      <c r="K490" s="457" t="str">
        <f t="shared" si="85"/>
        <v/>
      </c>
      <c r="L490" s="682" t="s">
        <v>336</v>
      </c>
      <c r="M490" s="767" t="str">
        <f t="shared" si="86"/>
        <v/>
      </c>
      <c r="N490" s="1015" t="str">
        <f t="shared" si="87"/>
        <v/>
      </c>
      <c r="O490" s="1017" t="str">
        <f t="shared" si="91"/>
        <v/>
      </c>
      <c r="P490" s="743" t="str">
        <f t="shared" si="92"/>
        <v/>
      </c>
      <c r="Q490" s="740" t="str">
        <f t="shared" si="93"/>
        <v/>
      </c>
      <c r="R490" s="741" t="str">
        <f t="shared" si="88"/>
        <v/>
      </c>
      <c r="S490" s="742" t="str">
        <v/>
      </c>
      <c r="T490" s="42"/>
      <c r="U490" s="744" t="str">
        <f t="shared" si="94"/>
        <v/>
      </c>
      <c r="V490" s="745" t="str">
        <f t="shared" si="95"/>
        <v/>
      </c>
      <c r="W490" s="746" t="str">
        <f t="shared" si="96"/>
        <v/>
      </c>
      <c r="X490" s="668" t="s">
        <v>336</v>
      </c>
      <c r="Y490" s="744" t="str">
        <f t="shared" si="89"/>
        <v/>
      </c>
      <c r="AH490" s="1004" t="str">
        <f t="shared" si="90"/>
        <v/>
      </c>
      <c r="AI490" s="1004" t="str">
        <f t="shared" si="97"/>
        <v/>
      </c>
      <c r="AJ490" s="329"/>
    </row>
    <row r="491" spans="1:36" ht="11.25" customHeight="1">
      <c r="A491" s="604">
        <v>29</v>
      </c>
      <c r="B491" s="460" t="str">
        <f t="shared" si="80"/>
        <v/>
      </c>
      <c r="C491" s="461" t="str">
        <f t="shared" si="81"/>
        <v/>
      </c>
      <c r="D491" s="209" t="str">
        <f t="shared" si="79"/>
        <v/>
      </c>
      <c r="E491" s="128" t="str">
        <f t="shared" si="82"/>
        <v/>
      </c>
      <c r="F491" s="260" t="str">
        <f t="shared" si="83"/>
        <v/>
      </c>
      <c r="G491" s="272" t="str">
        <f>IF(OR(E491="",F491="",AND(LFMAS="",SFMAS=""),AND(Tables!$P$83="Large",LFMAS="mAs"),AND(Tables!$P$83="Small",SFMAS="mAs")),"",IF($O$331=1,(F491-E491),IF(AND(E491&gt;0,F491&gt;0),(ROUND(100*(F491-E491)/E491,1)),"")))</f>
        <v/>
      </c>
      <c r="H491" s="126" t="str">
        <f t="shared" si="84"/>
        <v/>
      </c>
      <c r="I491" s="42"/>
      <c r="J491" s="261"/>
      <c r="K491" s="457" t="str">
        <f t="shared" si="85"/>
        <v/>
      </c>
      <c r="L491" s="682" t="s">
        <v>336</v>
      </c>
      <c r="M491" s="767" t="str">
        <f t="shared" si="86"/>
        <v/>
      </c>
      <c r="N491" s="1015" t="str">
        <f t="shared" si="87"/>
        <v/>
      </c>
      <c r="O491" s="1017" t="str">
        <f t="shared" si="91"/>
        <v/>
      </c>
      <c r="P491" s="743" t="str">
        <f t="shared" si="92"/>
        <v/>
      </c>
      <c r="Q491" s="740" t="str">
        <f t="shared" si="93"/>
        <v/>
      </c>
      <c r="R491" s="741" t="str">
        <f t="shared" si="88"/>
        <v/>
      </c>
      <c r="S491" s="742" t="str">
        <v/>
      </c>
      <c r="T491" s="42"/>
      <c r="U491" s="744" t="str">
        <f t="shared" si="94"/>
        <v/>
      </c>
      <c r="V491" s="745" t="str">
        <f t="shared" si="95"/>
        <v/>
      </c>
      <c r="W491" s="746" t="str">
        <f t="shared" si="96"/>
        <v/>
      </c>
      <c r="X491" s="668" t="s">
        <v>336</v>
      </c>
      <c r="Y491" s="744" t="str">
        <f t="shared" si="89"/>
        <v/>
      </c>
      <c r="AH491" s="1004" t="str">
        <f t="shared" si="90"/>
        <v/>
      </c>
      <c r="AI491" s="1004" t="str">
        <f t="shared" si="97"/>
        <v/>
      </c>
      <c r="AJ491" s="329"/>
    </row>
    <row r="492" spans="1:36" ht="11.25" customHeight="1" thickBot="1">
      <c r="A492" s="604">
        <v>30</v>
      </c>
      <c r="B492" s="460" t="str">
        <f t="shared" si="80"/>
        <v/>
      </c>
      <c r="C492" s="461" t="str">
        <f t="shared" si="81"/>
        <v/>
      </c>
      <c r="D492" s="209" t="str">
        <f t="shared" si="79"/>
        <v/>
      </c>
      <c r="E492" s="128" t="str">
        <f t="shared" si="82"/>
        <v/>
      </c>
      <c r="F492" s="260" t="str">
        <f t="shared" si="83"/>
        <v/>
      </c>
      <c r="G492" s="272" t="str">
        <f>IF(OR(E492="",F492="",AND(LFMAS="",SFMAS=""),AND(Tables!$P$83="Large",LFMAS="mAs"),AND(Tables!$P$83="Small",SFMAS="mAs")),"",IF($O$331=1,(F492-E492),IF(AND(E492&gt;0,F492&gt;0),(ROUND(100*(F492-E492)/E492,1)),"")))</f>
        <v/>
      </c>
      <c r="H492" s="126" t="str">
        <f t="shared" si="84"/>
        <v/>
      </c>
      <c r="I492" s="42"/>
      <c r="J492" s="261"/>
      <c r="K492" s="457" t="str">
        <f t="shared" si="85"/>
        <v/>
      </c>
      <c r="L492" s="682" t="s">
        <v>336</v>
      </c>
      <c r="M492" s="884" t="str">
        <f t="shared" si="86"/>
        <v/>
      </c>
      <c r="N492" s="1018" t="str">
        <f t="shared" si="87"/>
        <v/>
      </c>
      <c r="O492" s="1019" t="str">
        <f t="shared" si="91"/>
        <v/>
      </c>
      <c r="P492" s="885" t="str">
        <f t="shared" si="92"/>
        <v/>
      </c>
      <c r="Q492" s="886" t="str">
        <f t="shared" si="93"/>
        <v/>
      </c>
      <c r="R492" s="887" t="str">
        <f t="shared" si="88"/>
        <v/>
      </c>
      <c r="S492" s="888" t="str">
        <v/>
      </c>
      <c r="T492" s="42"/>
      <c r="U492" s="744" t="str">
        <f t="shared" si="94"/>
        <v/>
      </c>
      <c r="V492" s="745" t="str">
        <f t="shared" si="95"/>
        <v/>
      </c>
      <c r="W492" s="746" t="str">
        <f t="shared" si="96"/>
        <v/>
      </c>
      <c r="X492" s="668" t="s">
        <v>336</v>
      </c>
      <c r="Y492" s="744" t="str">
        <f t="shared" si="89"/>
        <v/>
      </c>
      <c r="AH492" s="1004" t="str">
        <f t="shared" si="90"/>
        <v/>
      </c>
      <c r="AI492" s="1004" t="str">
        <f t="shared" si="97"/>
        <v/>
      </c>
      <c r="AJ492" s="329"/>
    </row>
    <row r="493" spans="1:36" ht="11.25" customHeight="1" thickBot="1">
      <c r="A493" s="604">
        <v>31</v>
      </c>
      <c r="B493" s="460" t="str">
        <f t="shared" si="80"/>
        <v/>
      </c>
      <c r="C493" s="461" t="str">
        <f t="shared" si="81"/>
        <v/>
      </c>
      <c r="D493" s="209" t="str">
        <f t="shared" si="79"/>
        <v/>
      </c>
      <c r="E493" s="128" t="str">
        <f t="shared" si="82"/>
        <v/>
      </c>
      <c r="F493" s="260" t="str">
        <f t="shared" si="83"/>
        <v/>
      </c>
      <c r="G493" s="272" t="str">
        <f>IF(OR(E493="",F493="",AND(LFMAS="",SFMAS=""),AND(Tables!$P$83="Large",LFMAS="mAs"),AND(Tables!$P$83="Small",SFMAS="mAs")),"",IF($O$331=1,(F493-E493),IF(AND(E493&gt;0,F493&gt;0),(ROUND(100*(F493-E493)/E493,1)),"")))</f>
        <v/>
      </c>
      <c r="H493" s="126" t="str">
        <f t="shared" si="84"/>
        <v/>
      </c>
      <c r="I493" s="42"/>
      <c r="J493" s="261"/>
      <c r="K493" s="457" t="str">
        <f t="shared" si="85"/>
        <v/>
      </c>
      <c r="L493" s="682" t="s">
        <v>336</v>
      </c>
      <c r="M493" s="172" t="s">
        <v>244</v>
      </c>
      <c r="N493" s="3"/>
      <c r="O493" s="49"/>
      <c r="P493" s="832"/>
      <c r="Q493" s="896" t="s">
        <v>621</v>
      </c>
      <c r="R493" s="897" t="s">
        <v>622</v>
      </c>
      <c r="S493" s="898" t="s">
        <v>623</v>
      </c>
      <c r="U493" s="49"/>
      <c r="V493" s="49"/>
      <c r="W493" s="67"/>
      <c r="X493" s="668" t="s">
        <v>336</v>
      </c>
      <c r="AH493" s="1004" t="str">
        <f t="shared" ref="AH493:AH498" si="98">W502</f>
        <v/>
      </c>
      <c r="AI493" s="1004" t="str">
        <f>Y502</f>
        <v/>
      </c>
      <c r="AJ493" s="329"/>
    </row>
    <row r="494" spans="1:36" ht="11.25" customHeight="1" thickBot="1">
      <c r="A494" s="604">
        <v>32</v>
      </c>
      <c r="B494" s="129"/>
      <c r="C494" s="49"/>
      <c r="D494" s="42"/>
      <c r="E494" s="42"/>
      <c r="F494" s="42"/>
      <c r="G494" s="42"/>
      <c r="H494" s="42"/>
      <c r="I494" s="42"/>
      <c r="J494" s="42"/>
      <c r="K494" s="65"/>
      <c r="L494" s="682" t="s">
        <v>336</v>
      </c>
      <c r="M494" s="136"/>
      <c r="N494" s="49"/>
      <c r="O494" s="49"/>
      <c r="P494" s="49"/>
      <c r="Q494" s="891" t="str">
        <f>IF(MAX(G668:G675)=0,"NA",MAX(G668:G675))</f>
        <v>NA</v>
      </c>
      <c r="R494" s="892" t="str">
        <f>IF(MAX(G668:G675)=0,"NA",MEDIAN(G668:G675))</f>
        <v>NA</v>
      </c>
      <c r="S494" s="894" t="str">
        <f>IF(MAX(G668:G675)=0,"NA",MIN(G668:G675))</f>
        <v>NA</v>
      </c>
      <c r="U494" s="1138" t="s">
        <v>424</v>
      </c>
      <c r="V494" s="1128" t="str">
        <f>IF(MIN(N485:N492)=0,"NA",IF(H668="TBD","TBD",IF(OR(H668="NO",H669="NO",H670="NO",H671="NO",H672="NO",H673="NO",H674="NO",H675="NO"),"NO","YES")))</f>
        <v>NA</v>
      </c>
      <c r="W494" s="67"/>
      <c r="X494" s="668" t="s">
        <v>336</v>
      </c>
      <c r="AH494" s="1004" t="str">
        <f t="shared" si="98"/>
        <v/>
      </c>
      <c r="AI494" s="1004" t="str">
        <f t="shared" ref="AI494:AI498" si="99">Y503</f>
        <v/>
      </c>
      <c r="AJ494" s="329"/>
    </row>
    <row r="495" spans="1:36" ht="11.25" customHeight="1" thickBot="1">
      <c r="A495" s="604">
        <v>33</v>
      </c>
      <c r="B495" s="129"/>
      <c r="C495" s="49"/>
      <c r="D495" s="42"/>
      <c r="E495" s="42"/>
      <c r="F495" s="42"/>
      <c r="G495" s="42"/>
      <c r="H495" s="42"/>
      <c r="I495" s="42"/>
      <c r="J495" s="261" t="s">
        <v>112</v>
      </c>
      <c r="K495" s="313" t="str">
        <f>IF(AND(K484&gt;0,MIN(K485:K493)&gt;0),AVERAGE(K484:K493),"")</f>
        <v/>
      </c>
      <c r="L495" s="682" t="s">
        <v>336</v>
      </c>
      <c r="M495" s="136"/>
      <c r="N495" s="49"/>
      <c r="O495" s="299"/>
      <c r="P495" s="889" t="s">
        <v>301</v>
      </c>
      <c r="Q495" s="890" t="str">
        <f>IF(AB146="","",AB146)</f>
        <v/>
      </c>
      <c r="R495" s="893" t="str">
        <f>IF(AB147="","",AB147)</f>
        <v/>
      </c>
      <c r="S495" s="895" t="str">
        <f>IF(AB148="","",AB148)</f>
        <v/>
      </c>
      <c r="T495" s="49"/>
      <c r="U495" s="294"/>
      <c r="V495" s="49"/>
      <c r="W495" s="67"/>
      <c r="X495" s="668" t="s">
        <v>336</v>
      </c>
      <c r="AH495" s="1004" t="str">
        <f t="shared" si="98"/>
        <v/>
      </c>
      <c r="AI495" s="1004" t="str">
        <f t="shared" si="99"/>
        <v/>
      </c>
      <c r="AJ495" s="329"/>
    </row>
    <row r="496" spans="1:36" ht="11.25" customHeight="1">
      <c r="A496" s="604">
        <v>34</v>
      </c>
      <c r="B496" s="129"/>
      <c r="C496" s="49"/>
      <c r="D496" s="42"/>
      <c r="E496" s="42"/>
      <c r="F496" s="42"/>
      <c r="G496" s="42"/>
      <c r="H496" s="42"/>
      <c r="I496" s="42"/>
      <c r="J496" s="261" t="s">
        <v>113</v>
      </c>
      <c r="K496" s="457" t="str">
        <f>IF(AND(K484&gt;0,MIN(K485:K493)&gt;0),STDEV(K484:K493),"")</f>
        <v/>
      </c>
      <c r="L496" s="682" t="s">
        <v>336</v>
      </c>
      <c r="M496" s="290" t="s">
        <v>245</v>
      </c>
      <c r="N496" s="201"/>
      <c r="O496" s="201"/>
      <c r="P496" s="42"/>
      <c r="R496" s="49"/>
      <c r="S496" s="301" t="s">
        <v>227</v>
      </c>
      <c r="T496" s="42"/>
      <c r="U496" s="301" t="s">
        <v>228</v>
      </c>
      <c r="V496" s="49"/>
      <c r="W496" s="309"/>
      <c r="X496" s="668" t="s">
        <v>336</v>
      </c>
      <c r="Y496" s="748" t="s">
        <v>272</v>
      </c>
      <c r="AH496" s="1004" t="str">
        <f t="shared" si="98"/>
        <v/>
      </c>
      <c r="AI496" s="1004" t="str">
        <f t="shared" si="99"/>
        <v/>
      </c>
      <c r="AJ496" s="329"/>
    </row>
    <row r="497" spans="1:36" ht="11.25" customHeight="1">
      <c r="A497" s="604">
        <v>35</v>
      </c>
      <c r="B497" s="129"/>
      <c r="C497" s="49"/>
      <c r="D497" s="42"/>
      <c r="E497" s="42"/>
      <c r="F497" s="42"/>
      <c r="G497" s="42"/>
      <c r="H497" s="42"/>
      <c r="I497" s="42"/>
      <c r="J497" s="261" t="s">
        <v>131</v>
      </c>
      <c r="K497" s="458" t="str">
        <f>IF(OR(K495="",K495=0,K496=""),"TBD",IF(K495&gt;0,K496/K495,"TBD"))</f>
        <v>TBD</v>
      </c>
      <c r="L497" s="682" t="s">
        <v>336</v>
      </c>
      <c r="M497" s="136"/>
      <c r="N497" s="49"/>
      <c r="O497" s="49"/>
      <c r="P497" s="49"/>
      <c r="R497" s="3" t="s">
        <v>229</v>
      </c>
      <c r="S497" s="302" t="s">
        <v>457</v>
      </c>
      <c r="T497" s="42"/>
      <c r="U497" s="302" t="s">
        <v>457</v>
      </c>
      <c r="V497" s="302" t="s">
        <v>228</v>
      </c>
      <c r="W497" s="310" t="s">
        <v>228</v>
      </c>
      <c r="X497" s="668" t="s">
        <v>336</v>
      </c>
      <c r="Y497" s="302" t="s">
        <v>229</v>
      </c>
      <c r="AH497" s="1004" t="str">
        <f t="shared" si="98"/>
        <v/>
      </c>
      <c r="AI497" s="1004" t="str">
        <f t="shared" si="99"/>
        <v/>
      </c>
      <c r="AJ497" s="329"/>
    </row>
    <row r="498" spans="1:36" ht="11.25" customHeight="1" thickBot="1">
      <c r="A498" s="604">
        <v>36</v>
      </c>
      <c r="B498" s="129"/>
      <c r="C498" s="49"/>
      <c r="D498" s="42"/>
      <c r="E498" s="42"/>
      <c r="F498" s="42"/>
      <c r="G498" s="42"/>
      <c r="H498" s="42"/>
      <c r="I498" s="42"/>
      <c r="J498" s="42"/>
      <c r="K498" s="65"/>
      <c r="L498" s="682" t="s">
        <v>336</v>
      </c>
      <c r="M498" s="292" t="s">
        <v>230</v>
      </c>
      <c r="N498" s="137"/>
      <c r="O498" s="47"/>
      <c r="P498" s="177" t="s">
        <v>231</v>
      </c>
      <c r="Q498" s="137"/>
      <c r="R498" s="14" t="s">
        <v>653</v>
      </c>
      <c r="S498" s="302" t="s">
        <v>653</v>
      </c>
      <c r="T498" s="42"/>
      <c r="U498" s="302" t="s">
        <v>653</v>
      </c>
      <c r="V498" s="302" t="s">
        <v>232</v>
      </c>
      <c r="W498" s="310" t="s">
        <v>229</v>
      </c>
      <c r="X498" s="668" t="s">
        <v>336</v>
      </c>
      <c r="Y498" s="302" t="s">
        <v>653</v>
      </c>
      <c r="AH498" s="1004" t="str">
        <f t="shared" si="98"/>
        <v/>
      </c>
      <c r="AI498" s="1004" t="str">
        <f t="shared" si="99"/>
        <v/>
      </c>
      <c r="AJ498" s="329"/>
    </row>
    <row r="499" spans="1:36" ht="11.25" customHeight="1" thickBot="1">
      <c r="A499" s="604">
        <v>37</v>
      </c>
      <c r="B499" s="129"/>
      <c r="C499" s="49"/>
      <c r="D499" s="42"/>
      <c r="E499" s="42"/>
      <c r="F499" s="42"/>
      <c r="G499" s="155" t="s">
        <v>424</v>
      </c>
      <c r="H499" s="156" t="str">
        <f>IF(M332&lt;&gt;1,"NA",IF(MIN(F484:F493)=0,"TBD",IF(OR(H484="NO",H485="NO",H486="NO",H487="NO",H488="NO",H489="NO",H490="NO",H491="NO",H492="NO",H493="NO"),"NO","YES")))</f>
        <v>NA</v>
      </c>
      <c r="I499" s="42"/>
      <c r="J499" s="275" t="s">
        <v>424</v>
      </c>
      <c r="K499" s="459" t="str">
        <f>IF(M332&lt;&gt;1,"NA",IF(K497="TBD","TBD",IF(K497&gt;=0.05,"NO","YES")))</f>
        <v>NA</v>
      </c>
      <c r="L499" s="682" t="s">
        <v>336</v>
      </c>
      <c r="M499" s="199" t="s">
        <v>234</v>
      </c>
      <c r="N499" s="766" t="str">
        <f>IF(OR(AB130=0,AB130=""),"",AB130)</f>
        <v/>
      </c>
      <c r="O499" s="3"/>
      <c r="P499" s="267" t="str">
        <f>"SDD ("&amp;SFSDD&amp;"):"</f>
        <v>SDD (cm):</v>
      </c>
      <c r="Q499" s="356">
        <f>IF($N$252="","",$N$252)</f>
        <v>100</v>
      </c>
      <c r="R499" s="296" t="s">
        <v>233</v>
      </c>
      <c r="S499" s="303" t="s">
        <v>233</v>
      </c>
      <c r="T499" s="42"/>
      <c r="U499" s="302" t="s">
        <v>235</v>
      </c>
      <c r="V499" s="302" t="s">
        <v>457</v>
      </c>
      <c r="W499" s="311" t="s">
        <v>422</v>
      </c>
      <c r="X499" s="668" t="s">
        <v>336</v>
      </c>
      <c r="Y499" s="669" t="s">
        <v>233</v>
      </c>
      <c r="AJ499" s="329"/>
    </row>
    <row r="500" spans="1:36" ht="11.25" customHeight="1">
      <c r="A500" s="604">
        <v>38</v>
      </c>
      <c r="B500" s="121" t="s">
        <v>417</v>
      </c>
      <c r="C500" s="799" t="str">
        <f>IF(O359="","",IF(LEN(O359)&lt;=135,O359,IF(LEN(O359)&lt;=260,LEFT(O359,SEARCH(" ",O359,125)),LEFT(O359,SEARCH(" ",O359,130)))))</f>
        <v/>
      </c>
      <c r="D500" s="41"/>
      <c r="E500" s="41"/>
      <c r="F500" s="41"/>
      <c r="G500" s="41"/>
      <c r="H500" s="41"/>
      <c r="I500" s="41"/>
      <c r="J500" s="41"/>
      <c r="K500" s="65"/>
      <c r="L500" s="682" t="s">
        <v>336</v>
      </c>
      <c r="M500" s="136"/>
      <c r="N500" s="3" t="s">
        <v>653</v>
      </c>
      <c r="O500" s="3" t="s">
        <v>653</v>
      </c>
      <c r="P500" s="26"/>
      <c r="Q500" s="13" t="s">
        <v>653</v>
      </c>
      <c r="R500" s="14" t="s">
        <v>369</v>
      </c>
      <c r="S500" s="302" t="s">
        <v>237</v>
      </c>
      <c r="T500" s="42"/>
      <c r="U500" s="302" t="s">
        <v>238</v>
      </c>
      <c r="V500" s="302" t="s">
        <v>239</v>
      </c>
      <c r="W500" s="311" t="s">
        <v>239</v>
      </c>
      <c r="X500" s="668" t="s">
        <v>336</v>
      </c>
      <c r="Y500" s="669" t="s">
        <v>369</v>
      </c>
      <c r="AJ500" s="329"/>
    </row>
    <row r="501" spans="1:36" ht="11.25" customHeight="1" thickBot="1">
      <c r="A501" s="604">
        <v>39</v>
      </c>
      <c r="B501" s="129"/>
      <c r="C501" s="800" t="str">
        <f>IF(LEN(O359)&lt;=135,"",IF(LEN(O359)&lt;=260,RIGHT(O359,LEN(O359)-SEARCH(" ",O359,125)),MID(O359,SEARCH(" ",O359,130),IF(LEN(O359)&lt;=265,LEN(O359),SEARCH(" ",O359,255)-SEARCH(" ",O359,130)))))</f>
        <v/>
      </c>
      <c r="D501" s="41"/>
      <c r="E501" s="41"/>
      <c r="F501" s="41"/>
      <c r="G501" s="41"/>
      <c r="H501" s="41"/>
      <c r="I501" s="41"/>
      <c r="J501" s="41"/>
      <c r="K501" s="65"/>
      <c r="L501" s="682" t="s">
        <v>336</v>
      </c>
      <c r="M501" s="285" t="s">
        <v>369</v>
      </c>
      <c r="N501" s="28" t="s">
        <v>242</v>
      </c>
      <c r="O501" s="358" t="s">
        <v>240</v>
      </c>
      <c r="P501" s="26" t="s">
        <v>93</v>
      </c>
      <c r="Q501" s="28" t="s">
        <v>242</v>
      </c>
      <c r="R501" s="28" t="s">
        <v>240</v>
      </c>
      <c r="S501" s="304" t="s">
        <v>240</v>
      </c>
      <c r="T501" s="42"/>
      <c r="U501" s="298" t="s">
        <v>654</v>
      </c>
      <c r="V501" s="298" t="s">
        <v>243</v>
      </c>
      <c r="W501" s="312" t="s">
        <v>243</v>
      </c>
      <c r="X501" s="668" t="s">
        <v>336</v>
      </c>
      <c r="Y501" s="298" t="s">
        <v>240</v>
      </c>
      <c r="AJ501" s="329"/>
    </row>
    <row r="502" spans="1:36" ht="11.25" customHeight="1">
      <c r="A502" s="604">
        <v>40</v>
      </c>
      <c r="B502" s="129"/>
      <c r="C502" s="799" t="str">
        <f>IF(LEN(O359)&lt;=265,"",RIGHT(O359,LEN(O359)-SEARCH(" ",O359,255)))</f>
        <v/>
      </c>
      <c r="D502" s="41"/>
      <c r="E502" s="41"/>
      <c r="F502" s="41"/>
      <c r="G502" s="41"/>
      <c r="H502" s="41"/>
      <c r="I502" s="41"/>
      <c r="J502" s="41"/>
      <c r="K502" s="65"/>
      <c r="L502" s="682" t="s">
        <v>336</v>
      </c>
      <c r="M502" s="767" t="str">
        <f t="shared" ref="M502:M507" si="100">IF(OR(AB132=0,AB132=""),"",AB132)</f>
        <v/>
      </c>
      <c r="N502" s="1015" t="str">
        <f t="shared" ref="N502:N507" si="101">IF(OR(AB139=0,AB139=""),"",AB139)</f>
        <v/>
      </c>
      <c r="O502" s="1020" t="str">
        <f>IF(OR(M502=0,M502="",N502=0,N502="",$N$499=0,$N$499=""),"",N502*($N$499/40)^2)</f>
        <v/>
      </c>
      <c r="P502" s="1021" t="str">
        <f>IF(T252="","",T252)</f>
        <v/>
      </c>
      <c r="Q502" s="740" t="str">
        <f>IF(OR(AND(LFMAS="",SFMAS=""),R252="",R252=0,W252=""),"",IF(SFMAS="mAs",W252/R252,IF(OR(S252="",S252=0),"",W252/(R252*S252))))</f>
        <v/>
      </c>
      <c r="R502" s="741" t="str">
        <f>IF(Q502="","",IF(SFSDD="in.",Q502*($Q$499/40)^2,Q502*(($Q$499/2.54)/40)^2))</f>
        <v/>
      </c>
      <c r="S502" s="744" t="str">
        <f t="array" ref="S502:S507">IF(OR(M502="",M503="",N502="",N503="",P502="",P503="",$N$499=""),"",EXP(TREND(U502:U507,V502:V507,W502:W507)))</f>
        <v/>
      </c>
      <c r="T502" s="42"/>
      <c r="U502" s="744" t="str">
        <f>IF(O502="","",LN(O502))</f>
        <v/>
      </c>
      <c r="V502" s="745" t="str">
        <f>IF(M502="","",LN(M502))</f>
        <v/>
      </c>
      <c r="W502" s="747" t="str">
        <f>IF(P502="","",LN(P502))</f>
        <v/>
      </c>
      <c r="X502" s="668" t="s">
        <v>336</v>
      </c>
      <c r="Y502" s="744" t="str">
        <f t="shared" ref="Y502:Y507" si="102">IF(R502="","",LN(R502))</f>
        <v/>
      </c>
      <c r="AJ502" s="329"/>
    </row>
    <row r="503" spans="1:36" ht="11.25" customHeight="1">
      <c r="A503" s="604">
        <v>41</v>
      </c>
      <c r="B503" s="129"/>
      <c r="C503" s="799" t="str">
        <f>IF(O362="","",IF(LEN(O362)&lt;=135,O362,IF(LEN(O362)&lt;=260,LEFT(O362,SEARCH(" ",O362,125)),LEFT(O362,SEARCH(" ",O362,130)))))</f>
        <v/>
      </c>
      <c r="D503" s="41"/>
      <c r="E503" s="41"/>
      <c r="F503" s="41"/>
      <c r="G503" s="41"/>
      <c r="H503" s="41"/>
      <c r="I503" s="41"/>
      <c r="J503" s="41"/>
      <c r="K503" s="65"/>
      <c r="L503" s="682" t="s">
        <v>336</v>
      </c>
      <c r="M503" s="767" t="str">
        <f t="shared" si="100"/>
        <v/>
      </c>
      <c r="N503" s="1015" t="str">
        <f t="shared" si="101"/>
        <v/>
      </c>
      <c r="O503" s="1017" t="str">
        <f>IF(OR(M503=0,M503="",N503=0,N503="",$N$499=0,$N$499=""),O502,N503*($N$499/40)^2)</f>
        <v/>
      </c>
      <c r="P503" s="1022" t="str">
        <f>IF(T253="",P502,T253)</f>
        <v/>
      </c>
      <c r="Q503" s="740" t="str">
        <f>IF(OR(AND(LFMAS="",SFMAS=""),R253="",R253=0,W253=""),Q502,IF(SFMAS="mAs",W253/R253,IF(OR(S253="",S253=0),"",W253/(R253*S253))))</f>
        <v/>
      </c>
      <c r="R503" s="741" t="str">
        <f>IF(Q503="",R502,IF(SFSDD="in.",Q503*($Q$499/40)^2,Q503*(($Q$499/2.54)/40)^2))</f>
        <v/>
      </c>
      <c r="S503" s="744" t="str">
        <v/>
      </c>
      <c r="T503" s="42"/>
      <c r="U503" s="744" t="str">
        <f>IF(O503="",U502,LN(O503))</f>
        <v/>
      </c>
      <c r="V503" s="745" t="str">
        <f>IF(M503="",V502,LN(M503))</f>
        <v/>
      </c>
      <c r="W503" s="747" t="str">
        <f>IF(P503="",W502,LN(P503))</f>
        <v/>
      </c>
      <c r="X503" s="668" t="s">
        <v>336</v>
      </c>
      <c r="Y503" s="744" t="str">
        <f t="shared" si="102"/>
        <v/>
      </c>
      <c r="AJ503" s="329"/>
    </row>
    <row r="504" spans="1:36" ht="11.25" customHeight="1">
      <c r="A504" s="604">
        <v>42</v>
      </c>
      <c r="B504" s="129"/>
      <c r="C504" s="800" t="str">
        <f>IF(LEN(O362)&lt;=135,"",IF(LEN(O362)&lt;=260,RIGHT(O362,LEN(O362)-SEARCH(" ",O362,125)),MID(O362,SEARCH(" ",O362,130),IF(LEN(O362)&lt;=265,LEN(O362),SEARCH(" ",O362,255)-SEARCH(" ",O362,130)))))</f>
        <v/>
      </c>
      <c r="D504" s="41"/>
      <c r="E504" s="41"/>
      <c r="F504" s="41"/>
      <c r="G504" s="41"/>
      <c r="H504" s="41"/>
      <c r="I504" s="41"/>
      <c r="J504" s="41"/>
      <c r="K504" s="65"/>
      <c r="L504" s="682" t="s">
        <v>336</v>
      </c>
      <c r="M504" s="767" t="str">
        <f t="shared" si="100"/>
        <v/>
      </c>
      <c r="N504" s="1015" t="str">
        <f t="shared" si="101"/>
        <v/>
      </c>
      <c r="O504" s="1017" t="str">
        <f>IF(OR(M504=0,M504="",N504=0,N504="",$N$499=0,$N$499=""),O503,N504*($N$499/40)^2)</f>
        <v/>
      </c>
      <c r="P504" s="1022" t="str">
        <f>IF(T254="",P503,T254)</f>
        <v/>
      </c>
      <c r="Q504" s="740" t="str">
        <f>IF(OR(AND(LFMAS="",SFMAS=""),R254="",R254=0,W254=""),Q503,IF(SFMAS="mAs",W254/R254,IF(OR(S254="",S254=0),"",W254/(R254*S254))))</f>
        <v/>
      </c>
      <c r="R504" s="741" t="str">
        <f>IF(Q504="",R503,IF(SFSDD="in.",Q504*($Q$499/40)^2,Q504*(($Q$499/2.54)/40)^2))</f>
        <v/>
      </c>
      <c r="S504" s="744" t="str">
        <v/>
      </c>
      <c r="T504" s="42"/>
      <c r="U504" s="744" t="str">
        <f>IF(O504="",U503,LN(O504))</f>
        <v/>
      </c>
      <c r="V504" s="745" t="str">
        <f>IF(M504="",V503,LN(M504))</f>
        <v/>
      </c>
      <c r="W504" s="747" t="str">
        <f>IF(P504="",W503,LN(P504))</f>
        <v/>
      </c>
      <c r="X504" s="668" t="s">
        <v>336</v>
      </c>
      <c r="Y504" s="744" t="str">
        <f t="shared" si="102"/>
        <v/>
      </c>
      <c r="AJ504" s="329"/>
    </row>
    <row r="505" spans="1:36" ht="11.25" customHeight="1">
      <c r="A505" s="604">
        <v>43</v>
      </c>
      <c r="B505" s="129"/>
      <c r="C505" s="799" t="str">
        <f>IF(LEN(O362)&lt;=265,"",RIGHT(O362,LEN(O362)-SEARCH(" ",O362,255)))</f>
        <v/>
      </c>
      <c r="D505" s="41"/>
      <c r="E505" s="41"/>
      <c r="F505" s="41"/>
      <c r="G505" s="41"/>
      <c r="H505" s="41"/>
      <c r="I505" s="41"/>
      <c r="J505" s="41"/>
      <c r="K505" s="65"/>
      <c r="L505" s="682" t="s">
        <v>336</v>
      </c>
      <c r="M505" s="767" t="str">
        <f t="shared" si="100"/>
        <v/>
      </c>
      <c r="N505" s="1015" t="str">
        <f t="shared" si="101"/>
        <v/>
      </c>
      <c r="O505" s="1017" t="str">
        <f>IF(OR(M505=0,M505="",N505=0,N505="",$N$499=0,$N$499=""),O504,N505*($N$499/40)^2)</f>
        <v/>
      </c>
      <c r="P505" s="1022" t="str">
        <f>IF(T255="",P504,T255)</f>
        <v/>
      </c>
      <c r="Q505" s="740" t="str">
        <f>IF(OR(AND(LFMAS="",SFMAS=""),R255="",R255=0,W255=""),Q504,IF(SFMAS="mAs",W255/R255,IF(OR(S255="",S255=0),"",W255/(R255*S255))))</f>
        <v/>
      </c>
      <c r="R505" s="741" t="str">
        <f>IF(Q505="",R504,IF(SFSDD="in.",Q505*($Q$499/40)^2,Q505*(($Q$499/2.54)/40)^2))</f>
        <v/>
      </c>
      <c r="S505" s="744" t="str">
        <v/>
      </c>
      <c r="T505" s="42"/>
      <c r="U505" s="744" t="str">
        <f>IF(O505="",U504,LN(O505))</f>
        <v/>
      </c>
      <c r="V505" s="745" t="str">
        <f>IF(M505="",V504,LN(M505))</f>
        <v/>
      </c>
      <c r="W505" s="747" t="str">
        <f>IF(P505="",W504,LN(P505))</f>
        <v/>
      </c>
      <c r="X505" s="668" t="s">
        <v>336</v>
      </c>
      <c r="Y505" s="744" t="str">
        <f t="shared" si="102"/>
        <v/>
      </c>
      <c r="AJ505" s="329"/>
    </row>
    <row r="506" spans="1:36" ht="11.25" customHeight="1">
      <c r="A506" s="604">
        <v>44</v>
      </c>
      <c r="B506" s="136"/>
      <c r="C506" s="49"/>
      <c r="D506" s="49"/>
      <c r="E506" s="49"/>
      <c r="F506" s="49"/>
      <c r="G506" s="49"/>
      <c r="H506" s="49"/>
      <c r="I506" s="49"/>
      <c r="J506" s="49"/>
      <c r="K506" s="65"/>
      <c r="L506" s="682" t="s">
        <v>336</v>
      </c>
      <c r="M506" s="767" t="str">
        <f t="shared" si="100"/>
        <v/>
      </c>
      <c r="N506" s="1015" t="str">
        <f t="shared" si="101"/>
        <v/>
      </c>
      <c r="O506" s="1017" t="str">
        <f>IF(OR(M506=0,M506="",N506=0,N506="",$N$499=0,$N$499=""),O505,N506*($N$499/40)^2)</f>
        <v/>
      </c>
      <c r="P506" s="1022" t="str">
        <f>IF(T256="",P505,T256)</f>
        <v/>
      </c>
      <c r="Q506" s="740" t="str">
        <f>IF(OR(AND(LFMAS="",SFMAS=""),R256="",R256=0,W256=""),Q505,IF(SFMAS="mAs",W256/R256,IF(OR(S256="",S256=0),"",W256/(R256*S256))))</f>
        <v/>
      </c>
      <c r="R506" s="741" t="str">
        <f>IF(Q506="",R505,IF(SFSDD="in.",Q506*($Q$499/40)^2,Q506*(($Q$499/2.54)/40)^2))</f>
        <v/>
      </c>
      <c r="S506" s="744" t="str">
        <v/>
      </c>
      <c r="T506" s="42"/>
      <c r="U506" s="744" t="str">
        <f>IF(O506="",U505,LN(O506))</f>
        <v/>
      </c>
      <c r="V506" s="745" t="str">
        <f>IF(M506="",V505,LN(M506))</f>
        <v/>
      </c>
      <c r="W506" s="747" t="str">
        <f>IF(P506="",W505,LN(P506))</f>
        <v/>
      </c>
      <c r="X506" s="668" t="s">
        <v>336</v>
      </c>
      <c r="Y506" s="744" t="str">
        <f t="shared" si="102"/>
        <v/>
      </c>
      <c r="AJ506" s="329"/>
    </row>
    <row r="507" spans="1:36" ht="11.25" customHeight="1" thickBot="1">
      <c r="A507" s="604">
        <v>45</v>
      </c>
      <c r="B507" s="129"/>
      <c r="C507" s="344" t="s">
        <v>133</v>
      </c>
      <c r="D507" s="42"/>
      <c r="E507" s="42"/>
      <c r="F507" s="42"/>
      <c r="G507" s="42"/>
      <c r="H507" s="42"/>
      <c r="I507" s="42"/>
      <c r="J507" s="42"/>
      <c r="K507" s="65"/>
      <c r="L507" s="682" t="s">
        <v>336</v>
      </c>
      <c r="M507" s="767" t="str">
        <f t="shared" si="100"/>
        <v/>
      </c>
      <c r="N507" s="1015" t="str">
        <f t="shared" si="101"/>
        <v/>
      </c>
      <c r="O507" s="1017" t="str">
        <f>IF(OR(M507=0,M507="",N507=0,N507="",$N$499=0,$N$499=""),O506,N507*($N$499/40)^2)</f>
        <v/>
      </c>
      <c r="P507" s="1023" t="str">
        <f>IF(T257="",P506,T257)</f>
        <v/>
      </c>
      <c r="Q507" s="880" t="str">
        <f>IF(OR(AND(LFMAS="",SFMAS=""),R257="",R257=0,W257=""),Q506,IF(SFMAS="mAs",W257/R257,IF(OR(S257="",S257=0),"",W257/(R257*S257))))</f>
        <v/>
      </c>
      <c r="R507" s="881" t="str">
        <f>IF(Q507="",R506,IF(SFSDD="in.",Q507*($Q$499/40)^2,Q507*(($Q$499/2.54)/40)^2))</f>
        <v/>
      </c>
      <c r="S507" s="883" t="str">
        <v/>
      </c>
      <c r="T507" s="42"/>
      <c r="U507" s="744" t="str">
        <f>IF(O507="",U506,LN(O507))</f>
        <v/>
      </c>
      <c r="V507" s="745" t="str">
        <f>IF(M507="",V506,LN(M507))</f>
        <v/>
      </c>
      <c r="W507" s="747" t="str">
        <f>IF(P507="",W506,LN(P507))</f>
        <v/>
      </c>
      <c r="X507" s="668" t="s">
        <v>336</v>
      </c>
      <c r="Y507" s="744" t="str">
        <f t="shared" si="102"/>
        <v/>
      </c>
      <c r="AJ507" s="329"/>
    </row>
    <row r="508" spans="1:36" ht="11.25" customHeight="1" thickBot="1">
      <c r="A508" s="604">
        <v>46</v>
      </c>
      <c r="B508" s="136"/>
      <c r="C508" s="42" t="s">
        <v>364</v>
      </c>
      <c r="D508" s="42"/>
      <c r="E508" s="42"/>
      <c r="F508" s="42"/>
      <c r="G508" s="42" t="s">
        <v>364</v>
      </c>
      <c r="H508" s="42"/>
      <c r="I508" s="42"/>
      <c r="J508" s="49"/>
      <c r="K508" s="65"/>
      <c r="L508" s="682" t="s">
        <v>336</v>
      </c>
      <c r="M508" s="172" t="s">
        <v>244</v>
      </c>
      <c r="N508" s="49"/>
      <c r="O508" s="49"/>
      <c r="P508" s="832"/>
      <c r="Q508" s="896" t="s">
        <v>621</v>
      </c>
      <c r="R508" s="897" t="s">
        <v>622</v>
      </c>
      <c r="S508" s="898" t="s">
        <v>623</v>
      </c>
      <c r="U508" s="49"/>
      <c r="V508" s="49"/>
      <c r="W508" s="65"/>
      <c r="X508" s="668" t="s">
        <v>336</v>
      </c>
      <c r="AJ508" s="329"/>
    </row>
    <row r="509" spans="1:36" ht="11.25" customHeight="1" thickBot="1">
      <c r="A509" s="604">
        <v>47</v>
      </c>
      <c r="B509" s="136"/>
      <c r="C509" s="41" t="s">
        <v>134</v>
      </c>
      <c r="D509" s="209" t="s">
        <v>135</v>
      </c>
      <c r="E509" s="209" t="s">
        <v>136</v>
      </c>
      <c r="F509" s="42"/>
      <c r="G509" s="41" t="s">
        <v>134</v>
      </c>
      <c r="H509" s="209" t="s">
        <v>426</v>
      </c>
      <c r="I509" s="209" t="s">
        <v>136</v>
      </c>
      <c r="J509" s="42"/>
      <c r="K509" s="65"/>
      <c r="L509" s="682" t="s">
        <v>336</v>
      </c>
      <c r="M509" s="136"/>
      <c r="N509" s="49"/>
      <c r="O509" s="49"/>
      <c r="P509" s="49"/>
      <c r="Q509" s="891" t="str">
        <f>IF(MAX(G681:G686)=0,"NA",MAX(G681:G686))</f>
        <v>NA</v>
      </c>
      <c r="R509" s="892" t="str">
        <f>IF(MAX(G681:G686)=0,"NA",MEDIAN(G681:G686))</f>
        <v>NA</v>
      </c>
      <c r="S509" s="894" t="str">
        <f>IF(MAX(G681:G686)=0,"NA",MIN(G681:G686))</f>
        <v>NA</v>
      </c>
      <c r="U509" s="1138" t="s">
        <v>424</v>
      </c>
      <c r="V509" s="1128" t="str">
        <f>IF(MIN(N502:N507)=0,"NA",IF(H681="TBD","TBD",IF(OR(H681="NO",H682="NO",H683="NO",H684="NO",H685="NO",H686="NO"),"NO","YES")))</f>
        <v>NA</v>
      </c>
      <c r="W509" s="67"/>
      <c r="X509" s="668" t="s">
        <v>336</v>
      </c>
      <c r="AJ509" s="329"/>
    </row>
    <row r="510" spans="1:36" ht="11.25" customHeight="1" thickBot="1">
      <c r="A510" s="604">
        <v>48</v>
      </c>
      <c r="B510" s="107"/>
      <c r="C510" s="42" t="s">
        <v>137</v>
      </c>
      <c r="D510" s="210" t="s">
        <v>629</v>
      </c>
      <c r="E510" s="222">
        <v>0</v>
      </c>
      <c r="F510" s="44" t="s">
        <v>138</v>
      </c>
      <c r="G510" s="42" t="s">
        <v>139</v>
      </c>
      <c r="H510" s="210" t="s">
        <v>140</v>
      </c>
      <c r="I510" s="223">
        <v>0.15</v>
      </c>
      <c r="J510" s="42"/>
      <c r="K510" s="65"/>
      <c r="L510" s="682" t="s">
        <v>336</v>
      </c>
      <c r="M510" s="136"/>
      <c r="N510" s="160"/>
      <c r="O510" s="882" t="str">
        <f>IF(AND(O243="",O259=""),"",IF(AND(O243&lt;&gt;"",O259=""),"Lg. F:  "&amp;O243,IF(AND(O243="",O259&lt;&gt;""),"Sm. F:  "&amp;O259,"Lg. F:  "&amp;O243&amp;";  Sm. F:  "&amp;O259)))</f>
        <v/>
      </c>
      <c r="P510" s="889" t="s">
        <v>301</v>
      </c>
      <c r="Q510" s="890" t="str">
        <f>IF(AB149="","",AB149)</f>
        <v/>
      </c>
      <c r="R510" s="893" t="str">
        <f>IF(AB150="","",AB150)</f>
        <v/>
      </c>
      <c r="S510" s="895" t="str">
        <f>IF(AB151="","",AB151)</f>
        <v/>
      </c>
      <c r="T510" s="3"/>
      <c r="U510" s="3"/>
      <c r="V510" s="3"/>
      <c r="W510" s="34"/>
      <c r="X510" s="668" t="s">
        <v>336</v>
      </c>
      <c r="AJ510" s="329"/>
    </row>
    <row r="511" spans="1:36" ht="11.25" customHeight="1">
      <c r="A511" s="604">
        <v>49</v>
      </c>
      <c r="B511" s="129"/>
      <c r="C511" s="42"/>
      <c r="D511" s="210" t="s">
        <v>630</v>
      </c>
      <c r="E511" s="222">
        <v>1</v>
      </c>
      <c r="F511" s="44" t="s">
        <v>138</v>
      </c>
      <c r="G511" s="42"/>
      <c r="H511" s="224" t="s">
        <v>141</v>
      </c>
      <c r="I511" s="223">
        <v>0.1</v>
      </c>
      <c r="J511" s="42"/>
      <c r="K511" s="65"/>
      <c r="L511" s="682" t="s">
        <v>336</v>
      </c>
      <c r="M511" s="107"/>
      <c r="N511" s="4"/>
      <c r="O511" s="4"/>
      <c r="P511" s="4"/>
      <c r="R511" s="49"/>
      <c r="S511" s="4"/>
      <c r="T511" s="4"/>
      <c r="U511" s="4"/>
      <c r="V511" s="4"/>
      <c r="W511" s="357"/>
      <c r="X511" s="668" t="s">
        <v>336</v>
      </c>
      <c r="AJ511" s="329"/>
    </row>
    <row r="512" spans="1:36" ht="11.25" customHeight="1">
      <c r="A512" s="604">
        <v>50</v>
      </c>
      <c r="B512" s="129"/>
      <c r="C512" s="42"/>
      <c r="D512" s="210" t="s">
        <v>627</v>
      </c>
      <c r="E512" s="222">
        <v>2</v>
      </c>
      <c r="F512" s="44" t="s">
        <v>138</v>
      </c>
      <c r="G512" s="42"/>
      <c r="H512" s="210" t="s">
        <v>142</v>
      </c>
      <c r="I512" s="223">
        <v>0.05</v>
      </c>
      <c r="J512" s="42"/>
      <c r="K512" s="65"/>
      <c r="L512" s="682" t="s">
        <v>336</v>
      </c>
      <c r="M512" s="197" t="s">
        <v>341</v>
      </c>
      <c r="N512" s="49"/>
      <c r="O512" s="49"/>
      <c r="P512" s="49"/>
      <c r="Q512" s="49"/>
      <c r="R512" s="49"/>
      <c r="S512" s="49"/>
      <c r="T512" s="49"/>
      <c r="U512" s="49"/>
      <c r="V512" s="49"/>
      <c r="W512" s="67"/>
      <c r="X512" s="668" t="s">
        <v>336</v>
      </c>
      <c r="AJ512" s="329"/>
    </row>
    <row r="513" spans="1:36" ht="11.25" customHeight="1">
      <c r="A513" s="604">
        <v>51</v>
      </c>
      <c r="B513" s="129"/>
      <c r="C513" s="41"/>
      <c r="D513" s="209" t="s">
        <v>628</v>
      </c>
      <c r="E513" s="218">
        <v>3</v>
      </c>
      <c r="F513" s="44" t="s">
        <v>138</v>
      </c>
      <c r="G513" s="71" t="s">
        <v>143</v>
      </c>
      <c r="H513" s="226" t="s">
        <v>140</v>
      </c>
      <c r="I513" s="227">
        <v>0.2</v>
      </c>
      <c r="J513" s="42"/>
      <c r="K513" s="65"/>
      <c r="L513" s="682" t="s">
        <v>336</v>
      </c>
      <c r="M513" s="129"/>
      <c r="N513" s="49"/>
      <c r="O513" s="49"/>
      <c r="P513" s="49"/>
      <c r="Q513" s="103" t="s">
        <v>375</v>
      </c>
      <c r="R513" s="49"/>
      <c r="S513" s="49"/>
      <c r="T513" s="49"/>
      <c r="U513" s="49"/>
      <c r="V513" s="49"/>
      <c r="W513" s="67"/>
      <c r="X513" s="668" t="s">
        <v>336</v>
      </c>
      <c r="AJ513" s="329"/>
    </row>
    <row r="514" spans="1:36" ht="11.25" customHeight="1">
      <c r="A514" s="604">
        <v>52</v>
      </c>
      <c r="B514" s="129"/>
      <c r="C514" s="42" t="s">
        <v>144</v>
      </c>
      <c r="D514" s="210" t="s">
        <v>140</v>
      </c>
      <c r="E514" s="223">
        <v>0.25</v>
      </c>
      <c r="F514" s="42"/>
      <c r="G514" s="42"/>
      <c r="H514" s="224" t="s">
        <v>141</v>
      </c>
      <c r="I514" s="223">
        <v>0.15</v>
      </c>
      <c r="J514" s="42"/>
      <c r="K514" s="65"/>
      <c r="L514" s="682" t="s">
        <v>336</v>
      </c>
      <c r="M514" s="610"/>
      <c r="N514" s="44"/>
      <c r="O514" s="104" t="s">
        <v>246</v>
      </c>
      <c r="P514" s="104"/>
      <c r="Q514" s="104"/>
      <c r="R514" s="104"/>
      <c r="S514" s="104"/>
      <c r="T514" s="104"/>
      <c r="U514" s="42"/>
      <c r="V514" s="42"/>
      <c r="W514" s="67"/>
      <c r="X514" s="668" t="s">
        <v>336</v>
      </c>
      <c r="Y514" s="329"/>
      <c r="AJ514" s="329"/>
    </row>
    <row r="515" spans="1:36" ht="11.25" customHeight="1">
      <c r="A515" s="604">
        <v>53</v>
      </c>
      <c r="B515" s="129"/>
      <c r="C515" s="42"/>
      <c r="D515" s="224" t="s">
        <v>145</v>
      </c>
      <c r="E515" s="223">
        <v>0.2</v>
      </c>
      <c r="F515" s="42"/>
      <c r="G515" s="42"/>
      <c r="H515" s="224" t="s">
        <v>146</v>
      </c>
      <c r="I515" s="223">
        <v>0.1</v>
      </c>
      <c r="J515" s="42"/>
      <c r="K515" s="65"/>
      <c r="L515" s="682" t="s">
        <v>336</v>
      </c>
      <c r="M515" s="610">
        <v>3</v>
      </c>
      <c r="O515" s="104" t="s">
        <v>631</v>
      </c>
      <c r="W515" s="67"/>
      <c r="X515" s="668" t="s">
        <v>336</v>
      </c>
      <c r="Y515" s="329"/>
      <c r="Z515" s="329"/>
      <c r="AJ515" s="329"/>
    </row>
    <row r="516" spans="1:36" ht="11.25" customHeight="1">
      <c r="A516" s="604">
        <v>54</v>
      </c>
      <c r="B516" s="129"/>
      <c r="C516" s="42"/>
      <c r="D516" s="224" t="s">
        <v>147</v>
      </c>
      <c r="E516" s="223">
        <v>0.15</v>
      </c>
      <c r="F516" s="42"/>
      <c r="G516" s="42"/>
      <c r="H516" s="210" t="s">
        <v>148</v>
      </c>
      <c r="I516" s="223">
        <v>0.05</v>
      </c>
      <c r="J516" s="42"/>
      <c r="K516" s="65"/>
      <c r="L516" s="682" t="s">
        <v>336</v>
      </c>
      <c r="M516" s="610">
        <v>3</v>
      </c>
      <c r="O516" s="104" t="s">
        <v>632</v>
      </c>
      <c r="W516" s="67"/>
      <c r="X516" s="668" t="s">
        <v>336</v>
      </c>
      <c r="Y516" s="329"/>
      <c r="Z516" s="329"/>
      <c r="AJ516" s="329"/>
    </row>
    <row r="517" spans="1:36" ht="11.25" customHeight="1">
      <c r="A517" s="604">
        <v>55</v>
      </c>
      <c r="B517" s="129"/>
      <c r="C517" s="42"/>
      <c r="D517" s="224" t="s">
        <v>149</v>
      </c>
      <c r="E517" s="223">
        <v>0.1</v>
      </c>
      <c r="F517" s="42"/>
      <c r="G517" s="42"/>
      <c r="H517" s="42"/>
      <c r="I517" s="42"/>
      <c r="J517" s="42"/>
      <c r="K517" s="65"/>
      <c r="L517" s="682" t="s">
        <v>336</v>
      </c>
      <c r="M517" s="610">
        <v>3</v>
      </c>
      <c r="O517" s="104" t="s">
        <v>633</v>
      </c>
      <c r="W517" s="67"/>
      <c r="X517" s="668" t="s">
        <v>336</v>
      </c>
      <c r="Y517" s="329"/>
      <c r="Z517" s="329"/>
      <c r="AJ517" s="329"/>
    </row>
    <row r="518" spans="1:36" ht="11.25" customHeight="1" thickBot="1">
      <c r="A518" s="604">
        <v>56</v>
      </c>
      <c r="B518" s="129"/>
      <c r="C518" s="42"/>
      <c r="D518" s="210" t="s">
        <v>148</v>
      </c>
      <c r="E518" s="223">
        <v>0.05</v>
      </c>
      <c r="F518" s="42"/>
      <c r="G518" s="42"/>
      <c r="H518" s="42"/>
      <c r="I518" s="42"/>
      <c r="J518" s="42"/>
      <c r="K518" s="65"/>
      <c r="L518" s="682" t="s">
        <v>336</v>
      </c>
      <c r="M518" s="610"/>
      <c r="N518" s="44"/>
      <c r="O518" s="104" t="s">
        <v>377</v>
      </c>
      <c r="P518" s="105"/>
      <c r="Q518" s="105"/>
      <c r="R518" s="105"/>
      <c r="S518" s="105"/>
      <c r="T518" s="105"/>
      <c r="U518" s="42"/>
      <c r="V518" s="712" t="s">
        <v>271</v>
      </c>
      <c r="W518" s="67"/>
      <c r="X518" s="668" t="s">
        <v>336</v>
      </c>
      <c r="Z518" s="329"/>
      <c r="AA518" s="542"/>
      <c r="AB518" s="515"/>
      <c r="AC518" s="554" t="str">
        <f t="shared" ref="AC518" si="103">IF(AND(OR(AB518="",AB518=0),OR(AD518="",AD518=0)),"",IF(AB518&lt;&gt;AD518,"Change",""))</f>
        <v/>
      </c>
      <c r="AD518" s="580"/>
      <c r="AE518" s="581"/>
    </row>
    <row r="519" spans="1:36" ht="11.25" customHeight="1">
      <c r="A519" s="604">
        <v>57</v>
      </c>
      <c r="B519" s="129"/>
      <c r="C519" s="42" t="s">
        <v>150</v>
      </c>
      <c r="D519" s="210" t="s">
        <v>151</v>
      </c>
      <c r="E519" s="541" t="s">
        <v>153</v>
      </c>
      <c r="F519" s="44" t="s">
        <v>138</v>
      </c>
      <c r="G519" s="49"/>
      <c r="H519" s="49"/>
      <c r="I519" s="49"/>
      <c r="J519" s="42"/>
      <c r="K519" s="65"/>
      <c r="L519" s="682" t="s">
        <v>336</v>
      </c>
      <c r="M519" s="610"/>
      <c r="N519" s="49"/>
      <c r="O519" s="44" t="s">
        <v>247</v>
      </c>
      <c r="P519" s="49"/>
      <c r="Q519" s="49"/>
      <c r="R519" s="49"/>
      <c r="S519" s="49"/>
      <c r="T519" s="49"/>
      <c r="U519" s="49"/>
      <c r="V519" s="711"/>
      <c r="W519" s="66" t="str">
        <f>IF(Q52=1,"","Half")</f>
        <v>Half</v>
      </c>
      <c r="X519" s="668" t="s">
        <v>336</v>
      </c>
      <c r="Z519" s="329"/>
      <c r="AC519"/>
      <c r="AD519"/>
      <c r="AE519"/>
    </row>
    <row r="520" spans="1:36" ht="11.25" customHeight="1">
      <c r="A520" s="604">
        <v>58</v>
      </c>
      <c r="B520" s="129"/>
      <c r="C520" s="41"/>
      <c r="D520" s="209" t="s">
        <v>151</v>
      </c>
      <c r="E520" s="540" t="s">
        <v>167</v>
      </c>
      <c r="F520" s="42"/>
      <c r="G520" s="49"/>
      <c r="H520" s="49"/>
      <c r="I520" s="49"/>
      <c r="J520" s="42"/>
      <c r="K520" s="65"/>
      <c r="L520" s="682" t="s">
        <v>336</v>
      </c>
      <c r="M520" s="610">
        <v>3</v>
      </c>
      <c r="N520" s="49"/>
      <c r="O520" s="44" t="str">
        <f>IF(M53=1,"","Lead apron available")</f>
        <v>Lead apron available</v>
      </c>
      <c r="P520" s="49"/>
      <c r="Q520" s="48" t="str">
        <f>IF(M53=1,"","Number:")</f>
        <v>Number:</v>
      </c>
      <c r="R520" s="760">
        <f>IF(V519&lt;&gt;"",V519,AB241)</f>
        <v>0</v>
      </c>
      <c r="S520" s="44" t="str">
        <f>IF(M53=1,"","Half")</f>
        <v>Half</v>
      </c>
      <c r="T520" s="760">
        <f>IF(V520&lt;&gt;"",V520,AB242)</f>
        <v>0</v>
      </c>
      <c r="U520" s="44" t="str">
        <f>IF(M53=1,"","Full     ")</f>
        <v xml:space="preserve">Full     </v>
      </c>
      <c r="V520" s="697"/>
      <c r="W520" s="66" t="str">
        <f>IF(O53=1,"","Full     ")</f>
        <v xml:space="preserve">Full     </v>
      </c>
      <c r="X520" s="668" t="s">
        <v>336</v>
      </c>
      <c r="Z520" s="329"/>
      <c r="AC520"/>
      <c r="AD520"/>
      <c r="AE520"/>
    </row>
    <row r="521" spans="1:36" ht="11.25" customHeight="1" thickBot="1">
      <c r="A521" s="604">
        <v>59</v>
      </c>
      <c r="B521" s="145"/>
      <c r="C521" s="69"/>
      <c r="D521" s="69"/>
      <c r="E521" s="69"/>
      <c r="F521" s="69"/>
      <c r="G521" s="69"/>
      <c r="H521" s="69"/>
      <c r="I521" s="69"/>
      <c r="J521" s="69"/>
      <c r="K521" s="70"/>
      <c r="L521" s="682" t="s">
        <v>336</v>
      </c>
      <c r="M521" s="610">
        <v>3</v>
      </c>
      <c r="N521" s="49"/>
      <c r="O521" s="44" t="str">
        <f>IF(M53=1,"","Lead gloves available.")</f>
        <v>Lead gloves available.</v>
      </c>
      <c r="P521" s="49"/>
      <c r="Q521" s="48" t="str">
        <f>IF(M53=1,"","Number:")</f>
        <v>Number:</v>
      </c>
      <c r="R521" s="760">
        <f>IF(V521&lt;&gt;"",V521,AB243)</f>
        <v>0</v>
      </c>
      <c r="S521" s="44" t="str">
        <f>IF(M53=1,"","(Left + Right)")</f>
        <v>(Left + Right)</v>
      </c>
      <c r="T521" s="49"/>
      <c r="U521" s="44"/>
      <c r="V521" s="697"/>
      <c r="W521" s="66" t="str">
        <f>IF(Q53=1,"","(Left + Right)")</f>
        <v>(Left + Right)</v>
      </c>
      <c r="X521" s="668" t="s">
        <v>336</v>
      </c>
      <c r="Z521" s="329"/>
      <c r="AC521"/>
      <c r="AD521"/>
      <c r="AE521"/>
    </row>
    <row r="522" spans="1:36" ht="11.25" customHeight="1" thickTop="1">
      <c r="A522" s="604">
        <v>60</v>
      </c>
      <c r="L522" s="682" t="s">
        <v>336</v>
      </c>
      <c r="M522" s="610">
        <v>3</v>
      </c>
      <c r="N522" s="97"/>
      <c r="O522" s="44" t="str">
        <f>IF(M53=1,"","A properly designed and installed apron rack is present.")</f>
        <v>A properly designed and installed apron rack is present.</v>
      </c>
      <c r="P522" s="97"/>
      <c r="Q522" s="97"/>
      <c r="R522" s="97"/>
      <c r="S522" s="97"/>
      <c r="T522" s="97"/>
      <c r="U522" s="97"/>
      <c r="V522" s="97"/>
      <c r="W522" s="82"/>
      <c r="X522" s="668" t="s">
        <v>336</v>
      </c>
      <c r="AC522"/>
      <c r="AD522"/>
      <c r="AE522"/>
    </row>
    <row r="523" spans="1:36" ht="11.25" customHeight="1">
      <c r="A523" s="604">
        <v>61</v>
      </c>
      <c r="L523" s="682" t="s">
        <v>336</v>
      </c>
      <c r="M523" s="610">
        <v>3</v>
      </c>
      <c r="N523" s="49"/>
      <c r="O523" s="44" t="str">
        <f>IF(M53=1,"","Documentation of annual protective apparel integrity inspection is available.")</f>
        <v>Documentation of annual protective apparel integrity inspection is available.</v>
      </c>
      <c r="P523" s="49"/>
      <c r="Q523" s="49"/>
      <c r="R523" s="49"/>
      <c r="S523" s="49"/>
      <c r="T523" s="49"/>
      <c r="U523" s="49"/>
      <c r="V523" s="49"/>
      <c r="W523" s="67"/>
      <c r="X523" s="668" t="s">
        <v>336</v>
      </c>
      <c r="AC523"/>
      <c r="AD523"/>
      <c r="AE523"/>
    </row>
    <row r="524" spans="1:36" ht="11.25" customHeight="1">
      <c r="A524" s="604">
        <v>62</v>
      </c>
      <c r="B524" s="124"/>
      <c r="C524" s="124"/>
      <c r="D524" s="124"/>
      <c r="E524" s="124"/>
      <c r="F524" s="124"/>
      <c r="G524" s="124"/>
      <c r="H524" s="124"/>
      <c r="I524" s="124"/>
      <c r="J524" s="124"/>
      <c r="K524" s="124"/>
      <c r="L524" s="682" t="s">
        <v>336</v>
      </c>
      <c r="M524" s="610"/>
      <c r="N524" s="49"/>
      <c r="O524" s="104" t="str">
        <f>IF(M53=1,"","Patient restraint devices available.")</f>
        <v>Patient restraint devices available.</v>
      </c>
      <c r="P524" s="49"/>
      <c r="Q524" s="105"/>
      <c r="R524" s="246"/>
      <c r="S524" s="243"/>
      <c r="T524" s="49"/>
      <c r="U524" s="49"/>
      <c r="V524" s="42"/>
      <c r="W524" s="65"/>
      <c r="X524" s="668" t="s">
        <v>336</v>
      </c>
      <c r="AC524"/>
      <c r="AD524"/>
      <c r="AE524"/>
    </row>
    <row r="525" spans="1:36" ht="11.25" customHeight="1">
      <c r="A525" s="604">
        <v>63</v>
      </c>
      <c r="B525" s="124"/>
      <c r="C525" s="124"/>
      <c r="D525" s="124"/>
      <c r="E525" s="124"/>
      <c r="F525" s="124"/>
      <c r="G525" s="124"/>
      <c r="H525" s="124"/>
      <c r="I525" s="124"/>
      <c r="J525" s="124"/>
      <c r="K525" s="124"/>
      <c r="L525" s="682" t="s">
        <v>336</v>
      </c>
      <c r="M525" s="610">
        <v>3</v>
      </c>
      <c r="N525" s="44"/>
      <c r="O525" s="104" t="str">
        <f>IF(M53=1,"","Gonadal shielding is present and functional.")</f>
        <v>Gonadal shielding is present and functional.</v>
      </c>
      <c r="P525" s="105"/>
      <c r="Q525" s="105"/>
      <c r="R525" s="105"/>
      <c r="S525" s="105"/>
      <c r="T525" s="105"/>
      <c r="U525" s="42"/>
      <c r="V525" s="42"/>
      <c r="W525" s="65"/>
      <c r="X525" s="668" t="s">
        <v>336</v>
      </c>
      <c r="AC525"/>
      <c r="AD525"/>
      <c r="AE525"/>
    </row>
    <row r="526" spans="1:36" ht="11.25" customHeight="1">
      <c r="A526" s="604">
        <v>64</v>
      </c>
      <c r="B526" s="124"/>
      <c r="C526" s="124"/>
      <c r="D526" s="124"/>
      <c r="E526" s="124"/>
      <c r="F526" s="124"/>
      <c r="G526" s="124"/>
      <c r="H526" s="124"/>
      <c r="I526" s="124"/>
      <c r="J526" s="124"/>
      <c r="K526" s="124"/>
      <c r="L526" s="682" t="s">
        <v>336</v>
      </c>
      <c r="M526" s="610">
        <v>3</v>
      </c>
      <c r="N526" s="44"/>
      <c r="O526" s="104" t="s">
        <v>386</v>
      </c>
      <c r="P526" s="105"/>
      <c r="Q526" s="105"/>
      <c r="R526" s="105"/>
      <c r="S526" s="105"/>
      <c r="T526" s="105"/>
      <c r="U526" s="42"/>
      <c r="V526" s="42"/>
      <c r="W526" s="65"/>
      <c r="X526" s="668" t="s">
        <v>336</v>
      </c>
      <c r="AC526"/>
      <c r="AD526"/>
      <c r="AE526"/>
    </row>
    <row r="527" spans="1:36" ht="11.25" customHeight="1">
      <c r="A527" s="604">
        <v>65</v>
      </c>
      <c r="B527" s="46" t="str">
        <f t="array" ref="B527:C528">$B$65:$C$66</f>
        <v>Date:</v>
      </c>
      <c r="C527" s="1072" t="str">
        <v/>
      </c>
      <c r="D527" s="51"/>
      <c r="E527" s="164"/>
      <c r="F527" s="164"/>
      <c r="G527" s="164"/>
      <c r="H527" s="164"/>
      <c r="I527" s="514" t="str">
        <f t="array" ref="I527:J528">$I$65:$J$66</f>
        <v>Inspector:</v>
      </c>
      <c r="J527" s="401" t="str">
        <v>Eugene Mah</v>
      </c>
      <c r="L527" s="682" t="s">
        <v>336</v>
      </c>
      <c r="M527" s="198"/>
      <c r="T527" s="49"/>
      <c r="U527" s="49"/>
      <c r="V527" s="49"/>
      <c r="W527" s="67"/>
      <c r="X527" s="668" t="s">
        <v>336</v>
      </c>
      <c r="AC527"/>
      <c r="AD527"/>
      <c r="AE527"/>
    </row>
    <row r="528" spans="1:36" ht="11.25" customHeight="1">
      <c r="A528" s="604">
        <v>66</v>
      </c>
      <c r="B528" s="46" t="str">
        <v>Room Number:</v>
      </c>
      <c r="C528" s="363" t="str">
        <v/>
      </c>
      <c r="D528" s="105"/>
      <c r="E528" s="164"/>
      <c r="F528" s="164"/>
      <c r="G528" s="164"/>
      <c r="H528" s="164"/>
      <c r="I528" s="514" t="str">
        <v>Survey ID:</v>
      </c>
      <c r="J528" s="912" t="str">
        <v/>
      </c>
      <c r="L528" s="682" t="s">
        <v>336</v>
      </c>
      <c r="M528" s="198"/>
      <c r="N528" s="49"/>
      <c r="O528" s="49"/>
      <c r="P528" s="49"/>
      <c r="Q528" s="103" t="s">
        <v>393</v>
      </c>
      <c r="R528" s="49"/>
      <c r="S528" s="49"/>
      <c r="T528" s="105"/>
      <c r="U528" s="42"/>
      <c r="V528" s="42"/>
      <c r="W528" s="65"/>
      <c r="X528" s="668" t="s">
        <v>336</v>
      </c>
      <c r="AC528"/>
      <c r="AD528"/>
      <c r="AE528"/>
    </row>
    <row r="529" spans="1:31" ht="11.25" customHeight="1">
      <c r="A529" s="604">
        <v>1</v>
      </c>
      <c r="B529" s="49"/>
      <c r="C529" s="49"/>
      <c r="D529" s="49"/>
      <c r="E529" s="49"/>
      <c r="G529" s="49"/>
      <c r="H529" s="49"/>
      <c r="I529" s="49"/>
      <c r="J529" s="49"/>
      <c r="K529" s="142" t="str">
        <f>$F$2</f>
        <v>Medical University of South Carolina</v>
      </c>
      <c r="L529" s="682" t="s">
        <v>336</v>
      </c>
      <c r="M529" s="610">
        <v>1</v>
      </c>
      <c r="N529" s="44"/>
      <c r="O529" s="104" t="s">
        <v>395</v>
      </c>
      <c r="P529" s="105"/>
      <c r="Q529" s="105"/>
      <c r="R529" s="105"/>
      <c r="S529" s="105"/>
      <c r="T529" s="105"/>
      <c r="U529" s="42"/>
      <c r="V529" s="42"/>
      <c r="W529" s="65"/>
      <c r="X529" s="668" t="s">
        <v>336</v>
      </c>
      <c r="AC529"/>
      <c r="AD529"/>
      <c r="AE529"/>
    </row>
    <row r="530" spans="1:31" ht="11.25" customHeight="1">
      <c r="A530" s="604">
        <v>2</v>
      </c>
      <c r="F530" s="252" t="str">
        <f>$F$332</f>
        <v>Measurement Data</v>
      </c>
      <c r="K530" s="143" t="str">
        <f>$F$5</f>
        <v>Radiation Oncology IGRT Compliance Inspection</v>
      </c>
      <c r="L530" s="682" t="s">
        <v>336</v>
      </c>
      <c r="M530" s="610">
        <v>1</v>
      </c>
      <c r="N530" s="44"/>
      <c r="O530" s="104" t="s">
        <v>397</v>
      </c>
      <c r="P530" s="105"/>
      <c r="Q530" s="105"/>
      <c r="R530" s="105"/>
      <c r="S530" s="105"/>
      <c r="T530" s="105"/>
      <c r="U530" s="42"/>
      <c r="V530" s="42"/>
      <c r="W530" s="65"/>
      <c r="X530" s="668" t="s">
        <v>336</v>
      </c>
      <c r="AC530"/>
      <c r="AD530"/>
      <c r="AE530"/>
    </row>
    <row r="531" spans="1:31" ht="11.25" customHeight="1" thickBot="1">
      <c r="A531" s="604">
        <v>3</v>
      </c>
      <c r="L531" s="682" t="s">
        <v>336</v>
      </c>
      <c r="M531" s="610">
        <v>1</v>
      </c>
      <c r="N531" s="44"/>
      <c r="O531" s="104" t="s">
        <v>398</v>
      </c>
      <c r="P531" s="105"/>
      <c r="Q531" s="105"/>
      <c r="R531" s="105"/>
      <c r="S531" s="105"/>
      <c r="T531" s="44"/>
      <c r="U531" s="44"/>
      <c r="V531" s="44"/>
      <c r="W531" s="66"/>
      <c r="X531" s="668" t="s">
        <v>336</v>
      </c>
      <c r="AC531"/>
      <c r="AD531"/>
      <c r="AE531"/>
    </row>
    <row r="532" spans="1:31" ht="11.25" customHeight="1" thickTop="1">
      <c r="A532" s="604">
        <v>4</v>
      </c>
      <c r="B532" s="75"/>
      <c r="C532" s="58"/>
      <c r="D532" s="58"/>
      <c r="E532" s="58"/>
      <c r="F532" s="58"/>
      <c r="G532" s="58"/>
      <c r="H532" s="58"/>
      <c r="I532" s="58"/>
      <c r="J532" s="58"/>
      <c r="K532" s="76"/>
      <c r="L532" s="682" t="s">
        <v>336</v>
      </c>
      <c r="M532" s="610">
        <v>1</v>
      </c>
      <c r="N532" s="44"/>
      <c r="O532" s="44" t="s">
        <v>400</v>
      </c>
      <c r="P532" s="44"/>
      <c r="Q532" s="44"/>
      <c r="R532" s="44"/>
      <c r="S532" s="44"/>
      <c r="T532" s="44"/>
      <c r="U532" s="44"/>
      <c r="V532" s="44"/>
      <c r="W532" s="66"/>
      <c r="X532" s="668" t="s">
        <v>336</v>
      </c>
      <c r="AC532"/>
      <c r="AD532"/>
      <c r="AE532"/>
    </row>
    <row r="533" spans="1:31" ht="11.25" customHeight="1">
      <c r="A533" s="604">
        <v>5</v>
      </c>
      <c r="B533" s="136"/>
      <c r="C533" s="48" t="s">
        <v>47</v>
      </c>
      <c r="D533" s="55" t="str">
        <f>IF($O$227="","",$O$227)</f>
        <v>Piranha CB2-17090320</v>
      </c>
      <c r="E533" s="41"/>
      <c r="F533" s="41"/>
      <c r="G533" s="49"/>
      <c r="H533" s="49"/>
      <c r="I533" s="49"/>
      <c r="J533" s="49"/>
      <c r="K533" s="67"/>
      <c r="L533" s="682" t="s">
        <v>336</v>
      </c>
      <c r="M533" s="610">
        <v>1</v>
      </c>
      <c r="N533" s="44"/>
      <c r="O533" s="44" t="s">
        <v>403</v>
      </c>
      <c r="P533" s="44"/>
      <c r="Q533" s="44"/>
      <c r="R533" s="44"/>
      <c r="S533" s="44"/>
      <c r="T533" s="105"/>
      <c r="U533" s="42"/>
      <c r="V533" s="42"/>
      <c r="W533" s="65"/>
      <c r="X533" s="668" t="s">
        <v>336</v>
      </c>
      <c r="AC533"/>
      <c r="AD533"/>
      <c r="AE533"/>
    </row>
    <row r="534" spans="1:31" ht="11.25" customHeight="1">
      <c r="A534" s="604">
        <v>6</v>
      </c>
      <c r="B534" s="136"/>
      <c r="C534" s="49"/>
      <c r="D534" s="49"/>
      <c r="E534" s="49"/>
      <c r="F534" s="49"/>
      <c r="G534" s="49"/>
      <c r="H534" s="49"/>
      <c r="I534" s="49"/>
      <c r="J534" s="49"/>
      <c r="K534" s="67"/>
      <c r="L534" s="682" t="s">
        <v>336</v>
      </c>
      <c r="M534" s="610">
        <v>1</v>
      </c>
      <c r="N534" s="44"/>
      <c r="O534" s="104" t="s">
        <v>404</v>
      </c>
      <c r="P534" s="105"/>
      <c r="Q534" s="105"/>
      <c r="R534" s="105"/>
      <c r="S534" s="105"/>
      <c r="T534" s="49"/>
      <c r="U534" s="49"/>
      <c r="V534" s="49"/>
      <c r="W534" s="67"/>
      <c r="X534" s="668" t="s">
        <v>336</v>
      </c>
      <c r="AC534"/>
      <c r="AD534"/>
      <c r="AE534"/>
    </row>
    <row r="535" spans="1:31" ht="11.25" customHeight="1" thickBot="1">
      <c r="A535" s="604">
        <v>9</v>
      </c>
      <c r="B535" s="136"/>
      <c r="C535" s="47"/>
      <c r="D535" s="49"/>
      <c r="E535" s="49"/>
      <c r="F535" s="49"/>
      <c r="G535" s="49"/>
      <c r="H535" s="49"/>
      <c r="I535" s="49"/>
      <c r="J535" s="49"/>
      <c r="K535" s="67"/>
      <c r="L535" s="682" t="s">
        <v>336</v>
      </c>
      <c r="M535" s="1088"/>
      <c r="N535" s="287"/>
      <c r="O535" s="1089" t="str">
        <f>IF(OR(M52="",M52=1),"Unit installed as shown on shielding plan","")</f>
        <v/>
      </c>
      <c r="P535" s="287"/>
      <c r="Q535" s="287"/>
      <c r="R535" s="287"/>
      <c r="S535" s="287"/>
      <c r="T535" s="287"/>
      <c r="U535" s="287"/>
      <c r="V535" s="287"/>
      <c r="W535" s="288"/>
      <c r="X535" s="668" t="s">
        <v>336</v>
      </c>
      <c r="AC535"/>
      <c r="AD535"/>
      <c r="AE535"/>
    </row>
    <row r="536" spans="1:31" ht="11.25" customHeight="1" thickTop="1">
      <c r="A536" s="604">
        <v>8</v>
      </c>
      <c r="B536" s="342" t="s">
        <v>452</v>
      </c>
      <c r="C536" s="49"/>
      <c r="D536" s="49"/>
      <c r="E536" s="48" t="s">
        <v>430</v>
      </c>
      <c r="F536" s="207">
        <f>IF(Q388="","",Q388)</f>
        <v>80</v>
      </c>
      <c r="G536" s="48" t="s">
        <v>168</v>
      </c>
      <c r="H536" s="41" t="str">
        <f>IF(P388="","",P388)</f>
        <v>70-120/Low</v>
      </c>
      <c r="I536" s="49"/>
      <c r="J536" s="42"/>
      <c r="K536" s="65"/>
      <c r="L536" s="682" t="s">
        <v>336</v>
      </c>
      <c r="M536" s="75"/>
      <c r="N536" s="58"/>
      <c r="O536" s="58"/>
      <c r="P536" s="58"/>
      <c r="Q536" s="58"/>
      <c r="R536" s="58"/>
      <c r="S536" s="58"/>
      <c r="T536" s="58"/>
      <c r="U536" s="58"/>
      <c r="V536" s="58"/>
      <c r="W536" s="76"/>
      <c r="X536" s="668" t="s">
        <v>336</v>
      </c>
      <c r="AB536" s="795"/>
      <c r="AD536" s="795"/>
    </row>
    <row r="537" spans="1:31" ht="11.25" customHeight="1">
      <c r="A537" s="604">
        <v>9</v>
      </c>
      <c r="B537" s="129"/>
      <c r="C537" s="42"/>
      <c r="D537" s="42"/>
      <c r="E537" s="48" t="s">
        <v>99</v>
      </c>
      <c r="F537" s="41">
        <f>IF(N388="","",N388)</f>
        <v>100</v>
      </c>
      <c r="G537" s="44" t="str">
        <f>LFSDD</f>
        <v>cm</v>
      </c>
      <c r="H537" s="42"/>
      <c r="I537" s="42"/>
      <c r="J537" s="42" t="s">
        <v>169</v>
      </c>
      <c r="K537" s="65"/>
      <c r="L537" s="682" t="s">
        <v>336</v>
      </c>
      <c r="M537" s="1181" t="s">
        <v>740</v>
      </c>
      <c r="N537" s="49"/>
      <c r="O537" s="49"/>
      <c r="P537" s="49"/>
      <c r="Q537" s="49"/>
      <c r="R537" s="49"/>
      <c r="S537" s="49"/>
      <c r="T537" s="49"/>
      <c r="U537" s="49"/>
      <c r="V537" s="49"/>
      <c r="W537" s="67"/>
      <c r="X537" s="668" t="s">
        <v>336</v>
      </c>
    </row>
    <row r="538" spans="1:31" ht="11.25" customHeight="1" thickBot="1">
      <c r="A538" s="604">
        <v>10</v>
      </c>
      <c r="B538" s="129" t="s">
        <v>82</v>
      </c>
      <c r="C538" s="125"/>
      <c r="D538" s="130" t="s">
        <v>87</v>
      </c>
      <c r="E538" s="129"/>
      <c r="F538" s="44" t="s">
        <v>88</v>
      </c>
      <c r="G538" s="42"/>
      <c r="H538" s="42"/>
      <c r="I538" s="42" t="s">
        <v>653</v>
      </c>
      <c r="J538" s="125" t="s">
        <v>170</v>
      </c>
      <c r="K538" s="65"/>
      <c r="L538" s="682" t="s">
        <v>336</v>
      </c>
      <c r="M538" s="136"/>
      <c r="N538" s="49"/>
      <c r="O538" s="49"/>
      <c r="P538" s="49"/>
      <c r="Q538" s="49"/>
      <c r="R538" s="49"/>
      <c r="S538" s="49"/>
      <c r="T538" s="49"/>
      <c r="U538" s="49"/>
      <c r="V538" s="49"/>
      <c r="W538" s="67"/>
      <c r="X538" s="668" t="s">
        <v>336</v>
      </c>
    </row>
    <row r="539" spans="1:31" ht="11.25" customHeight="1" thickBot="1">
      <c r="A539" s="604">
        <v>11</v>
      </c>
      <c r="B539" s="212" t="s">
        <v>89</v>
      </c>
      <c r="C539" s="161" t="str">
        <f>IF(LFMAS="","mA/mAs",LFMAS)</f>
        <v>mAs</v>
      </c>
      <c r="D539" s="219" t="s">
        <v>92</v>
      </c>
      <c r="E539" s="212" t="s">
        <v>93</v>
      </c>
      <c r="F539" s="152" t="s">
        <v>94</v>
      </c>
      <c r="G539" s="152" t="s">
        <v>92</v>
      </c>
      <c r="H539" s="152" t="s">
        <v>652</v>
      </c>
      <c r="I539" s="228" t="s">
        <v>171</v>
      </c>
      <c r="J539" s="151" t="s">
        <v>64</v>
      </c>
      <c r="K539" s="278" t="s">
        <v>444</v>
      </c>
      <c r="L539" s="682" t="s">
        <v>336</v>
      </c>
      <c r="M539" s="290" t="s">
        <v>725</v>
      </c>
      <c r="N539" s="49"/>
      <c r="O539" s="49"/>
      <c r="P539" s="49"/>
      <c r="Q539" s="49"/>
      <c r="R539" s="1179" t="s">
        <v>774</v>
      </c>
      <c r="S539" s="49"/>
      <c r="T539" s="49"/>
      <c r="U539" s="49"/>
      <c r="V539" s="49"/>
      <c r="W539" s="67"/>
      <c r="X539" s="668" t="s">
        <v>336</v>
      </c>
    </row>
    <row r="540" spans="1:31" ht="11.25" customHeight="1">
      <c r="A540" s="604">
        <v>12</v>
      </c>
      <c r="B540" s="279" t="s">
        <v>172</v>
      </c>
      <c r="C540" s="229">
        <f t="shared" ref="C540:H544" si="104">IF(R388="","",R388)</f>
        <v>20</v>
      </c>
      <c r="D540" s="230" t="str">
        <f t="shared" si="104"/>
        <v/>
      </c>
      <c r="E540" s="231" t="str">
        <f t="shared" si="104"/>
        <v/>
      </c>
      <c r="F540" s="232" t="str">
        <f t="shared" si="104"/>
        <v/>
      </c>
      <c r="G540" s="233" t="str">
        <f t="shared" si="104"/>
        <v/>
      </c>
      <c r="H540" s="232" t="str">
        <f t="shared" si="104"/>
        <v/>
      </c>
      <c r="I540" s="1005" t="str">
        <f>IF(OR(H540="",AND(LFMAS="",SFMAS=""),AND($C$539="mA",D540="")),"",IF($C$539="mAs",H540/C540,H540/(C540*D540)))</f>
        <v/>
      </c>
      <c r="J540" s="125"/>
      <c r="K540" s="280" t="s">
        <v>173</v>
      </c>
      <c r="L540" s="682" t="s">
        <v>336</v>
      </c>
      <c r="M540" s="136"/>
      <c r="N540" s="49"/>
      <c r="O540" s="49"/>
      <c r="P540" s="49"/>
      <c r="Q540" s="49"/>
      <c r="R540" s="49"/>
      <c r="S540" s="49"/>
      <c r="T540" s="1258" t="s">
        <v>782</v>
      </c>
      <c r="U540" s="49"/>
      <c r="V540" s="49"/>
      <c r="W540" s="67"/>
      <c r="X540" s="668" t="s">
        <v>336</v>
      </c>
    </row>
    <row r="541" spans="1:31" ht="11.25" customHeight="1" thickBot="1">
      <c r="A541" s="604">
        <v>13</v>
      </c>
      <c r="B541" s="212" t="s">
        <v>172</v>
      </c>
      <c r="C541" s="234">
        <f t="shared" si="104"/>
        <v>25</v>
      </c>
      <c r="D541" s="235" t="str">
        <f t="shared" si="104"/>
        <v/>
      </c>
      <c r="E541" s="236" t="str">
        <f t="shared" si="104"/>
        <v/>
      </c>
      <c r="F541" s="237" t="str">
        <f t="shared" si="104"/>
        <v/>
      </c>
      <c r="G541" s="238" t="str">
        <f t="shared" si="104"/>
        <v/>
      </c>
      <c r="H541" s="237" t="str">
        <f t="shared" si="104"/>
        <v/>
      </c>
      <c r="I541" s="1006" t="str">
        <f>IF(OR(H541="",AND(LFMAS="",SFMAS=""),AND($C$539="mA",D541="")),"",IF($C$539="mAs",H541/C541,H541/(C541*D541)))</f>
        <v/>
      </c>
      <c r="J541" s="150" t="str">
        <f>IF(OR(I540="",I541=""),"",(MAX(I540:I541)-MIN(I540:I541))/(MAX(I540:I541)+MIN(I540:I541)))</f>
        <v/>
      </c>
      <c r="K541" s="281" t="str">
        <f>IF(J541="","TBD",IF(J541&gt;0.1,"NO","YES"))</f>
        <v>TBD</v>
      </c>
      <c r="L541" s="682" t="s">
        <v>336</v>
      </c>
      <c r="M541" s="62" t="s">
        <v>726</v>
      </c>
      <c r="N541" s="97" t="s">
        <v>91</v>
      </c>
      <c r="O541" s="97" t="s">
        <v>426</v>
      </c>
      <c r="Q541" s="49"/>
      <c r="R541" s="49"/>
      <c r="S541" s="97" t="s">
        <v>783</v>
      </c>
      <c r="T541" s="1259"/>
      <c r="U541" s="49"/>
      <c r="V541" s="49"/>
      <c r="W541" s="67"/>
      <c r="X541" s="668" t="s">
        <v>336</v>
      </c>
    </row>
    <row r="542" spans="1:31" ht="11.25" customHeight="1">
      <c r="A542" s="604">
        <v>14</v>
      </c>
      <c r="B542" s="111" t="s">
        <v>174</v>
      </c>
      <c r="C542" s="229">
        <f t="shared" si="104"/>
        <v>2.5</v>
      </c>
      <c r="D542" s="230" t="str">
        <f t="shared" si="104"/>
        <v/>
      </c>
      <c r="E542" s="231" t="str">
        <f t="shared" si="104"/>
        <v/>
      </c>
      <c r="F542" s="232" t="str">
        <f t="shared" si="104"/>
        <v/>
      </c>
      <c r="G542" s="233" t="str">
        <f t="shared" si="104"/>
        <v/>
      </c>
      <c r="H542" s="232" t="str">
        <f t="shared" si="104"/>
        <v/>
      </c>
      <c r="I542" s="1005" t="str">
        <f>IF(OR(H542="",AND(LFMAS="",SFMAS=""),AND($C$539="mA",D542="")),"",IF($C$539="mAs",H542/C542,H542/(C542*D542)))</f>
        <v/>
      </c>
      <c r="J542" s="125"/>
      <c r="K542" s="282"/>
      <c r="L542" s="682" t="s">
        <v>336</v>
      </c>
      <c r="M542" s="136"/>
      <c r="N542" s="1145">
        <f>IF(N543&lt;&gt;"",N543,IF(OR(AB254=0,AB254=""),"",AB254))</f>
        <v>70</v>
      </c>
      <c r="O542" s="1145" t="str">
        <f>IF(O543&lt;&gt;"",O543,IF(OR(AB255=0,AB255=""),"",AB255))</f>
        <v/>
      </c>
      <c r="Q542" s="49"/>
      <c r="R542" s="48" t="s">
        <v>775</v>
      </c>
      <c r="S542" s="1167"/>
      <c r="T542" s="1238" t="str">
        <f>IF(OR(S542="",$S$547=""),"",ABS(S542-$S$547)/$S$547)</f>
        <v/>
      </c>
      <c r="U542" s="49"/>
      <c r="V542" s="49"/>
      <c r="W542" s="67"/>
      <c r="X542" s="668" t="s">
        <v>336</v>
      </c>
    </row>
    <row r="543" spans="1:31" ht="11.25" customHeight="1">
      <c r="A543" s="604">
        <v>15</v>
      </c>
      <c r="B543" s="111" t="s">
        <v>174</v>
      </c>
      <c r="C543" s="229">
        <f t="shared" si="104"/>
        <v>40</v>
      </c>
      <c r="D543" s="230" t="str">
        <f t="shared" si="104"/>
        <v/>
      </c>
      <c r="E543" s="231" t="str">
        <f t="shared" si="104"/>
        <v/>
      </c>
      <c r="F543" s="232" t="str">
        <f t="shared" si="104"/>
        <v/>
      </c>
      <c r="G543" s="233" t="str">
        <f t="shared" si="104"/>
        <v/>
      </c>
      <c r="H543" s="232" t="str">
        <f t="shared" si="104"/>
        <v/>
      </c>
      <c r="I543" s="1005" t="str">
        <f>IF(OR(H543="",AND(LFMAS="",SFMAS=""),AND($C$539="mA",D543="")),"",IF($C$539="mAs",H543/C543,H543/(C543*D543)))</f>
        <v/>
      </c>
      <c r="J543" s="125"/>
      <c r="K543" s="280" t="s">
        <v>174</v>
      </c>
      <c r="L543" s="682" t="s">
        <v>336</v>
      </c>
      <c r="M543" s="136"/>
      <c r="N543" s="1146">
        <v>70</v>
      </c>
      <c r="O543" s="1146"/>
      <c r="Q543" s="49"/>
      <c r="R543" s="48" t="s">
        <v>776</v>
      </c>
      <c r="S543" s="1167"/>
      <c r="T543" s="1238" t="str">
        <f t="shared" ref="T543:T546" si="105">IF(OR(S543="",$S$547=""),"",ABS(S543-$S$547)/$S$547)</f>
        <v/>
      </c>
      <c r="U543" s="49"/>
      <c r="V543" s="49"/>
      <c r="W543" s="67"/>
      <c r="X543" s="668" t="s">
        <v>336</v>
      </c>
    </row>
    <row r="544" spans="1:31" ht="11.25" customHeight="1" thickBot="1">
      <c r="A544" s="604">
        <v>16</v>
      </c>
      <c r="B544" s="212" t="s">
        <v>174</v>
      </c>
      <c r="C544" s="234">
        <f t="shared" si="104"/>
        <v>12.5</v>
      </c>
      <c r="D544" s="235" t="str">
        <f t="shared" si="104"/>
        <v/>
      </c>
      <c r="E544" s="236" t="str">
        <f t="shared" si="104"/>
        <v/>
      </c>
      <c r="F544" s="237" t="str">
        <f t="shared" si="104"/>
        <v/>
      </c>
      <c r="G544" s="238" t="str">
        <f t="shared" si="104"/>
        <v/>
      </c>
      <c r="H544" s="237" t="str">
        <f t="shared" si="104"/>
        <v/>
      </c>
      <c r="I544" s="1006" t="str">
        <f>IF(OR(H544="",AND(LFMAS="",SFMAS=""),AND($C$539="mA",D544="")),"",IF($C$539="mAs",H544/C544,H544/(C544*D544)))</f>
        <v/>
      </c>
      <c r="J544" s="150" t="str">
        <f>IF(OR(I540="",I542=""),"",(MAX(I540:I544)-MIN(I540:I544))/(MAX(I540:I544)+MIN(I540:I544)))</f>
        <v/>
      </c>
      <c r="K544" s="281" t="str">
        <f>IF(J544="","TBD",IF(J544&gt;0.1,"NO","YES"))</f>
        <v>TBD</v>
      </c>
      <c r="L544" s="682" t="s">
        <v>336</v>
      </c>
      <c r="M544" s="136"/>
      <c r="N544" s="49"/>
      <c r="O544" s="49"/>
      <c r="Q544" s="49"/>
      <c r="R544" s="48" t="s">
        <v>777</v>
      </c>
      <c r="S544" s="1167"/>
      <c r="T544" s="1238" t="str">
        <f t="shared" si="105"/>
        <v/>
      </c>
      <c r="U544" s="49"/>
      <c r="V544" s="49"/>
      <c r="W544" s="67"/>
      <c r="X544" s="668" t="s">
        <v>336</v>
      </c>
    </row>
    <row r="545" spans="1:24" ht="11.25" customHeight="1">
      <c r="A545" s="604">
        <v>17</v>
      </c>
      <c r="B545" s="107" t="s">
        <v>175</v>
      </c>
      <c r="C545" s="42"/>
      <c r="D545" s="42"/>
      <c r="E545" s="42"/>
      <c r="F545" s="42"/>
      <c r="G545" s="42"/>
      <c r="H545" s="42"/>
      <c r="I545" s="48"/>
      <c r="J545" s="42"/>
      <c r="K545" s="65"/>
      <c r="L545" s="682" t="s">
        <v>336</v>
      </c>
      <c r="M545" s="62" t="s">
        <v>727</v>
      </c>
      <c r="N545" s="97" t="s">
        <v>739</v>
      </c>
      <c r="O545" s="97" t="s">
        <v>457</v>
      </c>
      <c r="Q545" s="49"/>
      <c r="R545" s="48" t="s">
        <v>778</v>
      </c>
      <c r="S545" s="1167"/>
      <c r="T545" s="1238" t="str">
        <f t="shared" si="105"/>
        <v/>
      </c>
      <c r="U545" s="49"/>
      <c r="V545" s="49"/>
      <c r="W545" s="67"/>
      <c r="X545" s="668" t="s">
        <v>336</v>
      </c>
    </row>
    <row r="546" spans="1:24" ht="11.25" customHeight="1">
      <c r="A546" s="604">
        <v>18</v>
      </c>
      <c r="B546" s="129"/>
      <c r="C546" s="42"/>
      <c r="D546" s="42"/>
      <c r="E546" s="42"/>
      <c r="F546" s="42"/>
      <c r="G546" s="42"/>
      <c r="H546" s="42"/>
      <c r="I546" s="42"/>
      <c r="J546" s="42"/>
      <c r="K546" s="65"/>
      <c r="L546" s="682" t="s">
        <v>336</v>
      </c>
      <c r="M546" s="1237" t="s">
        <v>728</v>
      </c>
      <c r="N546" s="1234"/>
      <c r="O546" s="1148" t="str">
        <f>IF(AB256="","",AB256)</f>
        <v/>
      </c>
      <c r="Q546" s="49"/>
      <c r="R546" s="48" t="s">
        <v>779</v>
      </c>
      <c r="S546" s="1167"/>
      <c r="T546" s="1238" t="str">
        <f t="shared" si="105"/>
        <v/>
      </c>
      <c r="U546" s="49"/>
      <c r="V546" s="49"/>
      <c r="W546" s="67"/>
      <c r="X546" s="668" t="s">
        <v>336</v>
      </c>
    </row>
    <row r="547" spans="1:24" ht="11.25" customHeight="1">
      <c r="A547" s="604">
        <v>19</v>
      </c>
      <c r="B547" s="121" t="s">
        <v>417</v>
      </c>
      <c r="C547" s="799" t="str">
        <f>IF(O395="","",IF(LEN(O395)&lt;=135,O395,IF(LEN(O395)&lt;=260,LEFT(O395,SEARCH(" ",O395,125)),LEFT(O395,SEARCH(" ",O395,130)))))</f>
        <v/>
      </c>
      <c r="D547" s="41"/>
      <c r="E547" s="41"/>
      <c r="F547" s="221"/>
      <c r="G547" s="41"/>
      <c r="H547" s="41"/>
      <c r="I547" s="41"/>
      <c r="J547" s="41"/>
      <c r="K547" s="65"/>
      <c r="L547" s="682" t="s">
        <v>336</v>
      </c>
      <c r="M547" s="1237" t="s">
        <v>729</v>
      </c>
      <c r="N547" s="1234"/>
      <c r="O547" s="1148" t="str">
        <f t="shared" ref="O547:O557" si="106">IF(AB257="","",AB257)</f>
        <v/>
      </c>
      <c r="Q547" s="49"/>
      <c r="R547" s="97" t="s">
        <v>780</v>
      </c>
      <c r="S547" s="1180" t="str">
        <f>IF(S542="","",AVERAGE(S542:S546))</f>
        <v/>
      </c>
      <c r="T547" s="49"/>
      <c r="U547" s="49"/>
      <c r="V547" s="49"/>
      <c r="W547" s="67"/>
      <c r="X547" s="668" t="s">
        <v>336</v>
      </c>
    </row>
    <row r="548" spans="1:24" ht="11.25" customHeight="1">
      <c r="A548" s="604">
        <v>20</v>
      </c>
      <c r="B548" s="129"/>
      <c r="C548" s="800" t="str">
        <f>IF(LEN(O395)&lt;=135,"",IF(LEN(O395)&lt;=260,RIGHT(O395,LEN(O395)-SEARCH(" ",O395,125)),MID(O395,SEARCH(" ",O395,130),IF(LEN(O395)&lt;=265,LEN(O395),SEARCH(" ",O395,255)-SEARCH(" ",O395,130)))))</f>
        <v/>
      </c>
      <c r="D548" s="41"/>
      <c r="E548" s="41"/>
      <c r="F548" s="221"/>
      <c r="G548" s="41"/>
      <c r="H548" s="41"/>
      <c r="I548" s="41"/>
      <c r="J548" s="41"/>
      <c r="K548" s="65"/>
      <c r="L548" s="682" t="s">
        <v>336</v>
      </c>
      <c r="M548" s="1237" t="s">
        <v>730</v>
      </c>
      <c r="N548" s="1234"/>
      <c r="O548" s="1148" t="str">
        <f t="shared" si="106"/>
        <v/>
      </c>
      <c r="Q548" s="49"/>
      <c r="R548" s="1149" t="s">
        <v>781</v>
      </c>
      <c r="S548" s="1238" t="str">
        <f>IF(T542="","",MAX(T542:T546))</f>
        <v/>
      </c>
      <c r="T548" s="49"/>
      <c r="U548" s="49"/>
      <c r="V548" s="49"/>
      <c r="W548" s="67"/>
      <c r="X548" s="668" t="s">
        <v>336</v>
      </c>
    </row>
    <row r="549" spans="1:24" ht="11.25" customHeight="1">
      <c r="A549" s="604">
        <v>21</v>
      </c>
      <c r="B549" s="129"/>
      <c r="C549" s="799" t="str">
        <f>IF(LEN(O395)&lt;=265,"",RIGHT(O395,LEN(O395)-SEARCH(" ",O395,255)))</f>
        <v/>
      </c>
      <c r="D549" s="41"/>
      <c r="E549" s="41"/>
      <c r="F549" s="221"/>
      <c r="G549" s="41"/>
      <c r="H549" s="41"/>
      <c r="I549" s="41"/>
      <c r="J549" s="41"/>
      <c r="K549" s="65"/>
      <c r="L549" s="682" t="s">
        <v>336</v>
      </c>
      <c r="M549" s="1237" t="s">
        <v>724</v>
      </c>
      <c r="N549" s="1234"/>
      <c r="O549" s="1148" t="str">
        <f t="shared" si="106"/>
        <v/>
      </c>
      <c r="Q549" s="49"/>
      <c r="R549" s="1149" t="s">
        <v>424</v>
      </c>
      <c r="S549" s="1180" t="str">
        <f>IF(S548="","",IF(ABS(S548)&lt;0.15,"YES","NO"))</f>
        <v/>
      </c>
      <c r="T549" s="49"/>
      <c r="U549" s="49"/>
      <c r="V549" s="49"/>
      <c r="W549" s="67"/>
      <c r="X549" s="668" t="s">
        <v>336</v>
      </c>
    </row>
    <row r="550" spans="1:24" ht="11.25" customHeight="1">
      <c r="A550" s="604">
        <v>22</v>
      </c>
      <c r="B550" s="129"/>
      <c r="C550" s="42"/>
      <c r="D550" s="42"/>
      <c r="E550" s="42"/>
      <c r="F550" s="42"/>
      <c r="G550" s="42"/>
      <c r="H550" s="42"/>
      <c r="I550" s="42"/>
      <c r="J550" s="42"/>
      <c r="K550" s="65"/>
      <c r="L550" s="682" t="s">
        <v>336</v>
      </c>
      <c r="M550" s="1237" t="s">
        <v>731</v>
      </c>
      <c r="N550" s="1234"/>
      <c r="O550" s="1148" t="str">
        <f t="shared" si="106"/>
        <v/>
      </c>
      <c r="Q550" s="49"/>
      <c r="R550" s="49"/>
      <c r="S550" s="49"/>
      <c r="T550" s="49"/>
      <c r="U550" s="49"/>
      <c r="V550" s="49"/>
      <c r="W550" s="67"/>
      <c r="X550" s="668" t="s">
        <v>336</v>
      </c>
    </row>
    <row r="551" spans="1:24" ht="11.25" customHeight="1">
      <c r="A551" s="604">
        <v>23</v>
      </c>
      <c r="B551" s="342" t="s">
        <v>453</v>
      </c>
      <c r="C551" s="137"/>
      <c r="D551" s="42"/>
      <c r="E551" s="48" t="s">
        <v>430</v>
      </c>
      <c r="F551" s="207">
        <f>IF(Q403="","",Q403)</f>
        <v>80</v>
      </c>
      <c r="G551" s="48" t="s">
        <v>168</v>
      </c>
      <c r="H551" s="41" t="str">
        <f>IF(P403="","",P403)</f>
        <v>70-120/Low</v>
      </c>
      <c r="I551" s="49"/>
      <c r="J551" s="42"/>
      <c r="K551" s="65"/>
      <c r="L551" s="682" t="s">
        <v>336</v>
      </c>
      <c r="M551" s="1237" t="s">
        <v>732</v>
      </c>
      <c r="N551" s="1234"/>
      <c r="O551" s="1148" t="str">
        <f t="shared" si="106"/>
        <v/>
      </c>
      <c r="Q551" s="49"/>
      <c r="R551" s="782" t="s">
        <v>425</v>
      </c>
      <c r="S551" s="49"/>
      <c r="T551" s="49"/>
      <c r="U551" s="49"/>
      <c r="V551" s="49"/>
      <c r="W551" s="67"/>
      <c r="X551" s="668" t="s">
        <v>336</v>
      </c>
    </row>
    <row r="552" spans="1:24" ht="11.25" customHeight="1">
      <c r="A552" s="604">
        <v>24</v>
      </c>
      <c r="B552" s="129"/>
      <c r="C552" s="42"/>
      <c r="D552" s="42"/>
      <c r="E552" s="48" t="s">
        <v>99</v>
      </c>
      <c r="F552" s="41">
        <f>IF(N403="","",N403)</f>
        <v>100</v>
      </c>
      <c r="G552" s="44" t="str">
        <f>SFSDD</f>
        <v>cm</v>
      </c>
      <c r="H552" s="42"/>
      <c r="I552" s="42"/>
      <c r="J552" s="42" t="s">
        <v>176</v>
      </c>
      <c r="K552" s="65"/>
      <c r="L552" s="682" t="s">
        <v>336</v>
      </c>
      <c r="M552" s="1237" t="s">
        <v>733</v>
      </c>
      <c r="N552" s="1234"/>
      <c r="O552" s="1148" t="str">
        <f t="shared" si="106"/>
        <v/>
      </c>
      <c r="Q552" s="49"/>
      <c r="R552" s="341" t="s">
        <v>984</v>
      </c>
      <c r="S552" s="49"/>
      <c r="T552" s="49"/>
      <c r="U552" s="49"/>
      <c r="V552" s="49"/>
      <c r="W552" s="67"/>
      <c r="X552" s="668" t="s">
        <v>336</v>
      </c>
    </row>
    <row r="553" spans="1:24" ht="11.25" customHeight="1" thickBot="1">
      <c r="A553" s="604">
        <v>25</v>
      </c>
      <c r="B553" s="129" t="s">
        <v>82</v>
      </c>
      <c r="C553" s="125"/>
      <c r="D553" s="130" t="s">
        <v>87</v>
      </c>
      <c r="E553" s="129"/>
      <c r="F553" s="44" t="s">
        <v>88</v>
      </c>
      <c r="G553" s="42"/>
      <c r="H553" s="42"/>
      <c r="I553" s="210" t="s">
        <v>653</v>
      </c>
      <c r="J553" s="125" t="s">
        <v>170</v>
      </c>
      <c r="K553" s="65"/>
      <c r="L553" s="682" t="s">
        <v>336</v>
      </c>
      <c r="M553" s="1237" t="s">
        <v>734</v>
      </c>
      <c r="N553" s="1234"/>
      <c r="O553" s="1148" t="str">
        <f t="shared" si="106"/>
        <v/>
      </c>
      <c r="Q553" s="49"/>
      <c r="R553" s="49"/>
      <c r="S553" s="49"/>
      <c r="T553" s="49"/>
      <c r="U553" s="49"/>
      <c r="V553" s="49"/>
      <c r="W553" s="67"/>
      <c r="X553" s="668" t="s">
        <v>336</v>
      </c>
    </row>
    <row r="554" spans="1:24" ht="11.25" customHeight="1" thickBot="1">
      <c r="A554" s="604">
        <v>26</v>
      </c>
      <c r="B554" s="212" t="s">
        <v>89</v>
      </c>
      <c r="C554" s="161" t="str">
        <f>IF(SFMAS="","mA/mAs",SFMAS)</f>
        <v>mAs</v>
      </c>
      <c r="D554" s="219" t="s">
        <v>92</v>
      </c>
      <c r="E554" s="212" t="s">
        <v>93</v>
      </c>
      <c r="F554" s="152" t="s">
        <v>94</v>
      </c>
      <c r="G554" s="152" t="s">
        <v>92</v>
      </c>
      <c r="H554" s="152" t="s">
        <v>652</v>
      </c>
      <c r="I554" s="228" t="s">
        <v>171</v>
      </c>
      <c r="J554" s="151" t="s">
        <v>64</v>
      </c>
      <c r="K554" s="1076" t="s">
        <v>444</v>
      </c>
      <c r="L554" s="682" t="s">
        <v>336</v>
      </c>
      <c r="M554" s="1237" t="s">
        <v>735</v>
      </c>
      <c r="N554" s="1234"/>
      <c r="O554" s="1148" t="str">
        <f t="shared" si="106"/>
        <v/>
      </c>
      <c r="Q554" s="49"/>
      <c r="R554" s="49"/>
      <c r="S554" s="49"/>
      <c r="T554" s="49"/>
      <c r="U554" s="49"/>
      <c r="V554" s="49"/>
      <c r="W554" s="67"/>
      <c r="X554" s="668" t="s">
        <v>336</v>
      </c>
    </row>
    <row r="555" spans="1:24" ht="11.25" customHeight="1">
      <c r="A555" s="604">
        <v>27</v>
      </c>
      <c r="B555" s="279" t="s">
        <v>172</v>
      </c>
      <c r="C555" s="229">
        <f t="shared" ref="C555:H559" si="107">IF(R403="","",R403)</f>
        <v>10</v>
      </c>
      <c r="D555" s="396" t="str">
        <f t="shared" si="107"/>
        <v/>
      </c>
      <c r="E555" s="229" t="str">
        <f t="shared" si="107"/>
        <v/>
      </c>
      <c r="F555" s="229" t="str">
        <f t="shared" si="107"/>
        <v/>
      </c>
      <c r="G555" s="396" t="str">
        <f t="shared" si="107"/>
        <v/>
      </c>
      <c r="H555" s="1010" t="str">
        <f t="shared" si="107"/>
        <v/>
      </c>
      <c r="I555" s="1005" t="str">
        <f>IF(OR(H555="",AND(LFMAS="",SFMAS=""),AND($C$554="mA",D555="")),"",IF($C$554="mAs",H555/C555,H555/(C555*D555)))</f>
        <v/>
      </c>
      <c r="J555" s="398"/>
      <c r="K555" s="283" t="s">
        <v>173</v>
      </c>
      <c r="L555" s="682" t="s">
        <v>336</v>
      </c>
      <c r="M555" s="1237" t="s">
        <v>736</v>
      </c>
      <c r="N555" s="1234"/>
      <c r="O555" s="1148" t="str">
        <f t="shared" si="106"/>
        <v/>
      </c>
      <c r="Q555" s="49"/>
      <c r="R555" s="49"/>
      <c r="S555" s="49"/>
      <c r="T555" s="49"/>
      <c r="U555" s="49"/>
      <c r="V555" s="49"/>
      <c r="W555" s="67"/>
      <c r="X555" s="668" t="s">
        <v>336</v>
      </c>
    </row>
    <row r="556" spans="1:24" ht="11.25" customHeight="1" thickBot="1">
      <c r="A556" s="604">
        <v>28</v>
      </c>
      <c r="B556" s="212" t="s">
        <v>172</v>
      </c>
      <c r="C556" s="234">
        <f t="shared" si="107"/>
        <v>11</v>
      </c>
      <c r="D556" s="397" t="str">
        <f t="shared" si="107"/>
        <v/>
      </c>
      <c r="E556" s="234" t="str">
        <f t="shared" si="107"/>
        <v/>
      </c>
      <c r="F556" s="234" t="str">
        <f t="shared" si="107"/>
        <v/>
      </c>
      <c r="G556" s="397" t="str">
        <f t="shared" si="107"/>
        <v/>
      </c>
      <c r="H556" s="1011" t="str">
        <f t="shared" si="107"/>
        <v/>
      </c>
      <c r="I556" s="1006" t="str">
        <f>IF(OR(H556="",AND(LFMAS="",SFMAS=""),AND($C$554="mA",D556="")),"",IF($C$554="mAs",H556/C556,H556/(C556*D556)))</f>
        <v/>
      </c>
      <c r="J556" s="150" t="str">
        <f>IF(OR(I555="",I556=""),"",(MAX(I555:I556)-MIN(I555:I556))/(MAX(I555:I556)+MIN(I555:I556)))</f>
        <v/>
      </c>
      <c r="K556" s="281" t="str">
        <f>IF(J556="","TBD",IF(J556&gt;0.1,"NO","YES"))</f>
        <v>TBD</v>
      </c>
      <c r="L556" s="682" t="s">
        <v>336</v>
      </c>
      <c r="M556" s="1237" t="s">
        <v>737</v>
      </c>
      <c r="N556" s="1234"/>
      <c r="O556" s="1148" t="str">
        <f t="shared" si="106"/>
        <v/>
      </c>
      <c r="Q556" s="49"/>
      <c r="R556" s="49"/>
      <c r="S556" s="49"/>
      <c r="T556" s="49"/>
      <c r="U556" s="49"/>
      <c r="V556" s="49"/>
      <c r="W556" s="67"/>
      <c r="X556" s="668" t="s">
        <v>336</v>
      </c>
    </row>
    <row r="557" spans="1:24" ht="11.25" customHeight="1">
      <c r="A557" s="604">
        <v>29</v>
      </c>
      <c r="B557" s="111" t="s">
        <v>174</v>
      </c>
      <c r="C557" s="229">
        <f t="shared" si="107"/>
        <v>25</v>
      </c>
      <c r="D557" s="396" t="str">
        <f t="shared" si="107"/>
        <v/>
      </c>
      <c r="E557" s="229" t="str">
        <f t="shared" si="107"/>
        <v/>
      </c>
      <c r="F557" s="229" t="str">
        <f t="shared" si="107"/>
        <v/>
      </c>
      <c r="G557" s="396" t="str">
        <f t="shared" si="107"/>
        <v/>
      </c>
      <c r="H557" s="1010" t="str">
        <f t="shared" si="107"/>
        <v/>
      </c>
      <c r="I557" s="1005" t="str">
        <f>IF(OR(H557="",AND(LFMAS="",SFMAS=""),AND($C$554="mA",D557="")),"",IF($C$554="mAs",H557/C557,H557/(C557*D557)))</f>
        <v/>
      </c>
      <c r="J557" s="398"/>
      <c r="K557" s="284"/>
      <c r="L557" s="682" t="s">
        <v>336</v>
      </c>
      <c r="M557" s="1237" t="s">
        <v>738</v>
      </c>
      <c r="N557" s="1234"/>
      <c r="O557" s="1148" t="str">
        <f t="shared" si="106"/>
        <v/>
      </c>
      <c r="Q557" s="49"/>
      <c r="R557" s="49"/>
      <c r="S557" s="49"/>
      <c r="T557" s="49"/>
      <c r="U557" s="49"/>
      <c r="V557" s="49"/>
      <c r="W557" s="67"/>
      <c r="X557" s="668" t="s">
        <v>336</v>
      </c>
    </row>
    <row r="558" spans="1:24" ht="11.25" customHeight="1" thickBot="1">
      <c r="A558" s="604">
        <v>30</v>
      </c>
      <c r="B558" s="111" t="s">
        <v>174</v>
      </c>
      <c r="C558" s="229">
        <f t="shared" si="107"/>
        <v>5</v>
      </c>
      <c r="D558" s="396" t="str">
        <f t="shared" si="107"/>
        <v/>
      </c>
      <c r="E558" s="229" t="str">
        <f t="shared" si="107"/>
        <v/>
      </c>
      <c r="F558" s="229" t="str">
        <f t="shared" si="107"/>
        <v/>
      </c>
      <c r="G558" s="396" t="str">
        <f t="shared" si="107"/>
        <v/>
      </c>
      <c r="H558" s="1010" t="str">
        <f t="shared" si="107"/>
        <v/>
      </c>
      <c r="I558" s="1005" t="str">
        <f>IF(OR(H558="",AND(LFMAS="",SFMAS=""),AND($C$554="mA",D558="")),"",IF($C$554="mAs",H558/C558,H558/(C558*D558)))</f>
        <v/>
      </c>
      <c r="J558" s="398"/>
      <c r="K558" s="280" t="s">
        <v>174</v>
      </c>
      <c r="L558" s="682" t="s">
        <v>336</v>
      </c>
      <c r="M558" s="98"/>
      <c r="N558" s="80"/>
      <c r="O558" s="80"/>
      <c r="P558" s="80"/>
      <c r="Q558" s="80"/>
      <c r="R558" s="80"/>
      <c r="S558" s="80"/>
      <c r="T558" s="80"/>
      <c r="U558" s="80"/>
      <c r="V558" s="80"/>
      <c r="W558" s="85"/>
      <c r="X558" s="668" t="s">
        <v>336</v>
      </c>
    </row>
    <row r="559" spans="1:24" ht="11.25" customHeight="1" thickTop="1" thickBot="1">
      <c r="A559" s="604">
        <v>31</v>
      </c>
      <c r="B559" s="212" t="s">
        <v>174</v>
      </c>
      <c r="C559" s="234">
        <f t="shared" si="107"/>
        <v>16</v>
      </c>
      <c r="D559" s="397" t="str">
        <f t="shared" si="107"/>
        <v/>
      </c>
      <c r="E559" s="234" t="str">
        <f t="shared" si="107"/>
        <v/>
      </c>
      <c r="F559" s="234" t="str">
        <f t="shared" si="107"/>
        <v/>
      </c>
      <c r="G559" s="397" t="str">
        <f t="shared" si="107"/>
        <v/>
      </c>
      <c r="H559" s="1011" t="str">
        <f t="shared" si="107"/>
        <v/>
      </c>
      <c r="I559" s="1006" t="str">
        <f>IF(OR(H559="",AND(LFMAS="",SFMAS=""),AND($C$554="mA",D559="")),"",IF($C$554="mAs",H559/C559,H559/(C559*D559)))</f>
        <v/>
      </c>
      <c r="J559" s="150" t="str">
        <f>IF(OR(I555="",I557=""),"",(MAX(I555:I559)-MIN(I555:I559))/(MAX(I555:I559)+MIN(I555:I559)))</f>
        <v/>
      </c>
      <c r="K559" s="281" t="str">
        <f>IF(J559="","TBD",IF(J559&gt;0.1,"NO","YES"))</f>
        <v>TBD</v>
      </c>
      <c r="L559" s="682" t="s">
        <v>336</v>
      </c>
      <c r="M559" s="1181" t="s">
        <v>784</v>
      </c>
      <c r="N559" s="49"/>
      <c r="O559" s="49"/>
      <c r="P559" s="49"/>
      <c r="Q559" s="49"/>
      <c r="R559" s="49"/>
      <c r="S559" s="49"/>
      <c r="T559" s="49"/>
      <c r="U559" s="49"/>
      <c r="V559" s="49"/>
      <c r="W559" s="67"/>
      <c r="X559" s="668" t="s">
        <v>336</v>
      </c>
    </row>
    <row r="560" spans="1:24" ht="11.25" customHeight="1">
      <c r="A560" s="604">
        <v>32</v>
      </c>
      <c r="B560" s="107" t="s">
        <v>175</v>
      </c>
      <c r="C560" s="42"/>
      <c r="D560" s="42"/>
      <c r="E560" s="42"/>
      <c r="F560" s="42"/>
      <c r="G560" s="42"/>
      <c r="H560" s="42"/>
      <c r="I560" s="48"/>
      <c r="J560" s="42"/>
      <c r="K560" s="65"/>
      <c r="L560" s="682" t="s">
        <v>336</v>
      </c>
      <c r="M560" s="136"/>
      <c r="N560" s="49"/>
      <c r="O560" s="49"/>
      <c r="P560" s="49"/>
      <c r="Q560" s="49"/>
      <c r="R560" s="49"/>
      <c r="S560" s="49"/>
      <c r="T560" s="49"/>
      <c r="U560" s="49"/>
      <c r="V560" s="49"/>
      <c r="W560" s="67"/>
      <c r="X560" s="668" t="s">
        <v>336</v>
      </c>
    </row>
    <row r="561" spans="1:24" ht="11.25" customHeight="1">
      <c r="A561" s="604">
        <v>33</v>
      </c>
      <c r="B561" s="129"/>
      <c r="C561" s="42"/>
      <c r="D561" s="42"/>
      <c r="E561" s="42"/>
      <c r="F561" s="42"/>
      <c r="G561" s="42"/>
      <c r="H561" s="42"/>
      <c r="I561" s="42"/>
      <c r="J561" s="42"/>
      <c r="K561" s="65"/>
      <c r="L561" s="682" t="s">
        <v>336</v>
      </c>
      <c r="M561" s="1182" t="s">
        <v>785</v>
      </c>
      <c r="N561" s="49"/>
      <c r="O561" s="49"/>
      <c r="P561" s="49"/>
      <c r="Q561" s="49"/>
      <c r="R561" s="49"/>
      <c r="S561" s="49"/>
      <c r="T561" s="49"/>
      <c r="U561" s="49"/>
      <c r="V561" s="49"/>
      <c r="W561" s="67"/>
      <c r="X561" s="668" t="s">
        <v>336</v>
      </c>
    </row>
    <row r="562" spans="1:24" ht="11.25" customHeight="1">
      <c r="A562" s="604">
        <v>34</v>
      </c>
      <c r="B562" s="121" t="s">
        <v>417</v>
      </c>
      <c r="C562" s="799" t="str">
        <f>IF(O410="","",IF(LEN(O410)&lt;=135,O410,IF(LEN(O410)&lt;=260,LEFT(O410,SEARCH(" ",O410,125)),LEFT(O410,SEARCH(" ",O410,130)))))</f>
        <v/>
      </c>
      <c r="D562" s="41"/>
      <c r="E562" s="41"/>
      <c r="F562" s="221"/>
      <c r="G562" s="41"/>
      <c r="H562" s="41"/>
      <c r="I562" s="41"/>
      <c r="J562" s="41"/>
      <c r="K562" s="65"/>
      <c r="L562" s="682" t="s">
        <v>336</v>
      </c>
      <c r="M562" s="136"/>
      <c r="N562" s="49"/>
      <c r="O562" s="341"/>
      <c r="P562" s="1090"/>
      <c r="Q562" s="1090"/>
      <c r="R562" s="1090"/>
      <c r="S562" s="1090"/>
      <c r="T562" s="1090"/>
      <c r="U562" s="1090"/>
      <c r="V562" s="49"/>
      <c r="W562" s="67"/>
      <c r="X562" s="668" t="s">
        <v>336</v>
      </c>
    </row>
    <row r="563" spans="1:24" ht="11.25" customHeight="1">
      <c r="A563" s="604">
        <v>35</v>
      </c>
      <c r="B563" s="129"/>
      <c r="C563" s="800" t="str">
        <f>IF(LEN(O410)&lt;=135,"",IF(LEN(O410)&lt;=260,RIGHT(O410,LEN(O410)-SEARCH(" ",O410,125)),MID(O410,SEARCH(" ",O410,130),IF(LEN(O410)&lt;=265,LEN(O410),SEARCH(" ",O410,255)-SEARCH(" ",O410,130)))))</f>
        <v/>
      </c>
      <c r="D563" s="41"/>
      <c r="E563" s="41"/>
      <c r="F563" s="221"/>
      <c r="G563" s="41"/>
      <c r="H563" s="41"/>
      <c r="I563" s="41"/>
      <c r="J563" s="41"/>
      <c r="K563" s="65"/>
      <c r="L563" s="682" t="s">
        <v>336</v>
      </c>
      <c r="M563" s="136"/>
      <c r="N563" s="49"/>
      <c r="O563" s="341"/>
      <c r="P563" s="1090" t="s">
        <v>787</v>
      </c>
      <c r="Q563" s="1090" t="s">
        <v>788</v>
      </c>
      <c r="R563" s="1090" t="s">
        <v>789</v>
      </c>
      <c r="S563" s="1090" t="s">
        <v>787</v>
      </c>
      <c r="T563" s="1090" t="s">
        <v>788</v>
      </c>
      <c r="U563" s="1090" t="s">
        <v>789</v>
      </c>
      <c r="V563" s="49"/>
      <c r="W563" s="67"/>
      <c r="X563" s="668" t="s">
        <v>336</v>
      </c>
    </row>
    <row r="564" spans="1:24" ht="11.25" customHeight="1">
      <c r="A564" s="604">
        <v>36</v>
      </c>
      <c r="B564" s="129"/>
      <c r="C564" s="799" t="str">
        <f>IF(LEN(O410)&lt;=265,"",RIGHT(O410,LEN(O410)-SEARCH(" ",O410,255)))</f>
        <v/>
      </c>
      <c r="D564" s="41"/>
      <c r="E564" s="41"/>
      <c r="F564" s="221"/>
      <c r="G564" s="41"/>
      <c r="H564" s="41"/>
      <c r="I564" s="41"/>
      <c r="J564" s="41"/>
      <c r="K564" s="65"/>
      <c r="L564" s="682" t="s">
        <v>336</v>
      </c>
      <c r="M564" s="136"/>
      <c r="N564" s="49"/>
      <c r="O564" s="48" t="s">
        <v>958</v>
      </c>
      <c r="P564" s="1151" t="str">
        <f t="shared" ref="P564:P581" si="108">IF(S564&lt;&gt;"",S564,IF(AB271="","",AB271))</f>
        <v/>
      </c>
      <c r="Q564" s="1151" t="str">
        <f t="shared" ref="Q564:Q581" si="109">IF(T564&lt;&gt;"",T564,IF(AB290="","",AB290))</f>
        <v/>
      </c>
      <c r="R564" s="1151" t="str">
        <f t="shared" ref="R564:R581" si="110">IF(U564&lt;&gt;"",U564,IF(AB309="","",AB309))</f>
        <v/>
      </c>
      <c r="S564" s="1232"/>
      <c r="T564" s="1232"/>
      <c r="U564" s="1232"/>
      <c r="V564" s="49"/>
      <c r="W564" s="67"/>
      <c r="X564" s="668" t="s">
        <v>336</v>
      </c>
    </row>
    <row r="565" spans="1:24" ht="11.25" customHeight="1">
      <c r="A565" s="604">
        <v>37</v>
      </c>
      <c r="B565" s="129"/>
      <c r="C565" s="42"/>
      <c r="D565" s="42"/>
      <c r="E565" s="42"/>
      <c r="F565" s="153"/>
      <c r="G565" s="42"/>
      <c r="H565" s="42"/>
      <c r="I565" s="42"/>
      <c r="J565" s="42"/>
      <c r="K565" s="65"/>
      <c r="L565" s="682" t="s">
        <v>336</v>
      </c>
      <c r="M565" s="136"/>
      <c r="N565" s="49"/>
      <c r="O565" s="48" t="s">
        <v>430</v>
      </c>
      <c r="P565" s="1151" t="str">
        <f t="shared" si="108"/>
        <v/>
      </c>
      <c r="Q565" s="1151" t="str">
        <f t="shared" si="109"/>
        <v/>
      </c>
      <c r="R565" s="1151" t="str">
        <f t="shared" si="110"/>
        <v/>
      </c>
      <c r="S565" s="1232"/>
      <c r="T565" s="1232"/>
      <c r="U565" s="1232"/>
      <c r="V565" s="49"/>
      <c r="W565" s="67"/>
      <c r="X565" s="668" t="s">
        <v>336</v>
      </c>
    </row>
    <row r="566" spans="1:24" ht="11.25" customHeight="1">
      <c r="A566" s="604">
        <v>38</v>
      </c>
      <c r="B566" s="342" t="s">
        <v>177</v>
      </c>
      <c r="C566" s="137"/>
      <c r="D566" s="137"/>
      <c r="E566" s="42"/>
      <c r="F566" s="42"/>
      <c r="G566" s="42"/>
      <c r="H566" s="42"/>
      <c r="I566" s="42"/>
      <c r="J566" s="42"/>
      <c r="K566" s="65"/>
      <c r="L566" s="682" t="s">
        <v>336</v>
      </c>
      <c r="M566" s="136"/>
      <c r="N566" s="49"/>
      <c r="O566" s="48" t="s">
        <v>431</v>
      </c>
      <c r="P566" s="1151" t="str">
        <f t="shared" si="108"/>
        <v/>
      </c>
      <c r="Q566" s="1151" t="str">
        <f t="shared" si="109"/>
        <v/>
      </c>
      <c r="R566" s="1151" t="str">
        <f t="shared" si="110"/>
        <v/>
      </c>
      <c r="S566" s="1232"/>
      <c r="T566" s="1232"/>
      <c r="U566" s="1232"/>
      <c r="V566" s="49"/>
      <c r="W566" s="67"/>
      <c r="X566" s="668" t="s">
        <v>336</v>
      </c>
    </row>
    <row r="567" spans="1:24" ht="11.25" customHeight="1">
      <c r="A567" s="604">
        <v>39</v>
      </c>
      <c r="B567" s="129"/>
      <c r="C567" s="42"/>
      <c r="D567" s="42"/>
      <c r="E567" s="42" t="s">
        <v>178</v>
      </c>
      <c r="F567" s="42"/>
      <c r="G567" s="42"/>
      <c r="H567" s="42"/>
      <c r="I567" s="42"/>
      <c r="J567" s="42"/>
      <c r="K567" s="65"/>
      <c r="L567" s="682" t="s">
        <v>336</v>
      </c>
      <c r="M567" s="136"/>
      <c r="N567" s="49"/>
      <c r="O567" s="48" t="s">
        <v>432</v>
      </c>
      <c r="P567" s="1151" t="str">
        <f t="shared" si="108"/>
        <v/>
      </c>
      <c r="Q567" s="1151" t="str">
        <f t="shared" si="109"/>
        <v/>
      </c>
      <c r="R567" s="1151" t="str">
        <f t="shared" si="110"/>
        <v/>
      </c>
      <c r="S567" s="1232"/>
      <c r="T567" s="1232"/>
      <c r="U567" s="1232"/>
      <c r="V567" s="49"/>
      <c r="W567" s="67"/>
      <c r="X567" s="668" t="s">
        <v>336</v>
      </c>
    </row>
    <row r="568" spans="1:24" ht="11.25" customHeight="1" thickBot="1">
      <c r="A568" s="604">
        <v>40</v>
      </c>
      <c r="B568" s="129"/>
      <c r="C568" s="162" t="s">
        <v>653</v>
      </c>
      <c r="D568" s="137"/>
      <c r="E568" s="125" t="s">
        <v>170</v>
      </c>
      <c r="F568" s="42"/>
      <c r="G568" s="42"/>
      <c r="H568" s="42"/>
      <c r="I568" s="42"/>
      <c r="J568" s="42"/>
      <c r="K568" s="65"/>
      <c r="L568" s="682" t="s">
        <v>336</v>
      </c>
      <c r="M568" s="136"/>
      <c r="N568" s="49"/>
      <c r="O568" s="48" t="s">
        <v>959</v>
      </c>
      <c r="P568" s="1151" t="str">
        <f t="shared" si="108"/>
        <v/>
      </c>
      <c r="Q568" s="1151" t="str">
        <f t="shared" si="109"/>
        <v/>
      </c>
      <c r="R568" s="1151" t="str">
        <f t="shared" si="110"/>
        <v/>
      </c>
      <c r="S568" s="1232"/>
      <c r="T568" s="1232"/>
      <c r="U568" s="1232"/>
      <c r="V568" s="49"/>
      <c r="W568" s="67"/>
      <c r="X568" s="668" t="s">
        <v>336</v>
      </c>
    </row>
    <row r="569" spans="1:24" ht="11.25" customHeight="1" thickBot="1">
      <c r="A569" s="604">
        <v>41</v>
      </c>
      <c r="B569" s="129"/>
      <c r="C569" s="239" t="s">
        <v>171</v>
      </c>
      <c r="D569" s="241"/>
      <c r="E569" s="161" t="s">
        <v>64</v>
      </c>
      <c r="F569" s="42"/>
      <c r="G569" s="1075" t="s">
        <v>444</v>
      </c>
      <c r="H569" s="42"/>
      <c r="I569" s="42"/>
      <c r="J569" s="42"/>
      <c r="K569" s="65"/>
      <c r="L569" s="682" t="s">
        <v>336</v>
      </c>
      <c r="M569" s="136"/>
      <c r="N569" s="49"/>
      <c r="O569" s="48" t="s">
        <v>960</v>
      </c>
      <c r="P569" s="1151" t="str">
        <f t="shared" si="108"/>
        <v/>
      </c>
      <c r="Q569" s="1151" t="str">
        <f t="shared" si="109"/>
        <v/>
      </c>
      <c r="R569" s="1151" t="str">
        <f t="shared" si="110"/>
        <v/>
      </c>
      <c r="S569" s="1232"/>
      <c r="T569" s="1232"/>
      <c r="U569" s="1232"/>
      <c r="V569" s="49"/>
      <c r="W569" s="67"/>
      <c r="X569" s="668" t="s">
        <v>336</v>
      </c>
    </row>
    <row r="570" spans="1:24" ht="11.25" customHeight="1">
      <c r="A570" s="604">
        <v>42</v>
      </c>
      <c r="B570" s="129"/>
      <c r="C570" s="240" t="s">
        <v>180</v>
      </c>
      <c r="D570" s="1007">
        <f>MAX(I540:I544,I555:I559)</f>
        <v>0</v>
      </c>
      <c r="E570" s="125" t="s">
        <v>174</v>
      </c>
      <c r="F570" s="42"/>
      <c r="G570" s="277" t="s">
        <v>174</v>
      </c>
      <c r="H570" s="42"/>
      <c r="I570" s="42"/>
      <c r="J570" s="42"/>
      <c r="K570" s="65"/>
      <c r="L570" s="682" t="s">
        <v>336</v>
      </c>
      <c r="M570" s="136"/>
      <c r="N570" s="49"/>
      <c r="O570" s="48" t="s">
        <v>961</v>
      </c>
      <c r="P570" s="1151" t="str">
        <f t="shared" si="108"/>
        <v/>
      </c>
      <c r="Q570" s="1151" t="str">
        <f t="shared" si="109"/>
        <v/>
      </c>
      <c r="R570" s="1151" t="str">
        <f t="shared" si="110"/>
        <v/>
      </c>
      <c r="S570" s="1232"/>
      <c r="T570" s="1232"/>
      <c r="U570" s="1232"/>
      <c r="V570" s="49"/>
      <c r="W570" s="67"/>
      <c r="X570" s="668" t="s">
        <v>336</v>
      </c>
    </row>
    <row r="571" spans="1:24" ht="11.25" customHeight="1" thickBot="1">
      <c r="A571" s="604">
        <v>43</v>
      </c>
      <c r="B571" s="129"/>
      <c r="C571" s="240" t="s">
        <v>182</v>
      </c>
      <c r="D571" s="1007">
        <f>MIN(I540:I544,I555:I559)</f>
        <v>0</v>
      </c>
      <c r="E571" s="149" t="str">
        <f>IF(OR(I540="",I541="",I555="",I556=""),"NA",(MAX(I540:I544,I555:I559)-MIN(I540:I544,I555:I559))/(MAX(I540:I544,I555:I559)+MIN(I540:I544,I555:I559)))</f>
        <v>NA</v>
      </c>
      <c r="F571" s="42"/>
      <c r="G571" s="276" t="str">
        <f>IF(OR(E571="NA",$Q$388&lt;&gt;$Q$403),"NA",IF(E571&gt;0.1,"NO","YES"))</f>
        <v>NA</v>
      </c>
      <c r="H571" s="42"/>
      <c r="I571" s="42"/>
      <c r="J571" s="42"/>
      <c r="K571" s="65"/>
      <c r="L571" s="682" t="s">
        <v>336</v>
      </c>
      <c r="M571" s="136"/>
      <c r="N571" s="49"/>
      <c r="O571" s="48" t="s">
        <v>962</v>
      </c>
      <c r="P571" s="1151" t="str">
        <f t="shared" si="108"/>
        <v/>
      </c>
      <c r="Q571" s="1151" t="str">
        <f t="shared" si="109"/>
        <v/>
      </c>
      <c r="R571" s="1151" t="str">
        <f t="shared" si="110"/>
        <v/>
      </c>
      <c r="S571" s="1232"/>
      <c r="T571" s="1232"/>
      <c r="U571" s="1232"/>
      <c r="V571" s="49"/>
      <c r="W571" s="67"/>
      <c r="X571" s="668" t="s">
        <v>336</v>
      </c>
    </row>
    <row r="572" spans="1:24" ht="11.25" customHeight="1">
      <c r="A572" s="604">
        <v>44</v>
      </c>
      <c r="B572" s="136"/>
      <c r="C572" s="49"/>
      <c r="D572" s="49"/>
      <c r="E572" s="49"/>
      <c r="F572" s="49"/>
      <c r="G572" s="49"/>
      <c r="H572" s="49"/>
      <c r="I572" s="49"/>
      <c r="J572" s="49"/>
      <c r="K572" s="67"/>
      <c r="L572" s="682" t="s">
        <v>336</v>
      </c>
      <c r="M572" s="136"/>
      <c r="N572" s="49"/>
      <c r="O572" s="48" t="s">
        <v>963</v>
      </c>
      <c r="P572" s="1151" t="str">
        <f t="shared" si="108"/>
        <v/>
      </c>
      <c r="Q572" s="1151" t="str">
        <f t="shared" si="109"/>
        <v/>
      </c>
      <c r="R572" s="1151" t="str">
        <f t="shared" si="110"/>
        <v/>
      </c>
      <c r="S572" s="1232"/>
      <c r="T572" s="1232"/>
      <c r="U572" s="1232"/>
      <c r="V572" s="49"/>
      <c r="W572" s="67"/>
      <c r="X572" s="668" t="s">
        <v>336</v>
      </c>
    </row>
    <row r="573" spans="1:24" ht="11.25" customHeight="1">
      <c r="A573" s="604">
        <v>45</v>
      </c>
      <c r="B573" s="136"/>
      <c r="C573" s="44" t="s">
        <v>179</v>
      </c>
      <c r="D573" s="42"/>
      <c r="E573" s="42"/>
      <c r="F573" s="42"/>
      <c r="G573" s="42"/>
      <c r="H573" s="42"/>
      <c r="I573" s="42"/>
      <c r="J573" s="42"/>
      <c r="K573" s="65"/>
      <c r="L573" s="682" t="s">
        <v>336</v>
      </c>
      <c r="M573" s="136"/>
      <c r="N573" s="49"/>
      <c r="O573" s="48" t="s">
        <v>964</v>
      </c>
      <c r="P573" s="1151" t="str">
        <f t="shared" si="108"/>
        <v/>
      </c>
      <c r="Q573" s="1151" t="str">
        <f t="shared" si="109"/>
        <v/>
      </c>
      <c r="R573" s="1151" t="str">
        <f t="shared" si="110"/>
        <v/>
      </c>
      <c r="S573" s="1232"/>
      <c r="T573" s="1232"/>
      <c r="U573" s="1232"/>
      <c r="V573" s="49"/>
      <c r="W573" s="67"/>
      <c r="X573" s="668" t="s">
        <v>336</v>
      </c>
    </row>
    <row r="574" spans="1:24" ht="11.25" customHeight="1">
      <c r="A574" s="604">
        <v>46</v>
      </c>
      <c r="B574" s="136"/>
      <c r="C574" s="42"/>
      <c r="D574" s="48" t="s">
        <v>181</v>
      </c>
      <c r="E574" s="42"/>
      <c r="F574" s="153" t="s">
        <v>656</v>
      </c>
      <c r="G574" s="42"/>
      <c r="H574" s="42"/>
      <c r="I574" s="42"/>
      <c r="J574" s="42"/>
      <c r="K574" s="65"/>
      <c r="L574" s="682" t="s">
        <v>336</v>
      </c>
      <c r="M574" s="136"/>
      <c r="N574" s="49"/>
      <c r="O574" s="48" t="s">
        <v>955</v>
      </c>
      <c r="P574" s="1151" t="str">
        <f t="shared" si="108"/>
        <v/>
      </c>
      <c r="Q574" s="1151" t="str">
        <f t="shared" si="109"/>
        <v/>
      </c>
      <c r="R574" s="1151" t="str">
        <f t="shared" si="110"/>
        <v/>
      </c>
      <c r="S574" s="1232"/>
      <c r="T574" s="1232"/>
      <c r="U574" s="1232"/>
      <c r="V574" s="49"/>
      <c r="W574" s="67"/>
      <c r="X574" s="668" t="s">
        <v>336</v>
      </c>
    </row>
    <row r="575" spans="1:24" ht="11.25" customHeight="1">
      <c r="A575" s="604">
        <v>47</v>
      </c>
      <c r="B575" s="136"/>
      <c r="C575" s="42"/>
      <c r="D575" s="42"/>
      <c r="E575" s="42"/>
      <c r="F575" s="978" t="s">
        <v>657</v>
      </c>
      <c r="G575" s="42"/>
      <c r="H575" s="42"/>
      <c r="I575" s="42"/>
      <c r="J575" s="42"/>
      <c r="K575" s="65"/>
      <c r="L575" s="682" t="s">
        <v>336</v>
      </c>
      <c r="M575" s="136"/>
      <c r="N575" s="49"/>
      <c r="O575" s="48" t="s">
        <v>956</v>
      </c>
      <c r="P575" s="1151" t="str">
        <f t="shared" si="108"/>
        <v/>
      </c>
      <c r="Q575" s="1151" t="str">
        <f t="shared" si="109"/>
        <v/>
      </c>
      <c r="R575" s="1151" t="str">
        <f t="shared" si="110"/>
        <v/>
      </c>
      <c r="S575" s="1232"/>
      <c r="T575" s="1232"/>
      <c r="U575" s="1232"/>
      <c r="V575" s="49"/>
      <c r="W575" s="67"/>
      <c r="X575" s="668" t="s">
        <v>336</v>
      </c>
    </row>
    <row r="576" spans="1:24" ht="11.25" customHeight="1">
      <c r="A576" s="604">
        <v>48</v>
      </c>
      <c r="B576" s="136"/>
      <c r="C576" s="42"/>
      <c r="D576" s="42"/>
      <c r="E576" s="42"/>
      <c r="F576" s="978"/>
      <c r="G576" s="42"/>
      <c r="H576" s="42"/>
      <c r="I576" s="42"/>
      <c r="J576" s="42"/>
      <c r="K576" s="65"/>
      <c r="L576" s="682" t="s">
        <v>336</v>
      </c>
      <c r="M576" s="136"/>
      <c r="N576" s="49"/>
      <c r="O576" s="48" t="s">
        <v>971</v>
      </c>
      <c r="P576" s="1151" t="str">
        <f t="shared" si="108"/>
        <v/>
      </c>
      <c r="Q576" s="1151" t="str">
        <f t="shared" si="109"/>
        <v/>
      </c>
      <c r="R576" s="1151" t="str">
        <f t="shared" si="110"/>
        <v/>
      </c>
      <c r="S576" s="1232"/>
      <c r="T576" s="1232"/>
      <c r="U576" s="1232"/>
      <c r="V576" s="49"/>
      <c r="W576" s="67"/>
      <c r="X576" s="668" t="s">
        <v>336</v>
      </c>
    </row>
    <row r="577" spans="1:24" ht="11.25" customHeight="1">
      <c r="A577" s="604">
        <v>49</v>
      </c>
      <c r="B577" s="136"/>
      <c r="C577" s="42"/>
      <c r="D577" s="48" t="s">
        <v>183</v>
      </c>
      <c r="E577" s="42"/>
      <c r="F577" s="153" t="s">
        <v>658</v>
      </c>
      <c r="G577" s="42"/>
      <c r="H577" s="42"/>
      <c r="I577" s="42"/>
      <c r="J577" s="42"/>
      <c r="K577" s="65"/>
      <c r="L577" s="682" t="s">
        <v>336</v>
      </c>
      <c r="M577" s="136"/>
      <c r="N577" s="49"/>
      <c r="O577" s="48" t="s">
        <v>957</v>
      </c>
      <c r="P577" s="1151" t="str">
        <f t="shared" si="108"/>
        <v/>
      </c>
      <c r="Q577" s="1151" t="str">
        <f t="shared" si="109"/>
        <v/>
      </c>
      <c r="R577" s="1151" t="str">
        <f t="shared" si="110"/>
        <v/>
      </c>
      <c r="S577" s="1232"/>
      <c r="T577" s="1232"/>
      <c r="U577" s="1232"/>
      <c r="V577" s="49"/>
      <c r="W577" s="67"/>
      <c r="X577" s="668" t="s">
        <v>336</v>
      </c>
    </row>
    <row r="578" spans="1:24" ht="11.25" customHeight="1">
      <c r="A578" s="604">
        <v>50</v>
      </c>
      <c r="B578" s="136"/>
      <c r="C578" s="42"/>
      <c r="D578" s="42"/>
      <c r="E578" s="42"/>
      <c r="F578" s="978" t="s">
        <v>659</v>
      </c>
      <c r="G578" s="42"/>
      <c r="H578" s="42"/>
      <c r="I578" s="42"/>
      <c r="J578" s="42"/>
      <c r="K578" s="65"/>
      <c r="L578" s="682" t="s">
        <v>336</v>
      </c>
      <c r="M578" s="136"/>
      <c r="N578" s="49"/>
      <c r="O578" s="48" t="s">
        <v>965</v>
      </c>
      <c r="P578" s="1151" t="str">
        <f t="shared" si="108"/>
        <v/>
      </c>
      <c r="Q578" s="1151" t="str">
        <f t="shared" si="109"/>
        <v/>
      </c>
      <c r="R578" s="1151" t="str">
        <f t="shared" si="110"/>
        <v/>
      </c>
      <c r="S578" s="1232"/>
      <c r="T578" s="1232"/>
      <c r="U578" s="1232"/>
      <c r="V578" s="49"/>
      <c r="W578" s="67"/>
      <c r="X578" s="668" t="s">
        <v>336</v>
      </c>
    </row>
    <row r="579" spans="1:24" ht="11.25" customHeight="1">
      <c r="A579" s="604">
        <v>51</v>
      </c>
      <c r="B579" s="129"/>
      <c r="C579" s="49"/>
      <c r="D579" s="49"/>
      <c r="E579" s="49"/>
      <c r="F579" s="42"/>
      <c r="G579" s="42"/>
      <c r="H579" s="42"/>
      <c r="I579" s="42"/>
      <c r="J579" s="42"/>
      <c r="K579" s="65"/>
      <c r="L579" s="682" t="s">
        <v>336</v>
      </c>
      <c r="M579" s="136"/>
      <c r="N579" s="49"/>
      <c r="O579" s="48" t="s">
        <v>966</v>
      </c>
      <c r="P579" s="1151" t="str">
        <f t="shared" si="108"/>
        <v/>
      </c>
      <c r="Q579" s="1151" t="str">
        <f t="shared" si="109"/>
        <v/>
      </c>
      <c r="R579" s="1151" t="str">
        <f t="shared" si="110"/>
        <v/>
      </c>
      <c r="S579" s="1232"/>
      <c r="T579" s="1232"/>
      <c r="U579" s="1232"/>
      <c r="V579" s="49"/>
      <c r="W579" s="67"/>
      <c r="X579" s="668" t="s">
        <v>336</v>
      </c>
    </row>
    <row r="580" spans="1:24" ht="11.25" customHeight="1">
      <c r="A580" s="604">
        <v>52</v>
      </c>
      <c r="B580" s="129"/>
      <c r="C580" s="143" t="s">
        <v>425</v>
      </c>
      <c r="D580" s="191" t="s">
        <v>184</v>
      </c>
      <c r="E580" s="42"/>
      <c r="F580" s="42"/>
      <c r="G580" s="42"/>
      <c r="H580" s="42"/>
      <c r="I580" s="42"/>
      <c r="J580" s="42"/>
      <c r="K580" s="65"/>
      <c r="L580" s="682" t="s">
        <v>336</v>
      </c>
      <c r="M580" s="136"/>
      <c r="N580" s="49"/>
      <c r="O580" s="48" t="s">
        <v>967</v>
      </c>
      <c r="P580" s="1151" t="str">
        <f t="shared" si="108"/>
        <v/>
      </c>
      <c r="Q580" s="1151" t="str">
        <f t="shared" si="109"/>
        <v/>
      </c>
      <c r="R580" s="1151" t="str">
        <f t="shared" si="110"/>
        <v/>
      </c>
      <c r="S580" s="1232"/>
      <c r="T580" s="1232"/>
      <c r="U580" s="1232"/>
      <c r="V580" s="49"/>
      <c r="W580" s="67"/>
      <c r="X580" s="668" t="s">
        <v>336</v>
      </c>
    </row>
    <row r="581" spans="1:24" ht="11.25" customHeight="1">
      <c r="A581" s="604">
        <v>53</v>
      </c>
      <c r="B581" s="129"/>
      <c r="C581" s="42"/>
      <c r="D581" s="42"/>
      <c r="E581" s="42"/>
      <c r="F581" s="42"/>
      <c r="G581" s="42"/>
      <c r="H581" s="42"/>
      <c r="I581" s="42"/>
      <c r="J581" s="42"/>
      <c r="K581" s="65"/>
      <c r="L581" s="682" t="s">
        <v>336</v>
      </c>
      <c r="M581" s="136"/>
      <c r="N581" s="49"/>
      <c r="O581" s="48" t="s">
        <v>968</v>
      </c>
      <c r="P581" s="1151" t="str">
        <f t="shared" si="108"/>
        <v/>
      </c>
      <c r="Q581" s="1151" t="str">
        <f t="shared" si="109"/>
        <v/>
      </c>
      <c r="R581" s="1151" t="str">
        <f t="shared" si="110"/>
        <v/>
      </c>
      <c r="S581" s="1232"/>
      <c r="T581" s="1232"/>
      <c r="U581" s="1232"/>
      <c r="V581" s="49"/>
      <c r="W581" s="67"/>
      <c r="X581" s="668" t="s">
        <v>336</v>
      </c>
    </row>
    <row r="582" spans="1:24" ht="11.25" customHeight="1">
      <c r="A582" s="604">
        <v>54</v>
      </c>
      <c r="B582" s="113" t="s">
        <v>338</v>
      </c>
      <c r="C582" s="47"/>
      <c r="D582" s="49"/>
      <c r="E582" s="49"/>
      <c r="F582" s="103" t="s">
        <v>185</v>
      </c>
      <c r="G582" s="49"/>
      <c r="H582" s="49"/>
      <c r="I582" s="49"/>
      <c r="J582" s="372" t="s">
        <v>340</v>
      </c>
      <c r="K582" s="373"/>
      <c r="L582" s="682" t="s">
        <v>336</v>
      </c>
      <c r="M582" s="136"/>
      <c r="N582" s="341"/>
      <c r="O582" s="49"/>
      <c r="P582" s="49"/>
      <c r="Q582" s="49"/>
      <c r="R582" s="49"/>
      <c r="S582" s="49"/>
      <c r="T582" s="49"/>
      <c r="U582" s="49"/>
      <c r="V582" s="49"/>
      <c r="W582" s="67"/>
      <c r="X582" s="668" t="s">
        <v>336</v>
      </c>
    </row>
    <row r="583" spans="1:24" ht="11.25" customHeight="1">
      <c r="A583" s="604">
        <v>55</v>
      </c>
      <c r="B583" s="292" t="s">
        <v>0</v>
      </c>
      <c r="C583" s="116"/>
      <c r="D583" s="104" t="s">
        <v>186</v>
      </c>
      <c r="E583" s="105"/>
      <c r="F583" s="105"/>
      <c r="G583" s="105"/>
      <c r="H583" s="105"/>
      <c r="I583" s="105"/>
      <c r="J583" s="1050" t="str">
        <f>IF($M$53=1,$T$52,IF($M431="","TBD",IF($M431=1,"YES",IF($M431=3,"NA",""))))</f>
        <v>TBD</v>
      </c>
      <c r="K583" s="371" t="str">
        <f>IF($M$53=1,"",IF($M431=2,"NO",""))</f>
        <v/>
      </c>
      <c r="L583" s="682" t="s">
        <v>336</v>
      </c>
      <c r="M583" s="1182" t="s">
        <v>863</v>
      </c>
      <c r="N583" s="341"/>
      <c r="O583" s="49"/>
      <c r="P583" s="49"/>
      <c r="Q583" s="49"/>
      <c r="R583" s="49"/>
      <c r="S583" s="49"/>
      <c r="T583" s="49"/>
      <c r="U583" s="49"/>
      <c r="V583" s="49"/>
      <c r="W583" s="67"/>
      <c r="X583" s="668" t="s">
        <v>336</v>
      </c>
    </row>
    <row r="584" spans="1:24" ht="11.25" customHeight="1">
      <c r="A584" s="604">
        <v>56</v>
      </c>
      <c r="B584" s="115"/>
      <c r="C584" s="116"/>
      <c r="D584" s="44" t="s">
        <v>187</v>
      </c>
      <c r="E584" s="49"/>
      <c r="F584" s="49"/>
      <c r="G584" s="49"/>
      <c r="H584" s="49"/>
      <c r="I584" s="49"/>
      <c r="J584" s="1050" t="str">
        <f>IF($M$53=1,$T$52,IF($M432="","TBD",IF($M432=1,"YES",IF($M432=3,"NA",""))))</f>
        <v>TBD</v>
      </c>
      <c r="K584" s="371" t="str">
        <f>IF($M$53=1,"",IF($M432=2,"NO",""))</f>
        <v/>
      </c>
      <c r="L584" s="682" t="s">
        <v>336</v>
      </c>
      <c r="M584" s="136"/>
      <c r="N584" s="48" t="s">
        <v>47</v>
      </c>
      <c r="O584" s="110" t="str">
        <f>IF($O$227="","",$O$227)</f>
        <v>Piranha CB2-17090320</v>
      </c>
      <c r="P584" s="49"/>
      <c r="Q584" s="49"/>
      <c r="R584" s="1143"/>
      <c r="U584" s="48"/>
      <c r="V584" s="49"/>
      <c r="W584" s="67"/>
      <c r="X584" s="668" t="s">
        <v>336</v>
      </c>
    </row>
    <row r="585" spans="1:24" ht="11.25" customHeight="1">
      <c r="A585" s="604">
        <v>57</v>
      </c>
      <c r="B585" s="115"/>
      <c r="C585" s="116"/>
      <c r="D585" s="104" t="s">
        <v>188</v>
      </c>
      <c r="E585" s="49"/>
      <c r="F585" s="49"/>
      <c r="G585" s="49"/>
      <c r="H585" s="49"/>
      <c r="I585" s="49"/>
      <c r="J585" s="1050" t="str">
        <f t="shared" ref="J585:J590" si="111">IF($M433="","TBD",IF($M433=1,"YES",IF($M433=3,"NA","")))</f>
        <v>TBD</v>
      </c>
      <c r="K585" s="371" t="str">
        <f t="shared" ref="K585:K590" si="112">IF($M433=2,"NO","")</f>
        <v/>
      </c>
      <c r="L585" s="682" t="s">
        <v>336</v>
      </c>
      <c r="M585" s="136"/>
      <c r="N585" s="48" t="s">
        <v>951</v>
      </c>
      <c r="O585" s="1231">
        <v>100</v>
      </c>
      <c r="P585" s="341"/>
      <c r="Q585" s="341"/>
      <c r="R585" s="341"/>
      <c r="U585" s="49"/>
      <c r="V585" s="49"/>
      <c r="W585" s="67"/>
      <c r="X585" s="668" t="s">
        <v>336</v>
      </c>
    </row>
    <row r="586" spans="1:24" ht="11.25" customHeight="1">
      <c r="A586" s="604">
        <v>58</v>
      </c>
      <c r="B586" s="115"/>
      <c r="C586" s="116"/>
      <c r="D586" s="44" t="s">
        <v>190</v>
      </c>
      <c r="E586" s="49"/>
      <c r="F586" s="49"/>
      <c r="G586" s="49"/>
      <c r="H586" s="49"/>
      <c r="I586" s="49"/>
      <c r="J586" s="1050" t="str">
        <f t="shared" si="111"/>
        <v>NA</v>
      </c>
      <c r="K586" s="371" t="str">
        <f t="shared" si="112"/>
        <v/>
      </c>
      <c r="L586" s="682" t="s">
        <v>336</v>
      </c>
      <c r="M586" s="136"/>
      <c r="N586" s="48" t="s">
        <v>952</v>
      </c>
      <c r="O586" s="1231">
        <v>1</v>
      </c>
      <c r="R586" s="49"/>
      <c r="S586" s="49"/>
      <c r="T586" s="49"/>
      <c r="U586" s="1177"/>
      <c r="V586" s="341"/>
      <c r="W586" s="1183"/>
      <c r="X586" s="668" t="s">
        <v>336</v>
      </c>
    </row>
    <row r="587" spans="1:24" ht="11.25" customHeight="1">
      <c r="A587" s="604">
        <v>59</v>
      </c>
      <c r="B587" s="292" t="s">
        <v>2</v>
      </c>
      <c r="C587" s="116"/>
      <c r="D587" s="104" t="s">
        <v>192</v>
      </c>
      <c r="E587" s="105"/>
      <c r="F587" s="105"/>
      <c r="G587" s="105"/>
      <c r="H587" s="105"/>
      <c r="I587" s="105"/>
      <c r="J587" s="1050" t="str">
        <f t="shared" si="111"/>
        <v>TBD</v>
      </c>
      <c r="K587" s="371" t="str">
        <f t="shared" si="112"/>
        <v/>
      </c>
      <c r="L587" s="682" t="s">
        <v>336</v>
      </c>
      <c r="M587" s="136"/>
      <c r="R587" s="49"/>
      <c r="S587" s="49"/>
      <c r="T587" s="49"/>
      <c r="U587" s="49"/>
      <c r="V587" s="341"/>
      <c r="W587" s="1183"/>
      <c r="X587" s="668" t="s">
        <v>336</v>
      </c>
    </row>
    <row r="588" spans="1:24" ht="11.25" customHeight="1">
      <c r="A588" s="604">
        <v>60</v>
      </c>
      <c r="B588" s="292" t="s">
        <v>1</v>
      </c>
      <c r="C588" s="116"/>
      <c r="D588" s="104" t="s">
        <v>194</v>
      </c>
      <c r="E588" s="105"/>
      <c r="F588" s="105"/>
      <c r="G588" s="105"/>
      <c r="H588" s="105"/>
      <c r="I588" s="105"/>
      <c r="J588" s="1050" t="str">
        <f t="shared" si="111"/>
        <v>TBD</v>
      </c>
      <c r="K588" s="371" t="str">
        <f t="shared" si="112"/>
        <v/>
      </c>
      <c r="L588" s="682" t="s">
        <v>336</v>
      </c>
      <c r="M588" s="136"/>
      <c r="N588" s="341"/>
      <c r="O588" s="127" t="s">
        <v>787</v>
      </c>
      <c r="P588" s="127" t="s">
        <v>788</v>
      </c>
      <c r="Q588" s="127" t="s">
        <v>789</v>
      </c>
      <c r="R588" s="49"/>
      <c r="S588" s="49"/>
      <c r="T588" s="49"/>
      <c r="U588" s="341"/>
      <c r="V588" s="1090" t="s">
        <v>876</v>
      </c>
      <c r="W588" s="65" t="s">
        <v>877</v>
      </c>
      <c r="X588" s="668" t="s">
        <v>336</v>
      </c>
    </row>
    <row r="589" spans="1:24" ht="11.25" customHeight="1">
      <c r="A589" s="604">
        <v>61</v>
      </c>
      <c r="B589" s="292" t="s">
        <v>7</v>
      </c>
      <c r="C589" s="116"/>
      <c r="D589" s="104" t="s">
        <v>196</v>
      </c>
      <c r="E589" s="105"/>
      <c r="F589" s="105"/>
      <c r="G589" s="105"/>
      <c r="H589" s="105"/>
      <c r="I589" s="105"/>
      <c r="J589" s="1050" t="str">
        <f t="shared" si="111"/>
        <v>TBD</v>
      </c>
      <c r="K589" s="371" t="str">
        <f t="shared" si="112"/>
        <v/>
      </c>
      <c r="L589" s="682" t="s">
        <v>336</v>
      </c>
      <c r="M589" s="136"/>
      <c r="N589" s="48" t="s">
        <v>940</v>
      </c>
      <c r="O589" s="127" t="str">
        <f>IF(P581="","",P581)</f>
        <v/>
      </c>
      <c r="P589" s="127" t="str">
        <f>IF(Q581="","",Q581)</f>
        <v/>
      </c>
      <c r="Q589" s="127" t="str">
        <f>IF(R581="","",R581)</f>
        <v/>
      </c>
      <c r="R589" s="49"/>
      <c r="S589" s="49"/>
      <c r="T589" s="49"/>
      <c r="U589" s="341"/>
      <c r="V589" s="1090" t="s">
        <v>878</v>
      </c>
      <c r="W589" s="65" t="s">
        <v>878</v>
      </c>
      <c r="X589" s="668" t="s">
        <v>336</v>
      </c>
    </row>
    <row r="590" spans="1:24" ht="11.25" customHeight="1">
      <c r="A590" s="604">
        <v>62</v>
      </c>
      <c r="B590" s="115"/>
      <c r="C590" s="116"/>
      <c r="D590" s="44" t="s">
        <v>198</v>
      </c>
      <c r="E590" s="97"/>
      <c r="F590" s="97"/>
      <c r="G590" s="97"/>
      <c r="H590" s="97"/>
      <c r="I590" s="97"/>
      <c r="J590" s="1050" t="str">
        <f t="shared" si="111"/>
        <v>TBD</v>
      </c>
      <c r="K590" s="371" t="str">
        <f t="shared" si="112"/>
        <v/>
      </c>
      <c r="L590" s="682" t="s">
        <v>336</v>
      </c>
      <c r="M590" s="136"/>
      <c r="N590" s="1278" t="s">
        <v>949</v>
      </c>
      <c r="O590" s="1167"/>
      <c r="P590" s="1167"/>
      <c r="Q590" s="1167"/>
      <c r="R590" s="49"/>
      <c r="S590" s="49"/>
      <c r="T590" s="49"/>
      <c r="U590" s="48" t="s">
        <v>805</v>
      </c>
      <c r="V590" s="1090">
        <v>25</v>
      </c>
      <c r="W590" s="65">
        <v>30</v>
      </c>
      <c r="X590" s="668" t="s">
        <v>336</v>
      </c>
    </row>
    <row r="591" spans="1:24" ht="11.25" customHeight="1" thickBot="1">
      <c r="A591" s="604">
        <v>63</v>
      </c>
      <c r="B591" s="145"/>
      <c r="C591" s="69"/>
      <c r="D591" s="69"/>
      <c r="E591" s="69"/>
      <c r="F591" s="69"/>
      <c r="G591" s="69"/>
      <c r="H591" s="69"/>
      <c r="I591" s="69"/>
      <c r="J591" s="69"/>
      <c r="K591" s="70"/>
      <c r="L591" s="682" t="s">
        <v>336</v>
      </c>
      <c r="M591" s="136"/>
      <c r="N591" s="1278"/>
      <c r="O591" s="1167"/>
      <c r="P591" s="1167"/>
      <c r="Q591" s="1167"/>
      <c r="R591" s="49"/>
      <c r="S591" s="49"/>
      <c r="T591" s="49"/>
      <c r="U591" s="48" t="s">
        <v>879</v>
      </c>
      <c r="V591" s="1090">
        <v>75</v>
      </c>
      <c r="W591" s="65">
        <v>80</v>
      </c>
      <c r="X591" s="668" t="s">
        <v>336</v>
      </c>
    </row>
    <row r="592" spans="1:24" ht="11.25" customHeight="1" thickTop="1">
      <c r="A592" s="604">
        <v>64</v>
      </c>
      <c r="L592" s="682" t="s">
        <v>336</v>
      </c>
      <c r="M592" s="136"/>
      <c r="N592" s="1278"/>
      <c r="O592" s="1167"/>
      <c r="P592" s="1167"/>
      <c r="Q592" s="1167"/>
      <c r="R592" s="49"/>
      <c r="S592" s="49"/>
      <c r="T592" s="49"/>
      <c r="U592" s="48" t="s">
        <v>880</v>
      </c>
      <c r="V592" s="1090">
        <v>15</v>
      </c>
      <c r="W592" s="65">
        <v>20</v>
      </c>
      <c r="X592" s="668" t="s">
        <v>336</v>
      </c>
    </row>
    <row r="593" spans="1:24" ht="11.25" customHeight="1">
      <c r="A593" s="604">
        <v>65</v>
      </c>
      <c r="B593" s="46" t="str">
        <f t="array" ref="B593:C594">$B$65:$C$66</f>
        <v>Date:</v>
      </c>
      <c r="C593" s="1072" t="str">
        <v/>
      </c>
      <c r="D593" s="51"/>
      <c r="E593" s="122"/>
      <c r="F593" s="122"/>
      <c r="G593" s="122"/>
      <c r="H593" s="122"/>
      <c r="I593" s="46" t="str">
        <f t="array" ref="I593:J594">$I$65:$J$66</f>
        <v>Inspector:</v>
      </c>
      <c r="J593" s="401" t="str">
        <v>Eugene Mah</v>
      </c>
      <c r="L593" s="682" t="s">
        <v>336</v>
      </c>
      <c r="M593" s="136"/>
      <c r="N593" s="1143" t="s">
        <v>953</v>
      </c>
      <c r="O593" s="1180" t="str">
        <f>IF(O590="","",$O$585*$O$586*AVERAGE(O590:O592)/(P$575*P$574))</f>
        <v/>
      </c>
      <c r="P593" s="1180" t="str">
        <f t="shared" ref="P593:Q593" si="113">IF(P590="","",$O$585*$O$586*AVERAGE(P590:P592)/(Q$575*Q$574))</f>
        <v/>
      </c>
      <c r="Q593" s="1180" t="str">
        <f t="shared" si="113"/>
        <v/>
      </c>
      <c r="R593" s="49"/>
      <c r="S593" s="49"/>
      <c r="T593" s="49"/>
      <c r="U593" s="48" t="s">
        <v>881</v>
      </c>
      <c r="V593" s="1090">
        <v>7.5</v>
      </c>
      <c r="W593" s="65">
        <v>10</v>
      </c>
      <c r="X593" s="668" t="s">
        <v>336</v>
      </c>
    </row>
    <row r="594" spans="1:24" ht="11.25" customHeight="1">
      <c r="A594" s="604">
        <v>66</v>
      </c>
      <c r="B594" s="46" t="str">
        <v>Room Number:</v>
      </c>
      <c r="C594" s="363" t="str">
        <v/>
      </c>
      <c r="D594" s="97"/>
      <c r="E594" s="122"/>
      <c r="F594" s="122"/>
      <c r="G594" s="122"/>
      <c r="H594" s="122"/>
      <c r="I594" s="46" t="str">
        <v>Survey ID:</v>
      </c>
      <c r="J594" s="910" t="str">
        <v/>
      </c>
      <c r="L594" s="682" t="s">
        <v>336</v>
      </c>
      <c r="M594" s="136"/>
      <c r="N594" s="1278" t="s">
        <v>950</v>
      </c>
      <c r="O594" s="1167"/>
      <c r="P594" s="1167"/>
      <c r="Q594" s="1167"/>
      <c r="R594" s="49"/>
      <c r="S594" s="49"/>
      <c r="T594" s="49"/>
      <c r="U594" s="48" t="s">
        <v>882</v>
      </c>
      <c r="V594" s="1090">
        <v>35</v>
      </c>
      <c r="W594" s="65">
        <v>40</v>
      </c>
      <c r="X594" s="668" t="s">
        <v>336</v>
      </c>
    </row>
    <row r="595" spans="1:24" ht="11.25" customHeight="1">
      <c r="A595" s="604">
        <v>1</v>
      </c>
      <c r="K595" s="142" t="str">
        <f>$F$2</f>
        <v>Medical University of South Carolina</v>
      </c>
      <c r="L595" s="682" t="s">
        <v>336</v>
      </c>
      <c r="M595" s="136"/>
      <c r="N595" s="1278"/>
      <c r="O595" s="1167"/>
      <c r="P595" s="1167"/>
      <c r="Q595" s="1167"/>
      <c r="R595" s="49"/>
      <c r="S595" s="49"/>
      <c r="T595" s="49"/>
      <c r="U595" s="49"/>
      <c r="V595" s="49"/>
      <c r="W595" s="67"/>
      <c r="X595" s="668" t="s">
        <v>336</v>
      </c>
    </row>
    <row r="596" spans="1:24" ht="11.25" customHeight="1">
      <c r="A596" s="604">
        <v>2</v>
      </c>
      <c r="C596" s="1"/>
      <c r="D596" s="1"/>
      <c r="E596" s="1"/>
      <c r="F596" s="252" t="str">
        <f>$F$332</f>
        <v>Measurement Data</v>
      </c>
      <c r="G596" s="1"/>
      <c r="H596" s="1"/>
      <c r="I596" s="1"/>
      <c r="J596" s="1"/>
      <c r="K596" s="143" t="str">
        <f>$F$5</f>
        <v>Radiation Oncology IGRT Compliance Inspection</v>
      </c>
      <c r="L596" s="682" t="s">
        <v>336</v>
      </c>
      <c r="M596" s="136"/>
      <c r="N596" s="1278"/>
      <c r="O596" s="1167"/>
      <c r="P596" s="1167"/>
      <c r="Q596" s="1167"/>
      <c r="R596" s="49"/>
      <c r="S596" s="49"/>
      <c r="T596" s="49"/>
      <c r="U596" s="49"/>
      <c r="V596" s="49"/>
      <c r="W596" s="67"/>
      <c r="X596" s="668" t="s">
        <v>336</v>
      </c>
    </row>
    <row r="597" spans="1:24" ht="11.25" customHeight="1">
      <c r="A597" s="604">
        <v>3</v>
      </c>
      <c r="B597" s="1"/>
      <c r="C597" s="1"/>
      <c r="D597" s="1"/>
      <c r="E597" s="1"/>
      <c r="F597" s="336" t="s">
        <v>199</v>
      </c>
      <c r="G597" s="1"/>
      <c r="H597" s="1"/>
      <c r="I597" s="1"/>
      <c r="J597" s="1"/>
      <c r="L597" s="682" t="s">
        <v>336</v>
      </c>
      <c r="M597" s="136"/>
      <c r="N597" s="1143" t="s">
        <v>954</v>
      </c>
      <c r="O597" s="1180" t="str">
        <f>IF(O594="","",$O$585*$O$586*AVERAGE(O594:O596)/(P$575*P$574))</f>
        <v/>
      </c>
      <c r="P597" s="1180" t="str">
        <f t="shared" ref="P597:Q597" si="114">IF(P594="","",$O$585*$O$586*AVERAGE(P594:P596)/(Q$575*Q$574))</f>
        <v/>
      </c>
      <c r="Q597" s="1180" t="str">
        <f t="shared" si="114"/>
        <v/>
      </c>
      <c r="R597" s="49"/>
      <c r="S597" s="49"/>
      <c r="T597" s="49"/>
      <c r="U597" s="49"/>
      <c r="V597" s="49"/>
      <c r="W597" s="67"/>
      <c r="X597" s="668" t="s">
        <v>336</v>
      </c>
    </row>
    <row r="598" spans="1:24" ht="11.25" customHeight="1" thickBot="1">
      <c r="A598" s="604">
        <v>4</v>
      </c>
      <c r="L598" s="682" t="s">
        <v>336</v>
      </c>
      <c r="M598" s="136"/>
      <c r="N598" s="1143" t="s">
        <v>969</v>
      </c>
      <c r="O598" s="1180" t="str">
        <f>IF(OR(O593="",O597=""),"",(2/3)*O597+(1/3)*O593)</f>
        <v/>
      </c>
      <c r="P598" s="1180" t="str">
        <f>IF(OR(P593="",P597=""),"",(2/3)*P597+(1/3)*P593)</f>
        <v/>
      </c>
      <c r="Q598" s="1180" t="str">
        <f>IF(OR(Q593="",Q597=""),"",(2/3)*Q597+(1/3)*Q593)</f>
        <v/>
      </c>
      <c r="R598" s="49"/>
      <c r="S598" s="49"/>
      <c r="T598" s="49"/>
      <c r="U598" s="49"/>
      <c r="V598" s="49"/>
      <c r="W598" s="67"/>
      <c r="X598" s="668" t="s">
        <v>336</v>
      </c>
    </row>
    <row r="599" spans="1:24" ht="11.25" customHeight="1" thickTop="1">
      <c r="A599" s="604">
        <v>5</v>
      </c>
      <c r="B599" s="75"/>
      <c r="C599" s="58"/>
      <c r="D599" s="58"/>
      <c r="E599" s="58"/>
      <c r="F599" s="58"/>
      <c r="G599" s="58"/>
      <c r="H599" s="58"/>
      <c r="I599" s="58"/>
      <c r="J599" s="58"/>
      <c r="K599" s="76"/>
      <c r="L599" s="682" t="s">
        <v>336</v>
      </c>
      <c r="M599" s="136"/>
      <c r="N599" s="1149" t="s">
        <v>970</v>
      </c>
      <c r="O599" s="1180" t="str">
        <f>IF(O598="","",O598*P$575*P$574/P$576)</f>
        <v/>
      </c>
      <c r="P599" s="1180" t="str">
        <f>IF(P598="","",P598*Q$575*Q$574/Q$576)</f>
        <v/>
      </c>
      <c r="Q599" s="1180" t="str">
        <f>IF(Q598="","",Q598*R$575*R$574/R$576)</f>
        <v/>
      </c>
      <c r="R599" s="49"/>
      <c r="S599" s="49"/>
      <c r="T599" s="49"/>
      <c r="U599" s="49"/>
      <c r="V599" s="49"/>
      <c r="W599" s="67"/>
      <c r="X599" s="668" t="s">
        <v>336</v>
      </c>
    </row>
    <row r="600" spans="1:24" ht="11.25" customHeight="1">
      <c r="A600" s="604">
        <v>6</v>
      </c>
      <c r="B600" s="136"/>
      <c r="C600" s="49"/>
      <c r="D600" s="409" t="str">
        <f>O448&amp;" Focal Spot"</f>
        <v>Large Focal Spot</v>
      </c>
      <c r="E600" s="49"/>
      <c r="F600" s="49"/>
      <c r="G600" s="49"/>
      <c r="H600" s="49"/>
      <c r="I600" s="49"/>
      <c r="J600" s="49"/>
      <c r="K600" s="67"/>
      <c r="L600" s="682" t="s">
        <v>336</v>
      </c>
      <c r="M600" s="136"/>
      <c r="N600" s="48" t="s">
        <v>865</v>
      </c>
      <c r="O600" s="1167">
        <v>32</v>
      </c>
      <c r="P600" s="1167">
        <v>32</v>
      </c>
      <c r="Q600" s="1167">
        <v>16</v>
      </c>
      <c r="R600" s="49"/>
      <c r="S600" s="49"/>
      <c r="T600" s="49"/>
      <c r="U600" s="49"/>
      <c r="V600" s="49"/>
      <c r="W600" s="67"/>
      <c r="X600" s="668" t="s">
        <v>336</v>
      </c>
    </row>
    <row r="601" spans="1:24" ht="11.25" customHeight="1">
      <c r="A601" s="604">
        <v>7</v>
      </c>
      <c r="B601" s="39"/>
      <c r="C601" s="32" t="s">
        <v>109</v>
      </c>
      <c r="D601" s="35">
        <f>IF(N448="","",N448)</f>
        <v>100</v>
      </c>
      <c r="E601" s="4" t="str">
        <f>N447</f>
        <v>cm</v>
      </c>
      <c r="F601" s="3"/>
      <c r="G601" s="3"/>
      <c r="H601" s="32" t="s">
        <v>431</v>
      </c>
      <c r="I601" s="30" t="str">
        <f>IF(R448="","",IF(LFMAS="mA",R448,""))</f>
        <v/>
      </c>
      <c r="J601" s="3"/>
      <c r="K601" s="67"/>
      <c r="L601" s="682" t="s">
        <v>336</v>
      </c>
      <c r="M601" s="136"/>
      <c r="N601" s="48" t="s">
        <v>866</v>
      </c>
      <c r="O601" s="1167">
        <v>32</v>
      </c>
      <c r="P601" s="1167">
        <v>32</v>
      </c>
      <c r="Q601" s="1167">
        <v>16</v>
      </c>
      <c r="R601" s="49"/>
      <c r="S601" s="49"/>
      <c r="T601" s="49"/>
      <c r="U601" s="49"/>
      <c r="V601" s="49"/>
      <c r="W601" s="67"/>
      <c r="X601" s="668" t="s">
        <v>336</v>
      </c>
    </row>
    <row r="602" spans="1:24" ht="11.25" customHeight="1">
      <c r="A602" s="604">
        <v>8</v>
      </c>
      <c r="B602" s="39"/>
      <c r="C602" s="32" t="s">
        <v>206</v>
      </c>
      <c r="D602" s="30">
        <f>IF(Q448="","",Q448)</f>
        <v>80</v>
      </c>
      <c r="E602" s="3"/>
      <c r="F602" s="3" t="str">
        <f>IF(OR(MAXAVG="",AND(MAXAVG="Avg kV",U448=""),AND(MAXAVG="Max kV",T448="")),"","Measured")</f>
        <v/>
      </c>
      <c r="G602" s="3"/>
      <c r="H602" s="32" t="s">
        <v>432</v>
      </c>
      <c r="I602" s="33">
        <f>IF(R448="","",IF(LFMAS="mAs",R448,""))</f>
        <v>20</v>
      </c>
      <c r="J602" s="3"/>
      <c r="K602" s="67"/>
      <c r="L602" s="682" t="s">
        <v>336</v>
      </c>
      <c r="M602" s="136"/>
      <c r="N602" s="48" t="s">
        <v>867</v>
      </c>
      <c r="O602" s="1148" t="str">
        <f>IF(AB328="","",AB328)</f>
        <v/>
      </c>
      <c r="P602" s="1148" t="str">
        <f>IF(AB329="","",AB329)</f>
        <v/>
      </c>
      <c r="Q602" s="1148" t="str">
        <f>IF(AB330="","",AB330)</f>
        <v/>
      </c>
      <c r="R602" s="49"/>
      <c r="S602" s="49"/>
      <c r="T602" s="49"/>
      <c r="U602" s="49"/>
      <c r="V602" s="49"/>
      <c r="W602" s="67"/>
      <c r="X602" s="668" t="s">
        <v>336</v>
      </c>
    </row>
    <row r="603" spans="1:24" ht="11.25" customHeight="1">
      <c r="A603" s="604">
        <v>9</v>
      </c>
      <c r="B603" s="39"/>
      <c r="C603" s="3"/>
      <c r="D603" s="3"/>
      <c r="E603" s="3"/>
      <c r="F603" s="3" t="str">
        <f>IF(OR(AND(MAXAVG="Max kV",T448&lt;&gt;""),AND(MAXAVG="Avg kV",U448&lt;&gt;"")),MAXAVG,IF(T448&lt;&gt;"","Measured","Set"))</f>
        <v>Set</v>
      </c>
      <c r="G603" s="3"/>
      <c r="H603" s="32" t="s">
        <v>101</v>
      </c>
      <c r="I603" s="31">
        <f>IF(S448="","",S448)</f>
        <v>0.05</v>
      </c>
      <c r="J603" s="3"/>
      <c r="K603" s="67"/>
      <c r="L603" s="682" t="s">
        <v>336</v>
      </c>
      <c r="M603" s="136"/>
      <c r="N603" s="48" t="s">
        <v>868</v>
      </c>
      <c r="O603" s="1168" t="str">
        <f>IF(OR(O602="",O599=""),"",ABS(O599-O602)/O602)</f>
        <v/>
      </c>
      <c r="P603" s="1168" t="str">
        <f>IF(OR(P602="",P599=""),"",ABS(P599-P602)/P602)</f>
        <v/>
      </c>
      <c r="Q603" s="1168" t="str">
        <f>IF(OR(Q602="",Q599=""),"",ABS(Q599-Q602)/Q602)</f>
        <v/>
      </c>
      <c r="R603" s="49"/>
      <c r="S603" s="49"/>
      <c r="T603" s="49"/>
      <c r="U603" s="49"/>
      <c r="V603" s="49"/>
      <c r="W603" s="67"/>
      <c r="X603" s="668" t="s">
        <v>336</v>
      </c>
    </row>
    <row r="604" spans="1:24" ht="11.25" customHeight="1">
      <c r="A604" s="604">
        <v>10</v>
      </c>
      <c r="B604" s="39"/>
      <c r="C604" s="2" t="s">
        <v>207</v>
      </c>
      <c r="D604" s="9" t="s">
        <v>652</v>
      </c>
      <c r="E604" s="9" t="s">
        <v>652</v>
      </c>
      <c r="F604" s="9" t="s">
        <v>369</v>
      </c>
      <c r="G604" s="3"/>
      <c r="H604" s="3"/>
      <c r="I604" s="3"/>
      <c r="J604" s="3"/>
      <c r="K604" s="67"/>
      <c r="L604" s="682" t="s">
        <v>336</v>
      </c>
      <c r="M604" s="136"/>
      <c r="N604" s="48" t="s">
        <v>869</v>
      </c>
      <c r="O604" s="1168" t="str">
        <f>IF(OR(O589="",O599=""),"",ABS(O599-O589)/O589)</f>
        <v/>
      </c>
      <c r="P604" s="1168" t="str">
        <f>IF(OR(P589="",P599=""),"",ABS(P599-P589)/P589)</f>
        <v/>
      </c>
      <c r="Q604" s="1168" t="str">
        <f>IF(OR(Q589="",Q599=""),"",ABS(Q599-Q589)/Q589)</f>
        <v/>
      </c>
      <c r="W604" s="67"/>
      <c r="X604" s="668" t="s">
        <v>336</v>
      </c>
    </row>
    <row r="605" spans="1:24" ht="11.25" customHeight="1">
      <c r="A605" s="604">
        <v>11</v>
      </c>
      <c r="B605" s="39"/>
      <c r="C605" s="2">
        <v>0</v>
      </c>
      <c r="D605" s="402" t="str">
        <f>IF(W448="","",W448)</f>
        <v/>
      </c>
      <c r="E605" s="402" t="str">
        <f>IF(W449="","",W449)</f>
        <v/>
      </c>
      <c r="F605" s="9">
        <f>avgkvp</f>
        <v>80</v>
      </c>
      <c r="G605" s="3"/>
      <c r="H605" s="32" t="str">
        <f>"kVp ("&amp;IF(AND(U444="",T448&lt;&gt;""),"Meas.",IF(MAXAVG="","Set",MAXAVG))&amp;")"</f>
        <v>kVp (Max kV)</v>
      </c>
      <c r="I605" s="3">
        <f>avgkvp</f>
        <v>80</v>
      </c>
      <c r="J605" s="3"/>
      <c r="K605" s="67"/>
      <c r="L605" s="682" t="s">
        <v>336</v>
      </c>
      <c r="M605" s="136"/>
      <c r="N605" s="48" t="s">
        <v>424</v>
      </c>
      <c r="O605" s="127" t="str">
        <f>IF(O599="","",IF(AND(O599&lt;=W590,O603&lt;=0.05),"Pass","Fail"))</f>
        <v/>
      </c>
      <c r="P605" s="127" t="str">
        <f>IF(P599="","",IF(AND(P599&lt;=W590,P603&lt;=0.052),"Pass","Fail"))</f>
        <v/>
      </c>
      <c r="Q605" s="127" t="str">
        <f>IF(Q599="","",IF(AND(Q599&lt;=W591,Q603&lt;=0.05),"Pass","Fail"))</f>
        <v/>
      </c>
      <c r="W605" s="67"/>
      <c r="X605" s="668" t="s">
        <v>336</v>
      </c>
    </row>
    <row r="606" spans="1:24" ht="11.25" customHeight="1" thickBot="1">
      <c r="A606" s="604">
        <v>12</v>
      </c>
      <c r="B606" s="39"/>
      <c r="C606" s="35">
        <f>IF(M450="","",M450)</f>
        <v>3</v>
      </c>
      <c r="D606" s="402" t="str">
        <f>IF(W450="","",W450)</f>
        <v/>
      </c>
      <c r="E606" s="402" t="str">
        <f>IF(W451="","",W451)</f>
        <v/>
      </c>
      <c r="F606" s="9" t="str">
        <f>IF(T450="","",AVERAGE(T450:T451))</f>
        <v/>
      </c>
      <c r="G606" s="3"/>
      <c r="H606" s="32" t="s">
        <v>208</v>
      </c>
      <c r="I606" s="2" t="e">
        <f>HVL</f>
        <v>#DIV/0!</v>
      </c>
      <c r="J606" s="3"/>
      <c r="K606" s="67"/>
      <c r="L606" s="682" t="s">
        <v>336</v>
      </c>
      <c r="M606" s="136"/>
      <c r="N606" s="48" t="s">
        <v>870</v>
      </c>
      <c r="O606" s="1157" t="str">
        <f>IF(OR(O599="",P568=""),"",O599/(P568/100))</f>
        <v/>
      </c>
      <c r="P606" s="1157" t="str">
        <f>IF(OR(P599="",Q568=""),"",P599/(Q568/100))</f>
        <v/>
      </c>
      <c r="Q606" s="1157" t="str">
        <f>IF(OR(Q599="",R568=""),"",Q599/(R568/100))</f>
        <v/>
      </c>
      <c r="W606" s="67"/>
      <c r="X606" s="668" t="s">
        <v>336</v>
      </c>
    </row>
    <row r="607" spans="1:24" ht="11.25" customHeight="1" thickTop="1" thickBot="1">
      <c r="A607" s="604">
        <v>13</v>
      </c>
      <c r="B607" s="39"/>
      <c r="C607" s="35" t="str">
        <f>IF(M452="","",M452)</f>
        <v/>
      </c>
      <c r="D607" s="402" t="str">
        <f>IF(W452="","",W452)</f>
        <v/>
      </c>
      <c r="E607" s="402" t="str">
        <f>IF(W453="","",W453)</f>
        <v/>
      </c>
      <c r="F607" s="9" t="str">
        <f>IF(T452="","",AVERAGE(T452:T453))</f>
        <v/>
      </c>
      <c r="G607" s="3"/>
      <c r="H607" s="32" t="s">
        <v>649</v>
      </c>
      <c r="I607" s="1086" t="str">
        <f>IF(S473="","",S473)</f>
        <v>TBD</v>
      </c>
      <c r="J607" s="3"/>
      <c r="K607" s="67"/>
      <c r="L607" s="682" t="s">
        <v>336</v>
      </c>
      <c r="M607" s="136"/>
      <c r="N607" s="48" t="s">
        <v>871</v>
      </c>
      <c r="O607" s="1148" t="str">
        <f>IF(AB332="","",AB332)</f>
        <v/>
      </c>
      <c r="P607" s="1148" t="str">
        <f>IF(AB333="","",AB333)</f>
        <v/>
      </c>
      <c r="Q607" s="1148" t="str">
        <f>IF(AB334="","",AB334)</f>
        <v/>
      </c>
      <c r="W607" s="67"/>
      <c r="X607" s="668" t="s">
        <v>336</v>
      </c>
    </row>
    <row r="608" spans="1:24" ht="11.25" customHeight="1" thickTop="1">
      <c r="A608" s="604">
        <v>14</v>
      </c>
      <c r="B608" s="39"/>
      <c r="C608" s="2" t="str">
        <f>IF(M454="","",M454)</f>
        <v/>
      </c>
      <c r="D608" s="402" t="str">
        <f>IF(W454="","",W454)</f>
        <v/>
      </c>
      <c r="E608" s="402" t="str">
        <f>IF(W455="","",W455)</f>
        <v/>
      </c>
      <c r="F608" s="9" t="str">
        <f>IF(T454="","",AVERAGE(T454:T455))</f>
        <v/>
      </c>
      <c r="G608" s="3"/>
      <c r="J608" s="3"/>
      <c r="K608" s="67"/>
      <c r="L608" s="682" t="s">
        <v>336</v>
      </c>
      <c r="M608" s="136"/>
      <c r="N608" s="143" t="s">
        <v>425</v>
      </c>
      <c r="O608" s="341" t="s">
        <v>872</v>
      </c>
      <c r="P608" s="341"/>
      <c r="Q608" s="341"/>
      <c r="W608" s="67"/>
      <c r="X608" s="668" t="s">
        <v>336</v>
      </c>
    </row>
    <row r="609" spans="1:24" ht="11.25" customHeight="1">
      <c r="A609" s="604">
        <v>15</v>
      </c>
      <c r="B609" s="39"/>
      <c r="C609" s="2" t="str">
        <f>IF(M456="","",M456)</f>
        <v/>
      </c>
      <c r="D609" s="402" t="str">
        <f>IF(W456="","",W456)</f>
        <v/>
      </c>
      <c r="E609" s="402" t="str">
        <f>IF(W457="","",W457)</f>
        <v/>
      </c>
      <c r="F609" s="9" t="str">
        <f>IF(T456="","",AVERAGE(T456:T457))</f>
        <v/>
      </c>
      <c r="G609" s="3"/>
      <c r="H609" s="101" t="str">
        <f>U464</f>
        <v>Criteria:  MUSC STANDARD</v>
      </c>
      <c r="I609" s="3"/>
      <c r="J609" s="3"/>
      <c r="K609" s="67"/>
      <c r="L609" s="682" t="s">
        <v>336</v>
      </c>
      <c r="M609" s="136"/>
      <c r="N609" s="341"/>
      <c r="O609" s="341" t="s">
        <v>873</v>
      </c>
      <c r="P609" s="341"/>
      <c r="Q609" s="341"/>
      <c r="W609" s="67"/>
      <c r="X609" s="668" t="s">
        <v>336</v>
      </c>
    </row>
    <row r="610" spans="1:24" ht="11.25" customHeight="1">
      <c r="A610" s="604">
        <v>16</v>
      </c>
      <c r="B610" s="39"/>
      <c r="C610" s="35" t="str">
        <f>IF(M458="","",M458)</f>
        <v/>
      </c>
      <c r="D610" s="402" t="str">
        <f>IF(W458="","",W458)</f>
        <v/>
      </c>
      <c r="E610" s="402" t="str">
        <f>IF(W459="","",W459)</f>
        <v/>
      </c>
      <c r="F610" s="9" t="str">
        <f>IF(T458="","",AVERAGE(T458:T459))</f>
        <v/>
      </c>
      <c r="G610" s="392"/>
      <c r="H610" s="314" t="s">
        <v>209</v>
      </c>
      <c r="I610" s="314" t="s">
        <v>210</v>
      </c>
      <c r="J610" s="393" t="s">
        <v>211</v>
      </c>
      <c r="K610" s="67"/>
      <c r="L610" s="682" t="s">
        <v>336</v>
      </c>
      <c r="M610" s="136"/>
      <c r="N610" s="49"/>
      <c r="O610" s="341" t="s">
        <v>875</v>
      </c>
      <c r="P610" s="49"/>
      <c r="Q610" s="49"/>
      <c r="W610" s="67"/>
      <c r="X610" s="668" t="s">
        <v>336</v>
      </c>
    </row>
    <row r="611" spans="1:24" ht="11.25" customHeight="1">
      <c r="A611" s="604">
        <v>17</v>
      </c>
      <c r="B611" s="39"/>
      <c r="C611" s="4" t="s">
        <v>212</v>
      </c>
      <c r="D611" s="3"/>
      <c r="E611" s="3"/>
      <c r="F611" s="3"/>
      <c r="G611" s="320" t="s">
        <v>369</v>
      </c>
      <c r="H611" s="315" t="s">
        <v>213</v>
      </c>
      <c r="I611" s="315" t="s">
        <v>213</v>
      </c>
      <c r="J611" s="394" t="s">
        <v>213</v>
      </c>
      <c r="K611" s="67"/>
      <c r="L611" s="682" t="s">
        <v>336</v>
      </c>
      <c r="M611" s="136"/>
      <c r="W611" s="67"/>
      <c r="X611" s="668" t="s">
        <v>336</v>
      </c>
    </row>
    <row r="612" spans="1:24" ht="11.25" customHeight="1">
      <c r="A612" s="604">
        <v>18</v>
      </c>
      <c r="B612" s="136"/>
      <c r="C612" s="49"/>
      <c r="D612" s="49"/>
      <c r="E612" s="49"/>
      <c r="F612" s="49"/>
      <c r="G612" s="322">
        <f t="shared" ref="G612:J619" si="115">T467</f>
        <v>60</v>
      </c>
      <c r="H612" s="348">
        <f t="shared" si="115"/>
        <v>2.1854545454545447</v>
      </c>
      <c r="I612" s="317">
        <f t="shared" si="115"/>
        <v>1.9</v>
      </c>
      <c r="J612" s="395">
        <f t="shared" si="115"/>
        <v>2.4</v>
      </c>
      <c r="K612" s="67"/>
      <c r="L612" s="682" t="s">
        <v>336</v>
      </c>
      <c r="M612" s="1182" t="s">
        <v>883</v>
      </c>
      <c r="N612" s="341"/>
      <c r="O612" s="341"/>
      <c r="P612" s="341"/>
      <c r="Q612" s="341"/>
      <c r="R612" s="341"/>
      <c r="S612" s="341"/>
      <c r="T612" s="341"/>
      <c r="U612" s="49"/>
      <c r="V612" s="49"/>
      <c r="W612" s="67"/>
      <c r="X612" s="668" t="s">
        <v>336</v>
      </c>
    </row>
    <row r="613" spans="1:24" ht="11.25" customHeight="1" thickBot="1">
      <c r="A613" s="604">
        <v>19</v>
      </c>
      <c r="B613" s="136"/>
      <c r="C613" s="49"/>
      <c r="D613" s="49"/>
      <c r="E613" s="49"/>
      <c r="F613" s="49"/>
      <c r="G613" s="322">
        <f t="shared" si="115"/>
        <v>70</v>
      </c>
      <c r="H613" s="348">
        <f t="shared" si="115"/>
        <v>2.6109090909090904</v>
      </c>
      <c r="I613" s="317">
        <f t="shared" si="115"/>
        <v>2.2999999999999998</v>
      </c>
      <c r="J613" s="395">
        <f t="shared" si="115"/>
        <v>2.9</v>
      </c>
      <c r="K613" s="67"/>
      <c r="L613" s="682" t="s">
        <v>336</v>
      </c>
      <c r="M613" s="1184"/>
      <c r="N613" s="48" t="s">
        <v>972</v>
      </c>
      <c r="O613" s="1167"/>
      <c r="P613" s="1167"/>
      <c r="Q613" s="1167"/>
      <c r="R613" s="1167"/>
      <c r="S613" s="341"/>
      <c r="T613" s="341"/>
      <c r="U613" s="49"/>
      <c r="V613" s="49"/>
      <c r="W613" s="67"/>
      <c r="X613" s="668" t="s">
        <v>336</v>
      </c>
    </row>
    <row r="614" spans="1:24" ht="11.25" customHeight="1">
      <c r="A614" s="604">
        <v>20</v>
      </c>
      <c r="B614" s="136"/>
      <c r="C614" s="384"/>
      <c r="D614" s="385" t="s">
        <v>214</v>
      </c>
      <c r="E614" s="385"/>
      <c r="F614" s="386"/>
      <c r="G614" s="322">
        <f t="shared" si="115"/>
        <v>80</v>
      </c>
      <c r="H614" s="348">
        <f t="shared" si="115"/>
        <v>3.0363636363636357</v>
      </c>
      <c r="I614" s="317">
        <f t="shared" si="115"/>
        <v>2.6</v>
      </c>
      <c r="J614" s="395">
        <f t="shared" si="115"/>
        <v>3.4</v>
      </c>
      <c r="K614" s="67"/>
      <c r="L614" s="682" t="s">
        <v>336</v>
      </c>
      <c r="M614" s="1184"/>
      <c r="N614" s="48" t="s">
        <v>973</v>
      </c>
      <c r="O614" s="1167"/>
      <c r="P614" s="1167"/>
      <c r="Q614" s="1167"/>
      <c r="R614" s="1167"/>
      <c r="S614" s="49"/>
      <c r="T614" s="49"/>
      <c r="U614" s="49"/>
      <c r="V614" s="49"/>
      <c r="W614" s="67"/>
      <c r="X614" s="668" t="s">
        <v>336</v>
      </c>
    </row>
    <row r="615" spans="1:24" ht="11.25" customHeight="1">
      <c r="A615" s="604">
        <v>21</v>
      </c>
      <c r="B615" s="136"/>
      <c r="C615" s="387"/>
      <c r="D615" s="533"/>
      <c r="E615" s="534" t="str">
        <f>"Min. acceptable HVL at "&amp;IF(avgkvp="TBD",avgkvp,ROUND(avgkvp,1))&amp;" kvp:"</f>
        <v>Min. acceptable HVL at 80 kvp:</v>
      </c>
      <c r="F615" s="399">
        <f>IF(avgkvp="TBD",avgkvp,$S$468)</f>
        <v>2.6</v>
      </c>
      <c r="G615" s="322">
        <f t="shared" si="115"/>
        <v>90</v>
      </c>
      <c r="H615" s="348">
        <f t="shared" si="115"/>
        <v>3.4618181818181815</v>
      </c>
      <c r="I615" s="317">
        <f t="shared" si="115"/>
        <v>3</v>
      </c>
      <c r="J615" s="395">
        <f t="shared" si="115"/>
        <v>3.8</v>
      </c>
      <c r="K615" s="67"/>
      <c r="L615" s="682" t="s">
        <v>336</v>
      </c>
      <c r="M615" s="1184"/>
      <c r="N615" s="48" t="s">
        <v>974</v>
      </c>
      <c r="O615" s="1167"/>
      <c r="P615" s="1167"/>
      <c r="Q615" s="1167"/>
      <c r="R615" s="1167"/>
      <c r="S615" s="341"/>
      <c r="T615" s="341"/>
      <c r="U615" s="49"/>
      <c r="V615" s="49"/>
      <c r="W615" s="67"/>
      <c r="X615" s="668" t="s">
        <v>336</v>
      </c>
    </row>
    <row r="616" spans="1:24" ht="11.25" customHeight="1">
      <c r="A616" s="604">
        <v>22</v>
      </c>
      <c r="B616" s="136"/>
      <c r="C616" s="387"/>
      <c r="D616" s="533"/>
      <c r="E616" s="534" t="str">
        <f>"Desired HVL at meas. "&amp;IF(avgkvp="TBD",avgkvp,ROUND(avgkvp,1))&amp;" kVp:"</f>
        <v>Desired HVL at meas. 80 kVp:</v>
      </c>
      <c r="F616" s="399">
        <f>IF(avgkvp="TBD",avgkvp,$S$469)</f>
        <v>3</v>
      </c>
      <c r="G616" s="322">
        <f t="shared" si="115"/>
        <v>100</v>
      </c>
      <c r="H616" s="348">
        <f t="shared" si="115"/>
        <v>3.8872727272727272</v>
      </c>
      <c r="I616" s="317">
        <f t="shared" si="115"/>
        <v>3.4</v>
      </c>
      <c r="J616" s="395">
        <f t="shared" si="115"/>
        <v>4.3</v>
      </c>
      <c r="K616" s="67"/>
      <c r="L616" s="682" t="s">
        <v>336</v>
      </c>
      <c r="M616" s="1184"/>
      <c r="N616" s="48" t="s">
        <v>975</v>
      </c>
      <c r="O616" s="1167"/>
      <c r="P616" s="1167"/>
      <c r="Q616" s="1167"/>
      <c r="R616" s="1167"/>
      <c r="S616" s="341"/>
      <c r="T616" s="341"/>
      <c r="U616" s="49"/>
      <c r="V616" s="49"/>
      <c r="W616" s="67"/>
      <c r="X616" s="668" t="s">
        <v>336</v>
      </c>
    </row>
    <row r="617" spans="1:24" ht="11.25" customHeight="1" thickBot="1">
      <c r="A617" s="604">
        <v>23</v>
      </c>
      <c r="B617" s="136"/>
      <c r="C617" s="388"/>
      <c r="D617" s="535"/>
      <c r="E617" s="536" t="str">
        <f>"Max. acceptable HVL at "&amp;IF(avgkvp="TBD",avgkvp,ROUND(avgkvp,1))&amp;" kvp:"</f>
        <v>Max. acceptable HVL at 80 kvp:</v>
      </c>
      <c r="F617" s="537">
        <f>IF(avgkvp="TBD",avgkvp,$S$470)</f>
        <v>3.4</v>
      </c>
      <c r="G617" s="322">
        <f t="shared" si="115"/>
        <v>110</v>
      </c>
      <c r="H617" s="348">
        <f t="shared" si="115"/>
        <v>4.3127272727272734</v>
      </c>
      <c r="I617" s="317">
        <f t="shared" si="115"/>
        <v>3.8</v>
      </c>
      <c r="J617" s="395">
        <f t="shared" si="115"/>
        <v>4.8</v>
      </c>
      <c r="K617" s="67"/>
      <c r="L617" s="682" t="s">
        <v>336</v>
      </c>
      <c r="M617" s="1279" t="s">
        <v>889</v>
      </c>
      <c r="N617" s="1278"/>
      <c r="O617" s="1167"/>
      <c r="P617" s="1167"/>
      <c r="Q617" s="1167"/>
      <c r="R617" s="1167"/>
      <c r="S617" s="341"/>
      <c r="T617" s="341"/>
      <c r="U617" s="49"/>
      <c r="V617" s="49"/>
      <c r="W617" s="67"/>
      <c r="X617" s="668" t="s">
        <v>336</v>
      </c>
    </row>
    <row r="618" spans="1:24" ht="11.25" customHeight="1">
      <c r="A618" s="604">
        <v>24</v>
      </c>
      <c r="B618" s="136"/>
      <c r="C618" s="324"/>
      <c r="D618" s="538"/>
      <c r="E618" s="324"/>
      <c r="F618" s="324"/>
      <c r="G618" s="322">
        <f t="shared" si="115"/>
        <v>120</v>
      </c>
      <c r="H618" s="348">
        <f t="shared" si="115"/>
        <v>4.7381818181818192</v>
      </c>
      <c r="I618" s="317">
        <f t="shared" si="115"/>
        <v>4.2</v>
      </c>
      <c r="J618" s="395">
        <f t="shared" si="115"/>
        <v>5.2</v>
      </c>
      <c r="K618" s="67"/>
      <c r="L618" s="682" t="s">
        <v>336</v>
      </c>
      <c r="M618" s="1279"/>
      <c r="N618" s="1278"/>
      <c r="O618" s="1167"/>
      <c r="P618" s="1167"/>
      <c r="Q618" s="1167"/>
      <c r="R618" s="1167"/>
      <c r="S618" s="341"/>
      <c r="T618" s="341"/>
      <c r="U618" s="49"/>
      <c r="V618" s="49"/>
      <c r="W618" s="67"/>
      <c r="X618" s="668" t="s">
        <v>336</v>
      </c>
    </row>
    <row r="619" spans="1:24" ht="11.25" customHeight="1">
      <c r="A619" s="604">
        <v>25</v>
      </c>
      <c r="B619" s="136"/>
      <c r="C619" s="49"/>
      <c r="D619" s="49"/>
      <c r="E619" s="49"/>
      <c r="F619" s="49"/>
      <c r="G619" s="322">
        <f t="shared" si="115"/>
        <v>130</v>
      </c>
      <c r="H619" s="348">
        <f t="shared" si="115"/>
        <v>5.1636363636363649</v>
      </c>
      <c r="I619" s="317">
        <f t="shared" si="115"/>
        <v>4.5999999999999996</v>
      </c>
      <c r="J619" s="395">
        <f t="shared" si="115"/>
        <v>5.7</v>
      </c>
      <c r="K619" s="67"/>
      <c r="L619" s="682" t="s">
        <v>336</v>
      </c>
      <c r="M619" s="1279"/>
      <c r="N619" s="1278"/>
      <c r="O619" s="1167"/>
      <c r="P619" s="1167"/>
      <c r="Q619" s="1167"/>
      <c r="R619" s="1167"/>
      <c r="S619" s="341"/>
      <c r="T619" s="341"/>
      <c r="U619" s="49"/>
      <c r="V619" s="49"/>
      <c r="W619" s="67"/>
      <c r="X619" s="668" t="s">
        <v>336</v>
      </c>
    </row>
    <row r="620" spans="1:24" ht="11.25" customHeight="1">
      <c r="A620" s="604">
        <v>26</v>
      </c>
      <c r="B620" s="121" t="s">
        <v>417</v>
      </c>
      <c r="C620" s="799" t="str">
        <f>IF(O460="","",IF(LEN(O460)&lt;=135,O460,IF(LEN(O460)&lt;=260,LEFT(O460,SEARCH(" ",O460,125)),LEFT(O460,SEARCH(" ",O460,130)))))</f>
        <v/>
      </c>
      <c r="D620" s="2"/>
      <c r="E620" s="2"/>
      <c r="F620" s="2"/>
      <c r="G620" s="2"/>
      <c r="H620" s="2"/>
      <c r="I620" s="2"/>
      <c r="J620" s="2"/>
      <c r="K620" s="67"/>
      <c r="L620" s="682" t="s">
        <v>336</v>
      </c>
      <c r="M620" s="1184"/>
      <c r="N620" s="48" t="s">
        <v>890</v>
      </c>
      <c r="O620" s="1178" t="str">
        <f>IF(OR(O619="",O618="",O617=""),"",AVERAGE(O617:O619))</f>
        <v/>
      </c>
      <c r="P620" s="1178" t="str">
        <f>IF(OR(P619="",P618="",P617=""),"",AVERAGE(P617:P619))</f>
        <v/>
      </c>
      <c r="Q620" s="1178" t="str">
        <f>IF(OR(Q619="",Q618="",Q617=""),"",AVERAGE(Q617:Q619))</f>
        <v/>
      </c>
      <c r="R620" s="1178" t="str">
        <f>IF(OR(R619="",R618="",R617=""),"",AVERAGE(R617:R619))</f>
        <v/>
      </c>
      <c r="S620" s="341"/>
      <c r="T620" s="341"/>
      <c r="U620" s="49"/>
      <c r="V620" s="49"/>
      <c r="W620" s="67"/>
      <c r="X620" s="668" t="s">
        <v>336</v>
      </c>
    </row>
    <row r="621" spans="1:24" ht="11.25" customHeight="1">
      <c r="A621" s="604">
        <v>27</v>
      </c>
      <c r="B621" s="39"/>
      <c r="C621" s="800" t="str">
        <f>IF(LEN(O460)&lt;=135,"",IF(LEN(O460)&lt;=260,RIGHT(O460,LEN(O460)-SEARCH(" ",O460,125)),MID(O460,SEARCH(" ",O460,130),IF(LEN(O460)&lt;=265,LEN(O460),SEARCH(" ",O460,255)-SEARCH(" ",O460,130)))))</f>
        <v/>
      </c>
      <c r="D621" s="2"/>
      <c r="E621" s="2"/>
      <c r="F621" s="2"/>
      <c r="G621" s="2"/>
      <c r="H621" s="2"/>
      <c r="I621" s="2"/>
      <c r="J621" s="2"/>
      <c r="K621" s="67"/>
      <c r="L621" s="682" t="s">
        <v>336</v>
      </c>
      <c r="M621" s="1184"/>
      <c r="N621" s="48" t="s">
        <v>424</v>
      </c>
      <c r="O621" s="127" t="str">
        <f>IF(O620="","",IF(OR(ABS(O616-O620)&lt;=3,ABS(AVERAGE(O617:O619)-O616)/O616&lt;0.3),"Pass","Fail"))</f>
        <v/>
      </c>
      <c r="P621" s="127" t="str">
        <f t="shared" ref="P621:R621" si="116">IF(P620="","",IF(OR(ABS(P616-P620)&lt;=3,ABS(AVERAGE(P617:P619)-P616)/P616&lt;0.3),"Pass","Fail"))</f>
        <v/>
      </c>
      <c r="Q621" s="127" t="str">
        <f t="shared" si="116"/>
        <v/>
      </c>
      <c r="R621" s="127" t="str">
        <f t="shared" si="116"/>
        <v/>
      </c>
      <c r="S621" s="341"/>
      <c r="T621" s="341"/>
      <c r="U621" s="49"/>
      <c r="V621" s="49"/>
      <c r="W621" s="67"/>
      <c r="X621" s="668" t="s">
        <v>336</v>
      </c>
    </row>
    <row r="622" spans="1:24" ht="11.25" customHeight="1">
      <c r="A622" s="604">
        <v>28</v>
      </c>
      <c r="B622" s="39"/>
      <c r="C622" s="799" t="str">
        <f>IF(LEN(O460)&lt;=265,"",RIGHT(O460,LEN(O460)-SEARCH(" ",O460,255)))</f>
        <v/>
      </c>
      <c r="D622" s="2"/>
      <c r="E622" s="2"/>
      <c r="F622" s="2"/>
      <c r="G622" s="2"/>
      <c r="H622" s="2"/>
      <c r="I622" s="2"/>
      <c r="J622" s="2"/>
      <c r="K622" s="67"/>
      <c r="L622" s="682" t="s">
        <v>336</v>
      </c>
      <c r="M622" s="136"/>
      <c r="N622" s="143" t="s">
        <v>425</v>
      </c>
      <c r="O622" s="341" t="s">
        <v>886</v>
      </c>
      <c r="P622" s="49"/>
      <c r="Q622" s="49"/>
      <c r="R622" s="49"/>
      <c r="S622" s="49"/>
      <c r="T622" s="49"/>
      <c r="U622" s="49"/>
      <c r="V622" s="49"/>
      <c r="W622" s="67"/>
      <c r="X622" s="668" t="s">
        <v>336</v>
      </c>
    </row>
    <row r="623" spans="1:24" ht="11.25" customHeight="1" thickBot="1">
      <c r="A623" s="604">
        <v>29</v>
      </c>
      <c r="B623" s="337"/>
      <c r="C623" s="439"/>
      <c r="D623" s="439"/>
      <c r="E623" s="439"/>
      <c r="F623" s="440"/>
      <c r="G623" s="80"/>
      <c r="H623" s="439"/>
      <c r="I623" s="439"/>
      <c r="J623" s="439"/>
      <c r="K623" s="441"/>
      <c r="L623" s="682" t="s">
        <v>336</v>
      </c>
      <c r="M623" s="136"/>
      <c r="N623" s="49"/>
      <c r="O623" s="49"/>
      <c r="P623" s="49"/>
      <c r="Q623" s="49"/>
      <c r="R623" s="49"/>
      <c r="S623" s="49"/>
      <c r="T623" s="49"/>
      <c r="U623" s="49"/>
      <c r="V623" s="49"/>
      <c r="W623" s="67"/>
      <c r="X623" s="668" t="s">
        <v>336</v>
      </c>
    </row>
    <row r="624" spans="1:24" ht="11.25" customHeight="1" thickTop="1">
      <c r="A624" s="604">
        <v>30</v>
      </c>
      <c r="B624" s="167"/>
      <c r="D624" s="36"/>
      <c r="E624" s="36"/>
      <c r="F624" s="36"/>
      <c r="G624" s="36"/>
      <c r="H624" s="36"/>
      <c r="I624" s="36"/>
      <c r="J624" s="36"/>
      <c r="K624" s="438"/>
      <c r="L624" s="682" t="s">
        <v>336</v>
      </c>
      <c r="M624" s="1182" t="s">
        <v>891</v>
      </c>
      <c r="N624" s="1185"/>
      <c r="O624" s="49"/>
      <c r="P624" s="49"/>
      <c r="Q624" s="49"/>
      <c r="R624" s="49"/>
      <c r="S624" s="49"/>
      <c r="T624" s="49"/>
      <c r="U624" s="49"/>
      <c r="V624" s="49"/>
      <c r="W624" s="67"/>
      <c r="X624" s="668" t="s">
        <v>336</v>
      </c>
    </row>
    <row r="625" spans="1:24" ht="11.25" customHeight="1">
      <c r="A625" s="604">
        <v>31</v>
      </c>
      <c r="B625" s="1188" t="s">
        <v>994</v>
      </c>
      <c r="C625" s="1233"/>
      <c r="D625" s="1233"/>
      <c r="E625" s="1233"/>
      <c r="F625" s="1179"/>
      <c r="H625" s="1179" t="s">
        <v>774</v>
      </c>
      <c r="I625" s="49"/>
      <c r="J625" s="49"/>
      <c r="K625" s="67"/>
      <c r="L625" s="682" t="s">
        <v>336</v>
      </c>
      <c r="M625" s="610"/>
      <c r="N625" s="341" t="s">
        <v>892</v>
      </c>
      <c r="O625" s="49"/>
      <c r="P625" s="49"/>
      <c r="Q625" s="49"/>
      <c r="R625" s="49"/>
      <c r="S625" s="49"/>
      <c r="T625" s="49"/>
      <c r="U625" s="49"/>
      <c r="V625" s="49"/>
      <c r="W625" s="67"/>
      <c r="X625" s="668" t="s">
        <v>336</v>
      </c>
    </row>
    <row r="626" spans="1:24" ht="11.25" customHeight="1">
      <c r="A626" s="604">
        <v>32</v>
      </c>
      <c r="B626" s="129"/>
      <c r="E626" s="1280" t="s">
        <v>938</v>
      </c>
      <c r="F626" s="1280" t="s">
        <v>939</v>
      </c>
      <c r="H626" s="49"/>
      <c r="I626" s="97" t="s">
        <v>783</v>
      </c>
      <c r="K626" s="67"/>
      <c r="L626" s="682" t="s">
        <v>336</v>
      </c>
      <c r="M626" s="136"/>
      <c r="N626" s="49"/>
      <c r="O626" s="49"/>
      <c r="P626" s="49"/>
      <c r="Q626" s="49"/>
      <c r="R626" s="49"/>
      <c r="S626" s="49"/>
      <c r="T626" s="49"/>
      <c r="U626" s="49"/>
      <c r="V626" s="49"/>
      <c r="W626" s="67"/>
      <c r="X626" s="668" t="s">
        <v>336</v>
      </c>
    </row>
    <row r="627" spans="1:24" ht="11.25" customHeight="1">
      <c r="A627" s="604">
        <v>33</v>
      </c>
      <c r="B627" s="1189" t="s">
        <v>727</v>
      </c>
      <c r="C627" s="127" t="s">
        <v>771</v>
      </c>
      <c r="D627" s="127" t="s">
        <v>772</v>
      </c>
      <c r="E627" s="1281"/>
      <c r="F627" s="1282"/>
      <c r="H627" s="48" t="s">
        <v>775</v>
      </c>
      <c r="I627" s="1180" t="str">
        <f t="shared" ref="I627:I634" si="117">IF(S542="","",S542)</f>
        <v/>
      </c>
      <c r="K627" s="67"/>
      <c r="L627" s="682" t="s">
        <v>336</v>
      </c>
      <c r="M627" s="1182" t="s">
        <v>893</v>
      </c>
      <c r="N627" s="97"/>
      <c r="O627" s="97"/>
      <c r="P627" s="97"/>
      <c r="Q627" s="97"/>
      <c r="R627" s="97"/>
      <c r="S627" s="97"/>
      <c r="T627" s="97"/>
      <c r="U627" s="97"/>
      <c r="V627" s="97"/>
      <c r="W627" s="82"/>
      <c r="X627" s="668" t="s">
        <v>336</v>
      </c>
    </row>
    <row r="628" spans="1:24" ht="11.25" customHeight="1">
      <c r="A628" s="604">
        <v>34</v>
      </c>
      <c r="B628" s="1189" t="s">
        <v>728</v>
      </c>
      <c r="C628" s="127">
        <v>11.1</v>
      </c>
      <c r="D628" s="1005">
        <f t="shared" ref="D628:D639" si="118">SQRT(PI()*(C628/2)^2)</f>
        <v>9.8371188725256129</v>
      </c>
      <c r="E628" s="1142" t="str">
        <f t="shared" ref="E628:E639" si="119">IF(N546="","",HLOOKUP(N546,TO16Values,MATCH($M546,TO16Group,0)))</f>
        <v/>
      </c>
      <c r="F628" s="1005" t="str">
        <f>IF(E628="","",IF(ISNA(E628),NA(),1/(E628*Tables!C128)))</f>
        <v/>
      </c>
      <c r="H628" s="48" t="s">
        <v>776</v>
      </c>
      <c r="I628" s="1180" t="str">
        <f t="shared" si="117"/>
        <v/>
      </c>
      <c r="K628" s="67"/>
      <c r="L628" s="682" t="s">
        <v>336</v>
      </c>
      <c r="M628" s="1186" t="s">
        <v>430</v>
      </c>
      <c r="N628" s="1187">
        <v>80</v>
      </c>
      <c r="O628" s="1187">
        <v>100</v>
      </c>
      <c r="P628" s="1187">
        <v>110</v>
      </c>
      <c r="Q628" s="1187">
        <v>120</v>
      </c>
      <c r="R628" s="1187">
        <v>130</v>
      </c>
      <c r="S628" s="1187">
        <v>140</v>
      </c>
      <c r="T628" s="97"/>
      <c r="U628" s="97"/>
      <c r="V628" s="97" t="s">
        <v>894</v>
      </c>
      <c r="W628" s="82"/>
      <c r="X628" s="668" t="s">
        <v>336</v>
      </c>
    </row>
    <row r="629" spans="1:24" ht="11.25" customHeight="1">
      <c r="A629" s="604">
        <v>35</v>
      </c>
      <c r="B629" s="1189" t="s">
        <v>729</v>
      </c>
      <c r="C629" s="127">
        <v>8</v>
      </c>
      <c r="D629" s="1005">
        <f t="shared" si="118"/>
        <v>7.0898154036220635</v>
      </c>
      <c r="E629" s="1142" t="str">
        <f t="shared" si="119"/>
        <v/>
      </c>
      <c r="F629" s="1005" t="str">
        <f>IF(E629="","",IF(ISNA(E629),NA(),1/(E629*Tables!C129)))</f>
        <v/>
      </c>
      <c r="H629" s="48" t="s">
        <v>777</v>
      </c>
      <c r="I629" s="1180" t="str">
        <f t="shared" si="117"/>
        <v/>
      </c>
      <c r="J629" s="49"/>
      <c r="K629" s="67"/>
      <c r="L629" s="682" t="s">
        <v>336</v>
      </c>
      <c r="M629" s="1186" t="s">
        <v>432</v>
      </c>
      <c r="N629" s="1167"/>
      <c r="O629" s="1167"/>
      <c r="P629" s="1167"/>
      <c r="Q629" s="1167"/>
      <c r="R629" s="1167"/>
      <c r="S629" s="1167"/>
      <c r="T629" s="97"/>
      <c r="U629" s="97"/>
      <c r="V629" s="97" t="s">
        <v>76</v>
      </c>
      <c r="W629" s="82" t="s">
        <v>270</v>
      </c>
      <c r="X629" s="668" t="s">
        <v>336</v>
      </c>
    </row>
    <row r="630" spans="1:24" ht="11.25" customHeight="1">
      <c r="A630" s="604">
        <v>36</v>
      </c>
      <c r="B630" s="1189" t="s">
        <v>730</v>
      </c>
      <c r="C630" s="127">
        <v>5.6</v>
      </c>
      <c r="D630" s="1005">
        <f t="shared" si="118"/>
        <v>4.9628707825354441</v>
      </c>
      <c r="E630" s="1142" t="str">
        <f t="shared" si="119"/>
        <v/>
      </c>
      <c r="F630" s="1005" t="str">
        <f>IF(E630="","",IF(ISNA(E630),NA(),1/(E630*Tables!C130)))</f>
        <v/>
      </c>
      <c r="H630" s="48" t="s">
        <v>778</v>
      </c>
      <c r="I630" s="1180" t="str">
        <f t="shared" si="117"/>
        <v/>
      </c>
      <c r="J630" s="49"/>
      <c r="K630" s="67"/>
      <c r="L630" s="682" t="s">
        <v>336</v>
      </c>
      <c r="M630" s="1186" t="s">
        <v>976</v>
      </c>
      <c r="N630" s="1167"/>
      <c r="O630" s="1167"/>
      <c r="P630" s="1167"/>
      <c r="Q630" s="1167"/>
      <c r="R630" s="1167"/>
      <c r="S630" s="1167"/>
      <c r="T630" s="97"/>
      <c r="U630" s="97" t="s">
        <v>895</v>
      </c>
      <c r="V630" s="97">
        <v>-107</v>
      </c>
      <c r="W630" s="82">
        <v>-84</v>
      </c>
      <c r="X630" s="668" t="s">
        <v>336</v>
      </c>
    </row>
    <row r="631" spans="1:24" ht="11.25" customHeight="1">
      <c r="A631" s="604">
        <v>37</v>
      </c>
      <c r="B631" s="1189" t="s">
        <v>724</v>
      </c>
      <c r="C631" s="127">
        <v>4</v>
      </c>
      <c r="D631" s="1005">
        <f t="shared" si="118"/>
        <v>3.5449077018110318</v>
      </c>
      <c r="E631" s="1142" t="str">
        <f t="shared" si="119"/>
        <v/>
      </c>
      <c r="F631" s="1005" t="str">
        <f>IF(E631="","",IF(ISNA(E631),NA(),1/(E631*Tables!C131)))</f>
        <v/>
      </c>
      <c r="H631" s="48" t="s">
        <v>779</v>
      </c>
      <c r="I631" s="1180" t="str">
        <f t="shared" si="117"/>
        <v/>
      </c>
      <c r="J631" s="36"/>
      <c r="K631" s="438"/>
      <c r="L631" s="682" t="s">
        <v>336</v>
      </c>
      <c r="M631" s="1186" t="s">
        <v>977</v>
      </c>
      <c r="N631" s="1167"/>
      <c r="O631" s="1167"/>
      <c r="P631" s="1167"/>
      <c r="Q631" s="1167"/>
      <c r="R631" s="1167"/>
      <c r="S631" s="1167"/>
      <c r="T631" s="97"/>
      <c r="U631" s="97" t="s">
        <v>896</v>
      </c>
      <c r="V631" s="97">
        <v>-7</v>
      </c>
      <c r="W631" s="82">
        <v>7</v>
      </c>
      <c r="X631" s="668" t="s">
        <v>336</v>
      </c>
    </row>
    <row r="632" spans="1:24" ht="11.25" customHeight="1">
      <c r="A632" s="604">
        <v>38</v>
      </c>
      <c r="B632" s="1189" t="s">
        <v>731</v>
      </c>
      <c r="C632" s="127">
        <v>2.8</v>
      </c>
      <c r="D632" s="1005">
        <f t="shared" si="118"/>
        <v>2.4814353912677221</v>
      </c>
      <c r="E632" s="1142" t="str">
        <f t="shared" si="119"/>
        <v/>
      </c>
      <c r="F632" s="1005" t="str">
        <f>IF(E632="","",IF(ISNA(E632),NA(),1/(E632*Tables!C132)))</f>
        <v/>
      </c>
      <c r="H632" s="97" t="s">
        <v>780</v>
      </c>
      <c r="I632" s="1180" t="str">
        <f t="shared" si="117"/>
        <v/>
      </c>
      <c r="J632" s="49"/>
      <c r="K632" s="67"/>
      <c r="L632" s="682" t="s">
        <v>336</v>
      </c>
      <c r="M632" s="1186" t="s">
        <v>978</v>
      </c>
      <c r="N632" s="1167"/>
      <c r="O632" s="1167"/>
      <c r="P632" s="1167"/>
      <c r="Q632" s="1167"/>
      <c r="R632" s="1167"/>
      <c r="S632" s="1167"/>
      <c r="T632" s="97"/>
      <c r="U632" s="97" t="s">
        <v>898</v>
      </c>
      <c r="V632" s="97">
        <v>110</v>
      </c>
      <c r="W632" s="82">
        <v>135</v>
      </c>
      <c r="X632" s="668" t="s">
        <v>336</v>
      </c>
    </row>
    <row r="633" spans="1:24" ht="11.25" customHeight="1">
      <c r="A633" s="604">
        <v>39</v>
      </c>
      <c r="B633" s="1189" t="s">
        <v>732</v>
      </c>
      <c r="C633" s="127">
        <v>2</v>
      </c>
      <c r="D633" s="1005">
        <f t="shared" si="118"/>
        <v>1.7724538509055159</v>
      </c>
      <c r="E633" s="1142" t="str">
        <f t="shared" si="119"/>
        <v/>
      </c>
      <c r="F633" s="1005" t="str">
        <f>IF(E633="","",IF(ISNA(E633),NA(),1/(E633*Tables!C133)))</f>
        <v/>
      </c>
      <c r="H633" s="1149" t="s">
        <v>781</v>
      </c>
      <c r="I633" s="1238" t="str">
        <f t="shared" si="117"/>
        <v/>
      </c>
      <c r="J633" s="49"/>
      <c r="K633" s="67"/>
      <c r="L633" s="682" t="s">
        <v>336</v>
      </c>
      <c r="M633" s="1186" t="s">
        <v>979</v>
      </c>
      <c r="N633" s="1167"/>
      <c r="O633" s="1167"/>
      <c r="P633" s="1167"/>
      <c r="Q633" s="1167"/>
      <c r="R633" s="1167"/>
      <c r="S633" s="1167"/>
      <c r="T633" s="97"/>
      <c r="U633" s="97" t="s">
        <v>899</v>
      </c>
      <c r="V633" s="97">
        <v>850</v>
      </c>
      <c r="W633" s="82">
        <v>970</v>
      </c>
      <c r="X633" s="668" t="s">
        <v>336</v>
      </c>
    </row>
    <row r="634" spans="1:24" ht="11.25" customHeight="1">
      <c r="A634" s="604">
        <v>40</v>
      </c>
      <c r="B634" s="1189" t="s">
        <v>733</v>
      </c>
      <c r="C634" s="127">
        <v>1.4</v>
      </c>
      <c r="D634" s="1005">
        <f t="shared" si="118"/>
        <v>1.240717695633861</v>
      </c>
      <c r="E634" s="1142" t="str">
        <f t="shared" si="119"/>
        <v/>
      </c>
      <c r="F634" s="1005" t="str">
        <f>IF(E634="","",IF(ISNA(E634),NA(),1/(E634*Tables!C134)))</f>
        <v/>
      </c>
      <c r="H634" s="1149" t="s">
        <v>424</v>
      </c>
      <c r="I634" s="1180" t="str">
        <f t="shared" si="117"/>
        <v/>
      </c>
      <c r="J634" s="49"/>
      <c r="K634" s="67"/>
      <c r="L634" s="682" t="s">
        <v>336</v>
      </c>
      <c r="M634" s="1186" t="s">
        <v>980</v>
      </c>
      <c r="N634" s="1167"/>
      <c r="O634" s="1167"/>
      <c r="P634" s="1167"/>
      <c r="Q634" s="1167"/>
      <c r="R634" s="1167"/>
      <c r="S634" s="1167"/>
      <c r="T634" s="97"/>
      <c r="U634" s="97" t="s">
        <v>900</v>
      </c>
      <c r="V634" s="97">
        <v>-1005</v>
      </c>
      <c r="W634" s="82">
        <v>-970</v>
      </c>
      <c r="X634" s="668" t="s">
        <v>336</v>
      </c>
    </row>
    <row r="635" spans="1:24" ht="11.25" customHeight="1">
      <c r="A635" s="604">
        <v>41</v>
      </c>
      <c r="B635" s="1189" t="s">
        <v>734</v>
      </c>
      <c r="C635" s="127">
        <v>1</v>
      </c>
      <c r="D635" s="1005">
        <f t="shared" si="118"/>
        <v>0.88622692545275794</v>
      </c>
      <c r="E635" s="1142" t="str">
        <f t="shared" si="119"/>
        <v/>
      </c>
      <c r="F635" s="1005" t="str">
        <f>IF(E635="","",IF(ISNA(E635),NA(),1/(E635*Tables!C135)))</f>
        <v/>
      </c>
      <c r="G635" s="49"/>
      <c r="H635" s="49"/>
      <c r="I635" s="49"/>
      <c r="J635" s="49"/>
      <c r="K635" s="67"/>
      <c r="L635" s="682" t="s">
        <v>336</v>
      </c>
      <c r="M635" s="1186" t="s">
        <v>981</v>
      </c>
      <c r="N635" s="1167"/>
      <c r="O635" s="1167"/>
      <c r="P635" s="1167"/>
      <c r="Q635" s="1167"/>
      <c r="R635" s="1167"/>
      <c r="S635" s="1167"/>
      <c r="T635" s="97"/>
      <c r="U635" s="97"/>
      <c r="V635" s="97"/>
      <c r="W635" s="82"/>
      <c r="X635" s="668" t="s">
        <v>336</v>
      </c>
    </row>
    <row r="636" spans="1:24" ht="11.25" customHeight="1">
      <c r="A636" s="604">
        <v>42</v>
      </c>
      <c r="B636" s="1189" t="s">
        <v>735</v>
      </c>
      <c r="C636" s="127">
        <v>0.7</v>
      </c>
      <c r="D636" s="1005">
        <f t="shared" si="118"/>
        <v>0.62035884781693051</v>
      </c>
      <c r="E636" s="1142" t="str">
        <f t="shared" si="119"/>
        <v/>
      </c>
      <c r="F636" s="1005" t="str">
        <f>IF(E636="","",IF(ISNA(E636),NA(),1/(E636*Tables!C136)))</f>
        <v/>
      </c>
      <c r="G636" s="49"/>
      <c r="H636" s="49"/>
      <c r="I636" s="49"/>
      <c r="J636" s="49"/>
      <c r="K636" s="67"/>
      <c r="L636" s="682" t="s">
        <v>336</v>
      </c>
      <c r="M636" s="62"/>
      <c r="N636" s="97"/>
      <c r="O636" s="97"/>
      <c r="P636" s="48" t="s">
        <v>424</v>
      </c>
      <c r="Q636" s="1167"/>
      <c r="R636" s="341" t="s">
        <v>428</v>
      </c>
      <c r="S636" s="97"/>
      <c r="T636" s="97"/>
      <c r="U636" s="97"/>
      <c r="V636" s="97"/>
      <c r="W636" s="82"/>
      <c r="X636" s="668" t="s">
        <v>336</v>
      </c>
    </row>
    <row r="637" spans="1:24" ht="11.25" customHeight="1">
      <c r="A637" s="604">
        <v>43</v>
      </c>
      <c r="B637" s="1189" t="s">
        <v>736</v>
      </c>
      <c r="C637" s="127">
        <v>0.5</v>
      </c>
      <c r="D637" s="1005">
        <f t="shared" si="118"/>
        <v>0.44311346272637897</v>
      </c>
      <c r="E637" s="1142" t="str">
        <f t="shared" si="119"/>
        <v/>
      </c>
      <c r="F637" s="1005" t="str">
        <f>IF(E637="","",IF(ISNA(E637),NA(),1/(E637*Tables!C137)))</f>
        <v/>
      </c>
      <c r="G637" s="49"/>
      <c r="H637" s="49"/>
      <c r="I637" s="49"/>
      <c r="J637" s="49"/>
      <c r="K637" s="67"/>
      <c r="L637" s="682" t="s">
        <v>336</v>
      </c>
      <c r="M637" s="62"/>
      <c r="N637" s="143" t="s">
        <v>901</v>
      </c>
      <c r="O637" s="341" t="s">
        <v>902</v>
      </c>
      <c r="P637" s="97"/>
      <c r="Q637" s="97"/>
      <c r="R637" s="97"/>
      <c r="S637" s="97"/>
      <c r="T637" s="97"/>
      <c r="U637" s="97"/>
      <c r="V637" s="97"/>
      <c r="W637" s="82"/>
      <c r="X637" s="668" t="s">
        <v>336</v>
      </c>
    </row>
    <row r="638" spans="1:24" ht="11.25" customHeight="1">
      <c r="A638" s="604">
        <v>44</v>
      </c>
      <c r="B638" s="1189" t="s">
        <v>737</v>
      </c>
      <c r="C638" s="127">
        <v>0.35</v>
      </c>
      <c r="D638" s="1005">
        <f t="shared" si="118"/>
        <v>0.31017942390846526</v>
      </c>
      <c r="E638" s="1142" t="str">
        <f t="shared" si="119"/>
        <v/>
      </c>
      <c r="F638" s="1005" t="str">
        <f>IF(E638="","",IF(ISNA(E638),NA(),1/(E638*Tables!C138)))</f>
        <v/>
      </c>
      <c r="G638" s="49"/>
      <c r="H638" s="49"/>
      <c r="I638" s="49"/>
      <c r="J638" s="49"/>
      <c r="K638" s="67"/>
      <c r="L638" s="682" t="s">
        <v>336</v>
      </c>
      <c r="M638" s="62"/>
      <c r="N638" s="97"/>
      <c r="O638" s="341" t="s">
        <v>903</v>
      </c>
      <c r="P638" s="97"/>
      <c r="Q638" s="97"/>
      <c r="R638" s="97"/>
      <c r="S638" s="97"/>
      <c r="T638" s="97"/>
      <c r="U638" s="97"/>
      <c r="V638" s="97"/>
      <c r="W638" s="82"/>
      <c r="X638" s="668" t="s">
        <v>336</v>
      </c>
    </row>
    <row r="639" spans="1:24" ht="11.25" customHeight="1">
      <c r="A639" s="604">
        <v>45</v>
      </c>
      <c r="B639" s="1189" t="s">
        <v>738</v>
      </c>
      <c r="C639" s="127">
        <v>0.25</v>
      </c>
      <c r="D639" s="1005">
        <f t="shared" si="118"/>
        <v>0.22155673136318949</v>
      </c>
      <c r="E639" s="1142" t="str">
        <f t="shared" si="119"/>
        <v/>
      </c>
      <c r="F639" s="1005" t="str">
        <f>IF(E639="","",IF(ISNA(E639),NA(),1/(E639*Tables!C139)))</f>
        <v/>
      </c>
      <c r="G639" s="49"/>
      <c r="H639" s="49"/>
      <c r="I639" s="49"/>
      <c r="J639" s="49"/>
      <c r="K639" s="67"/>
      <c r="L639" s="682" t="s">
        <v>336</v>
      </c>
      <c r="M639" s="136"/>
      <c r="N639" s="49"/>
      <c r="O639" s="49"/>
      <c r="P639" s="49"/>
      <c r="Q639" s="49"/>
      <c r="R639" s="49"/>
      <c r="S639" s="49"/>
      <c r="T639" s="49"/>
      <c r="U639" s="49"/>
      <c r="V639" s="49"/>
      <c r="W639" s="67"/>
      <c r="X639" s="668" t="s">
        <v>336</v>
      </c>
    </row>
    <row r="640" spans="1:24" ht="11.25" customHeight="1">
      <c r="A640" s="604">
        <v>46</v>
      </c>
      <c r="B640" s="1099"/>
      <c r="H640" s="49"/>
      <c r="I640" s="49"/>
      <c r="J640" s="49"/>
      <c r="K640" s="67"/>
      <c r="L640" s="682" t="s">
        <v>336</v>
      </c>
      <c r="M640" s="1182" t="s">
        <v>904</v>
      </c>
      <c r="N640" s="341"/>
      <c r="O640" s="341"/>
      <c r="P640" s="341"/>
      <c r="Q640" s="341"/>
      <c r="R640" s="341"/>
      <c r="S640" s="341"/>
      <c r="T640" s="49"/>
      <c r="U640" s="49"/>
      <c r="V640" s="49"/>
      <c r="W640" s="67"/>
      <c r="X640" s="668" t="s">
        <v>336</v>
      </c>
    </row>
    <row r="641" spans="1:25" ht="11.25" customHeight="1">
      <c r="A641" s="604">
        <v>47</v>
      </c>
      <c r="B641" s="136"/>
      <c r="H641" s="49"/>
      <c r="I641" s="49"/>
      <c r="J641" s="49"/>
      <c r="K641" s="67"/>
      <c r="L641" s="682" t="s">
        <v>336</v>
      </c>
      <c r="M641" s="121"/>
      <c r="N641" s="48" t="s">
        <v>905</v>
      </c>
      <c r="O641" s="1167"/>
      <c r="P641" s="1167"/>
      <c r="Q641" s="1167"/>
      <c r="R641" s="1167"/>
      <c r="S641" s="1167"/>
      <c r="T641" s="49"/>
      <c r="U641" s="49"/>
      <c r="V641" s="49"/>
      <c r="W641" s="67"/>
      <c r="X641" s="668" t="s">
        <v>336</v>
      </c>
    </row>
    <row r="642" spans="1:25" ht="11.25" customHeight="1">
      <c r="A642" s="604">
        <v>48</v>
      </c>
      <c r="B642" s="136"/>
      <c r="H642" s="49"/>
      <c r="I642" s="49"/>
      <c r="J642" s="49"/>
      <c r="K642" s="67"/>
      <c r="L642" s="682" t="s">
        <v>336</v>
      </c>
      <c r="M642" s="121"/>
      <c r="N642" s="48" t="s">
        <v>906</v>
      </c>
      <c r="O642" s="1167"/>
      <c r="P642" s="1167"/>
      <c r="Q642" s="1167"/>
      <c r="R642" s="1167"/>
      <c r="S642" s="1167"/>
      <c r="T642" s="49"/>
      <c r="U642" s="49"/>
      <c r="V642" s="49"/>
      <c r="W642" s="67"/>
      <c r="X642" s="668" t="s">
        <v>336</v>
      </c>
    </row>
    <row r="643" spans="1:25" ht="11.25" customHeight="1">
      <c r="A643" s="604">
        <v>49</v>
      </c>
      <c r="B643" s="136"/>
      <c r="H643" s="49"/>
      <c r="I643" s="49"/>
      <c r="J643" s="49"/>
      <c r="K643" s="67"/>
      <c r="L643" s="682" t="s">
        <v>336</v>
      </c>
      <c r="M643" s="121"/>
      <c r="N643" s="48" t="s">
        <v>907</v>
      </c>
      <c r="O643" s="1167"/>
      <c r="P643" s="1167"/>
      <c r="Q643" s="1167"/>
      <c r="R643" s="1167"/>
      <c r="S643" s="1167"/>
      <c r="T643" s="49"/>
      <c r="U643" s="49"/>
      <c r="V643" s="49"/>
      <c r="W643" s="67"/>
      <c r="X643" s="668" t="s">
        <v>336</v>
      </c>
    </row>
    <row r="644" spans="1:25" ht="11.25" customHeight="1">
      <c r="A644" s="604">
        <v>50</v>
      </c>
      <c r="B644" s="136"/>
      <c r="H644" s="49"/>
      <c r="I644" s="49"/>
      <c r="J644" s="49"/>
      <c r="K644" s="67"/>
      <c r="L644" s="682" t="s">
        <v>336</v>
      </c>
      <c r="M644" s="121"/>
      <c r="N644" s="48" t="s">
        <v>890</v>
      </c>
      <c r="O644" s="127" t="str">
        <f>IF(OR(O642="",O643=""),"",AVERAGE(O642:O643))</f>
        <v/>
      </c>
      <c r="P644" s="127" t="str">
        <f>IF(OR(P642="",P643=""),"",AVERAGE(P642:P643))</f>
        <v/>
      </c>
      <c r="Q644" s="127" t="str">
        <f>IF(OR(Q642="",Q643=""),"",AVERAGE(Q642:Q643))</f>
        <v/>
      </c>
      <c r="R644" s="127" t="str">
        <f>IF(OR(R642="",R643=""),"",AVERAGE(R642:R643))</f>
        <v/>
      </c>
      <c r="S644" s="127" t="str">
        <f>IF(OR(S642="",S643=""),"",AVERAGE(S642:S643))</f>
        <v/>
      </c>
      <c r="T644" s="49"/>
      <c r="U644" s="49"/>
      <c r="V644" s="49"/>
      <c r="W644" s="67"/>
      <c r="X644" s="668" t="s">
        <v>336</v>
      </c>
    </row>
    <row r="645" spans="1:25" ht="11.25" customHeight="1">
      <c r="A645" s="604">
        <v>51</v>
      </c>
      <c r="B645" s="136"/>
      <c r="C645" s="49"/>
      <c r="D645" s="49"/>
      <c r="E645" s="49"/>
      <c r="F645" s="49"/>
      <c r="G645" s="49"/>
      <c r="H645" s="49"/>
      <c r="I645" s="49"/>
      <c r="J645" s="49"/>
      <c r="K645" s="67"/>
      <c r="L645" s="682" t="s">
        <v>336</v>
      </c>
      <c r="M645" s="121"/>
      <c r="N645" s="48" t="s">
        <v>908</v>
      </c>
      <c r="O645" s="1167"/>
      <c r="P645" s="1167"/>
      <c r="Q645" s="1167"/>
      <c r="R645" s="1167"/>
      <c r="S645" s="1167"/>
      <c r="T645" s="49"/>
      <c r="U645" s="49"/>
      <c r="V645" s="49"/>
      <c r="W645" s="67"/>
      <c r="X645" s="668" t="s">
        <v>336</v>
      </c>
    </row>
    <row r="646" spans="1:25" ht="11.25" customHeight="1">
      <c r="A646" s="604">
        <v>52</v>
      </c>
      <c r="B646" s="136"/>
      <c r="C646" s="49"/>
      <c r="D646" s="49"/>
      <c r="E646" s="49"/>
      <c r="F646" s="49"/>
      <c r="G646" s="49"/>
      <c r="H646" s="49"/>
      <c r="I646" s="49"/>
      <c r="J646" s="49"/>
      <c r="K646" s="67"/>
      <c r="L646" s="682" t="s">
        <v>336</v>
      </c>
      <c r="M646" s="121"/>
      <c r="N646" s="48" t="s">
        <v>909</v>
      </c>
      <c r="O646" s="1167"/>
      <c r="P646" s="1167"/>
      <c r="Q646" s="1167"/>
      <c r="R646" s="1167"/>
      <c r="S646" s="1167"/>
      <c r="T646" s="49"/>
      <c r="U646" s="49"/>
      <c r="V646" s="49"/>
      <c r="W646" s="67"/>
      <c r="X646" s="668" t="s">
        <v>336</v>
      </c>
      <c r="Y646" s="443"/>
    </row>
    <row r="647" spans="1:25" ht="11.25" customHeight="1">
      <c r="A647" s="604">
        <v>53</v>
      </c>
      <c r="B647" s="136"/>
      <c r="C647" s="49"/>
      <c r="D647" s="49"/>
      <c r="E647" s="49"/>
      <c r="F647" s="49"/>
      <c r="G647" s="49"/>
      <c r="H647" s="49"/>
      <c r="I647" s="49"/>
      <c r="J647" s="49"/>
      <c r="K647" s="67"/>
      <c r="L647" s="682" t="s">
        <v>336</v>
      </c>
      <c r="M647" s="1184"/>
      <c r="N647" s="48" t="s">
        <v>424</v>
      </c>
      <c r="O647" s="127" t="str">
        <f>IF(OR(O644="",O645=""),"",IF(AND(ABS(O644-O641)&lt;=1.5,ABS(O645)&lt;=5),"Pass","Fail"))</f>
        <v/>
      </c>
      <c r="P647" s="127" t="str">
        <f>IF(OR(P644="",P645=""),"",IF(AND(ABS(P644-P641)&lt;=1.5,ABS(P645)&lt;=5),"Pass","Fail"))</f>
        <v/>
      </c>
      <c r="Q647" s="127" t="str">
        <f>IF(OR(Q644="",Q645=""),"",IF(AND(ABS(Q644-Q641)&lt;=1.5,ABS(Q645)&lt;=5),"Pass","Fail"))</f>
        <v/>
      </c>
      <c r="R647" s="127" t="str">
        <f>IF(OR(R644="",R645=""),"",IF(AND(ABS(R644-R641)&lt;=1.5,ABS(R645)&lt;=5),"Pass","Fail"))</f>
        <v/>
      </c>
      <c r="S647" s="127" t="str">
        <f>IF(OR(S644="",S645=""),"",IF(AND(ABS(S644-S641)&lt;=1.5,ABS(S645)&lt;=5),"Pass","Fail"))</f>
        <v/>
      </c>
      <c r="T647" s="49"/>
      <c r="U647" s="49"/>
      <c r="V647" s="49"/>
      <c r="W647" s="67"/>
      <c r="X647" s="668" t="s">
        <v>336</v>
      </c>
      <c r="Y647" s="443"/>
    </row>
    <row r="648" spans="1:25" ht="11.25" customHeight="1">
      <c r="A648" s="604">
        <v>54</v>
      </c>
      <c r="B648" s="136"/>
      <c r="C648" s="49"/>
      <c r="D648" s="49"/>
      <c r="E648" s="49"/>
      <c r="F648" s="49"/>
      <c r="G648" s="49"/>
      <c r="H648" s="49"/>
      <c r="I648" s="49"/>
      <c r="J648" s="49"/>
      <c r="K648" s="67"/>
      <c r="L648" s="682" t="s">
        <v>336</v>
      </c>
      <c r="M648" s="1184"/>
      <c r="N648" s="341"/>
      <c r="O648" s="143" t="s">
        <v>425</v>
      </c>
      <c r="P648" s="341" t="s">
        <v>910</v>
      </c>
      <c r="Q648" s="341"/>
      <c r="R648" s="341"/>
      <c r="S648" s="341"/>
      <c r="T648" s="49"/>
      <c r="U648" s="49"/>
      <c r="V648" s="49"/>
      <c r="W648" s="67"/>
      <c r="X648" s="668" t="s">
        <v>336</v>
      </c>
      <c r="Y648" s="443"/>
    </row>
    <row r="649" spans="1:25" ht="11.25" customHeight="1">
      <c r="A649" s="604">
        <v>55</v>
      </c>
      <c r="B649" s="136"/>
      <c r="C649" s="49"/>
      <c r="D649" s="49"/>
      <c r="E649" s="49"/>
      <c r="F649" s="49"/>
      <c r="G649" s="49"/>
      <c r="H649" s="49"/>
      <c r="I649" s="49"/>
      <c r="J649" s="49"/>
      <c r="K649" s="67"/>
      <c r="L649" s="682" t="s">
        <v>336</v>
      </c>
      <c r="M649" s="1184"/>
      <c r="N649" s="341"/>
      <c r="O649" s="341"/>
      <c r="P649" s="341" t="s">
        <v>911</v>
      </c>
      <c r="Q649" s="341"/>
      <c r="R649" s="341"/>
      <c r="S649" s="341"/>
      <c r="T649" s="49"/>
      <c r="U649" s="49"/>
      <c r="V649" s="49"/>
      <c r="W649" s="67"/>
      <c r="X649" s="668" t="s">
        <v>336</v>
      </c>
      <c r="Y649" s="443"/>
    </row>
    <row r="650" spans="1:25" ht="11.25" customHeight="1">
      <c r="A650" s="604">
        <v>56</v>
      </c>
      <c r="B650" s="136"/>
      <c r="C650" s="49"/>
      <c r="D650" s="49"/>
      <c r="E650" s="49"/>
      <c r="F650" s="49"/>
      <c r="G650" s="49"/>
      <c r="H650" s="49"/>
      <c r="I650" s="49"/>
      <c r="J650" s="49"/>
      <c r="K650" s="67"/>
      <c r="L650" s="682" t="s">
        <v>336</v>
      </c>
      <c r="M650" s="136"/>
      <c r="N650" s="49"/>
      <c r="O650" s="49"/>
      <c r="P650" s="49"/>
      <c r="Q650" s="49"/>
      <c r="R650" s="49"/>
      <c r="S650" s="49"/>
      <c r="T650" s="49"/>
      <c r="U650" s="49"/>
      <c r="V650" s="49"/>
      <c r="W650" s="67"/>
      <c r="X650" s="668" t="s">
        <v>336</v>
      </c>
      <c r="Y650" s="443"/>
    </row>
    <row r="651" spans="1:25" ht="11.25" customHeight="1">
      <c r="A651" s="604">
        <v>57</v>
      </c>
      <c r="B651" s="136"/>
      <c r="C651" s="49"/>
      <c r="D651" s="49"/>
      <c r="E651" s="49"/>
      <c r="F651" s="49"/>
      <c r="G651" s="49"/>
      <c r="H651" s="49"/>
      <c r="I651" s="49"/>
      <c r="J651" s="49"/>
      <c r="K651" s="67"/>
      <c r="L651" s="682" t="s">
        <v>336</v>
      </c>
      <c r="M651" s="1182" t="s">
        <v>912</v>
      </c>
      <c r="N651" s="341"/>
      <c r="O651" s="341"/>
      <c r="P651" s="341"/>
      <c r="Q651" s="341"/>
      <c r="R651" s="341"/>
      <c r="S651" s="341"/>
      <c r="T651" s="341"/>
      <c r="U651" s="341"/>
      <c r="V651" s="341"/>
      <c r="W651" s="1183"/>
      <c r="X651" s="668" t="s">
        <v>336</v>
      </c>
      <c r="Y651" s="443"/>
    </row>
    <row r="652" spans="1:25" ht="11.25" customHeight="1">
      <c r="A652" s="604">
        <v>58</v>
      </c>
      <c r="B652" s="136"/>
      <c r="C652" s="49"/>
      <c r="D652" s="49"/>
      <c r="E652" s="49"/>
      <c r="F652" s="49"/>
      <c r="G652" s="49"/>
      <c r="H652" s="49"/>
      <c r="I652" s="49"/>
      <c r="J652" s="49"/>
      <c r="K652" s="67"/>
      <c r="L652" s="682" t="s">
        <v>336</v>
      </c>
      <c r="M652" s="1184"/>
      <c r="N652" s="1090" t="s">
        <v>786</v>
      </c>
      <c r="O652" s="1090"/>
      <c r="R652" s="341"/>
      <c r="S652" s="341"/>
      <c r="T652" s="341"/>
      <c r="U652" s="341"/>
      <c r="V652" s="341"/>
      <c r="W652" s="1183"/>
      <c r="X652" s="668" t="s">
        <v>336</v>
      </c>
      <c r="Y652" s="443"/>
    </row>
    <row r="653" spans="1:25" ht="11.25" customHeight="1">
      <c r="A653" s="604">
        <v>59</v>
      </c>
      <c r="B653" s="136"/>
      <c r="C653" s="49"/>
      <c r="D653" s="49"/>
      <c r="E653" s="49"/>
      <c r="F653" s="49"/>
      <c r="G653" s="49"/>
      <c r="H653" s="49"/>
      <c r="I653" s="49"/>
      <c r="J653" s="49"/>
      <c r="K653" s="67"/>
      <c r="L653" s="682" t="s">
        <v>336</v>
      </c>
      <c r="M653" s="1184"/>
      <c r="N653" s="1090" t="s">
        <v>787</v>
      </c>
      <c r="O653" s="1090" t="s">
        <v>789</v>
      </c>
      <c r="R653" s="341"/>
      <c r="S653" s="341"/>
      <c r="T653" s="341" t="s">
        <v>913</v>
      </c>
      <c r="U653" s="341"/>
      <c r="V653" s="341"/>
      <c r="W653" s="1183"/>
      <c r="X653" s="668" t="s">
        <v>336</v>
      </c>
      <c r="Y653" s="443"/>
    </row>
    <row r="654" spans="1:25" ht="11.25" customHeight="1">
      <c r="A654" s="604">
        <v>60</v>
      </c>
      <c r="B654" s="136"/>
      <c r="C654" s="49"/>
      <c r="D654" s="49"/>
      <c r="E654" s="49"/>
      <c r="F654" s="49"/>
      <c r="G654" s="49"/>
      <c r="H654" s="49"/>
      <c r="I654" s="49"/>
      <c r="J654" s="49"/>
      <c r="K654" s="67"/>
      <c r="L654" s="682" t="s">
        <v>336</v>
      </c>
      <c r="M654" s="121" t="s">
        <v>914</v>
      </c>
      <c r="N654" s="1167"/>
      <c r="O654" s="1167"/>
      <c r="R654" s="341"/>
      <c r="S654" s="48" t="s">
        <v>915</v>
      </c>
      <c r="T654" s="1234"/>
      <c r="U654" s="49"/>
      <c r="V654" s="49"/>
      <c r="W654" s="1183"/>
      <c r="X654" s="668" t="s">
        <v>336</v>
      </c>
      <c r="Y654" s="443"/>
    </row>
    <row r="655" spans="1:25" ht="11.25" customHeight="1">
      <c r="A655" s="604">
        <v>61</v>
      </c>
      <c r="B655" s="136"/>
      <c r="C655" s="49"/>
      <c r="D655" s="49"/>
      <c r="E655" s="49"/>
      <c r="F655" s="49"/>
      <c r="G655" s="49"/>
      <c r="H655" s="49"/>
      <c r="I655" s="49"/>
      <c r="J655" s="49"/>
      <c r="K655" s="67"/>
      <c r="L655" s="682" t="s">
        <v>336</v>
      </c>
      <c r="M655" s="121" t="s">
        <v>173</v>
      </c>
      <c r="N655" s="1167"/>
      <c r="O655" s="1167"/>
      <c r="R655" s="341"/>
      <c r="S655" s="48" t="s">
        <v>424</v>
      </c>
      <c r="T655" s="127" t="str">
        <f>IF(T654=3,"NA",IF(OR(N658="",O658=""),"",IF(AND(N658&gt;=1,O658&gt;=1),"Pass","Fail")))</f>
        <v/>
      </c>
      <c r="U655" s="341"/>
      <c r="V655" s="341"/>
      <c r="W655" s="1183"/>
      <c r="X655" s="668" t="s">
        <v>336</v>
      </c>
      <c r="Y655" s="443"/>
    </row>
    <row r="656" spans="1:25" ht="11.25" customHeight="1">
      <c r="A656" s="604">
        <v>62</v>
      </c>
      <c r="B656" s="136"/>
      <c r="C656" s="49"/>
      <c r="D656" s="49"/>
      <c r="E656" s="49"/>
      <c r="F656" s="49"/>
      <c r="G656" s="49"/>
      <c r="H656" s="49"/>
      <c r="I656" s="49"/>
      <c r="J656" s="49"/>
      <c r="K656" s="67"/>
      <c r="L656" s="682" t="s">
        <v>336</v>
      </c>
      <c r="M656" s="121" t="s">
        <v>917</v>
      </c>
      <c r="N656" s="1167"/>
      <c r="O656" s="1167"/>
      <c r="R656" s="341"/>
      <c r="S656" s="143" t="s">
        <v>425</v>
      </c>
      <c r="T656" s="44" t="s">
        <v>916</v>
      </c>
      <c r="U656" s="341"/>
      <c r="V656" s="341"/>
      <c r="W656" s="1183"/>
      <c r="X656" s="668" t="s">
        <v>336</v>
      </c>
      <c r="Y656" s="443"/>
    </row>
    <row r="657" spans="1:25" ht="11.25" customHeight="1">
      <c r="A657" s="604">
        <v>63</v>
      </c>
      <c r="B657" s="136"/>
      <c r="C657" s="49"/>
      <c r="D657" s="49"/>
      <c r="E657" s="49"/>
      <c r="F657" s="49"/>
      <c r="G657" s="49"/>
      <c r="H657" s="49"/>
      <c r="I657" s="49"/>
      <c r="J657" s="49"/>
      <c r="K657" s="67"/>
      <c r="L657" s="682" t="s">
        <v>336</v>
      </c>
      <c r="M657" s="121" t="s">
        <v>919</v>
      </c>
      <c r="N657" s="127" t="str">
        <f>IF(OR(N654="",N655=""),"",N654-N655)</f>
        <v/>
      </c>
      <c r="O657" s="127" t="str">
        <f>IF(OR(O654="",O655=""),"",O654-O655)</f>
        <v/>
      </c>
      <c r="R657" s="341"/>
      <c r="S657" s="341"/>
      <c r="T657" s="341" t="s">
        <v>918</v>
      </c>
      <c r="U657" s="341"/>
      <c r="V657" s="341"/>
      <c r="W657" s="1183"/>
      <c r="X657" s="668" t="s">
        <v>336</v>
      </c>
      <c r="Y657" s="443"/>
    </row>
    <row r="658" spans="1:25" ht="11.25" customHeight="1" thickBot="1">
      <c r="A658" s="604">
        <v>64</v>
      </c>
      <c r="B658" s="98"/>
      <c r="C658" s="80"/>
      <c r="D658" s="80"/>
      <c r="E658" s="80"/>
      <c r="F658" s="80"/>
      <c r="G658" s="80"/>
      <c r="H658" s="80"/>
      <c r="I658" s="80"/>
      <c r="J658" s="80"/>
      <c r="K658" s="85"/>
      <c r="L658" s="682" t="s">
        <v>336</v>
      </c>
      <c r="M658" s="121" t="s">
        <v>920</v>
      </c>
      <c r="N658" s="1157" t="str">
        <f>IF(OR(N656="",N657=""),"",ABS(N657)/N656)</f>
        <v/>
      </c>
      <c r="O658" s="1157" t="str">
        <f>IF(OR(O656="",O657=""),"",ABS(O657)/O656)</f>
        <v/>
      </c>
      <c r="R658" s="341"/>
      <c r="S658" s="341"/>
      <c r="T658" s="341"/>
      <c r="U658" s="341"/>
      <c r="V658" s="341"/>
      <c r="W658" s="1183"/>
      <c r="X658" s="668" t="s">
        <v>336</v>
      </c>
      <c r="Y658" s="443"/>
    </row>
    <row r="659" spans="1:25" ht="11.25" customHeight="1" thickTop="1">
      <c r="A659" s="604">
        <v>65</v>
      </c>
      <c r="B659" s="46" t="str">
        <f t="array" ref="B659:C660">$B$65:$C$66</f>
        <v>Date:</v>
      </c>
      <c r="C659" s="1072" t="str">
        <v/>
      </c>
      <c r="D659" s="51"/>
      <c r="E659" s="122"/>
      <c r="F659" s="122"/>
      <c r="G659" s="122"/>
      <c r="H659" s="122"/>
      <c r="I659" s="46" t="str">
        <f t="array" ref="I659:J660">$I$65:$J$66</f>
        <v>Inspector:</v>
      </c>
      <c r="J659" s="401" t="str">
        <v>Eugene Mah</v>
      </c>
      <c r="L659" s="682" t="s">
        <v>336</v>
      </c>
      <c r="M659" s="1184"/>
      <c r="N659" s="341"/>
      <c r="O659" s="341"/>
      <c r="P659" s="341"/>
      <c r="Q659" s="341"/>
      <c r="R659" s="341"/>
      <c r="S659" s="341"/>
      <c r="T659" s="341"/>
      <c r="U659" s="341"/>
      <c r="V659" s="341"/>
      <c r="W659" s="1183"/>
      <c r="X659" s="668" t="s">
        <v>336</v>
      </c>
      <c r="Y659" s="443"/>
    </row>
    <row r="660" spans="1:25" ht="11.25" customHeight="1">
      <c r="A660" s="604">
        <v>66</v>
      </c>
      <c r="B660" s="46" t="str">
        <v>Room Number:</v>
      </c>
      <c r="C660" s="363" t="str">
        <v/>
      </c>
      <c r="D660" s="97"/>
      <c r="E660" s="122"/>
      <c r="F660" s="122"/>
      <c r="G660" s="122"/>
      <c r="H660" s="122"/>
      <c r="I660" s="46" t="str">
        <v>Survey ID:</v>
      </c>
      <c r="J660" s="910" t="str">
        <v/>
      </c>
      <c r="L660" s="682" t="s">
        <v>336</v>
      </c>
      <c r="M660" s="1182" t="s">
        <v>921</v>
      </c>
      <c r="N660" s="341"/>
      <c r="O660" s="341"/>
      <c r="P660" s="341"/>
      <c r="Q660" s="341"/>
      <c r="R660" s="341"/>
      <c r="S660" s="341"/>
      <c r="T660" s="341"/>
      <c r="U660" s="341"/>
      <c r="V660" s="341"/>
      <c r="W660" s="1183"/>
      <c r="X660" s="668" t="s">
        <v>336</v>
      </c>
      <c r="Y660" s="443"/>
    </row>
    <row r="661" spans="1:25" ht="11.25" customHeight="1">
      <c r="A661" s="604">
        <v>1</v>
      </c>
      <c r="B661" s="1"/>
      <c r="C661" s="1"/>
      <c r="D661" s="1"/>
      <c r="E661" s="1"/>
      <c r="F661" s="1"/>
      <c r="G661" s="1"/>
      <c r="H661" s="1"/>
      <c r="I661" s="1"/>
      <c r="J661" s="1"/>
      <c r="K661" s="142" t="str">
        <f>$F$2</f>
        <v>Medical University of South Carolina</v>
      </c>
      <c r="L661" s="682" t="s">
        <v>336</v>
      </c>
      <c r="M661" s="1184"/>
      <c r="N661" s="1090" t="s">
        <v>783</v>
      </c>
      <c r="O661" s="1090" t="s">
        <v>922</v>
      </c>
      <c r="P661" s="1090" t="s">
        <v>923</v>
      </c>
      <c r="Q661" s="1090" t="s">
        <v>924</v>
      </c>
      <c r="R661" s="1090" t="s">
        <v>444</v>
      </c>
      <c r="S661" s="341"/>
      <c r="T661" s="341"/>
      <c r="U661" s="341"/>
      <c r="V661" s="341"/>
      <c r="W661" s="1183"/>
      <c r="X661" s="668" t="s">
        <v>336</v>
      </c>
    </row>
    <row r="662" spans="1:25" ht="11.25" customHeight="1" thickBot="1">
      <c r="A662" s="604">
        <v>2</v>
      </c>
      <c r="B662" s="1"/>
      <c r="C662" s="1"/>
      <c r="D662" s="1"/>
      <c r="E662" s="1"/>
      <c r="F662" s="252" t="str">
        <f>$F$332</f>
        <v>Measurement Data</v>
      </c>
      <c r="G662" s="1"/>
      <c r="H662" s="1"/>
      <c r="I662" s="1"/>
      <c r="J662" s="1"/>
      <c r="K662" s="143" t="str">
        <f>$F$5</f>
        <v>Radiation Oncology IGRT Compliance Inspection</v>
      </c>
      <c r="L662" s="682" t="s">
        <v>336</v>
      </c>
      <c r="M662" s="121" t="s">
        <v>925</v>
      </c>
      <c r="N662" s="1167"/>
      <c r="O662" s="1167"/>
      <c r="P662" s="127" t="str">
        <f>IF(OR($N$662="",N662=""),"",ABS($N$662-N662))</f>
        <v/>
      </c>
      <c r="Q662" s="127" t="str">
        <f>IF(N662="","",ABS(AVERAGE($N$662:$N$666)-N662))</f>
        <v/>
      </c>
      <c r="R662" s="127" t="str">
        <f>IF(OR(P662="",Q662=""),"",IF(AND(P662&lt;5,Q662&lt;5),"Pass","Fail"))</f>
        <v/>
      </c>
      <c r="S662" s="341"/>
      <c r="T662" s="341"/>
      <c r="U662" s="341"/>
      <c r="V662" s="341"/>
      <c r="W662" s="1183"/>
      <c r="X662" s="668" t="s">
        <v>336</v>
      </c>
    </row>
    <row r="663" spans="1:25" ht="11.25" customHeight="1" thickTop="1">
      <c r="A663" s="604">
        <v>3</v>
      </c>
      <c r="B663" s="840" t="s">
        <v>226</v>
      </c>
      <c r="C663" s="58"/>
      <c r="D663" s="841"/>
      <c r="E663" s="291" t="s">
        <v>229</v>
      </c>
      <c r="F663" s="291" t="s">
        <v>457</v>
      </c>
      <c r="G663" s="841"/>
      <c r="H663" s="841"/>
      <c r="I663" s="58"/>
      <c r="J663" s="58"/>
      <c r="K663" s="76"/>
      <c r="L663" s="682" t="s">
        <v>336</v>
      </c>
      <c r="M663" s="121" t="s">
        <v>926</v>
      </c>
      <c r="N663" s="1167"/>
      <c r="O663" s="1167"/>
      <c r="P663" s="127" t="str">
        <f t="shared" ref="P663:P666" si="120">IF(OR($N$662="",N663=""),"",ABS($N$662-N663))</f>
        <v/>
      </c>
      <c r="Q663" s="127" t="str">
        <f t="shared" ref="Q663:Q666" si="121">IF(N663="","",ABS(AVERAGE($N$662:$N$666)-N663))</f>
        <v/>
      </c>
      <c r="R663" s="127" t="str">
        <f>IF(OR(P663="",Q663=""),"",IF(AND(P663&lt;5,Q663&lt;5),"Pass","Fail"))</f>
        <v/>
      </c>
      <c r="S663" s="341"/>
      <c r="T663" s="341"/>
      <c r="U663" s="341"/>
      <c r="V663" s="341"/>
      <c r="W663" s="1183"/>
      <c r="X663" s="668" t="s">
        <v>336</v>
      </c>
    </row>
    <row r="664" spans="1:25" ht="11.25" customHeight="1">
      <c r="A664" s="604">
        <v>4</v>
      </c>
      <c r="B664" s="136"/>
      <c r="C664" s="49"/>
      <c r="D664" s="84"/>
      <c r="E664" s="14" t="s">
        <v>653</v>
      </c>
      <c r="F664" s="3" t="s">
        <v>653</v>
      </c>
      <c r="G664" s="84"/>
      <c r="H664" s="84"/>
      <c r="I664" s="32"/>
      <c r="J664" s="3"/>
      <c r="K664" s="67"/>
      <c r="L664" s="682" t="s">
        <v>336</v>
      </c>
      <c r="M664" s="121" t="s">
        <v>927</v>
      </c>
      <c r="N664" s="1167"/>
      <c r="O664" s="1167"/>
      <c r="P664" s="127" t="str">
        <f t="shared" si="120"/>
        <v/>
      </c>
      <c r="Q664" s="127" t="str">
        <f t="shared" si="121"/>
        <v/>
      </c>
      <c r="R664" s="127" t="str">
        <f>IF(OR(P664="",Q664=""),"",IF(AND(P664&lt;5,Q664&lt;5),"Pass","Fail"))</f>
        <v/>
      </c>
      <c r="S664" s="341"/>
      <c r="T664" s="341"/>
      <c r="U664" s="341"/>
      <c r="V664" s="341"/>
      <c r="W664" s="1183"/>
      <c r="X664" s="668" t="s">
        <v>336</v>
      </c>
    </row>
    <row r="665" spans="1:25" ht="11.25" customHeight="1">
      <c r="A665" s="604">
        <v>5</v>
      </c>
      <c r="B665" s="136"/>
      <c r="C665" s="49"/>
      <c r="D665" s="5" t="s">
        <v>229</v>
      </c>
      <c r="E665" s="296" t="s">
        <v>233</v>
      </c>
      <c r="F665" s="305" t="s">
        <v>233</v>
      </c>
      <c r="G665" s="84"/>
      <c r="H665" s="13"/>
      <c r="I665" s="49"/>
      <c r="J665" s="49"/>
      <c r="K665" s="67"/>
      <c r="L665" s="682" t="s">
        <v>336</v>
      </c>
      <c r="M665" s="121" t="s">
        <v>928</v>
      </c>
      <c r="N665" s="1167"/>
      <c r="O665" s="1167"/>
      <c r="P665" s="127" t="str">
        <f t="shared" si="120"/>
        <v/>
      </c>
      <c r="Q665" s="127" t="str">
        <f t="shared" si="121"/>
        <v/>
      </c>
      <c r="R665" s="127" t="str">
        <f>IF(OR(P665="",Q665=""),"",IF(AND(P665&lt;5,Q665&lt;5),"Pass","Fail"))</f>
        <v/>
      </c>
      <c r="S665" s="341"/>
      <c r="T665" s="341"/>
      <c r="U665" s="341"/>
      <c r="V665" s="341"/>
      <c r="W665" s="1183"/>
      <c r="X665" s="668" t="s">
        <v>336</v>
      </c>
    </row>
    <row r="666" spans="1:25" ht="11.25" customHeight="1">
      <c r="A666" s="604">
        <v>6</v>
      </c>
      <c r="B666" s="136"/>
      <c r="C666" s="49"/>
      <c r="D666" s="5" t="s">
        <v>236</v>
      </c>
      <c r="E666" s="14" t="s">
        <v>369</v>
      </c>
      <c r="F666" s="3" t="s">
        <v>369</v>
      </c>
      <c r="G666" s="3" t="s">
        <v>419</v>
      </c>
      <c r="H666" s="13"/>
      <c r="I666" s="49"/>
      <c r="J666" s="49"/>
      <c r="K666" s="67"/>
      <c r="L666" s="682" t="s">
        <v>336</v>
      </c>
      <c r="M666" s="121" t="s">
        <v>929</v>
      </c>
      <c r="N666" s="1167"/>
      <c r="O666" s="1167"/>
      <c r="P666" s="127" t="str">
        <f t="shared" si="120"/>
        <v/>
      </c>
      <c r="Q666" s="127" t="str">
        <f t="shared" si="121"/>
        <v/>
      </c>
      <c r="R666" s="127" t="str">
        <f>IF(OR(P666="",Q666=""),"",IF(AND(P666&lt;5,Q666&lt;5),"Pass","Fail"))</f>
        <v/>
      </c>
      <c r="S666" s="341"/>
      <c r="T666" s="341"/>
      <c r="U666" s="341"/>
      <c r="V666" s="341"/>
      <c r="W666" s="1183"/>
      <c r="X666" s="668" t="s">
        <v>336</v>
      </c>
    </row>
    <row r="667" spans="1:25" ht="11.25" customHeight="1" thickBot="1">
      <c r="A667" s="604">
        <v>7</v>
      </c>
      <c r="B667" s="136"/>
      <c r="C667" s="49"/>
      <c r="D667" s="25" t="s">
        <v>369</v>
      </c>
      <c r="E667" s="28" t="s">
        <v>240</v>
      </c>
      <c r="F667" s="28" t="s">
        <v>240</v>
      </c>
      <c r="G667" s="6" t="s">
        <v>241</v>
      </c>
      <c r="H667" s="25" t="s">
        <v>444</v>
      </c>
      <c r="I667" s="49"/>
      <c r="J667" s="49"/>
      <c r="K667" s="67"/>
      <c r="L667" s="682" t="s">
        <v>336</v>
      </c>
      <c r="M667" s="136"/>
      <c r="N667" s="143" t="s">
        <v>425</v>
      </c>
      <c r="O667" s="341" t="s">
        <v>931</v>
      </c>
      <c r="P667" s="49"/>
      <c r="Q667" s="49"/>
      <c r="R667" s="49"/>
      <c r="S667" s="341"/>
      <c r="T667" s="341"/>
      <c r="U667" s="341"/>
      <c r="V667" s="341"/>
      <c r="W667" s="1183"/>
      <c r="X667" s="668" t="s">
        <v>336</v>
      </c>
    </row>
    <row r="668" spans="1:25" ht="11.25" customHeight="1">
      <c r="A668" s="604">
        <v>8</v>
      </c>
      <c r="B668" s="136"/>
      <c r="C668" s="49"/>
      <c r="D668" s="209" t="str">
        <f>IF(P485="","",P485)</f>
        <v/>
      </c>
      <c r="E668" s="1008" t="str">
        <f>IF(R485="","",R485)</f>
        <v/>
      </c>
      <c r="F668" s="1008" t="str">
        <f t="shared" ref="F668:F675" si="122">IF(OR(D668="",S485=""),"",S485)</f>
        <v/>
      </c>
      <c r="G668" s="297" t="str">
        <f t="shared" ref="G668:G675" si="123">IF(OR(E668="",F668=""),"",(E668-F668)/F668)</f>
        <v/>
      </c>
      <c r="H668" s="126" t="str">
        <f>IF(OR(E668="",F668=""),"",IF(ABS(G668)&gt;0.25,"NO","YES"))</f>
        <v/>
      </c>
      <c r="I668" s="49"/>
      <c r="J668" s="49"/>
      <c r="K668" s="67"/>
      <c r="L668" s="682" t="s">
        <v>336</v>
      </c>
      <c r="M668" s="1247"/>
      <c r="N668" s="341" t="s">
        <v>930</v>
      </c>
      <c r="O668" s="341"/>
      <c r="P668" s="341"/>
      <c r="Q668" s="341"/>
      <c r="R668" s="341"/>
      <c r="S668" s="341"/>
      <c r="T668" s="341"/>
      <c r="U668" s="341"/>
      <c r="V668" s="341"/>
      <c r="W668" s="1183"/>
      <c r="X668" s="668" t="s">
        <v>336</v>
      </c>
    </row>
    <row r="669" spans="1:25" ht="11.25" customHeight="1">
      <c r="A669" s="604">
        <v>9</v>
      </c>
      <c r="B669" s="136"/>
      <c r="C669" s="49"/>
      <c r="D669" s="209" t="str">
        <f t="shared" ref="D669:D675" si="124">IF(OR(P486="",P486=P485),"",P486)</f>
        <v/>
      </c>
      <c r="E669" s="1008" t="str">
        <f t="shared" ref="E669:E675" si="125">IF(R486=R485,"",R486)</f>
        <v/>
      </c>
      <c r="F669" s="1008" t="str">
        <f t="shared" si="122"/>
        <v/>
      </c>
      <c r="G669" s="297" t="str">
        <f t="shared" si="123"/>
        <v/>
      </c>
      <c r="H669" s="126" t="str">
        <f t="shared" ref="H669:H675" si="126">IF(H668="TBD","TBD",IF(OR(E669="",F669=""),"",IF(ABS(G669)&gt;0.25,"NO","YES")))</f>
        <v/>
      </c>
      <c r="I669" s="49"/>
      <c r="J669" s="49"/>
      <c r="K669" s="67"/>
      <c r="L669" s="682" t="s">
        <v>336</v>
      </c>
      <c r="M669" s="136"/>
      <c r="N669" s="49"/>
      <c r="O669" s="49"/>
      <c r="P669" s="341"/>
      <c r="Q669" s="341"/>
      <c r="R669" s="341"/>
      <c r="S669" s="341"/>
      <c r="T669" s="341"/>
      <c r="U669" s="341"/>
      <c r="V669" s="341"/>
      <c r="W669" s="1183"/>
      <c r="X669" s="668" t="s">
        <v>336</v>
      </c>
    </row>
    <row r="670" spans="1:25" ht="11.25" customHeight="1">
      <c r="A670" s="604">
        <v>10</v>
      </c>
      <c r="B670" s="136"/>
      <c r="C670" s="49"/>
      <c r="D670" s="209" t="str">
        <f t="shared" si="124"/>
        <v/>
      </c>
      <c r="E670" s="1008" t="str">
        <f t="shared" si="125"/>
        <v/>
      </c>
      <c r="F670" s="1008" t="str">
        <f t="shared" si="122"/>
        <v/>
      </c>
      <c r="G670" s="297" t="str">
        <f t="shared" si="123"/>
        <v/>
      </c>
      <c r="H670" s="126" t="str">
        <f t="shared" si="126"/>
        <v/>
      </c>
      <c r="I670" s="49"/>
      <c r="J670" s="49"/>
      <c r="K670" s="67"/>
      <c r="L670" s="682" t="s">
        <v>336</v>
      </c>
      <c r="M670" s="1182" t="s">
        <v>932</v>
      </c>
      <c r="N670" s="341"/>
      <c r="O670" s="341"/>
      <c r="P670" s="1090"/>
      <c r="Q670" s="49"/>
      <c r="R670" s="49"/>
      <c r="S670" s="341"/>
      <c r="T670" s="341"/>
      <c r="U670" s="341"/>
      <c r="V670" s="341"/>
      <c r="W670" s="1183"/>
      <c r="X670" s="668" t="s">
        <v>336</v>
      </c>
    </row>
    <row r="671" spans="1:25" ht="11.25" customHeight="1">
      <c r="A671" s="604">
        <v>11</v>
      </c>
      <c r="B671" s="136"/>
      <c r="C671" s="49"/>
      <c r="D671" s="209" t="str">
        <f t="shared" si="124"/>
        <v/>
      </c>
      <c r="E671" s="1008" t="str">
        <f t="shared" si="125"/>
        <v/>
      </c>
      <c r="F671" s="1008" t="str">
        <f t="shared" si="122"/>
        <v/>
      </c>
      <c r="G671" s="297" t="str">
        <f t="shared" si="123"/>
        <v/>
      </c>
      <c r="H671" s="126" t="str">
        <f t="shared" si="126"/>
        <v/>
      </c>
      <c r="I671" s="49"/>
      <c r="J671" s="49"/>
      <c r="K671" s="67"/>
      <c r="L671" s="682" t="s">
        <v>336</v>
      </c>
      <c r="M671" s="1184"/>
      <c r="N671" s="1090" t="s">
        <v>933</v>
      </c>
      <c r="O671" s="1090" t="s">
        <v>444</v>
      </c>
      <c r="P671" s="1090"/>
      <c r="Q671" s="49"/>
      <c r="R671" s="49"/>
      <c r="S671" s="341"/>
      <c r="T671" s="341"/>
      <c r="U671" s="341"/>
      <c r="V671" s="341"/>
      <c r="W671" s="1183"/>
      <c r="X671" s="668" t="s">
        <v>336</v>
      </c>
    </row>
    <row r="672" spans="1:25" ht="11.25" customHeight="1">
      <c r="A672" s="604">
        <v>12</v>
      </c>
      <c r="B672" s="136"/>
      <c r="C672" s="49"/>
      <c r="D672" s="209" t="str">
        <f t="shared" si="124"/>
        <v/>
      </c>
      <c r="E672" s="1008" t="str">
        <f t="shared" si="125"/>
        <v/>
      </c>
      <c r="F672" s="1008" t="str">
        <f t="shared" si="122"/>
        <v/>
      </c>
      <c r="G672" s="297" t="str">
        <f t="shared" si="123"/>
        <v/>
      </c>
      <c r="H672" s="126" t="str">
        <f t="shared" si="126"/>
        <v/>
      </c>
      <c r="I672" s="49"/>
      <c r="J672" s="49"/>
      <c r="K672" s="67"/>
      <c r="L672" s="682" t="s">
        <v>336</v>
      </c>
      <c r="M672" s="121" t="s">
        <v>787</v>
      </c>
      <c r="N672" s="1167"/>
      <c r="O672" s="127" t="str">
        <f>IF(N672="","",IF(N672&gt;=6,"Pass","Fail"))</f>
        <v/>
      </c>
      <c r="P672" s="1090"/>
      <c r="Q672" s="49"/>
      <c r="R672" s="49"/>
      <c r="S672" s="143" t="s">
        <v>901</v>
      </c>
      <c r="T672" s="341" t="s">
        <v>934</v>
      </c>
      <c r="U672" s="49"/>
      <c r="V672" s="49"/>
      <c r="W672" s="67"/>
      <c r="X672" s="668" t="s">
        <v>336</v>
      </c>
    </row>
    <row r="673" spans="1:25" ht="11.25" customHeight="1">
      <c r="A673" s="604">
        <v>13</v>
      </c>
      <c r="B673" s="136"/>
      <c r="C673" s="49"/>
      <c r="D673" s="209" t="str">
        <f t="shared" si="124"/>
        <v/>
      </c>
      <c r="E673" s="1008" t="str">
        <f t="shared" si="125"/>
        <v/>
      </c>
      <c r="F673" s="1008" t="str">
        <f t="shared" si="122"/>
        <v/>
      </c>
      <c r="G673" s="297" t="str">
        <f t="shared" si="123"/>
        <v/>
      </c>
      <c r="H673" s="126" t="str">
        <f t="shared" si="126"/>
        <v/>
      </c>
      <c r="I673" s="49"/>
      <c r="J673" s="49"/>
      <c r="K673" s="67"/>
      <c r="L673" s="682" t="s">
        <v>336</v>
      </c>
      <c r="M673" s="121" t="s">
        <v>937</v>
      </c>
      <c r="N673" s="1167"/>
      <c r="O673" s="127" t="str">
        <f>IF(N673="","",IF(N673&gt;=8,"Pass","Fail"))</f>
        <v/>
      </c>
      <c r="P673" s="49"/>
      <c r="Q673" s="49"/>
      <c r="R673" s="49"/>
      <c r="S673" s="341"/>
      <c r="T673" s="341" t="s">
        <v>936</v>
      </c>
      <c r="U673" s="49"/>
      <c r="V673" s="49"/>
      <c r="W673" s="67"/>
      <c r="X673" s="668" t="s">
        <v>336</v>
      </c>
    </row>
    <row r="674" spans="1:25" ht="11.25" customHeight="1" thickBot="1">
      <c r="A674" s="604">
        <v>14</v>
      </c>
      <c r="B674" s="136"/>
      <c r="C674" s="49"/>
      <c r="D674" s="209" t="str">
        <f t="shared" si="124"/>
        <v/>
      </c>
      <c r="E674" s="1008" t="str">
        <f t="shared" si="125"/>
        <v/>
      </c>
      <c r="F674" s="1008" t="str">
        <f t="shared" si="122"/>
        <v/>
      </c>
      <c r="G674" s="297" t="str">
        <f t="shared" si="123"/>
        <v/>
      </c>
      <c r="H674" s="126" t="str">
        <f t="shared" si="126"/>
        <v/>
      </c>
      <c r="I674" s="49"/>
      <c r="J674" s="49"/>
      <c r="K674" s="67"/>
      <c r="L674" s="682" t="s">
        <v>336</v>
      </c>
      <c r="M674" s="98"/>
      <c r="N674" s="80"/>
      <c r="O674" s="80"/>
      <c r="P674" s="80"/>
      <c r="Q674" s="80"/>
      <c r="R674" s="80"/>
      <c r="S674" s="80"/>
      <c r="T674" s="80"/>
      <c r="U674" s="80"/>
      <c r="V674" s="80"/>
      <c r="W674" s="85"/>
      <c r="X674" s="668" t="s">
        <v>336</v>
      </c>
    </row>
    <row r="675" spans="1:25" ht="11.25" customHeight="1" thickTop="1" thickBot="1">
      <c r="A675" s="604">
        <v>15</v>
      </c>
      <c r="B675" s="136"/>
      <c r="C675" s="49"/>
      <c r="D675" s="209" t="str">
        <f t="shared" si="124"/>
        <v/>
      </c>
      <c r="E675" s="1008" t="str">
        <f t="shared" si="125"/>
        <v/>
      </c>
      <c r="F675" s="1008" t="str">
        <f t="shared" si="122"/>
        <v/>
      </c>
      <c r="G675" s="297" t="str">
        <f t="shared" si="123"/>
        <v/>
      </c>
      <c r="H675" s="126" t="str">
        <f t="shared" si="126"/>
        <v/>
      </c>
      <c r="I675" s="253" t="s">
        <v>424</v>
      </c>
      <c r="J675" s="156" t="str">
        <f>V494</f>
        <v>NA</v>
      </c>
      <c r="K675" s="67"/>
      <c r="L675" s="682" t="s">
        <v>336</v>
      </c>
      <c r="X675" s="668" t="s">
        <v>336</v>
      </c>
    </row>
    <row r="676" spans="1:25" ht="11.25" customHeight="1">
      <c r="A676" s="604">
        <v>16</v>
      </c>
      <c r="B676" s="290" t="s">
        <v>245</v>
      </c>
      <c r="C676" s="49"/>
      <c r="D676" s="49"/>
      <c r="E676" s="3" t="s">
        <v>229</v>
      </c>
      <c r="F676" s="3" t="s">
        <v>457</v>
      </c>
      <c r="G676" s="49"/>
      <c r="H676" s="49"/>
      <c r="I676" s="3"/>
      <c r="J676" s="49"/>
      <c r="K676" s="67"/>
      <c r="L676" s="682" t="s">
        <v>336</v>
      </c>
      <c r="X676" s="668" t="s">
        <v>336</v>
      </c>
    </row>
    <row r="677" spans="1:25" ht="11.25" customHeight="1">
      <c r="A677" s="604">
        <v>17</v>
      </c>
      <c r="B677" s="136"/>
      <c r="C677" s="49"/>
      <c r="D677" s="49"/>
      <c r="E677" s="14" t="s">
        <v>653</v>
      </c>
      <c r="F677" s="3" t="s">
        <v>653</v>
      </c>
      <c r="G677" s="49"/>
      <c r="H677" s="49"/>
      <c r="I677" s="49"/>
      <c r="J677" s="49"/>
      <c r="K677" s="67"/>
      <c r="L677" s="682" t="s">
        <v>336</v>
      </c>
      <c r="X677" s="668" t="s">
        <v>336</v>
      </c>
    </row>
    <row r="678" spans="1:25" ht="11.25" customHeight="1">
      <c r="A678" s="604">
        <v>18</v>
      </c>
      <c r="B678" s="136"/>
      <c r="C678" s="49"/>
      <c r="D678" s="5" t="s">
        <v>229</v>
      </c>
      <c r="E678" s="296" t="s">
        <v>233</v>
      </c>
      <c r="F678" s="305" t="s">
        <v>233</v>
      </c>
      <c r="G678" s="49"/>
      <c r="H678" s="13"/>
      <c r="I678" s="49"/>
      <c r="J678" s="49"/>
      <c r="K678" s="67"/>
      <c r="L678" s="682" t="s">
        <v>336</v>
      </c>
      <c r="X678" s="668" t="s">
        <v>336</v>
      </c>
    </row>
    <row r="679" spans="1:25" ht="11.25" customHeight="1">
      <c r="A679" s="604">
        <v>19</v>
      </c>
      <c r="B679" s="136"/>
      <c r="C679" s="49"/>
      <c r="D679" s="5" t="s">
        <v>236</v>
      </c>
      <c r="E679" s="14" t="s">
        <v>369</v>
      </c>
      <c r="F679" s="3" t="s">
        <v>369</v>
      </c>
      <c r="G679" s="3" t="s">
        <v>419</v>
      </c>
      <c r="H679" s="13"/>
      <c r="I679" s="49"/>
      <c r="J679" s="49"/>
      <c r="K679" s="67"/>
      <c r="L679" s="682" t="s">
        <v>336</v>
      </c>
      <c r="X679" s="668" t="s">
        <v>336</v>
      </c>
    </row>
    <row r="680" spans="1:25" ht="11.25" customHeight="1" thickBot="1">
      <c r="A680" s="604">
        <v>20</v>
      </c>
      <c r="B680" s="136"/>
      <c r="C680" s="49"/>
      <c r="D680" s="25" t="s">
        <v>369</v>
      </c>
      <c r="E680" s="28" t="s">
        <v>240</v>
      </c>
      <c r="F680" s="28" t="s">
        <v>240</v>
      </c>
      <c r="G680" s="6" t="s">
        <v>241</v>
      </c>
      <c r="H680" s="25" t="s">
        <v>444</v>
      </c>
      <c r="I680" s="49"/>
      <c r="J680" s="49"/>
      <c r="K680" s="67"/>
      <c r="L680" s="682" t="s">
        <v>336</v>
      </c>
      <c r="X680" s="668" t="s">
        <v>336</v>
      </c>
    </row>
    <row r="681" spans="1:25" ht="11.25" customHeight="1">
      <c r="A681" s="604">
        <v>21</v>
      </c>
      <c r="B681" s="136"/>
      <c r="C681" s="49"/>
      <c r="D681" s="209" t="str">
        <f>IF(P502="","",P502)</f>
        <v/>
      </c>
      <c r="E681" s="1008" t="str">
        <f>IF(R502="","",R502)</f>
        <v/>
      </c>
      <c r="F681" s="1008" t="str">
        <f t="shared" ref="F681:F686" si="127">IF(OR(D681="",S502=""),"",S502)</f>
        <v/>
      </c>
      <c r="G681" s="297" t="str">
        <f t="shared" ref="G681:G686" si="128">IF(OR(E681="",F681=""),"",(E681-F681)/F681)</f>
        <v/>
      </c>
      <c r="H681" s="126" t="str">
        <f>IF(OR(E681="",F681=""),"",IF(ABS(G681)&gt;0.25,"NO","YES"))</f>
        <v/>
      </c>
      <c r="I681" s="42"/>
      <c r="J681" s="42"/>
      <c r="K681" s="67"/>
      <c r="L681" s="682" t="s">
        <v>336</v>
      </c>
      <c r="X681" s="668" t="s">
        <v>336</v>
      </c>
    </row>
    <row r="682" spans="1:25" ht="11.25" customHeight="1">
      <c r="A682" s="604">
        <v>22</v>
      </c>
      <c r="B682" s="136"/>
      <c r="C682" s="49"/>
      <c r="D682" s="209" t="str">
        <f>IF(OR(P503="",P503=P502),"",P503)</f>
        <v/>
      </c>
      <c r="E682" s="1008" t="str">
        <f>IF(R503=R502,"",R503)</f>
        <v/>
      </c>
      <c r="F682" s="1008" t="str">
        <f t="shared" si="127"/>
        <v/>
      </c>
      <c r="G682" s="297" t="str">
        <f t="shared" si="128"/>
        <v/>
      </c>
      <c r="H682" s="126" t="str">
        <f>IF(H681="TBD","TBD",IF(OR(E682="",F682=""),"",IF(ABS(G682)&gt;0.25,"NO","YES")))</f>
        <v/>
      </c>
      <c r="I682" s="42"/>
      <c r="J682" s="42"/>
      <c r="K682" s="67"/>
      <c r="L682" s="682" t="s">
        <v>336</v>
      </c>
      <c r="X682" s="668" t="s">
        <v>336</v>
      </c>
      <c r="Y682" s="168"/>
    </row>
    <row r="683" spans="1:25" ht="11.25" customHeight="1">
      <c r="A683" s="604">
        <v>23</v>
      </c>
      <c r="B683" s="136"/>
      <c r="C683" s="49"/>
      <c r="D683" s="209" t="str">
        <f>IF(OR(P504="",P504=P503),"",P504)</f>
        <v/>
      </c>
      <c r="E683" s="1008" t="str">
        <f>IF(R504=R503,"",R504)</f>
        <v/>
      </c>
      <c r="F683" s="1008" t="str">
        <f t="shared" si="127"/>
        <v/>
      </c>
      <c r="G683" s="297" t="str">
        <f t="shared" si="128"/>
        <v/>
      </c>
      <c r="H683" s="126" t="str">
        <f>IF(H682="TBD","TBD",IF(OR(E683="",F683=""),"",IF(ABS(G683)&gt;0.25,"NO","YES")))</f>
        <v/>
      </c>
      <c r="I683" s="42"/>
      <c r="J683" s="42"/>
      <c r="K683" s="67"/>
      <c r="L683" s="682" t="s">
        <v>336</v>
      </c>
      <c r="X683" s="668" t="s">
        <v>336</v>
      </c>
      <c r="Y683" s="168"/>
    </row>
    <row r="684" spans="1:25" ht="11.25" customHeight="1">
      <c r="A684" s="604">
        <v>24</v>
      </c>
      <c r="B684" s="136"/>
      <c r="C684" s="49"/>
      <c r="D684" s="209" t="str">
        <f>IF(OR(P505="",P505=P504),"",P505)</f>
        <v/>
      </c>
      <c r="E684" s="1008" t="str">
        <f>IF(R505=R504,"",R505)</f>
        <v/>
      </c>
      <c r="F684" s="1008" t="str">
        <f t="shared" si="127"/>
        <v/>
      </c>
      <c r="G684" s="297" t="str">
        <f t="shared" si="128"/>
        <v/>
      </c>
      <c r="H684" s="126" t="str">
        <f>IF(H683="TBD","TBD",IF(OR(E684="",F684=""),"",IF(ABS(G684)&gt;0.25,"NO","YES")))</f>
        <v/>
      </c>
      <c r="I684" s="42"/>
      <c r="J684" s="42"/>
      <c r="K684" s="67"/>
      <c r="L684" s="682" t="s">
        <v>336</v>
      </c>
      <c r="X684" s="668" t="s">
        <v>336</v>
      </c>
      <c r="Y684" s="168"/>
    </row>
    <row r="685" spans="1:25" ht="11.25" customHeight="1" thickBot="1">
      <c r="A685" s="604">
        <v>25</v>
      </c>
      <c r="B685" s="136"/>
      <c r="C685" s="49"/>
      <c r="D685" s="209" t="str">
        <f>IF(OR(P506="",P506=P505),"",P506)</f>
        <v/>
      </c>
      <c r="E685" s="1008" t="str">
        <f>IF(R506=R505,"",R506)</f>
        <v/>
      </c>
      <c r="F685" s="1008" t="str">
        <f t="shared" si="127"/>
        <v/>
      </c>
      <c r="G685" s="297" t="str">
        <f t="shared" si="128"/>
        <v/>
      </c>
      <c r="H685" s="126" t="str">
        <f>IF(H684="TBD","TBD",IF(OR(E685="",F685=""),"",IF(ABS(G685)&gt;0.25,"NO","YES")))</f>
        <v/>
      </c>
      <c r="I685" s="42"/>
      <c r="J685" s="42"/>
      <c r="K685" s="67"/>
      <c r="L685" s="682" t="s">
        <v>336</v>
      </c>
      <c r="X685" s="668" t="s">
        <v>336</v>
      </c>
      <c r="Y685" s="867"/>
    </row>
    <row r="686" spans="1:25" ht="11.25" customHeight="1" thickBot="1">
      <c r="A686" s="604">
        <v>26</v>
      </c>
      <c r="B686" s="136"/>
      <c r="C686" s="49"/>
      <c r="D686" s="209" t="str">
        <f>IF(OR(P507="",P507=P506),"",P507)</f>
        <v/>
      </c>
      <c r="E686" s="1008" t="str">
        <f>IF(R507=R506,"",R507)</f>
        <v/>
      </c>
      <c r="F686" s="1008" t="str">
        <f t="shared" si="127"/>
        <v/>
      </c>
      <c r="G686" s="297" t="str">
        <f t="shared" si="128"/>
        <v/>
      </c>
      <c r="H686" s="126" t="str">
        <f>IF(H685="TBD","TBD",IF(OR(E686="",F686=""),"",IF(ABS(G686)&gt;0.25,"NO","YES")))</f>
        <v/>
      </c>
      <c r="I686" s="253" t="s">
        <v>424</v>
      </c>
      <c r="J686" s="156" t="str">
        <f>V509</f>
        <v>NA</v>
      </c>
      <c r="K686" s="67"/>
      <c r="L686" s="682" t="s">
        <v>336</v>
      </c>
      <c r="X686" s="668" t="s">
        <v>336</v>
      </c>
    </row>
    <row r="687" spans="1:25" ht="11.25" customHeight="1">
      <c r="A687" s="604">
        <v>27</v>
      </c>
      <c r="B687" s="136"/>
      <c r="C687" s="49"/>
      <c r="D687" s="49"/>
      <c r="E687" s="49"/>
      <c r="F687" s="49"/>
      <c r="G687" s="49"/>
      <c r="H687" s="49"/>
      <c r="I687" s="49"/>
      <c r="J687" s="49"/>
      <c r="K687" s="67"/>
      <c r="L687" s="682" t="s">
        <v>336</v>
      </c>
      <c r="X687" s="668" t="s">
        <v>336</v>
      </c>
    </row>
    <row r="688" spans="1:25" ht="11.25" customHeight="1">
      <c r="A688" s="604">
        <v>28</v>
      </c>
      <c r="B688" s="136"/>
      <c r="C688" s="143" t="s">
        <v>425</v>
      </c>
      <c r="D688" s="191" t="s">
        <v>389</v>
      </c>
      <c r="E688" s="49"/>
      <c r="F688" s="49"/>
      <c r="G688" s="49"/>
      <c r="H688" s="49"/>
      <c r="I688" s="49"/>
      <c r="J688" s="49"/>
      <c r="K688" s="65"/>
      <c r="L688" s="682" t="s">
        <v>336</v>
      </c>
      <c r="X688" s="668" t="s">
        <v>336</v>
      </c>
    </row>
    <row r="689" spans="1:24" ht="11.25" customHeight="1">
      <c r="A689" s="604">
        <v>29</v>
      </c>
      <c r="B689" s="121" t="s">
        <v>417</v>
      </c>
      <c r="C689" s="799" t="str">
        <f>IF(O510="","",IF(LEN(O510)&lt;=135,O510,IF(LEN(O510)&lt;=260,LEFT(O510,SEARCH(" ",O510,125)),LEFT(O510,SEARCH(" ",O510,130)))))</f>
        <v/>
      </c>
      <c r="D689" s="2"/>
      <c r="E689" s="2"/>
      <c r="F689" s="2"/>
      <c r="G689" s="2"/>
      <c r="H689" s="2"/>
      <c r="I689" s="2"/>
      <c r="J689" s="2"/>
      <c r="K689" s="65"/>
      <c r="L689" s="682" t="s">
        <v>336</v>
      </c>
      <c r="X689" s="668" t="s">
        <v>336</v>
      </c>
    </row>
    <row r="690" spans="1:24" ht="11.25" customHeight="1">
      <c r="A690" s="604">
        <v>30</v>
      </c>
      <c r="B690" s="39"/>
      <c r="C690" s="800" t="str">
        <f>IF(LEN(O510)&lt;=135,"",IF(LEN(O510)&lt;=260,RIGHT(O510,LEN(O510)-SEARCH(" ",O510,125)),MID(O510,SEARCH(" ",O510,130),IF(LEN(O510)&lt;=265,LEN(O510),SEARCH(" ",O510,255)-SEARCH(" ",O510,130)))))</f>
        <v/>
      </c>
      <c r="D690" s="2"/>
      <c r="E690" s="2"/>
      <c r="F690" s="2"/>
      <c r="G690" s="2"/>
      <c r="H690" s="2"/>
      <c r="I690" s="2"/>
      <c r="J690" s="2"/>
      <c r="K690" s="65"/>
      <c r="L690" s="682" t="s">
        <v>336</v>
      </c>
      <c r="X690" s="668" t="s">
        <v>336</v>
      </c>
    </row>
    <row r="691" spans="1:24" ht="11.25" customHeight="1">
      <c r="A691" s="604">
        <v>31</v>
      </c>
      <c r="B691" s="39"/>
      <c r="C691" s="799" t="str">
        <f>IF(LEN(O510)&lt;=265,"",RIGHT(O510,LEN(O510)-SEARCH(" ",O510,255)))</f>
        <v/>
      </c>
      <c r="D691" s="2"/>
      <c r="E691" s="2"/>
      <c r="F691" s="2"/>
      <c r="G691" s="2"/>
      <c r="H691" s="2"/>
      <c r="I691" s="2"/>
      <c r="J691" s="2"/>
      <c r="K691" s="65"/>
      <c r="L691" s="682" t="s">
        <v>336</v>
      </c>
      <c r="X691" s="668" t="s">
        <v>336</v>
      </c>
    </row>
    <row r="692" spans="1:24" ht="11.25" customHeight="1">
      <c r="A692" s="604">
        <v>32</v>
      </c>
      <c r="B692" s="136"/>
      <c r="C692" s="49"/>
      <c r="D692" s="49"/>
      <c r="E692" s="49"/>
      <c r="F692" s="49"/>
      <c r="G692" s="49"/>
      <c r="H692" s="49"/>
      <c r="I692" s="49"/>
      <c r="J692" s="49"/>
      <c r="K692" s="65"/>
      <c r="L692" s="682" t="s">
        <v>336</v>
      </c>
      <c r="X692" s="668" t="s">
        <v>336</v>
      </c>
    </row>
    <row r="693" spans="1:24" ht="11.25" customHeight="1">
      <c r="A693" s="604">
        <v>33</v>
      </c>
      <c r="B693" s="136"/>
      <c r="C693" s="84"/>
      <c r="D693" s="14" t="s">
        <v>248</v>
      </c>
      <c r="E693" s="49"/>
      <c r="F693" s="49"/>
      <c r="G693" s="49"/>
      <c r="H693" s="84"/>
      <c r="I693" s="14" t="s">
        <v>249</v>
      </c>
      <c r="J693" s="49"/>
      <c r="K693" s="65"/>
      <c r="L693" s="682" t="s">
        <v>336</v>
      </c>
      <c r="X693" s="668" t="s">
        <v>336</v>
      </c>
    </row>
    <row r="694" spans="1:24" ht="11.25" customHeight="1">
      <c r="A694" s="604">
        <v>34</v>
      </c>
      <c r="B694" s="136"/>
      <c r="C694" s="3"/>
      <c r="D694" s="14" t="s">
        <v>229</v>
      </c>
      <c r="E694" s="49"/>
      <c r="F694" s="49"/>
      <c r="G694" s="49"/>
      <c r="H694" s="3"/>
      <c r="I694" s="14" t="s">
        <v>229</v>
      </c>
      <c r="J694" s="42"/>
      <c r="K694" s="67"/>
      <c r="L694" s="682" t="s">
        <v>336</v>
      </c>
      <c r="X694" s="668" t="s">
        <v>336</v>
      </c>
    </row>
    <row r="695" spans="1:24" ht="11.25" customHeight="1">
      <c r="A695" s="604">
        <v>35</v>
      </c>
      <c r="B695" s="136"/>
      <c r="C695" s="3"/>
      <c r="D695" s="14" t="s">
        <v>653</v>
      </c>
      <c r="E695" s="49"/>
      <c r="F695" s="49"/>
      <c r="G695" s="49"/>
      <c r="H695" s="3"/>
      <c r="I695" s="14" t="s">
        <v>653</v>
      </c>
      <c r="J695" s="49"/>
      <c r="K695" s="67"/>
      <c r="L695" s="682" t="s">
        <v>336</v>
      </c>
      <c r="X695" s="668" t="s">
        <v>336</v>
      </c>
    </row>
    <row r="696" spans="1:24" ht="11.25" customHeight="1" thickBot="1">
      <c r="A696" s="604">
        <v>36</v>
      </c>
      <c r="B696" s="136"/>
      <c r="C696" s="25" t="s">
        <v>369</v>
      </c>
      <c r="D696" s="28" t="s">
        <v>240</v>
      </c>
      <c r="E696" s="49"/>
      <c r="F696" s="49"/>
      <c r="G696" s="49"/>
      <c r="H696" s="25" t="s">
        <v>369</v>
      </c>
      <c r="I696" s="28" t="s">
        <v>240</v>
      </c>
      <c r="J696" s="49"/>
      <c r="K696" s="34"/>
      <c r="L696" s="682" t="s">
        <v>336</v>
      </c>
      <c r="X696" s="668" t="s">
        <v>336</v>
      </c>
    </row>
    <row r="697" spans="1:24" ht="11.25" customHeight="1">
      <c r="A697" s="604">
        <v>37</v>
      </c>
      <c r="B697" s="136"/>
      <c r="C697" s="204">
        <f>IF(AND($R$234="",T234=""),50,10*(TRUNC((MIN($Q$234:$Q$241)-10)/10,0))+5)</f>
        <v>55</v>
      </c>
      <c r="D697" s="1009" t="str">
        <f t="array" ref="D697:D706">IF(OR(P485="",Q485="",P486="",Q486=""),"",EXP(TREND(LN(R485:R492),LN(P485:P492),LN(C697:C706))))</f>
        <v/>
      </c>
      <c r="E697" s="49"/>
      <c r="F697" s="49"/>
      <c r="G697" s="49"/>
      <c r="H697" s="204">
        <f>IF(AND($R$252="",T252=""),55,10*(TRUNC((MIN($Q$252:$Q$257)-10)/10,0))+5)</f>
        <v>45</v>
      </c>
      <c r="I697" s="1009" t="str">
        <f t="array" ref="I697:I706">IF(OR(P502="",Q502="",P503="",Q503=""),"",EXP(TREND(LN(R502:R507),LN(P502:P507),LN(H697:H706))))</f>
        <v/>
      </c>
      <c r="J697" s="49"/>
      <c r="K697" s="67"/>
      <c r="L697" s="682" t="s">
        <v>336</v>
      </c>
      <c r="X697" s="668" t="s">
        <v>336</v>
      </c>
    </row>
    <row r="698" spans="1:24" ht="11.25" customHeight="1">
      <c r="A698" s="604">
        <v>38</v>
      </c>
      <c r="B698" s="136"/>
      <c r="C698" s="204">
        <f>IF(AND($R$234="",T234=""),60,IF(MAX($Q$234:$Q$241)+5&lt;C697+5,C697,10*TRUNC((C697+10)/10,0)))</f>
        <v>60</v>
      </c>
      <c r="D698" s="1009" t="str">
        <v/>
      </c>
      <c r="E698" s="49"/>
      <c r="F698" s="49"/>
      <c r="G698" s="49"/>
      <c r="H698" s="204">
        <f>IF(AND($R$252="",T253=""),65,IF(MAX($Q$252:$Q$257)+5&lt;H697+10,H697,H697+10))</f>
        <v>55</v>
      </c>
      <c r="I698" s="1009" t="str">
        <v/>
      </c>
      <c r="J698" s="49"/>
      <c r="K698" s="67"/>
      <c r="L698" s="682" t="s">
        <v>336</v>
      </c>
      <c r="X698" s="668" t="s">
        <v>336</v>
      </c>
    </row>
    <row r="699" spans="1:24" ht="11.25" customHeight="1">
      <c r="A699" s="604">
        <v>39</v>
      </c>
      <c r="B699" s="136"/>
      <c r="C699" s="204">
        <f>IF(AND($R$234="",T235=""),70,IF(MAX($Q$234:$Q$241)+5&lt;C698+5,C698,10*TRUNC((C698+10)/10,0)))</f>
        <v>70</v>
      </c>
      <c r="D699" s="1009" t="str">
        <v/>
      </c>
      <c r="E699" s="49"/>
      <c r="F699" s="49"/>
      <c r="G699" s="49"/>
      <c r="H699" s="204">
        <f>IF(AND($R$252="",T254=""),75,IF(MAX($Q$252:$Q$257)+5&lt;H698+10,H698,H698+10))</f>
        <v>65</v>
      </c>
      <c r="I699" s="1009" t="str">
        <v/>
      </c>
      <c r="J699" s="49"/>
      <c r="K699" s="67"/>
      <c r="L699" s="682" t="s">
        <v>336</v>
      </c>
      <c r="X699" s="668" t="s">
        <v>336</v>
      </c>
    </row>
    <row r="700" spans="1:24" ht="11.25" customHeight="1">
      <c r="A700" s="604">
        <v>40</v>
      </c>
      <c r="B700" s="136"/>
      <c r="C700" s="204">
        <f>IF(AND($R$234="",T236=""),80,IF(MAX($Q$234:$Q$241)+5&lt;C699+5,C699,10*TRUNC((C699+10)/10,0)))</f>
        <v>80</v>
      </c>
      <c r="D700" s="1009" t="str">
        <v/>
      </c>
      <c r="E700" s="49"/>
      <c r="F700" s="49"/>
      <c r="G700" s="49"/>
      <c r="H700" s="204">
        <f>IF(AND($R$252="",T255=""),85,IF(MAX($Q$252:$Q$257)+5&lt;H699+10,H699,H699+10))</f>
        <v>75</v>
      </c>
      <c r="I700" s="1009" t="str">
        <v/>
      </c>
      <c r="J700" s="49"/>
      <c r="K700" s="67"/>
      <c r="L700" s="682" t="s">
        <v>336</v>
      </c>
      <c r="X700" s="668" t="s">
        <v>336</v>
      </c>
    </row>
    <row r="701" spans="1:24" ht="11.25" customHeight="1">
      <c r="A701" s="604">
        <v>41</v>
      </c>
      <c r="B701" s="136"/>
      <c r="C701" s="204">
        <f>IF(AND($R$234="",T237=""),90,IF(MAX($Q$234:$Q$241)+5&lt;C700+5,C700,10*TRUNC((C700+10)/10,0)))</f>
        <v>90</v>
      </c>
      <c r="D701" s="1009" t="str">
        <v/>
      </c>
      <c r="E701" s="49"/>
      <c r="F701" s="49"/>
      <c r="G701" s="49"/>
      <c r="H701" s="204">
        <f>IF(AND($R$252="",T256=""),95,IF(MAX($Q$252:$Q$257)+5&lt;H700+10,H700,H700+10))</f>
        <v>85</v>
      </c>
      <c r="I701" s="1009" t="str">
        <v/>
      </c>
      <c r="J701" s="49"/>
      <c r="K701" s="67"/>
      <c r="L701" s="682" t="s">
        <v>336</v>
      </c>
      <c r="X701" s="668" t="s">
        <v>336</v>
      </c>
    </row>
    <row r="702" spans="1:24" ht="11.25" customHeight="1">
      <c r="A702" s="604">
        <v>42</v>
      </c>
      <c r="B702" s="136"/>
      <c r="C702" s="204">
        <f>IF(AND($R$234="",T238=""),100,IF(MAX($Q$234:$Q$241)+5&lt;C701+5,C701,10*TRUNC((C701+10)/10,0)))</f>
        <v>100</v>
      </c>
      <c r="D702" s="1009" t="str">
        <v/>
      </c>
      <c r="E702" s="49"/>
      <c r="F702" s="49"/>
      <c r="G702" s="49"/>
      <c r="H702" s="204">
        <f>IF(AND($R$252="",T257=""),105,IF(MAX($Q$252:$Q$257)+5&lt;H701+10,H701,H701+10))</f>
        <v>95</v>
      </c>
      <c r="I702" s="1009" t="str">
        <v/>
      </c>
      <c r="J702" s="49"/>
      <c r="K702" s="67"/>
      <c r="L702" s="682" t="s">
        <v>336</v>
      </c>
      <c r="X702" s="668" t="s">
        <v>336</v>
      </c>
    </row>
    <row r="703" spans="1:24" ht="11.25" customHeight="1">
      <c r="A703" s="604">
        <v>43</v>
      </c>
      <c r="B703" s="136"/>
      <c r="C703" s="204">
        <f>IF(AND($R$234="",T239=""),110,IF(MAX($Q$234:$Q$241)+5&lt;C702+5,C702,10*TRUNC((C702+10)/10,0)))</f>
        <v>110</v>
      </c>
      <c r="D703" s="1009" t="str">
        <v/>
      </c>
      <c r="E703" s="49"/>
      <c r="F703" s="49"/>
      <c r="G703" s="49"/>
      <c r="H703" s="204">
        <f>IF(AND($R$252="",T258=""),115,IF(MAX($Q$252:$Q$257)+5&lt;H702+10,H702,H702+10))</f>
        <v>105</v>
      </c>
      <c r="I703" s="1009" t="str">
        <v/>
      </c>
      <c r="J703" s="49"/>
      <c r="K703" s="67"/>
      <c r="L703" s="682" t="s">
        <v>336</v>
      </c>
      <c r="X703" s="668" t="s">
        <v>336</v>
      </c>
    </row>
    <row r="704" spans="1:24" ht="11.25" customHeight="1">
      <c r="A704" s="604">
        <v>44</v>
      </c>
      <c r="B704" s="136"/>
      <c r="C704" s="204">
        <f>IF(AND($R$234="",T240=""),120,IF(MAX($Q$234:$Q$241)+5&lt;C703+5,C703,10*TRUNC((C703+10)/10,0)))</f>
        <v>120</v>
      </c>
      <c r="D704" s="1009" t="str">
        <v/>
      </c>
      <c r="E704" s="49"/>
      <c r="F704" s="49"/>
      <c r="G704" s="49"/>
      <c r="H704" s="204">
        <f>IF(AND($R$252="",T259=""),125,IF(MAX($Q$252:$Q$257)+5&lt;H703+10,H703,H703+10))</f>
        <v>115</v>
      </c>
      <c r="I704" s="1009" t="str">
        <v/>
      </c>
      <c r="J704" s="49"/>
      <c r="K704" s="67"/>
      <c r="L704" s="682" t="s">
        <v>336</v>
      </c>
      <c r="X704" s="668" t="s">
        <v>336</v>
      </c>
    </row>
    <row r="705" spans="1:24" ht="11.25" customHeight="1">
      <c r="A705" s="604">
        <v>45</v>
      </c>
      <c r="B705" s="136"/>
      <c r="C705" s="204">
        <f>IF(AND($R$234="",T241=""),130,IF(MAX($Q$234:$Q$241)+5&lt;C704+5,C704,10*TRUNC((C704+10)/10,0)))</f>
        <v>130</v>
      </c>
      <c r="D705" s="1009" t="str">
        <v/>
      </c>
      <c r="E705" s="49"/>
      <c r="F705" s="49"/>
      <c r="G705" s="49"/>
      <c r="H705" s="204">
        <f>IF(AND($R$252="",T260=""),135,IF(MAX($Q$252:$Q$257)+5&lt;H704+10,H704,H704+10))</f>
        <v>125</v>
      </c>
      <c r="I705" s="1009" t="str">
        <v/>
      </c>
      <c r="J705" s="49"/>
      <c r="K705" s="67"/>
      <c r="L705" s="682" t="s">
        <v>336</v>
      </c>
      <c r="X705" s="668" t="s">
        <v>336</v>
      </c>
    </row>
    <row r="706" spans="1:24" ht="11.25" customHeight="1">
      <c r="A706" s="604">
        <v>46</v>
      </c>
      <c r="B706" s="136"/>
      <c r="C706" s="204">
        <f>IF(AND($R$234="",T242=""),140,IF(MAX($Q$234:$Q$241)+5&lt;C705+5,C705,10*TRUNC((C705+10)/10,0)))</f>
        <v>140</v>
      </c>
      <c r="D706" s="1009" t="str">
        <v/>
      </c>
      <c r="E706" s="49"/>
      <c r="F706" s="49"/>
      <c r="G706" s="49"/>
      <c r="H706" s="204">
        <f>IF(AND($R$252="",T261=""),145,IF(MAX($Q$252:$Q$257)+5&lt;H705+10,H705,H705+10))</f>
        <v>135</v>
      </c>
      <c r="I706" s="1009" t="str">
        <v/>
      </c>
      <c r="J706" s="49"/>
      <c r="K706" s="67"/>
      <c r="L706" s="682" t="s">
        <v>336</v>
      </c>
      <c r="X706" s="668" t="s">
        <v>336</v>
      </c>
    </row>
    <row r="707" spans="1:24" ht="11.25" customHeight="1">
      <c r="A707" s="604">
        <v>47</v>
      </c>
      <c r="B707" s="136"/>
      <c r="C707" s="49"/>
      <c r="D707" s="49"/>
      <c r="E707" s="49"/>
      <c r="F707" s="49"/>
      <c r="G707" s="49"/>
      <c r="H707" s="49"/>
      <c r="I707" s="305"/>
      <c r="J707" s="49"/>
      <c r="K707" s="67"/>
      <c r="L707" s="682" t="s">
        <v>336</v>
      </c>
      <c r="X707" s="668" t="s">
        <v>336</v>
      </c>
    </row>
    <row r="708" spans="1:24" ht="11.25" customHeight="1">
      <c r="A708" s="604">
        <v>48</v>
      </c>
      <c r="B708" s="136"/>
      <c r="C708" s="49"/>
      <c r="D708" s="49"/>
      <c r="E708" s="49"/>
      <c r="F708" s="49"/>
      <c r="G708" s="49"/>
      <c r="H708" s="49"/>
      <c r="I708" s="324"/>
      <c r="J708" s="49"/>
      <c r="K708" s="67"/>
      <c r="L708" s="682" t="s">
        <v>336</v>
      </c>
      <c r="X708" s="668" t="s">
        <v>336</v>
      </c>
    </row>
    <row r="709" spans="1:24" ht="11.25" customHeight="1">
      <c r="A709" s="604">
        <v>49</v>
      </c>
      <c r="B709" s="136"/>
      <c r="C709" s="49"/>
      <c r="D709" s="49"/>
      <c r="E709" s="49"/>
      <c r="F709" s="49"/>
      <c r="G709" s="49"/>
      <c r="H709" s="49"/>
      <c r="I709" s="324"/>
      <c r="J709" s="49"/>
      <c r="K709" s="67"/>
      <c r="L709" s="682" t="s">
        <v>336</v>
      </c>
      <c r="X709" s="668" t="s">
        <v>336</v>
      </c>
    </row>
    <row r="710" spans="1:24" ht="11.25" customHeight="1">
      <c r="A710" s="604">
        <v>50</v>
      </c>
      <c r="B710" s="136"/>
      <c r="C710" s="49"/>
      <c r="D710" s="49"/>
      <c r="E710" s="49"/>
      <c r="F710" s="49"/>
      <c r="G710" s="49"/>
      <c r="H710" s="49"/>
      <c r="I710" s="324"/>
      <c r="J710" s="49"/>
      <c r="K710" s="67"/>
      <c r="L710" s="682" t="s">
        <v>336</v>
      </c>
      <c r="X710" s="668" t="s">
        <v>336</v>
      </c>
    </row>
    <row r="711" spans="1:24" ht="11.25" customHeight="1">
      <c r="A711" s="604">
        <v>51</v>
      </c>
      <c r="B711" s="136"/>
      <c r="C711" s="49"/>
      <c r="D711" s="49"/>
      <c r="E711" s="49"/>
      <c r="F711" s="49"/>
      <c r="G711" s="49"/>
      <c r="H711" s="49"/>
      <c r="I711" s="324"/>
      <c r="J711" s="49"/>
      <c r="K711" s="67"/>
      <c r="L711" s="682" t="s">
        <v>336</v>
      </c>
      <c r="X711" s="668" t="s">
        <v>336</v>
      </c>
    </row>
    <row r="712" spans="1:24" ht="11.25" customHeight="1">
      <c r="A712" s="604">
        <v>52</v>
      </c>
      <c r="B712" s="136"/>
      <c r="C712" s="49"/>
      <c r="D712" s="49"/>
      <c r="E712" s="49"/>
      <c r="F712" s="49"/>
      <c r="G712" s="49"/>
      <c r="H712" s="49"/>
      <c r="I712" s="324"/>
      <c r="J712" s="49"/>
      <c r="K712" s="67"/>
      <c r="L712" s="682" t="s">
        <v>336</v>
      </c>
      <c r="X712" s="668" t="s">
        <v>336</v>
      </c>
    </row>
    <row r="713" spans="1:24" ht="11.25" customHeight="1">
      <c r="A713" s="604">
        <v>53</v>
      </c>
      <c r="B713" s="136"/>
      <c r="C713" s="49"/>
      <c r="D713" s="49"/>
      <c r="E713" s="49"/>
      <c r="F713" s="49"/>
      <c r="G713" s="49"/>
      <c r="H713" s="49"/>
      <c r="I713" s="324"/>
      <c r="J713" s="49"/>
      <c r="K713" s="67"/>
      <c r="L713" s="682" t="s">
        <v>336</v>
      </c>
      <c r="X713" s="668" t="s">
        <v>336</v>
      </c>
    </row>
    <row r="714" spans="1:24" ht="11.25" customHeight="1">
      <c r="A714" s="604">
        <v>54</v>
      </c>
      <c r="B714" s="136"/>
      <c r="C714" s="49"/>
      <c r="D714" s="49"/>
      <c r="E714" s="49"/>
      <c r="F714" s="49"/>
      <c r="G714" s="49"/>
      <c r="H714" s="49"/>
      <c r="I714" s="324"/>
      <c r="J714" s="49"/>
      <c r="K714" s="67"/>
      <c r="L714" s="682" t="s">
        <v>336</v>
      </c>
      <c r="X714" s="668" t="s">
        <v>336</v>
      </c>
    </row>
    <row r="715" spans="1:24" ht="11.25" customHeight="1">
      <c r="A715" s="604">
        <v>55</v>
      </c>
      <c r="B715" s="136"/>
      <c r="C715" s="49"/>
      <c r="D715" s="49"/>
      <c r="E715" s="49"/>
      <c r="F715" s="49"/>
      <c r="G715" s="49"/>
      <c r="H715" s="49"/>
      <c r="I715" s="324"/>
      <c r="J715" s="49"/>
      <c r="K715" s="67"/>
      <c r="L715" s="682" t="s">
        <v>336</v>
      </c>
      <c r="X715" s="668" t="s">
        <v>336</v>
      </c>
    </row>
    <row r="716" spans="1:24" ht="11.25" customHeight="1">
      <c r="A716" s="604">
        <v>56</v>
      </c>
      <c r="B716" s="136"/>
      <c r="C716" s="49"/>
      <c r="D716" s="49"/>
      <c r="E716" s="49"/>
      <c r="F716" s="49"/>
      <c r="G716" s="49"/>
      <c r="H716" s="49"/>
      <c r="I716" s="324"/>
      <c r="J716" s="49"/>
      <c r="K716" s="67"/>
      <c r="L716" s="682" t="s">
        <v>336</v>
      </c>
      <c r="X716" s="668" t="s">
        <v>336</v>
      </c>
    </row>
    <row r="717" spans="1:24" ht="11.25" customHeight="1">
      <c r="A717" s="604">
        <v>57</v>
      </c>
      <c r="B717" s="136"/>
      <c r="C717" s="49"/>
      <c r="D717" s="49"/>
      <c r="E717" s="49"/>
      <c r="F717" s="49"/>
      <c r="G717" s="49"/>
      <c r="H717" s="49"/>
      <c r="I717" s="324"/>
      <c r="J717" s="49"/>
      <c r="K717" s="67"/>
      <c r="L717" s="682" t="s">
        <v>336</v>
      </c>
      <c r="X717" s="668" t="s">
        <v>336</v>
      </c>
    </row>
    <row r="718" spans="1:24" ht="11.25" customHeight="1">
      <c r="A718" s="604">
        <v>58</v>
      </c>
      <c r="B718" s="136"/>
      <c r="C718" s="42"/>
      <c r="D718" s="42"/>
      <c r="E718" s="49"/>
      <c r="F718" s="49"/>
      <c r="G718" s="42"/>
      <c r="H718" s="324"/>
      <c r="I718" s="324"/>
      <c r="J718" s="49"/>
      <c r="K718" s="67"/>
      <c r="L718" s="682" t="s">
        <v>336</v>
      </c>
      <c r="X718" s="668" t="s">
        <v>336</v>
      </c>
    </row>
    <row r="719" spans="1:24" ht="11.25" customHeight="1">
      <c r="A719" s="604">
        <v>59</v>
      </c>
      <c r="B719" s="136"/>
      <c r="C719" s="49"/>
      <c r="D719" s="49"/>
      <c r="E719" s="49"/>
      <c r="F719" s="49"/>
      <c r="G719" s="49"/>
      <c r="H719" s="49"/>
      <c r="I719" s="49"/>
      <c r="J719" s="49"/>
      <c r="K719" s="67"/>
      <c r="L719" s="682" t="s">
        <v>336</v>
      </c>
      <c r="X719" s="668" t="s">
        <v>336</v>
      </c>
    </row>
    <row r="720" spans="1:24" ht="11.25" customHeight="1">
      <c r="A720" s="604">
        <v>60</v>
      </c>
      <c r="B720" s="136"/>
      <c r="C720" s="49"/>
      <c r="D720" s="49"/>
      <c r="E720" s="49"/>
      <c r="F720" s="49"/>
      <c r="G720" s="49"/>
      <c r="H720" s="49"/>
      <c r="I720" s="49"/>
      <c r="J720" s="49"/>
      <c r="K720" s="67"/>
      <c r="L720" s="682" t="s">
        <v>336</v>
      </c>
      <c r="X720" s="668" t="s">
        <v>336</v>
      </c>
    </row>
    <row r="721" spans="1:25" ht="11.25" customHeight="1">
      <c r="A721" s="604">
        <v>61</v>
      </c>
      <c r="B721" s="136"/>
      <c r="C721" s="49"/>
      <c r="D721" s="49"/>
      <c r="E721" s="49"/>
      <c r="F721" s="49"/>
      <c r="G721" s="49"/>
      <c r="H721" s="49"/>
      <c r="I721" s="49"/>
      <c r="J721" s="49"/>
      <c r="K721" s="67"/>
      <c r="L721" s="682" t="s">
        <v>336</v>
      </c>
      <c r="X721" s="668" t="s">
        <v>336</v>
      </c>
    </row>
    <row r="722" spans="1:25" ht="11.25" customHeight="1">
      <c r="A722" s="604">
        <v>62</v>
      </c>
      <c r="B722" s="136"/>
      <c r="C722" s="49"/>
      <c r="D722" s="49"/>
      <c r="E722" s="49"/>
      <c r="F722" s="49"/>
      <c r="G722" s="49"/>
      <c r="H722" s="49"/>
      <c r="I722" s="49"/>
      <c r="J722" s="49"/>
      <c r="K722" s="67"/>
      <c r="L722" s="682" t="s">
        <v>336</v>
      </c>
      <c r="X722" s="668" t="s">
        <v>336</v>
      </c>
    </row>
    <row r="723" spans="1:25" ht="11.25" customHeight="1">
      <c r="A723" s="604">
        <v>63</v>
      </c>
      <c r="B723" s="136"/>
      <c r="C723" s="49"/>
      <c r="D723" s="49"/>
      <c r="E723" s="49"/>
      <c r="F723" s="49"/>
      <c r="G723" s="49"/>
      <c r="H723" s="49"/>
      <c r="I723" s="49"/>
      <c r="J723" s="49"/>
      <c r="K723" s="67"/>
      <c r="L723" s="682" t="s">
        <v>336</v>
      </c>
      <c r="X723" s="668" t="s">
        <v>336</v>
      </c>
    </row>
    <row r="724" spans="1:25" ht="11.25" customHeight="1" thickBot="1">
      <c r="A724" s="604">
        <v>64</v>
      </c>
      <c r="B724" s="29"/>
      <c r="C724" s="287"/>
      <c r="D724" s="287"/>
      <c r="E724" s="287"/>
      <c r="F724" s="287"/>
      <c r="G724" s="287"/>
      <c r="H724" s="287"/>
      <c r="I724" s="287"/>
      <c r="J724" s="287"/>
      <c r="K724" s="85"/>
      <c r="L724" s="682" t="s">
        <v>336</v>
      </c>
      <c r="X724" s="668" t="s">
        <v>336</v>
      </c>
    </row>
    <row r="725" spans="1:25" ht="11.25" customHeight="1" thickTop="1">
      <c r="A725" s="604">
        <v>65</v>
      </c>
      <c r="B725" s="46" t="str">
        <f t="array" ref="B725:C726">$B$65:$C$66</f>
        <v>Date:</v>
      </c>
      <c r="C725" s="1072" t="str">
        <v/>
      </c>
      <c r="D725" s="120"/>
      <c r="E725" s="45"/>
      <c r="F725" s="45"/>
      <c r="G725" s="45"/>
      <c r="H725" s="45"/>
      <c r="I725" s="46" t="str">
        <f t="array" ref="I725:J726">$I$65:$J$66</f>
        <v>Inspector:</v>
      </c>
      <c r="J725" s="401" t="str">
        <v>Eugene Mah</v>
      </c>
      <c r="L725" s="682" t="s">
        <v>336</v>
      </c>
      <c r="X725" s="668" t="s">
        <v>336</v>
      </c>
    </row>
    <row r="726" spans="1:25" ht="11.25" customHeight="1">
      <c r="A726" s="604">
        <v>66</v>
      </c>
      <c r="B726" s="46" t="str">
        <v>Room Number:</v>
      </c>
      <c r="C726" s="363" t="str">
        <v/>
      </c>
      <c r="D726" s="49"/>
      <c r="E726" s="45"/>
      <c r="F726" s="45"/>
      <c r="G726" s="45"/>
      <c r="H726" s="45"/>
      <c r="I726" s="46" t="str">
        <v>Survey ID:</v>
      </c>
      <c r="J726" s="910" t="str">
        <v/>
      </c>
      <c r="L726" s="682" t="s">
        <v>336</v>
      </c>
      <c r="X726" s="668" t="s">
        <v>336</v>
      </c>
      <c r="Y726" s="168"/>
    </row>
    <row r="727" spans="1:25" ht="11.25" customHeight="1">
      <c r="A727" s="604">
        <v>1</v>
      </c>
      <c r="K727" s="142" t="str">
        <f>$F$2</f>
        <v>Medical University of South Carolina</v>
      </c>
      <c r="L727" s="682" t="s">
        <v>336</v>
      </c>
      <c r="X727" s="668" t="s">
        <v>336</v>
      </c>
      <c r="Y727" s="168"/>
    </row>
    <row r="728" spans="1:25" ht="11.25" customHeight="1" thickBot="1">
      <c r="A728" s="604">
        <v>2</v>
      </c>
      <c r="F728" s="252" t="str">
        <f>$F$332</f>
        <v>Measurement Data</v>
      </c>
      <c r="K728" s="143" t="str">
        <f>$F$5</f>
        <v>Radiation Oncology IGRT Compliance Inspection</v>
      </c>
      <c r="L728" s="682" t="s">
        <v>336</v>
      </c>
      <c r="X728" s="668" t="s">
        <v>336</v>
      </c>
    </row>
    <row r="729" spans="1:25" ht="11.25" customHeight="1" thickTop="1" thickBot="1">
      <c r="A729" s="604">
        <v>3</v>
      </c>
      <c r="B729" s="1228" t="s">
        <v>947</v>
      </c>
      <c r="C729" s="1217"/>
      <c r="D729" s="118" t="s">
        <v>787</v>
      </c>
      <c r="E729" s="118" t="s">
        <v>788</v>
      </c>
      <c r="F729" s="118" t="s">
        <v>789</v>
      </c>
      <c r="G729" s="58"/>
      <c r="H729" s="58"/>
      <c r="I729" s="58"/>
      <c r="J729" s="58"/>
      <c r="K729" s="76"/>
      <c r="L729" s="682" t="s">
        <v>336</v>
      </c>
      <c r="X729" s="668" t="s">
        <v>336</v>
      </c>
    </row>
    <row r="730" spans="1:25" ht="11.25" customHeight="1">
      <c r="A730" s="604">
        <v>4</v>
      </c>
      <c r="B730" s="136"/>
      <c r="C730" s="48" t="s">
        <v>369</v>
      </c>
      <c r="D730" s="1190" t="str">
        <f t="shared" ref="D730:D746" si="129">IF(P564="","",P564)</f>
        <v/>
      </c>
      <c r="E730" s="1191" t="str">
        <f t="shared" ref="E730:E746" si="130">IF(Q564="","",Q564)</f>
        <v/>
      </c>
      <c r="F730" s="1196" t="str">
        <f t="shared" ref="F730:F746" si="131">IF(R564="","",R564)</f>
        <v/>
      </c>
      <c r="G730" s="49"/>
      <c r="H730" s="49"/>
      <c r="I730" s="49"/>
      <c r="J730" s="49"/>
      <c r="K730" s="67"/>
      <c r="L730" s="682" t="s">
        <v>336</v>
      </c>
      <c r="X730" s="668" t="s">
        <v>336</v>
      </c>
    </row>
    <row r="731" spans="1:25" ht="11.25" customHeight="1">
      <c r="A731" s="604">
        <v>5</v>
      </c>
      <c r="B731" s="136"/>
      <c r="C731" s="48" t="s">
        <v>371</v>
      </c>
      <c r="D731" s="1192" t="str">
        <f t="shared" si="129"/>
        <v/>
      </c>
      <c r="E731" s="1193" t="str">
        <f t="shared" si="130"/>
        <v/>
      </c>
      <c r="F731" s="1197" t="str">
        <f t="shared" si="131"/>
        <v/>
      </c>
      <c r="G731" s="49"/>
      <c r="H731" s="49"/>
      <c r="I731" s="49"/>
      <c r="J731" s="49"/>
      <c r="K731" s="67"/>
      <c r="L731" s="682" t="s">
        <v>336</v>
      </c>
      <c r="X731" s="668" t="s">
        <v>336</v>
      </c>
    </row>
    <row r="732" spans="1:25" ht="11.25" customHeight="1">
      <c r="A732" s="604">
        <v>6</v>
      </c>
      <c r="B732" s="136"/>
      <c r="C732" s="48" t="s">
        <v>426</v>
      </c>
      <c r="D732" s="1192" t="str">
        <f t="shared" si="129"/>
        <v/>
      </c>
      <c r="E732" s="1193" t="str">
        <f t="shared" si="130"/>
        <v/>
      </c>
      <c r="F732" s="1197" t="str">
        <f t="shared" si="131"/>
        <v/>
      </c>
      <c r="G732" s="49"/>
      <c r="H732" s="49"/>
      <c r="I732" s="49"/>
      <c r="J732" s="49"/>
      <c r="K732" s="67"/>
      <c r="L732" s="682" t="s">
        <v>336</v>
      </c>
      <c r="X732" s="668" t="s">
        <v>336</v>
      </c>
    </row>
    <row r="733" spans="1:25" ht="11.25" customHeight="1">
      <c r="A733" s="604">
        <v>7</v>
      </c>
      <c r="B733" s="136"/>
      <c r="C733" s="48" t="s">
        <v>791</v>
      </c>
      <c r="D733" s="1192" t="str">
        <f t="shared" si="129"/>
        <v/>
      </c>
      <c r="E733" s="1193" t="str">
        <f t="shared" si="130"/>
        <v/>
      </c>
      <c r="F733" s="1197" t="str">
        <f t="shared" si="131"/>
        <v/>
      </c>
      <c r="G733" s="49"/>
      <c r="H733" s="49"/>
      <c r="I733" s="49"/>
      <c r="J733" s="49"/>
      <c r="K733" s="67"/>
      <c r="L733" s="682" t="s">
        <v>336</v>
      </c>
      <c r="X733" s="668" t="s">
        <v>336</v>
      </c>
    </row>
    <row r="734" spans="1:25" ht="11.25" customHeight="1">
      <c r="A734" s="604">
        <v>8</v>
      </c>
      <c r="B734" s="136"/>
      <c r="C734" s="48" t="s">
        <v>792</v>
      </c>
      <c r="D734" s="1192" t="str">
        <f t="shared" si="129"/>
        <v/>
      </c>
      <c r="E734" s="1193" t="str">
        <f t="shared" si="130"/>
        <v/>
      </c>
      <c r="F734" s="1197" t="str">
        <f t="shared" si="131"/>
        <v/>
      </c>
      <c r="G734" s="49"/>
      <c r="H734" s="49"/>
      <c r="I734" s="49"/>
      <c r="J734" s="49"/>
      <c r="K734" s="67"/>
      <c r="L734" s="682" t="s">
        <v>336</v>
      </c>
      <c r="X734" s="668" t="s">
        <v>336</v>
      </c>
    </row>
    <row r="735" spans="1:25" ht="11.25" customHeight="1">
      <c r="A735" s="604">
        <v>9</v>
      </c>
      <c r="B735" s="136"/>
      <c r="C735" s="48" t="s">
        <v>793</v>
      </c>
      <c r="D735" s="1192" t="str">
        <f t="shared" si="129"/>
        <v/>
      </c>
      <c r="E735" s="1193" t="str">
        <f t="shared" si="130"/>
        <v/>
      </c>
      <c r="F735" s="1197" t="str">
        <f t="shared" si="131"/>
        <v/>
      </c>
      <c r="G735" s="49"/>
      <c r="H735" s="49"/>
      <c r="I735" s="49"/>
      <c r="J735" s="49"/>
      <c r="K735" s="67"/>
      <c r="L735" s="682" t="s">
        <v>336</v>
      </c>
      <c r="X735" s="668" t="s">
        <v>336</v>
      </c>
    </row>
    <row r="736" spans="1:25" ht="11.25" customHeight="1">
      <c r="A736" s="604">
        <v>10</v>
      </c>
      <c r="B736" s="136"/>
      <c r="C736" s="48" t="s">
        <v>794</v>
      </c>
      <c r="D736" s="1192" t="str">
        <f t="shared" si="129"/>
        <v/>
      </c>
      <c r="E736" s="1193" t="str">
        <f t="shared" si="130"/>
        <v/>
      </c>
      <c r="F736" s="1197" t="str">
        <f t="shared" si="131"/>
        <v/>
      </c>
      <c r="G736" s="49"/>
      <c r="H736" s="49"/>
      <c r="I736" s="49"/>
      <c r="J736" s="49"/>
      <c r="K736" s="67"/>
      <c r="L736" s="682" t="s">
        <v>336</v>
      </c>
      <c r="X736" s="668" t="s">
        <v>336</v>
      </c>
    </row>
    <row r="737" spans="1:24" ht="11.25" customHeight="1">
      <c r="A737" s="604">
        <v>11</v>
      </c>
      <c r="B737" s="136"/>
      <c r="C737" s="48" t="s">
        <v>795</v>
      </c>
      <c r="D737" s="1192" t="str">
        <f t="shared" si="129"/>
        <v/>
      </c>
      <c r="E737" s="1193" t="str">
        <f t="shared" si="130"/>
        <v/>
      </c>
      <c r="F737" s="1197" t="str">
        <f t="shared" si="131"/>
        <v/>
      </c>
      <c r="G737" s="49"/>
      <c r="H737" s="49"/>
      <c r="I737" s="49"/>
      <c r="J737" s="49"/>
      <c r="K737" s="67"/>
      <c r="L737" s="682" t="s">
        <v>336</v>
      </c>
      <c r="X737" s="668" t="s">
        <v>336</v>
      </c>
    </row>
    <row r="738" spans="1:24" ht="11.25" customHeight="1">
      <c r="A738" s="604">
        <v>12</v>
      </c>
      <c r="B738" s="136"/>
      <c r="C738" s="48" t="s">
        <v>796</v>
      </c>
      <c r="D738" s="1192" t="str">
        <f t="shared" si="129"/>
        <v/>
      </c>
      <c r="E738" s="1193" t="str">
        <f t="shared" si="130"/>
        <v/>
      </c>
      <c r="F738" s="1197" t="str">
        <f t="shared" si="131"/>
        <v/>
      </c>
      <c r="G738" s="49"/>
      <c r="H738" s="49"/>
      <c r="I738" s="49"/>
      <c r="J738" s="49"/>
      <c r="K738" s="67"/>
      <c r="L738" s="682" t="s">
        <v>336</v>
      </c>
      <c r="X738" s="668" t="s">
        <v>336</v>
      </c>
    </row>
    <row r="739" spans="1:24" ht="11.25" customHeight="1">
      <c r="A739" s="604">
        <v>13</v>
      </c>
      <c r="B739" s="136"/>
      <c r="C739" s="48" t="s">
        <v>797</v>
      </c>
      <c r="D739" s="1192" t="str">
        <f t="shared" si="129"/>
        <v/>
      </c>
      <c r="E739" s="1193" t="str">
        <f t="shared" si="130"/>
        <v/>
      </c>
      <c r="F739" s="1197" t="str">
        <f t="shared" si="131"/>
        <v/>
      </c>
      <c r="G739" s="49"/>
      <c r="H739" s="49"/>
      <c r="I739" s="49"/>
      <c r="J739" s="49"/>
      <c r="K739" s="67"/>
      <c r="L739" s="682" t="s">
        <v>336</v>
      </c>
      <c r="X739" s="668" t="s">
        <v>336</v>
      </c>
    </row>
    <row r="740" spans="1:24" ht="11.25" customHeight="1">
      <c r="A740" s="604">
        <v>14</v>
      </c>
      <c r="B740" s="136"/>
      <c r="C740" s="48" t="s">
        <v>798</v>
      </c>
      <c r="D740" s="1192" t="str">
        <f t="shared" si="129"/>
        <v/>
      </c>
      <c r="E740" s="1193" t="str">
        <f t="shared" si="130"/>
        <v/>
      </c>
      <c r="F740" s="1197" t="str">
        <f t="shared" si="131"/>
        <v/>
      </c>
      <c r="G740" s="49"/>
      <c r="H740" s="49"/>
      <c r="I740" s="49"/>
      <c r="J740" s="49"/>
      <c r="K740" s="67"/>
      <c r="L740" s="682" t="s">
        <v>336</v>
      </c>
      <c r="X740" s="668" t="s">
        <v>336</v>
      </c>
    </row>
    <row r="741" spans="1:24" ht="11.25" customHeight="1">
      <c r="A741" s="604">
        <v>15</v>
      </c>
      <c r="B741" s="136"/>
      <c r="C741" s="48" t="s">
        <v>799</v>
      </c>
      <c r="D741" s="1192" t="str">
        <f t="shared" si="129"/>
        <v/>
      </c>
      <c r="E741" s="1193" t="str">
        <f t="shared" si="130"/>
        <v/>
      </c>
      <c r="F741" s="1197" t="str">
        <f t="shared" si="131"/>
        <v/>
      </c>
      <c r="G741" s="49"/>
      <c r="H741" s="49"/>
      <c r="I741" s="49"/>
      <c r="J741" s="49"/>
      <c r="K741" s="67"/>
      <c r="L741" s="682" t="s">
        <v>336</v>
      </c>
      <c r="X741" s="668" t="s">
        <v>336</v>
      </c>
    </row>
    <row r="742" spans="1:24" ht="11.25" customHeight="1">
      <c r="A742" s="604">
        <v>16</v>
      </c>
      <c r="B742" s="136"/>
      <c r="C742" s="48" t="s">
        <v>800</v>
      </c>
      <c r="D742" s="1192" t="str">
        <f t="shared" si="129"/>
        <v/>
      </c>
      <c r="E742" s="1193" t="str">
        <f t="shared" si="130"/>
        <v/>
      </c>
      <c r="F742" s="1197" t="str">
        <f t="shared" si="131"/>
        <v/>
      </c>
      <c r="G742" s="49"/>
      <c r="H742" s="49"/>
      <c r="I742" s="49"/>
      <c r="J742" s="49"/>
      <c r="K742" s="67"/>
      <c r="L742" s="682" t="s">
        <v>336</v>
      </c>
      <c r="X742" s="668" t="s">
        <v>336</v>
      </c>
    </row>
    <row r="743" spans="1:24" ht="11.25" customHeight="1">
      <c r="A743" s="604">
        <v>17</v>
      </c>
      <c r="B743" s="136"/>
      <c r="C743" s="48" t="s">
        <v>801</v>
      </c>
      <c r="D743" s="1192" t="str">
        <f t="shared" si="129"/>
        <v/>
      </c>
      <c r="E743" s="1193" t="str">
        <f t="shared" si="130"/>
        <v/>
      </c>
      <c r="F743" s="1197" t="str">
        <f t="shared" si="131"/>
        <v/>
      </c>
      <c r="G743" s="49"/>
      <c r="H743" s="49"/>
      <c r="I743" s="49"/>
      <c r="J743" s="49"/>
      <c r="K743" s="67"/>
      <c r="L743" s="682" t="s">
        <v>336</v>
      </c>
      <c r="X743" s="668" t="s">
        <v>336</v>
      </c>
    </row>
    <row r="744" spans="1:24" ht="11.25" customHeight="1">
      <c r="A744" s="604">
        <v>18</v>
      </c>
      <c r="B744" s="136"/>
      <c r="C744" s="48" t="s">
        <v>802</v>
      </c>
      <c r="D744" s="1192" t="str">
        <f t="shared" si="129"/>
        <v/>
      </c>
      <c r="E744" s="1193" t="str">
        <f t="shared" si="130"/>
        <v/>
      </c>
      <c r="F744" s="1197" t="str">
        <f t="shared" si="131"/>
        <v/>
      </c>
      <c r="G744" s="49"/>
      <c r="H744" s="49"/>
      <c r="I744" s="49"/>
      <c r="J744" s="49"/>
      <c r="K744" s="67"/>
      <c r="L744" s="682" t="s">
        <v>336</v>
      </c>
      <c r="X744" s="668" t="s">
        <v>336</v>
      </c>
    </row>
    <row r="745" spans="1:24" ht="11.25" customHeight="1">
      <c r="A745" s="604">
        <v>19</v>
      </c>
      <c r="B745" s="136"/>
      <c r="C745" s="48" t="s">
        <v>803</v>
      </c>
      <c r="D745" s="1192" t="str">
        <f t="shared" si="129"/>
        <v/>
      </c>
      <c r="E745" s="1193" t="str">
        <f t="shared" si="130"/>
        <v/>
      </c>
      <c r="F745" s="1197" t="str">
        <f t="shared" si="131"/>
        <v/>
      </c>
      <c r="G745" s="49"/>
      <c r="H745" s="49"/>
      <c r="I745" s="49"/>
      <c r="J745" s="49"/>
      <c r="K745" s="67"/>
      <c r="L745" s="682" t="s">
        <v>336</v>
      </c>
      <c r="X745" s="668" t="s">
        <v>336</v>
      </c>
    </row>
    <row r="746" spans="1:24" ht="11.25" customHeight="1" thickBot="1">
      <c r="A746" s="604">
        <v>20</v>
      </c>
      <c r="B746" s="136"/>
      <c r="C746" s="48" t="s">
        <v>804</v>
      </c>
      <c r="D746" s="1194" t="str">
        <f t="shared" si="129"/>
        <v/>
      </c>
      <c r="E746" s="1195" t="str">
        <f t="shared" si="130"/>
        <v/>
      </c>
      <c r="F746" s="1198" t="str">
        <f t="shared" si="131"/>
        <v/>
      </c>
      <c r="G746" s="49"/>
      <c r="H746" s="49"/>
      <c r="I746" s="49"/>
      <c r="J746" s="49"/>
      <c r="K746" s="67"/>
      <c r="L746" s="682" t="s">
        <v>336</v>
      </c>
      <c r="X746" s="668" t="s">
        <v>336</v>
      </c>
    </row>
    <row r="747" spans="1:24" ht="11.25" customHeight="1">
      <c r="A747" s="604">
        <v>21</v>
      </c>
      <c r="B747" s="136"/>
      <c r="C747" s="49"/>
      <c r="D747" s="49"/>
      <c r="E747" s="49"/>
      <c r="F747" s="49"/>
      <c r="G747" s="49"/>
      <c r="H747" s="49"/>
      <c r="I747" s="49"/>
      <c r="J747" s="49"/>
      <c r="K747" s="67"/>
      <c r="L747" s="682" t="s">
        <v>336</v>
      </c>
      <c r="X747" s="668" t="s">
        <v>336</v>
      </c>
    </row>
    <row r="748" spans="1:24" ht="11.25" customHeight="1">
      <c r="A748" s="604">
        <v>22</v>
      </c>
      <c r="B748" s="1182" t="s">
        <v>863</v>
      </c>
      <c r="C748" s="49"/>
      <c r="D748" s="49"/>
      <c r="E748" s="49"/>
      <c r="F748" s="49"/>
      <c r="G748" s="49"/>
      <c r="H748" s="49"/>
      <c r="I748" s="49"/>
      <c r="J748" s="49"/>
      <c r="K748" s="67"/>
      <c r="L748" s="682" t="s">
        <v>336</v>
      </c>
      <c r="X748" s="668" t="s">
        <v>336</v>
      </c>
    </row>
    <row r="749" spans="1:24" ht="11.25" customHeight="1">
      <c r="A749" s="604">
        <v>23</v>
      </c>
      <c r="B749" s="1218"/>
      <c r="C749" s="48" t="s">
        <v>47</v>
      </c>
      <c r="D749" s="55" t="str">
        <f>IF($O$227="","",$O$227)</f>
        <v>Piranha CB2-17090320</v>
      </c>
      <c r="E749" s="41"/>
      <c r="F749" s="41"/>
      <c r="G749" s="49"/>
      <c r="H749" s="49"/>
      <c r="I749" s="49"/>
      <c r="J749" s="49"/>
      <c r="K749" s="67"/>
      <c r="L749" s="682" t="s">
        <v>336</v>
      </c>
      <c r="X749" s="668" t="s">
        <v>336</v>
      </c>
    </row>
    <row r="750" spans="1:24" ht="11.25" customHeight="1">
      <c r="A750" s="604">
        <v>24</v>
      </c>
      <c r="B750" s="136"/>
      <c r="C750" s="49"/>
      <c r="D750" s="49"/>
      <c r="E750" s="49"/>
      <c r="F750" s="49"/>
      <c r="G750" s="49"/>
      <c r="H750" s="49"/>
      <c r="I750" s="49"/>
      <c r="J750" s="49"/>
      <c r="K750" s="67"/>
      <c r="L750" s="682" t="s">
        <v>336</v>
      </c>
      <c r="X750" s="668" t="s">
        <v>336</v>
      </c>
    </row>
    <row r="751" spans="1:24" ht="11.25" customHeight="1" thickBot="1">
      <c r="A751" s="604">
        <v>25</v>
      </c>
      <c r="B751" s="136"/>
      <c r="C751" s="341"/>
      <c r="D751" s="341"/>
      <c r="E751" s="1211"/>
      <c r="F751" s="1211"/>
      <c r="G751" s="1211"/>
      <c r="H751" s="49"/>
      <c r="I751" s="49"/>
      <c r="J751" s="49"/>
      <c r="K751" s="67"/>
      <c r="L751" s="682" t="s">
        <v>336</v>
      </c>
      <c r="X751" s="668" t="s">
        <v>336</v>
      </c>
    </row>
    <row r="752" spans="1:24" ht="11.25" customHeight="1" thickBot="1">
      <c r="A752" s="604">
        <v>26</v>
      </c>
      <c r="B752" s="136"/>
      <c r="C752" s="341"/>
      <c r="D752" s="341"/>
      <c r="E752" s="268" t="s">
        <v>787</v>
      </c>
      <c r="F752" s="151" t="s">
        <v>788</v>
      </c>
      <c r="G752" s="1152" t="s">
        <v>789</v>
      </c>
      <c r="H752" s="49"/>
      <c r="I752" s="341"/>
      <c r="J752" s="1169" t="s">
        <v>876</v>
      </c>
      <c r="K752" s="1209" t="s">
        <v>877</v>
      </c>
      <c r="L752" s="682" t="s">
        <v>336</v>
      </c>
      <c r="X752" s="668" t="s">
        <v>336</v>
      </c>
    </row>
    <row r="753" spans="1:24" ht="11.25" customHeight="1" thickBot="1">
      <c r="A753" s="604">
        <v>27</v>
      </c>
      <c r="B753" s="136"/>
      <c r="C753" s="341"/>
      <c r="D753" s="48" t="s">
        <v>940</v>
      </c>
      <c r="E753" s="1153" t="str">
        <f>IF(O589="","",O589)</f>
        <v/>
      </c>
      <c r="F753" s="1154" t="str">
        <f t="shared" ref="F753:G753" si="132">IF(P589="","",P589)</f>
        <v/>
      </c>
      <c r="G753" s="1155" t="str">
        <f t="shared" si="132"/>
        <v/>
      </c>
      <c r="H753" s="49"/>
      <c r="I753" s="341"/>
      <c r="J753" s="268" t="s">
        <v>878</v>
      </c>
      <c r="K753" s="1210" t="s">
        <v>878</v>
      </c>
      <c r="L753" s="682" t="s">
        <v>336</v>
      </c>
      <c r="X753" s="668" t="s">
        <v>336</v>
      </c>
    </row>
    <row r="754" spans="1:24" ht="11.25" customHeight="1">
      <c r="A754" s="604">
        <v>28</v>
      </c>
      <c r="B754" s="136"/>
      <c r="C754" s="1165"/>
      <c r="D754" s="1166" t="s">
        <v>982</v>
      </c>
      <c r="E754" s="1199" t="str">
        <f>IF(O590="","",O593)</f>
        <v/>
      </c>
      <c r="F754" s="1200" t="str">
        <f t="shared" ref="F754:G754" si="133">IF(P590="","",P593)</f>
        <v/>
      </c>
      <c r="G754" s="1201" t="str">
        <f t="shared" si="133"/>
        <v/>
      </c>
      <c r="H754" s="49"/>
      <c r="I754" s="1170" t="s">
        <v>805</v>
      </c>
      <c r="J754" s="1222">
        <v>25</v>
      </c>
      <c r="K754" s="1251">
        <v>30</v>
      </c>
      <c r="L754" s="682" t="s">
        <v>336</v>
      </c>
      <c r="X754" s="668" t="s">
        <v>336</v>
      </c>
    </row>
    <row r="755" spans="1:24" ht="11.25" customHeight="1">
      <c r="A755" s="604">
        <v>29</v>
      </c>
      <c r="B755" s="136"/>
      <c r="C755" s="1165"/>
      <c r="D755" s="1166" t="s">
        <v>983</v>
      </c>
      <c r="E755" s="1156" t="str">
        <f>IF(O594="","",O597)</f>
        <v/>
      </c>
      <c r="F755" s="1157" t="str">
        <f t="shared" ref="F755:G755" si="134">IF(P594="","",P597)</f>
        <v/>
      </c>
      <c r="G755" s="1158" t="str">
        <f t="shared" si="134"/>
        <v/>
      </c>
      <c r="H755" s="49"/>
      <c r="I755" s="1173" t="s">
        <v>879</v>
      </c>
      <c r="J755" s="1141">
        <v>75</v>
      </c>
      <c r="K755" s="1252">
        <v>80</v>
      </c>
      <c r="L755" s="682" t="s">
        <v>336</v>
      </c>
      <c r="X755" s="668" t="s">
        <v>336</v>
      </c>
    </row>
    <row r="756" spans="1:24" ht="11.25" customHeight="1" thickBot="1">
      <c r="A756" s="604">
        <v>30</v>
      </c>
      <c r="B756" s="136"/>
      <c r="C756" s="1165"/>
      <c r="D756" s="48" t="s">
        <v>864</v>
      </c>
      <c r="E756" s="1202" t="str">
        <f>IF(O599="","",O599)</f>
        <v/>
      </c>
      <c r="F756" s="1203" t="str">
        <f t="shared" ref="F756:G756" si="135">IF(P599="","",P599)</f>
        <v/>
      </c>
      <c r="G756" s="1204" t="str">
        <f t="shared" si="135"/>
        <v/>
      </c>
      <c r="H756" s="49"/>
      <c r="I756" s="1173" t="s">
        <v>880</v>
      </c>
      <c r="J756" s="1141">
        <v>15</v>
      </c>
      <c r="K756" s="1252">
        <v>20</v>
      </c>
      <c r="L756" s="682" t="s">
        <v>336</v>
      </c>
      <c r="X756" s="668" t="s">
        <v>336</v>
      </c>
    </row>
    <row r="757" spans="1:24" ht="11.25" customHeight="1">
      <c r="A757" s="604">
        <v>31</v>
      </c>
      <c r="B757" s="136"/>
      <c r="C757" s="341"/>
      <c r="D757" s="48" t="s">
        <v>941</v>
      </c>
      <c r="E757" s="1221">
        <f>IF(O600="","",O600)</f>
        <v>32</v>
      </c>
      <c r="F757" s="1222">
        <f t="shared" ref="F757:G759" si="136">IF(P600="","",F750)</f>
        <v>0</v>
      </c>
      <c r="G757" s="1223">
        <f t="shared" si="136"/>
        <v>0</v>
      </c>
      <c r="H757" s="49"/>
      <c r="I757" s="1173" t="s">
        <v>881</v>
      </c>
      <c r="J757" s="1141">
        <v>7.5</v>
      </c>
      <c r="K757" s="1252">
        <v>10</v>
      </c>
      <c r="L757" s="682" t="s">
        <v>336</v>
      </c>
      <c r="X757" s="668" t="s">
        <v>336</v>
      </c>
    </row>
    <row r="758" spans="1:24" ht="11.25" customHeight="1" thickBot="1">
      <c r="A758" s="604">
        <v>32</v>
      </c>
      <c r="B758" s="136"/>
      <c r="C758" s="341"/>
      <c r="D758" s="48" t="s">
        <v>942</v>
      </c>
      <c r="E758" s="1248">
        <f>IF(O601="","",O601)</f>
        <v>32</v>
      </c>
      <c r="F758" s="1249">
        <f t="shared" si="136"/>
        <v>0</v>
      </c>
      <c r="G758" s="1250">
        <f t="shared" si="136"/>
        <v>0</v>
      </c>
      <c r="H758" s="49"/>
      <c r="I758" s="1175" t="s">
        <v>882</v>
      </c>
      <c r="J758" s="1249">
        <v>35</v>
      </c>
      <c r="K758" s="1253">
        <v>40</v>
      </c>
      <c r="L758" s="682" t="s">
        <v>336</v>
      </c>
      <c r="X758" s="668" t="s">
        <v>336</v>
      </c>
    </row>
    <row r="759" spans="1:24" ht="11.25" customHeight="1">
      <c r="A759" s="604">
        <v>33</v>
      </c>
      <c r="B759" s="136"/>
      <c r="C759" s="341"/>
      <c r="D759" s="48" t="s">
        <v>943</v>
      </c>
      <c r="E759" s="1159" t="str">
        <f>IF(O602="","",O602)</f>
        <v/>
      </c>
      <c r="F759" s="1160" t="str">
        <f t="shared" si="136"/>
        <v/>
      </c>
      <c r="G759" s="1161" t="str">
        <f t="shared" si="136"/>
        <v/>
      </c>
      <c r="H759" s="49"/>
      <c r="I759" s="49"/>
      <c r="J759" s="49"/>
      <c r="K759" s="67"/>
      <c r="L759" s="682" t="s">
        <v>336</v>
      </c>
      <c r="X759" s="668" t="s">
        <v>336</v>
      </c>
    </row>
    <row r="760" spans="1:24" ht="11.25" customHeight="1" thickBot="1">
      <c r="A760" s="604">
        <v>34</v>
      </c>
      <c r="B760" s="136"/>
      <c r="C760" s="341"/>
      <c r="D760" s="48" t="s">
        <v>944</v>
      </c>
      <c r="E760" s="1162" t="str">
        <f>IF(O604="","",O604)</f>
        <v/>
      </c>
      <c r="F760" s="1163" t="str">
        <f t="shared" ref="F760:G760" si="137">IF(P604="","",P604)</f>
        <v/>
      </c>
      <c r="G760" s="1164" t="str">
        <f t="shared" si="137"/>
        <v/>
      </c>
      <c r="H760" s="49"/>
      <c r="I760" s="49"/>
      <c r="J760" s="49"/>
      <c r="K760" s="67"/>
      <c r="L760" s="682" t="s">
        <v>336</v>
      </c>
      <c r="X760" s="668" t="s">
        <v>336</v>
      </c>
    </row>
    <row r="761" spans="1:24" ht="11.25" customHeight="1" thickBot="1">
      <c r="A761" s="604">
        <v>35</v>
      </c>
      <c r="B761" s="136"/>
      <c r="C761" s="341"/>
      <c r="D761" s="48" t="s">
        <v>424</v>
      </c>
      <c r="E761" s="1153" t="str">
        <f>IF(O605="","",O605)</f>
        <v/>
      </c>
      <c r="F761" s="1154" t="str">
        <f t="shared" ref="F761:G761" si="138">IF(P605="","",P605)</f>
        <v/>
      </c>
      <c r="G761" s="1155" t="str">
        <f t="shared" si="138"/>
        <v/>
      </c>
      <c r="H761" s="49"/>
      <c r="I761" s="49"/>
      <c r="J761" s="49"/>
      <c r="K761" s="67"/>
      <c r="L761" s="682" t="s">
        <v>336</v>
      </c>
      <c r="X761" s="668" t="s">
        <v>336</v>
      </c>
    </row>
    <row r="762" spans="1:24" ht="11.25" customHeight="1" thickBot="1">
      <c r="A762" s="604">
        <v>36</v>
      </c>
      <c r="B762" s="136"/>
      <c r="C762" s="341"/>
      <c r="D762" s="48" t="s">
        <v>945</v>
      </c>
      <c r="E762" s="1206" t="str">
        <f>IF(O606="","",O606)</f>
        <v/>
      </c>
      <c r="F762" s="1207" t="str">
        <f t="shared" ref="F762:G762" si="139">IF(P606="","",P606)</f>
        <v/>
      </c>
      <c r="G762" s="1208" t="str">
        <f t="shared" si="139"/>
        <v/>
      </c>
      <c r="H762" s="49"/>
      <c r="I762" s="49"/>
      <c r="J762" s="49"/>
      <c r="K762" s="67"/>
      <c r="L762" s="682" t="s">
        <v>336</v>
      </c>
      <c r="X762" s="668" t="s">
        <v>336</v>
      </c>
    </row>
    <row r="763" spans="1:24" ht="11.25" customHeight="1">
      <c r="A763" s="604">
        <v>37</v>
      </c>
      <c r="B763" s="136"/>
      <c r="C763" s="341"/>
      <c r="D763" s="143" t="str">
        <f>N608</f>
        <v>Criteria:</v>
      </c>
      <c r="E763" s="341" t="str">
        <f>O608</f>
        <v>CTDI is within 5% of previous year.</v>
      </c>
      <c r="F763" s="341"/>
      <c r="G763" s="341"/>
      <c r="H763" s="49"/>
      <c r="I763" s="49"/>
      <c r="J763" s="49"/>
      <c r="K763" s="67"/>
      <c r="L763" s="682" t="s">
        <v>336</v>
      </c>
      <c r="X763" s="668" t="s">
        <v>336</v>
      </c>
    </row>
    <row r="764" spans="1:24" ht="11.25" customHeight="1">
      <c r="A764" s="604">
        <v>38</v>
      </c>
      <c r="B764" s="136"/>
      <c r="C764" s="341"/>
      <c r="D764" s="341"/>
      <c r="E764" s="341" t="str">
        <f>O609</f>
        <v>Measured CTDI is within 20% of indicated CTDI</v>
      </c>
      <c r="F764" s="341"/>
      <c r="G764" s="341"/>
      <c r="H764" s="49"/>
      <c r="I764" s="49"/>
      <c r="J764" s="49"/>
      <c r="K764" s="67"/>
      <c r="L764" s="682" t="s">
        <v>336</v>
      </c>
      <c r="X764" s="668" t="s">
        <v>336</v>
      </c>
    </row>
    <row r="765" spans="1:24" ht="11.25" customHeight="1">
      <c r="A765" s="604">
        <v>39</v>
      </c>
      <c r="B765" s="136"/>
      <c r="C765" s="341"/>
      <c r="D765" s="49"/>
      <c r="E765" s="341" t="str">
        <f>O610</f>
        <v>CTDIvol is less than ACR Pass/Fail dose</v>
      </c>
      <c r="F765" s="49"/>
      <c r="G765" s="49"/>
      <c r="H765" s="49"/>
      <c r="I765" s="49"/>
      <c r="J765" s="49"/>
      <c r="K765" s="67"/>
      <c r="L765" s="682" t="s">
        <v>336</v>
      </c>
      <c r="X765" s="668" t="s">
        <v>336</v>
      </c>
    </row>
    <row r="766" spans="1:24" ht="11.25" customHeight="1">
      <c r="A766" s="604">
        <v>40</v>
      </c>
      <c r="B766" s="136"/>
      <c r="C766" s="49"/>
      <c r="H766" s="49"/>
      <c r="I766" s="49"/>
      <c r="J766" s="49"/>
      <c r="K766" s="67"/>
      <c r="L766" s="682" t="s">
        <v>336</v>
      </c>
      <c r="X766" s="668" t="s">
        <v>336</v>
      </c>
    </row>
    <row r="767" spans="1:24" ht="11.25" customHeight="1">
      <c r="A767" s="604">
        <v>41</v>
      </c>
      <c r="B767" s="136"/>
      <c r="C767" s="49"/>
      <c r="D767" s="49"/>
      <c r="E767" s="49"/>
      <c r="F767" s="49"/>
      <c r="G767" s="49"/>
      <c r="H767" s="49"/>
      <c r="I767" s="49"/>
      <c r="J767" s="49"/>
      <c r="K767" s="67"/>
      <c r="L767" s="682" t="s">
        <v>336</v>
      </c>
      <c r="X767" s="668" t="s">
        <v>336</v>
      </c>
    </row>
    <row r="768" spans="1:24" ht="11.25" customHeight="1" thickBot="1">
      <c r="A768" s="604">
        <v>42</v>
      </c>
      <c r="B768" s="1182" t="s">
        <v>883</v>
      </c>
      <c r="C768" s="341"/>
      <c r="D768" s="341"/>
      <c r="E768" s="341"/>
      <c r="F768" s="341"/>
      <c r="G768" s="341"/>
      <c r="H768" s="49"/>
      <c r="I768" s="49"/>
      <c r="J768" s="49"/>
      <c r="K768" s="67"/>
      <c r="L768" s="682" t="s">
        <v>336</v>
      </c>
      <c r="X768" s="668" t="s">
        <v>336</v>
      </c>
    </row>
    <row r="769" spans="1:24" ht="11.25" customHeight="1">
      <c r="A769" s="604">
        <v>43</v>
      </c>
      <c r="B769" s="1184"/>
      <c r="C769" s="48" t="s">
        <v>884</v>
      </c>
      <c r="D769" s="1205" t="str">
        <f t="shared" ref="D769:G772" si="140">IF(O613="","",O613)</f>
        <v/>
      </c>
      <c r="E769" s="1171" t="str">
        <f t="shared" si="140"/>
        <v/>
      </c>
      <c r="F769" s="1171" t="str">
        <f t="shared" si="140"/>
        <v/>
      </c>
      <c r="G769" s="1172" t="str">
        <f t="shared" si="140"/>
        <v/>
      </c>
      <c r="H769" s="49"/>
      <c r="I769" s="49"/>
      <c r="J769" s="49"/>
      <c r="K769" s="67"/>
      <c r="L769" s="682" t="s">
        <v>336</v>
      </c>
      <c r="X769" s="668" t="s">
        <v>336</v>
      </c>
    </row>
    <row r="770" spans="1:24" ht="11.25" customHeight="1">
      <c r="A770" s="604">
        <v>44</v>
      </c>
      <c r="B770" s="1184"/>
      <c r="C770" s="48" t="s">
        <v>885</v>
      </c>
      <c r="D770" s="1212" t="str">
        <f t="shared" si="140"/>
        <v/>
      </c>
      <c r="E770" s="127" t="str">
        <f t="shared" si="140"/>
        <v/>
      </c>
      <c r="F770" s="127" t="str">
        <f t="shared" si="140"/>
        <v/>
      </c>
      <c r="G770" s="1174" t="str">
        <f t="shared" si="140"/>
        <v/>
      </c>
      <c r="H770" s="49"/>
      <c r="I770" s="49"/>
      <c r="J770" s="49"/>
      <c r="K770" s="67"/>
      <c r="L770" s="682" t="s">
        <v>336</v>
      </c>
      <c r="X770" s="668" t="s">
        <v>336</v>
      </c>
    </row>
    <row r="771" spans="1:24" ht="11.25" customHeight="1">
      <c r="A771" s="604">
        <v>45</v>
      </c>
      <c r="B771" s="1184"/>
      <c r="C771" s="48" t="s">
        <v>887</v>
      </c>
      <c r="D771" s="1212" t="str">
        <f t="shared" si="140"/>
        <v/>
      </c>
      <c r="E771" s="127" t="str">
        <f t="shared" si="140"/>
        <v/>
      </c>
      <c r="F771" s="127" t="str">
        <f t="shared" si="140"/>
        <v/>
      </c>
      <c r="G771" s="1174" t="str">
        <f t="shared" si="140"/>
        <v/>
      </c>
      <c r="H771" s="49"/>
      <c r="I771" s="49"/>
      <c r="J771" s="49"/>
      <c r="K771" s="67"/>
      <c r="L771" s="682" t="s">
        <v>336</v>
      </c>
      <c r="X771" s="668" t="s">
        <v>336</v>
      </c>
    </row>
    <row r="772" spans="1:24" ht="11.25" customHeight="1">
      <c r="A772" s="604">
        <v>46</v>
      </c>
      <c r="B772" s="1184"/>
      <c r="C772" s="48" t="s">
        <v>888</v>
      </c>
      <c r="D772" s="1212" t="str">
        <f t="shared" si="140"/>
        <v/>
      </c>
      <c r="E772" s="127" t="str">
        <f t="shared" si="140"/>
        <v/>
      </c>
      <c r="F772" s="127" t="str">
        <f t="shared" si="140"/>
        <v/>
      </c>
      <c r="G772" s="1174" t="str">
        <f t="shared" si="140"/>
        <v/>
      </c>
      <c r="H772" s="49"/>
      <c r="I772" s="49"/>
      <c r="J772" s="49"/>
      <c r="K772" s="67"/>
      <c r="L772" s="682" t="s">
        <v>336</v>
      </c>
      <c r="X772" s="668" t="s">
        <v>336</v>
      </c>
    </row>
    <row r="773" spans="1:24" ht="11.25" customHeight="1" thickBot="1">
      <c r="A773" s="604">
        <v>47</v>
      </c>
      <c r="B773" s="1184"/>
      <c r="C773" s="48" t="s">
        <v>946</v>
      </c>
      <c r="D773" s="1213" t="str">
        <f>IF(O620="","",O620)</f>
        <v/>
      </c>
      <c r="E773" s="1214" t="str">
        <f>IF(P620="","",P620)</f>
        <v/>
      </c>
      <c r="F773" s="1214" t="str">
        <f>IF(Q620="","",Q620)</f>
        <v/>
      </c>
      <c r="G773" s="1215" t="str">
        <f>IF(R620="","",R620)</f>
        <v/>
      </c>
      <c r="H773" s="49"/>
      <c r="I773" s="49"/>
      <c r="J773" s="49"/>
      <c r="K773" s="67"/>
      <c r="L773" s="682" t="s">
        <v>336</v>
      </c>
      <c r="X773" s="668" t="s">
        <v>336</v>
      </c>
    </row>
    <row r="774" spans="1:24" ht="11.25" customHeight="1" thickBot="1">
      <c r="A774" s="604">
        <v>48</v>
      </c>
      <c r="B774" s="1184"/>
      <c r="C774" s="1219"/>
      <c r="D774" s="1216"/>
      <c r="E774" s="1216"/>
      <c r="F774" s="1216"/>
      <c r="G774" s="1216"/>
      <c r="H774" s="49"/>
      <c r="I774" s="49"/>
      <c r="J774" s="49"/>
      <c r="K774" s="67"/>
      <c r="L774" s="682" t="s">
        <v>336</v>
      </c>
      <c r="X774" s="668" t="s">
        <v>336</v>
      </c>
    </row>
    <row r="775" spans="1:24" ht="11.25" customHeight="1" thickBot="1">
      <c r="A775" s="604">
        <v>49</v>
      </c>
      <c r="B775" s="1184"/>
      <c r="C775" s="48" t="s">
        <v>424</v>
      </c>
      <c r="D775" s="1153" t="str">
        <f>IF(O621="","",O621)</f>
        <v/>
      </c>
      <c r="E775" s="1154" t="str">
        <f>IF(P621="","",P621)</f>
        <v/>
      </c>
      <c r="F775" s="1154" t="str">
        <f>IF(Q621="","",Q621)</f>
        <v/>
      </c>
      <c r="G775" s="1155" t="str">
        <f>IF(R621="","",R621)</f>
        <v/>
      </c>
      <c r="H775" s="49"/>
      <c r="I775" s="49"/>
      <c r="J775" s="49"/>
      <c r="K775" s="67"/>
      <c r="L775" s="682" t="s">
        <v>336</v>
      </c>
      <c r="X775" s="668" t="s">
        <v>336</v>
      </c>
    </row>
    <row r="776" spans="1:24" ht="11.25" customHeight="1">
      <c r="A776" s="604">
        <v>50</v>
      </c>
      <c r="B776" s="1184"/>
      <c r="C776" s="341"/>
      <c r="D776" s="143" t="s">
        <v>425</v>
      </c>
      <c r="E776" s="341" t="str">
        <f>O622</f>
        <v>Beam profile is within 3mm or 30% of specified value</v>
      </c>
      <c r="F776" s="341"/>
      <c r="G776" s="341"/>
      <c r="H776" s="49"/>
      <c r="I776" s="49"/>
      <c r="J776" s="49"/>
      <c r="K776" s="67"/>
      <c r="L776" s="682" t="s">
        <v>336</v>
      </c>
      <c r="X776" s="668" t="s">
        <v>336</v>
      </c>
    </row>
    <row r="777" spans="1:24" ht="11.25" customHeight="1">
      <c r="A777" s="604">
        <v>51</v>
      </c>
      <c r="B777" s="136"/>
      <c r="C777" s="49"/>
      <c r="D777" s="49"/>
      <c r="E777" s="49"/>
      <c r="F777" s="49"/>
      <c r="G777" s="49"/>
      <c r="H777" s="49"/>
      <c r="I777" s="49"/>
      <c r="J777" s="49"/>
      <c r="K777" s="67"/>
      <c r="L777" s="682" t="s">
        <v>336</v>
      </c>
      <c r="X777" s="668" t="s">
        <v>336</v>
      </c>
    </row>
    <row r="778" spans="1:24" ht="11.25" customHeight="1">
      <c r="A778" s="604">
        <v>52</v>
      </c>
      <c r="B778" s="1182" t="s">
        <v>891</v>
      </c>
      <c r="C778" s="1150"/>
      <c r="D778" s="49"/>
      <c r="E778" s="49"/>
      <c r="F778" s="49"/>
      <c r="G778" s="49"/>
      <c r="H778" s="49"/>
      <c r="I778" s="49"/>
      <c r="J778" s="49"/>
      <c r="K778" s="67"/>
      <c r="L778" s="682" t="s">
        <v>336</v>
      </c>
      <c r="X778" s="668" t="s">
        <v>336</v>
      </c>
    </row>
    <row r="779" spans="1:24" ht="11.25" customHeight="1">
      <c r="A779" s="604">
        <v>53</v>
      </c>
      <c r="B779" s="1220" t="str">
        <f>IF(M625="","",IF(M625=1,"Pass","Fail"))</f>
        <v/>
      </c>
      <c r="C779" s="341" t="str">
        <f>N625</f>
        <v>Water phantom is free from rings, streaks, lines, cupping artifacts</v>
      </c>
      <c r="D779" s="49"/>
      <c r="E779" s="49"/>
      <c r="F779" s="49"/>
      <c r="G779" s="49"/>
      <c r="H779" s="49"/>
      <c r="I779" s="49"/>
      <c r="J779" s="49"/>
      <c r="K779" s="67"/>
      <c r="L779" s="682" t="s">
        <v>336</v>
      </c>
      <c r="X779" s="668" t="s">
        <v>336</v>
      </c>
    </row>
    <row r="780" spans="1:24" ht="11.25" customHeight="1">
      <c r="A780" s="604">
        <v>54</v>
      </c>
      <c r="B780" s="136"/>
      <c r="C780" s="49"/>
      <c r="D780" s="49"/>
      <c r="E780" s="49"/>
      <c r="F780" s="49"/>
      <c r="G780" s="49"/>
      <c r="H780" s="49"/>
      <c r="I780" s="49"/>
      <c r="J780" s="49"/>
      <c r="K780" s="67"/>
      <c r="L780" s="682" t="s">
        <v>336</v>
      </c>
      <c r="X780" s="668" t="s">
        <v>336</v>
      </c>
    </row>
    <row r="781" spans="1:24" ht="11.25" customHeight="1">
      <c r="A781" s="604">
        <v>55</v>
      </c>
      <c r="B781" s="136"/>
      <c r="C781" s="49"/>
      <c r="D781" s="49"/>
      <c r="E781" s="49"/>
      <c r="F781" s="49"/>
      <c r="G781" s="49"/>
      <c r="H781" s="49"/>
      <c r="I781" s="49"/>
      <c r="J781" s="49"/>
      <c r="K781" s="67"/>
      <c r="L781" s="682" t="s">
        <v>336</v>
      </c>
      <c r="X781" s="668" t="s">
        <v>336</v>
      </c>
    </row>
    <row r="782" spans="1:24" ht="11.25" customHeight="1">
      <c r="A782" s="604">
        <v>56</v>
      </c>
      <c r="B782" s="136"/>
      <c r="C782" s="49"/>
      <c r="D782" s="49"/>
      <c r="E782" s="49"/>
      <c r="F782" s="49"/>
      <c r="G782" s="49"/>
      <c r="H782" s="49"/>
      <c r="I782" s="49"/>
      <c r="J782" s="49"/>
      <c r="K782" s="67"/>
      <c r="L782" s="682" t="s">
        <v>336</v>
      </c>
      <c r="X782" s="668" t="s">
        <v>336</v>
      </c>
    </row>
    <row r="783" spans="1:24" ht="11.25" customHeight="1">
      <c r="A783" s="604">
        <v>57</v>
      </c>
      <c r="B783" s="136"/>
      <c r="C783" s="49"/>
      <c r="D783" s="49"/>
      <c r="E783" s="49"/>
      <c r="F783" s="49"/>
      <c r="G783" s="49"/>
      <c r="H783" s="49"/>
      <c r="I783" s="49"/>
      <c r="J783" s="49"/>
      <c r="K783" s="67"/>
      <c r="L783" s="682" t="s">
        <v>336</v>
      </c>
      <c r="X783" s="668" t="s">
        <v>336</v>
      </c>
    </row>
    <row r="784" spans="1:24" ht="11.25" customHeight="1">
      <c r="A784" s="604">
        <v>58</v>
      </c>
      <c r="B784" s="136"/>
      <c r="C784" s="49"/>
      <c r="D784" s="49"/>
      <c r="E784" s="49"/>
      <c r="F784" s="49"/>
      <c r="G784" s="49"/>
      <c r="H784" s="49"/>
      <c r="I784" s="49"/>
      <c r="J784" s="49"/>
      <c r="K784" s="67"/>
      <c r="L784" s="682" t="s">
        <v>336</v>
      </c>
      <c r="X784" s="668" t="s">
        <v>336</v>
      </c>
    </row>
    <row r="785" spans="1:24" ht="11.25" customHeight="1">
      <c r="A785" s="604">
        <v>59</v>
      </c>
      <c r="B785" s="136"/>
      <c r="C785" s="49"/>
      <c r="D785" s="49"/>
      <c r="E785" s="49"/>
      <c r="F785" s="49"/>
      <c r="G785" s="49"/>
      <c r="H785" s="49"/>
      <c r="I785" s="49"/>
      <c r="J785" s="49"/>
      <c r="K785" s="67"/>
      <c r="L785" s="682" t="s">
        <v>336</v>
      </c>
      <c r="X785" s="668" t="s">
        <v>336</v>
      </c>
    </row>
    <row r="786" spans="1:24" ht="11.25" customHeight="1">
      <c r="A786" s="604">
        <v>60</v>
      </c>
      <c r="B786" s="136"/>
      <c r="C786" s="49"/>
      <c r="D786" s="49"/>
      <c r="E786" s="49"/>
      <c r="F786" s="49"/>
      <c r="G786" s="49"/>
      <c r="H786" s="49"/>
      <c r="I786" s="49"/>
      <c r="J786" s="49"/>
      <c r="K786" s="67"/>
      <c r="L786" s="682" t="s">
        <v>336</v>
      </c>
      <c r="X786" s="668" t="s">
        <v>336</v>
      </c>
    </row>
    <row r="787" spans="1:24" ht="11.25" customHeight="1">
      <c r="A787" s="604">
        <v>61</v>
      </c>
      <c r="B787" s="136"/>
      <c r="C787" s="49"/>
      <c r="D787" s="49"/>
      <c r="E787" s="49"/>
      <c r="F787" s="49"/>
      <c r="G787" s="49"/>
      <c r="H787" s="49"/>
      <c r="I787" s="49"/>
      <c r="J787" s="49"/>
      <c r="K787" s="67"/>
      <c r="L787" s="682" t="s">
        <v>336</v>
      </c>
      <c r="X787" s="668" t="s">
        <v>336</v>
      </c>
    </row>
    <row r="788" spans="1:24" ht="11.25" customHeight="1">
      <c r="A788" s="604">
        <v>62</v>
      </c>
      <c r="B788" s="136"/>
      <c r="C788" s="49"/>
      <c r="D788" s="49"/>
      <c r="E788" s="49"/>
      <c r="F788" s="49"/>
      <c r="G788" s="49"/>
      <c r="H788" s="49"/>
      <c r="I788" s="49"/>
      <c r="J788" s="49"/>
      <c r="K788" s="67"/>
      <c r="L788" s="682" t="s">
        <v>336</v>
      </c>
      <c r="X788" s="668" t="s">
        <v>336</v>
      </c>
    </row>
    <row r="789" spans="1:24" ht="11.25" customHeight="1">
      <c r="A789" s="604">
        <v>63</v>
      </c>
      <c r="B789" s="136"/>
      <c r="C789" s="49"/>
      <c r="D789" s="49"/>
      <c r="E789" s="49"/>
      <c r="F789" s="49"/>
      <c r="G789" s="49"/>
      <c r="H789" s="49"/>
      <c r="I789" s="49"/>
      <c r="J789" s="49"/>
      <c r="K789" s="67"/>
      <c r="L789" s="682" t="s">
        <v>336</v>
      </c>
      <c r="X789" s="668" t="s">
        <v>336</v>
      </c>
    </row>
    <row r="790" spans="1:24" ht="11.25" customHeight="1" thickBot="1">
      <c r="A790" s="604">
        <v>64</v>
      </c>
      <c r="B790" s="98"/>
      <c r="C790" s="80"/>
      <c r="D790" s="80"/>
      <c r="E790" s="80"/>
      <c r="F790" s="80"/>
      <c r="G790" s="80"/>
      <c r="H790" s="80"/>
      <c r="I790" s="80"/>
      <c r="J790" s="80"/>
      <c r="K790" s="85"/>
      <c r="L790" s="682" t="s">
        <v>336</v>
      </c>
      <c r="X790" s="668" t="s">
        <v>336</v>
      </c>
    </row>
    <row r="791" spans="1:24" ht="11.25" customHeight="1" thickTop="1">
      <c r="A791" s="604">
        <v>65</v>
      </c>
      <c r="B791" s="46" t="str">
        <f t="array" ref="B791:C792">$B$65:$C$66</f>
        <v>Date:</v>
      </c>
      <c r="C791" s="1072" t="str">
        <v/>
      </c>
      <c r="D791" s="51"/>
      <c r="E791" s="124"/>
      <c r="F791" s="124"/>
      <c r="G791" s="124"/>
      <c r="H791" s="124"/>
      <c r="I791" s="46" t="str">
        <f t="array" ref="I791:J792">$I$65:$J$66</f>
        <v>Inspector:</v>
      </c>
      <c r="J791" s="401" t="str">
        <v>Eugene Mah</v>
      </c>
      <c r="L791" s="682" t="s">
        <v>336</v>
      </c>
      <c r="X791" s="668" t="s">
        <v>336</v>
      </c>
    </row>
    <row r="792" spans="1:24" ht="11.25" customHeight="1">
      <c r="A792" s="604">
        <v>66</v>
      </c>
      <c r="B792" s="46" t="str">
        <v>Room Number:</v>
      </c>
      <c r="C792" s="363" t="str">
        <v/>
      </c>
      <c r="D792" s="42"/>
      <c r="E792" s="124"/>
      <c r="F792" s="124"/>
      <c r="G792" s="124"/>
      <c r="H792" s="124"/>
      <c r="I792" s="46" t="str">
        <v>Survey ID:</v>
      </c>
      <c r="J792" s="910" t="str">
        <v/>
      </c>
      <c r="L792" s="682" t="s">
        <v>336</v>
      </c>
      <c r="X792" s="668" t="s">
        <v>336</v>
      </c>
    </row>
    <row r="793" spans="1:24" ht="11.25" customHeight="1">
      <c r="A793" s="604">
        <v>1</v>
      </c>
      <c r="K793" s="142" t="str">
        <f>$F$2</f>
        <v>Medical University of South Carolina</v>
      </c>
      <c r="L793" s="682" t="s">
        <v>336</v>
      </c>
      <c r="X793" s="668" t="s">
        <v>336</v>
      </c>
    </row>
    <row r="794" spans="1:24" ht="11.25" customHeight="1" thickBot="1">
      <c r="A794" s="604">
        <v>2</v>
      </c>
      <c r="F794" s="252" t="str">
        <f>$F$332</f>
        <v>Measurement Data</v>
      </c>
      <c r="K794" s="143" t="str">
        <f>$F$5</f>
        <v>Radiation Oncology IGRT Compliance Inspection</v>
      </c>
      <c r="L794" s="682" t="s">
        <v>336</v>
      </c>
      <c r="X794" s="668" t="s">
        <v>336</v>
      </c>
    </row>
    <row r="795" spans="1:24" ht="11.25" customHeight="1" thickTop="1" thickBot="1">
      <c r="A795" s="604">
        <v>3</v>
      </c>
      <c r="B795" s="1228" t="s">
        <v>893</v>
      </c>
      <c r="C795" s="1217"/>
      <c r="D795" s="1217"/>
      <c r="E795" s="1217"/>
      <c r="F795" s="1217"/>
      <c r="G795" s="1217"/>
      <c r="H795" s="1217"/>
      <c r="I795" s="1217"/>
      <c r="J795" s="58"/>
      <c r="K795" s="76"/>
      <c r="L795" s="682" t="s">
        <v>336</v>
      </c>
      <c r="X795" s="668" t="s">
        <v>336</v>
      </c>
    </row>
    <row r="796" spans="1:24" ht="11.25" customHeight="1">
      <c r="A796" s="604">
        <v>4</v>
      </c>
      <c r="B796" s="1184"/>
      <c r="C796" s="48" t="s">
        <v>369</v>
      </c>
      <c r="D796" s="1221">
        <f t="shared" ref="D796:I803" si="141">IF(N628="","",N628)</f>
        <v>80</v>
      </c>
      <c r="E796" s="1222">
        <f t="shared" si="141"/>
        <v>100</v>
      </c>
      <c r="F796" s="1222">
        <f t="shared" si="141"/>
        <v>110</v>
      </c>
      <c r="G796" s="1222">
        <f t="shared" si="141"/>
        <v>120</v>
      </c>
      <c r="H796" s="1222">
        <f t="shared" si="141"/>
        <v>130</v>
      </c>
      <c r="I796" s="1223">
        <f t="shared" si="141"/>
        <v>140</v>
      </c>
      <c r="J796" s="49"/>
      <c r="K796" s="67"/>
      <c r="L796" s="682" t="s">
        <v>336</v>
      </c>
      <c r="X796" s="668" t="s">
        <v>336</v>
      </c>
    </row>
    <row r="797" spans="1:24" ht="11.25" customHeight="1">
      <c r="A797" s="604">
        <v>5</v>
      </c>
      <c r="B797" s="1184"/>
      <c r="C797" s="48" t="s">
        <v>426</v>
      </c>
      <c r="D797" s="1212" t="str">
        <f t="shared" si="141"/>
        <v/>
      </c>
      <c r="E797" s="127" t="str">
        <f t="shared" si="141"/>
        <v/>
      </c>
      <c r="F797" s="127" t="str">
        <f t="shared" si="141"/>
        <v/>
      </c>
      <c r="G797" s="127" t="str">
        <f t="shared" si="141"/>
        <v/>
      </c>
      <c r="H797" s="127" t="str">
        <f t="shared" si="141"/>
        <v/>
      </c>
      <c r="I797" s="1174" t="str">
        <f t="shared" si="141"/>
        <v/>
      </c>
      <c r="J797" s="49"/>
      <c r="K797" s="67"/>
      <c r="L797" s="682" t="s">
        <v>336</v>
      </c>
      <c r="X797" s="668" t="s">
        <v>336</v>
      </c>
    </row>
    <row r="798" spans="1:24" ht="11.25" customHeight="1">
      <c r="A798" s="604">
        <v>6</v>
      </c>
      <c r="B798" s="1184"/>
      <c r="C798" s="48" t="s">
        <v>895</v>
      </c>
      <c r="D798" s="1212" t="str">
        <f t="shared" si="141"/>
        <v/>
      </c>
      <c r="E798" s="127" t="str">
        <f t="shared" si="141"/>
        <v/>
      </c>
      <c r="F798" s="127" t="str">
        <f t="shared" si="141"/>
        <v/>
      </c>
      <c r="G798" s="127" t="str">
        <f t="shared" si="141"/>
        <v/>
      </c>
      <c r="H798" s="127" t="str">
        <f t="shared" si="141"/>
        <v/>
      </c>
      <c r="I798" s="1174" t="str">
        <f t="shared" si="141"/>
        <v/>
      </c>
      <c r="J798" s="49"/>
      <c r="K798" s="67"/>
      <c r="L798" s="682" t="s">
        <v>336</v>
      </c>
      <c r="X798" s="668" t="s">
        <v>336</v>
      </c>
    </row>
    <row r="799" spans="1:24" ht="11.25" customHeight="1">
      <c r="A799" s="604">
        <v>7</v>
      </c>
      <c r="B799" s="1184"/>
      <c r="C799" s="48" t="s">
        <v>896</v>
      </c>
      <c r="D799" s="1212" t="str">
        <f t="shared" si="141"/>
        <v/>
      </c>
      <c r="E799" s="127" t="str">
        <f t="shared" si="141"/>
        <v/>
      </c>
      <c r="F799" s="127" t="str">
        <f t="shared" si="141"/>
        <v/>
      </c>
      <c r="G799" s="127" t="str">
        <f t="shared" si="141"/>
        <v/>
      </c>
      <c r="H799" s="127" t="str">
        <f t="shared" si="141"/>
        <v/>
      </c>
      <c r="I799" s="1174" t="str">
        <f t="shared" si="141"/>
        <v/>
      </c>
      <c r="J799" s="49"/>
      <c r="K799" s="67"/>
      <c r="L799" s="682" t="s">
        <v>336</v>
      </c>
      <c r="X799" s="668" t="s">
        <v>336</v>
      </c>
    </row>
    <row r="800" spans="1:24" ht="11.25" customHeight="1">
      <c r="A800" s="604">
        <v>8</v>
      </c>
      <c r="B800" s="1184"/>
      <c r="C800" s="48" t="s">
        <v>897</v>
      </c>
      <c r="D800" s="1212" t="str">
        <f t="shared" si="141"/>
        <v/>
      </c>
      <c r="E800" s="127" t="str">
        <f t="shared" si="141"/>
        <v/>
      </c>
      <c r="F800" s="127" t="str">
        <f t="shared" si="141"/>
        <v/>
      </c>
      <c r="G800" s="127" t="str">
        <f t="shared" si="141"/>
        <v/>
      </c>
      <c r="H800" s="127" t="str">
        <f t="shared" si="141"/>
        <v/>
      </c>
      <c r="I800" s="1174" t="str">
        <f t="shared" si="141"/>
        <v/>
      </c>
      <c r="J800" s="49"/>
      <c r="K800" s="67"/>
      <c r="L800" s="682" t="s">
        <v>336</v>
      </c>
      <c r="X800" s="668" t="s">
        <v>336</v>
      </c>
    </row>
    <row r="801" spans="1:24" ht="11.25" customHeight="1">
      <c r="A801" s="604">
        <v>9</v>
      </c>
      <c r="B801" s="1184"/>
      <c r="C801" s="48" t="s">
        <v>898</v>
      </c>
      <c r="D801" s="1212" t="str">
        <f t="shared" si="141"/>
        <v/>
      </c>
      <c r="E801" s="127" t="str">
        <f t="shared" si="141"/>
        <v/>
      </c>
      <c r="F801" s="127" t="str">
        <f t="shared" si="141"/>
        <v/>
      </c>
      <c r="G801" s="127" t="str">
        <f t="shared" si="141"/>
        <v/>
      </c>
      <c r="H801" s="127" t="str">
        <f t="shared" si="141"/>
        <v/>
      </c>
      <c r="I801" s="1174" t="str">
        <f t="shared" si="141"/>
        <v/>
      </c>
      <c r="J801" s="49"/>
      <c r="K801" s="67"/>
      <c r="L801" s="682" t="s">
        <v>336</v>
      </c>
      <c r="X801" s="668" t="s">
        <v>336</v>
      </c>
    </row>
    <row r="802" spans="1:24" ht="11.25" customHeight="1">
      <c r="A802" s="604">
        <v>10</v>
      </c>
      <c r="B802" s="1184"/>
      <c r="C802" s="48" t="s">
        <v>899</v>
      </c>
      <c r="D802" s="1212" t="str">
        <f t="shared" si="141"/>
        <v/>
      </c>
      <c r="E802" s="127" t="str">
        <f t="shared" si="141"/>
        <v/>
      </c>
      <c r="F802" s="127" t="str">
        <f t="shared" si="141"/>
        <v/>
      </c>
      <c r="G802" s="127" t="str">
        <f t="shared" si="141"/>
        <v/>
      </c>
      <c r="H802" s="127" t="str">
        <f t="shared" si="141"/>
        <v/>
      </c>
      <c r="I802" s="1174" t="str">
        <f t="shared" si="141"/>
        <v/>
      </c>
      <c r="J802" s="49"/>
      <c r="K802" s="67"/>
      <c r="L802" s="682" t="s">
        <v>336</v>
      </c>
      <c r="X802" s="668" t="s">
        <v>336</v>
      </c>
    </row>
    <row r="803" spans="1:24" ht="11.25" customHeight="1" thickBot="1">
      <c r="A803" s="604">
        <v>11</v>
      </c>
      <c r="B803" s="1184"/>
      <c r="C803" s="48" t="s">
        <v>900</v>
      </c>
      <c r="D803" s="186" t="str">
        <f t="shared" si="141"/>
        <v/>
      </c>
      <c r="E803" s="1176" t="str">
        <f t="shared" si="141"/>
        <v/>
      </c>
      <c r="F803" s="1176" t="str">
        <f t="shared" si="141"/>
        <v/>
      </c>
      <c r="G803" s="1176" t="str">
        <f t="shared" si="141"/>
        <v/>
      </c>
      <c r="H803" s="1176" t="str">
        <f t="shared" si="141"/>
        <v/>
      </c>
      <c r="I803" s="189" t="str">
        <f t="shared" si="141"/>
        <v/>
      </c>
      <c r="J803" s="49"/>
      <c r="K803" s="67"/>
      <c r="L803" s="682" t="s">
        <v>336</v>
      </c>
      <c r="X803" s="668" t="s">
        <v>336</v>
      </c>
    </row>
    <row r="804" spans="1:24" ht="11.25" customHeight="1" thickBot="1">
      <c r="A804" s="604">
        <v>12</v>
      </c>
      <c r="B804" s="1184"/>
      <c r="C804" s="341"/>
      <c r="D804" s="341"/>
      <c r="E804" s="341"/>
      <c r="F804" s="48" t="s">
        <v>424</v>
      </c>
      <c r="G804" s="1075" t="str">
        <f>IF(Q636="","",IF(Q636=1,"Pass","Fail"))</f>
        <v/>
      </c>
      <c r="H804" s="341"/>
      <c r="I804" s="341"/>
      <c r="J804" s="49"/>
      <c r="K804" s="67"/>
      <c r="L804" s="682" t="s">
        <v>336</v>
      </c>
      <c r="X804" s="668" t="s">
        <v>336</v>
      </c>
    </row>
    <row r="805" spans="1:24" ht="11.25" customHeight="1">
      <c r="A805" s="604">
        <v>13</v>
      </c>
      <c r="B805" s="1184"/>
      <c r="C805" s="341"/>
      <c r="D805" s="143" t="s">
        <v>901</v>
      </c>
      <c r="E805" s="341" t="str">
        <f>O637</f>
        <v>Water HU is 0 +/- 5, air HU is within acceptable range at all kVp</v>
      </c>
      <c r="F805" s="341"/>
      <c r="G805" s="341"/>
      <c r="H805" s="341"/>
      <c r="I805" s="341"/>
      <c r="J805" s="49"/>
      <c r="K805" s="67"/>
      <c r="L805" s="682" t="s">
        <v>336</v>
      </c>
      <c r="X805" s="668" t="s">
        <v>336</v>
      </c>
    </row>
    <row r="806" spans="1:24" ht="11.25" customHeight="1">
      <c r="A806" s="604">
        <v>14</v>
      </c>
      <c r="B806" s="1184"/>
      <c r="C806" s="341"/>
      <c r="D806" s="341"/>
      <c r="E806" s="341" t="str">
        <f>O638</f>
        <v>CT number for inserts using the adult abdomen protocol is within the acceptable range at 120 or 130 kVp</v>
      </c>
      <c r="F806" s="341"/>
      <c r="G806" s="341"/>
      <c r="H806" s="341"/>
      <c r="I806" s="341"/>
      <c r="J806" s="49"/>
      <c r="K806" s="67"/>
      <c r="L806" s="682" t="s">
        <v>336</v>
      </c>
      <c r="X806" s="668" t="s">
        <v>336</v>
      </c>
    </row>
    <row r="807" spans="1:24" ht="11.25" customHeight="1">
      <c r="A807" s="604">
        <v>15</v>
      </c>
      <c r="B807" s="136"/>
      <c r="C807" s="49"/>
      <c r="D807" s="49"/>
      <c r="E807" s="49"/>
      <c r="F807" s="49"/>
      <c r="G807" s="49"/>
      <c r="H807" s="49"/>
      <c r="I807" s="49"/>
      <c r="J807" s="49"/>
      <c r="K807" s="67"/>
      <c r="L807" s="682" t="s">
        <v>336</v>
      </c>
      <c r="X807" s="668" t="s">
        <v>336</v>
      </c>
    </row>
    <row r="808" spans="1:24" ht="11.25" customHeight="1" thickBot="1">
      <c r="A808" s="604">
        <v>16</v>
      </c>
      <c r="B808" s="1182" t="s">
        <v>904</v>
      </c>
      <c r="C808" s="341"/>
      <c r="D808" s="341"/>
      <c r="E808" s="341"/>
      <c r="F808" s="341"/>
      <c r="G808" s="341"/>
      <c r="H808" s="341"/>
      <c r="I808" s="341"/>
      <c r="J808" s="341"/>
      <c r="K808" s="67"/>
      <c r="L808" s="682" t="s">
        <v>336</v>
      </c>
      <c r="X808" s="668" t="s">
        <v>336</v>
      </c>
    </row>
    <row r="809" spans="1:24" ht="11.25" customHeight="1">
      <c r="A809" s="604">
        <v>17</v>
      </c>
      <c r="B809" s="1184"/>
      <c r="C809" s="341"/>
      <c r="D809" s="48" t="s">
        <v>905</v>
      </c>
      <c r="E809" s="1205" t="str">
        <f t="shared" ref="E809:I815" si="142">IF(O641="","",O641)</f>
        <v/>
      </c>
      <c r="F809" s="1171" t="str">
        <f t="shared" si="142"/>
        <v/>
      </c>
      <c r="G809" s="1171" t="str">
        <f t="shared" si="142"/>
        <v/>
      </c>
      <c r="H809" s="1171" t="str">
        <f t="shared" si="142"/>
        <v/>
      </c>
      <c r="I809" s="1172" t="str">
        <f t="shared" si="142"/>
        <v/>
      </c>
      <c r="J809" s="341"/>
      <c r="K809" s="67"/>
      <c r="L809" s="682" t="s">
        <v>336</v>
      </c>
      <c r="X809" s="668" t="s">
        <v>336</v>
      </c>
    </row>
    <row r="810" spans="1:24" ht="11.25" customHeight="1">
      <c r="A810" s="604">
        <v>18</v>
      </c>
      <c r="B810" s="1184"/>
      <c r="C810" s="341"/>
      <c r="D810" s="48" t="s">
        <v>906</v>
      </c>
      <c r="E810" s="1212" t="str">
        <f t="shared" si="142"/>
        <v/>
      </c>
      <c r="F810" s="127" t="str">
        <f t="shared" si="142"/>
        <v/>
      </c>
      <c r="G810" s="127" t="str">
        <f t="shared" si="142"/>
        <v/>
      </c>
      <c r="H810" s="127" t="str">
        <f t="shared" si="142"/>
        <v/>
      </c>
      <c r="I810" s="1174" t="str">
        <f t="shared" si="142"/>
        <v/>
      </c>
      <c r="J810" s="341"/>
      <c r="K810" s="67"/>
      <c r="L810" s="682" t="s">
        <v>336</v>
      </c>
      <c r="X810" s="668" t="s">
        <v>336</v>
      </c>
    </row>
    <row r="811" spans="1:24" ht="11.25" customHeight="1">
      <c r="A811" s="604">
        <v>19</v>
      </c>
      <c r="B811" s="1184"/>
      <c r="C811" s="341"/>
      <c r="D811" s="48" t="s">
        <v>907</v>
      </c>
      <c r="E811" s="1212" t="str">
        <f t="shared" si="142"/>
        <v/>
      </c>
      <c r="F811" s="127" t="str">
        <f t="shared" si="142"/>
        <v/>
      </c>
      <c r="G811" s="127" t="str">
        <f t="shared" si="142"/>
        <v/>
      </c>
      <c r="H811" s="127" t="str">
        <f t="shared" si="142"/>
        <v/>
      </c>
      <c r="I811" s="1174" t="str">
        <f t="shared" si="142"/>
        <v/>
      </c>
      <c r="J811" s="341"/>
      <c r="K811" s="67"/>
      <c r="L811" s="682" t="s">
        <v>336</v>
      </c>
      <c r="X811" s="668" t="s">
        <v>336</v>
      </c>
    </row>
    <row r="812" spans="1:24" ht="11.25" customHeight="1">
      <c r="A812" s="604">
        <v>20</v>
      </c>
      <c r="B812" s="1184"/>
      <c r="C812" s="341"/>
      <c r="D812" s="48" t="s">
        <v>890</v>
      </c>
      <c r="E812" s="1212" t="str">
        <f t="shared" si="142"/>
        <v/>
      </c>
      <c r="F812" s="127" t="str">
        <f t="shared" si="142"/>
        <v/>
      </c>
      <c r="G812" s="127" t="str">
        <f t="shared" si="142"/>
        <v/>
      </c>
      <c r="H812" s="127" t="str">
        <f t="shared" si="142"/>
        <v/>
      </c>
      <c r="I812" s="1174" t="str">
        <f t="shared" si="142"/>
        <v/>
      </c>
      <c r="J812" s="341"/>
      <c r="K812" s="67"/>
      <c r="L812" s="682" t="s">
        <v>336</v>
      </c>
      <c r="X812" s="668" t="s">
        <v>336</v>
      </c>
    </row>
    <row r="813" spans="1:24" ht="11.25" customHeight="1">
      <c r="A813" s="604">
        <v>21</v>
      </c>
      <c r="B813" s="1184"/>
      <c r="C813" s="341"/>
      <c r="D813" s="48" t="s">
        <v>908</v>
      </c>
      <c r="E813" s="1212" t="str">
        <f t="shared" si="142"/>
        <v/>
      </c>
      <c r="F813" s="127" t="str">
        <f t="shared" si="142"/>
        <v/>
      </c>
      <c r="G813" s="127" t="str">
        <f t="shared" si="142"/>
        <v/>
      </c>
      <c r="H813" s="127" t="str">
        <f t="shared" si="142"/>
        <v/>
      </c>
      <c r="I813" s="1174" t="str">
        <f t="shared" si="142"/>
        <v/>
      </c>
      <c r="J813" s="341"/>
      <c r="K813" s="67"/>
      <c r="L813" s="682" t="s">
        <v>336</v>
      </c>
      <c r="X813" s="668" t="s">
        <v>336</v>
      </c>
    </row>
    <row r="814" spans="1:24" ht="11.25" customHeight="1" thickBot="1">
      <c r="A814" s="604">
        <v>22</v>
      </c>
      <c r="B814" s="1184"/>
      <c r="C814" s="341"/>
      <c r="D814" s="48" t="s">
        <v>909</v>
      </c>
      <c r="E814" s="186" t="str">
        <f t="shared" si="142"/>
        <v/>
      </c>
      <c r="F814" s="1176" t="str">
        <f t="shared" si="142"/>
        <v/>
      </c>
      <c r="G814" s="1176" t="str">
        <f t="shared" si="142"/>
        <v/>
      </c>
      <c r="H814" s="1176" t="str">
        <f t="shared" si="142"/>
        <v/>
      </c>
      <c r="I814" s="189" t="str">
        <f t="shared" si="142"/>
        <v/>
      </c>
      <c r="J814" s="341"/>
      <c r="K814" s="67"/>
      <c r="L814" s="682" t="s">
        <v>336</v>
      </c>
      <c r="X814" s="668" t="s">
        <v>336</v>
      </c>
    </row>
    <row r="815" spans="1:24" ht="11.25" customHeight="1" thickBot="1">
      <c r="A815" s="604">
        <v>23</v>
      </c>
      <c r="B815" s="1184"/>
      <c r="C815" s="341"/>
      <c r="D815" s="48" t="s">
        <v>424</v>
      </c>
      <c r="E815" s="1153" t="str">
        <f t="shared" si="142"/>
        <v/>
      </c>
      <c r="F815" s="1154" t="str">
        <f t="shared" si="142"/>
        <v/>
      </c>
      <c r="G815" s="1154" t="str">
        <f t="shared" si="142"/>
        <v/>
      </c>
      <c r="H815" s="1154" t="str">
        <f t="shared" si="142"/>
        <v/>
      </c>
      <c r="I815" s="1155" t="str">
        <f t="shared" si="142"/>
        <v/>
      </c>
      <c r="J815" s="341"/>
      <c r="K815" s="67"/>
      <c r="L815" s="682" t="s">
        <v>336</v>
      </c>
      <c r="X815" s="668" t="s">
        <v>336</v>
      </c>
    </row>
    <row r="816" spans="1:24" ht="11.25" customHeight="1">
      <c r="A816" s="604">
        <v>24</v>
      </c>
      <c r="B816" s="1184"/>
      <c r="C816" s="341"/>
      <c r="D816" s="341"/>
      <c r="E816" s="143" t="s">
        <v>425</v>
      </c>
      <c r="F816" s="341" t="str">
        <f>P648</f>
        <v>Slice thickness is within 1.5mm of the set thickness</v>
      </c>
      <c r="G816" s="341"/>
      <c r="H816" s="341"/>
      <c r="I816" s="341"/>
      <c r="J816" s="341"/>
      <c r="K816" s="67"/>
      <c r="L816" s="682" t="s">
        <v>336</v>
      </c>
      <c r="X816" s="668" t="s">
        <v>336</v>
      </c>
    </row>
    <row r="817" spans="1:24" ht="11.25" customHeight="1">
      <c r="A817" s="604">
        <v>25</v>
      </c>
      <c r="B817" s="1184"/>
      <c r="C817" s="341"/>
      <c r="D817" s="341"/>
      <c r="E817" s="341"/>
      <c r="F817" s="341" t="str">
        <f>P649</f>
        <v>CT number for water is 0 +/- 5</v>
      </c>
      <c r="G817" s="341"/>
      <c r="H817" s="341"/>
      <c r="I817" s="341"/>
      <c r="J817" s="341"/>
      <c r="K817" s="67"/>
      <c r="L817" s="682" t="s">
        <v>336</v>
      </c>
      <c r="X817" s="668" t="s">
        <v>336</v>
      </c>
    </row>
    <row r="818" spans="1:24" ht="11.25" customHeight="1">
      <c r="A818" s="604">
        <v>26</v>
      </c>
      <c r="B818" s="1184"/>
      <c r="C818" s="341"/>
      <c r="D818" s="341"/>
      <c r="E818" s="341"/>
      <c r="F818" s="341"/>
      <c r="G818" s="341"/>
      <c r="H818" s="341"/>
      <c r="I818" s="341"/>
      <c r="J818" s="341"/>
      <c r="K818" s="67"/>
      <c r="L818" s="682" t="s">
        <v>336</v>
      </c>
      <c r="X818" s="668" t="s">
        <v>336</v>
      </c>
    </row>
    <row r="819" spans="1:24" ht="11.25" customHeight="1">
      <c r="A819" s="604">
        <v>27</v>
      </c>
      <c r="B819" s="1182" t="s">
        <v>912</v>
      </c>
      <c r="C819" s="341"/>
      <c r="D819" s="341"/>
      <c r="E819" s="341"/>
      <c r="F819" s="341"/>
      <c r="G819" s="341"/>
      <c r="H819" s="341"/>
      <c r="I819" s="341"/>
      <c r="J819" s="341"/>
      <c r="K819" s="67"/>
      <c r="L819" s="682" t="s">
        <v>336</v>
      </c>
      <c r="X819" s="668" t="s">
        <v>336</v>
      </c>
    </row>
    <row r="820" spans="1:24" ht="11.25" customHeight="1">
      <c r="A820" s="604">
        <v>28</v>
      </c>
      <c r="B820" s="1184"/>
      <c r="C820" s="341"/>
      <c r="D820" s="1274" t="s">
        <v>786</v>
      </c>
      <c r="E820" s="1274"/>
      <c r="F820" s="49"/>
      <c r="G820" s="49"/>
      <c r="H820" s="341"/>
      <c r="I820" s="341"/>
      <c r="J820" s="341"/>
      <c r="K820" s="67"/>
      <c r="L820" s="682" t="s">
        <v>336</v>
      </c>
      <c r="X820" s="668" t="s">
        <v>336</v>
      </c>
    </row>
    <row r="821" spans="1:24" ht="11.25" customHeight="1" thickBot="1">
      <c r="A821" s="604">
        <v>29</v>
      </c>
      <c r="B821" s="1184"/>
      <c r="C821" s="341"/>
      <c r="D821" s="1090" t="s">
        <v>787</v>
      </c>
      <c r="E821" s="1090" t="s">
        <v>789</v>
      </c>
      <c r="F821" s="49"/>
      <c r="G821" s="49"/>
      <c r="H821" s="341"/>
      <c r="I821" s="341"/>
      <c r="J821" s="341"/>
      <c r="K821" s="67"/>
      <c r="L821" s="682" t="s">
        <v>336</v>
      </c>
      <c r="X821" s="668" t="s">
        <v>336</v>
      </c>
    </row>
    <row r="822" spans="1:24" ht="11.25" customHeight="1" thickBot="1">
      <c r="A822" s="604">
        <v>30</v>
      </c>
      <c r="B822" s="1184"/>
      <c r="C822" s="48" t="s">
        <v>914</v>
      </c>
      <c r="D822" s="1224" t="str">
        <f t="shared" ref="D822:E826" si="143">IF(N654="","",N654)</f>
        <v/>
      </c>
      <c r="E822" s="1224" t="str">
        <f t="shared" si="143"/>
        <v/>
      </c>
      <c r="F822" s="49"/>
      <c r="G822" s="49"/>
      <c r="H822" s="341"/>
      <c r="I822" s="48" t="s">
        <v>915</v>
      </c>
      <c r="J822" s="1075" t="str">
        <f>IF(T654="","",IF(T654=3,"NA",IF(T654=1,"Pass","Fail")))</f>
        <v/>
      </c>
      <c r="K822" s="67"/>
      <c r="L822" s="682" t="s">
        <v>336</v>
      </c>
      <c r="X822" s="668" t="s">
        <v>336</v>
      </c>
    </row>
    <row r="823" spans="1:24" ht="11.25" customHeight="1" thickBot="1">
      <c r="A823" s="604">
        <v>31</v>
      </c>
      <c r="B823" s="1184"/>
      <c r="C823" s="48" t="s">
        <v>173</v>
      </c>
      <c r="D823" s="1227" t="str">
        <f t="shared" si="143"/>
        <v/>
      </c>
      <c r="E823" s="1225" t="str">
        <f t="shared" si="143"/>
        <v/>
      </c>
      <c r="F823" s="49"/>
      <c r="G823" s="49"/>
      <c r="H823" s="341"/>
      <c r="I823" s="48" t="s">
        <v>424</v>
      </c>
      <c r="J823" s="1075" t="str">
        <f>IF(T655="","",T655)</f>
        <v/>
      </c>
      <c r="K823" s="67"/>
      <c r="L823" s="682" t="s">
        <v>336</v>
      </c>
      <c r="X823" s="668" t="s">
        <v>336</v>
      </c>
    </row>
    <row r="824" spans="1:24" ht="11.25" customHeight="1">
      <c r="A824" s="604">
        <v>32</v>
      </c>
      <c r="B824" s="1184"/>
      <c r="C824" s="48" t="s">
        <v>948</v>
      </c>
      <c r="D824" s="1225" t="str">
        <f t="shared" si="143"/>
        <v/>
      </c>
      <c r="E824" s="1225" t="str">
        <f t="shared" si="143"/>
        <v/>
      </c>
      <c r="F824" s="49"/>
      <c r="G824" s="49"/>
      <c r="H824" s="341"/>
      <c r="I824" s="341"/>
      <c r="J824" s="341"/>
      <c r="K824" s="67"/>
      <c r="L824" s="682" t="s">
        <v>336</v>
      </c>
      <c r="X824" s="668" t="s">
        <v>336</v>
      </c>
    </row>
    <row r="825" spans="1:24" ht="11.25" customHeight="1">
      <c r="A825" s="604">
        <v>33</v>
      </c>
      <c r="B825" s="1184"/>
      <c r="C825" s="48" t="s">
        <v>919</v>
      </c>
      <c r="D825" s="1225" t="str">
        <f t="shared" si="143"/>
        <v/>
      </c>
      <c r="E825" s="1225" t="str">
        <f t="shared" si="143"/>
        <v/>
      </c>
      <c r="F825" s="49"/>
      <c r="G825" s="49"/>
      <c r="H825" s="341"/>
      <c r="I825" s="341"/>
      <c r="J825" s="341"/>
      <c r="K825" s="67"/>
      <c r="L825" s="682" t="s">
        <v>336</v>
      </c>
      <c r="X825" s="668" t="s">
        <v>336</v>
      </c>
    </row>
    <row r="826" spans="1:24" ht="11.25" customHeight="1" thickBot="1">
      <c r="A826" s="604">
        <v>34</v>
      </c>
      <c r="B826" s="1184"/>
      <c r="C826" s="48" t="s">
        <v>920</v>
      </c>
      <c r="D826" s="1226" t="str">
        <f t="shared" si="143"/>
        <v/>
      </c>
      <c r="E826" s="1226" t="str">
        <f t="shared" si="143"/>
        <v/>
      </c>
      <c r="F826" s="49"/>
      <c r="G826" s="49"/>
      <c r="H826" s="341"/>
      <c r="I826" s="341"/>
      <c r="J826" s="341"/>
      <c r="K826" s="67"/>
      <c r="L826" s="682" t="s">
        <v>336</v>
      </c>
      <c r="X826" s="668" t="s">
        <v>336</v>
      </c>
    </row>
    <row r="827" spans="1:24" ht="11.25" customHeight="1">
      <c r="A827" s="604">
        <v>35</v>
      </c>
      <c r="B827" s="1184"/>
      <c r="C827" s="341"/>
      <c r="D827" s="143" t="s">
        <v>425</v>
      </c>
      <c r="E827" s="44" t="str">
        <f>T656</f>
        <v xml:space="preserve">All four 6mm rods are visible </v>
      </c>
      <c r="F827" s="49"/>
      <c r="G827" s="341"/>
      <c r="H827" s="341"/>
      <c r="I827" s="341"/>
      <c r="J827" s="341"/>
      <c r="K827" s="67"/>
      <c r="L827" s="682" t="s">
        <v>336</v>
      </c>
      <c r="X827" s="668" t="s">
        <v>336</v>
      </c>
    </row>
    <row r="828" spans="1:24" ht="11.25" customHeight="1">
      <c r="A828" s="604">
        <v>36</v>
      </c>
      <c r="B828" s="1184"/>
      <c r="C828" s="341"/>
      <c r="D828" s="341"/>
      <c r="E828" s="44" t="str">
        <f>T657</f>
        <v>CNR &gt; 1.0 for adult abdomen and head protocols</v>
      </c>
      <c r="F828" s="49"/>
      <c r="G828" s="341"/>
      <c r="H828" s="341"/>
      <c r="I828" s="341"/>
      <c r="J828" s="341"/>
      <c r="K828" s="67"/>
      <c r="L828" s="682" t="s">
        <v>336</v>
      </c>
      <c r="X828" s="668" t="s">
        <v>336</v>
      </c>
    </row>
    <row r="829" spans="1:24" ht="11.25" customHeight="1">
      <c r="A829" s="604">
        <v>37</v>
      </c>
      <c r="B829" s="1184"/>
      <c r="C829" s="341"/>
      <c r="D829" s="341"/>
      <c r="E829" s="341"/>
      <c r="F829" s="44"/>
      <c r="G829" s="341"/>
      <c r="H829" s="341"/>
      <c r="I829" s="341"/>
      <c r="J829" s="341"/>
      <c r="K829" s="67"/>
      <c r="L829" s="682" t="s">
        <v>336</v>
      </c>
      <c r="X829" s="668" t="s">
        <v>336</v>
      </c>
    </row>
    <row r="830" spans="1:24" ht="11.25" customHeight="1">
      <c r="A830" s="604">
        <v>38</v>
      </c>
      <c r="B830" s="1184"/>
      <c r="C830" s="341"/>
      <c r="D830" s="341"/>
      <c r="E830" s="341"/>
      <c r="F830" s="44"/>
      <c r="G830" s="341"/>
      <c r="H830" s="341"/>
      <c r="I830" s="341"/>
      <c r="J830" s="341"/>
      <c r="K830" s="67"/>
      <c r="L830" s="682" t="s">
        <v>336</v>
      </c>
      <c r="X830" s="668" t="s">
        <v>336</v>
      </c>
    </row>
    <row r="831" spans="1:24" ht="11.25" customHeight="1">
      <c r="A831" s="604">
        <v>39</v>
      </c>
      <c r="B831" s="1182" t="s">
        <v>921</v>
      </c>
      <c r="C831" s="341"/>
      <c r="D831" s="341"/>
      <c r="E831" s="341"/>
      <c r="F831" s="341"/>
      <c r="G831" s="341"/>
      <c r="H831" s="341"/>
      <c r="I831" s="341"/>
      <c r="J831" s="341"/>
      <c r="K831" s="67"/>
      <c r="L831" s="682" t="s">
        <v>336</v>
      </c>
      <c r="X831" s="668" t="s">
        <v>336</v>
      </c>
    </row>
    <row r="832" spans="1:24" ht="11.25" customHeight="1" thickBot="1">
      <c r="A832" s="604">
        <v>40</v>
      </c>
      <c r="B832" s="1184"/>
      <c r="C832" s="1090" t="s">
        <v>783</v>
      </c>
      <c r="D832" s="1090" t="s">
        <v>922</v>
      </c>
      <c r="E832" s="1090" t="str">
        <f>P661</f>
        <v>Diff (Center)</v>
      </c>
      <c r="F832" s="1090" t="str">
        <f>Q661</f>
        <v>Diff (Mean)</v>
      </c>
      <c r="G832" s="1090" t="s">
        <v>444</v>
      </c>
      <c r="H832" s="341"/>
      <c r="I832" s="341"/>
      <c r="J832" s="341"/>
      <c r="K832" s="67"/>
      <c r="L832" s="682" t="s">
        <v>336</v>
      </c>
      <c r="X832" s="668" t="s">
        <v>336</v>
      </c>
    </row>
    <row r="833" spans="1:24" ht="11.25" customHeight="1">
      <c r="A833" s="604">
        <v>41</v>
      </c>
      <c r="B833" s="121" t="s">
        <v>925</v>
      </c>
      <c r="C833" s="1205" t="str">
        <f t="shared" ref="C833:G837" si="144">IF(N662="","",N662)</f>
        <v/>
      </c>
      <c r="D833" s="1172" t="str">
        <f t="shared" si="144"/>
        <v/>
      </c>
      <c r="E833" s="1205" t="str">
        <f t="shared" si="144"/>
        <v/>
      </c>
      <c r="F833" s="1171" t="str">
        <f t="shared" si="144"/>
        <v/>
      </c>
      <c r="G833" s="1172" t="str">
        <f t="shared" si="144"/>
        <v/>
      </c>
      <c r="H833" s="341"/>
      <c r="I833" s="341"/>
      <c r="J833" s="341"/>
      <c r="K833" s="67"/>
      <c r="L833" s="682" t="s">
        <v>336</v>
      </c>
      <c r="X833" s="668" t="s">
        <v>336</v>
      </c>
    </row>
    <row r="834" spans="1:24" ht="11.25" customHeight="1">
      <c r="A834" s="604">
        <v>42</v>
      </c>
      <c r="B834" s="121" t="s">
        <v>926</v>
      </c>
      <c r="C834" s="1212" t="str">
        <f t="shared" si="144"/>
        <v/>
      </c>
      <c r="D834" s="1174" t="str">
        <f t="shared" si="144"/>
        <v/>
      </c>
      <c r="E834" s="1212" t="str">
        <f t="shared" si="144"/>
        <v/>
      </c>
      <c r="F834" s="127" t="str">
        <f t="shared" si="144"/>
        <v/>
      </c>
      <c r="G834" s="1174" t="str">
        <f t="shared" si="144"/>
        <v/>
      </c>
      <c r="H834" s="341"/>
      <c r="I834" s="341"/>
      <c r="J834" s="341"/>
      <c r="K834" s="67"/>
      <c r="L834" s="682" t="s">
        <v>336</v>
      </c>
      <c r="X834" s="668" t="s">
        <v>336</v>
      </c>
    </row>
    <row r="835" spans="1:24" ht="11.25" customHeight="1">
      <c r="A835" s="604">
        <v>43</v>
      </c>
      <c r="B835" s="121" t="s">
        <v>927</v>
      </c>
      <c r="C835" s="1212" t="str">
        <f t="shared" si="144"/>
        <v/>
      </c>
      <c r="D835" s="1174" t="str">
        <f t="shared" si="144"/>
        <v/>
      </c>
      <c r="E835" s="1212" t="str">
        <f t="shared" si="144"/>
        <v/>
      </c>
      <c r="F835" s="127" t="str">
        <f t="shared" si="144"/>
        <v/>
      </c>
      <c r="G835" s="1174" t="str">
        <f t="shared" si="144"/>
        <v/>
      </c>
      <c r="H835" s="341"/>
      <c r="I835" s="341"/>
      <c r="J835" s="341"/>
      <c r="K835" s="67"/>
      <c r="L835" s="682" t="s">
        <v>336</v>
      </c>
      <c r="X835" s="668" t="s">
        <v>336</v>
      </c>
    </row>
    <row r="836" spans="1:24" ht="11.25" customHeight="1">
      <c r="A836" s="604">
        <v>44</v>
      </c>
      <c r="B836" s="121" t="s">
        <v>928</v>
      </c>
      <c r="C836" s="1212" t="str">
        <f t="shared" si="144"/>
        <v/>
      </c>
      <c r="D836" s="1174" t="str">
        <f t="shared" si="144"/>
        <v/>
      </c>
      <c r="E836" s="1212" t="str">
        <f t="shared" si="144"/>
        <v/>
      </c>
      <c r="F836" s="127" t="str">
        <f t="shared" si="144"/>
        <v/>
      </c>
      <c r="G836" s="1174" t="str">
        <f t="shared" si="144"/>
        <v/>
      </c>
      <c r="H836" s="341"/>
      <c r="I836" s="341"/>
      <c r="J836" s="341"/>
      <c r="K836" s="67"/>
      <c r="L836" s="682" t="s">
        <v>336</v>
      </c>
      <c r="X836" s="668" t="s">
        <v>336</v>
      </c>
    </row>
    <row r="837" spans="1:24" ht="11.25" customHeight="1" thickBot="1">
      <c r="A837" s="604">
        <v>45</v>
      </c>
      <c r="B837" s="121" t="s">
        <v>929</v>
      </c>
      <c r="C837" s="186" t="str">
        <f t="shared" si="144"/>
        <v/>
      </c>
      <c r="D837" s="189" t="str">
        <f t="shared" si="144"/>
        <v/>
      </c>
      <c r="E837" s="186" t="str">
        <f t="shared" si="144"/>
        <v/>
      </c>
      <c r="F837" s="1176" t="str">
        <f t="shared" si="144"/>
        <v/>
      </c>
      <c r="G837" s="189" t="str">
        <f t="shared" si="144"/>
        <v/>
      </c>
      <c r="H837" s="341"/>
      <c r="I837" s="341"/>
      <c r="J837" s="341"/>
      <c r="K837" s="67"/>
      <c r="L837" s="682" t="s">
        <v>336</v>
      </c>
      <c r="X837" s="668" t="s">
        <v>336</v>
      </c>
    </row>
    <row r="838" spans="1:24" ht="11.25" customHeight="1">
      <c r="A838" s="604">
        <v>46</v>
      </c>
      <c r="B838" s="1184"/>
      <c r="C838" s="143" t="s">
        <v>425</v>
      </c>
      <c r="D838" s="341" t="str">
        <f>O667</f>
        <v>CT number of all ROIs is within +/- 5 HU of the central region</v>
      </c>
      <c r="E838" s="341"/>
      <c r="F838" s="341"/>
      <c r="G838" s="341"/>
      <c r="H838" s="341"/>
      <c r="I838" s="341"/>
      <c r="J838" s="341"/>
      <c r="K838" s="67"/>
      <c r="L838" s="682" t="s">
        <v>336</v>
      </c>
      <c r="X838" s="668" t="s">
        <v>336</v>
      </c>
    </row>
    <row r="839" spans="1:24" ht="11.25" customHeight="1">
      <c r="A839" s="604">
        <v>47</v>
      </c>
      <c r="B839" s="1229" t="str">
        <f>IF(M668="","",IF(M668=1,"Pass","Fail"))</f>
        <v/>
      </c>
      <c r="C839" s="341" t="str">
        <f>N668</f>
        <v>Uniformity image is free from artifacts</v>
      </c>
      <c r="D839" s="341"/>
      <c r="E839" s="341"/>
      <c r="F839" s="341"/>
      <c r="G839" s="341"/>
      <c r="H839" s="341"/>
      <c r="I839" s="341"/>
      <c r="J839" s="341"/>
      <c r="K839" s="67"/>
      <c r="L839" s="682" t="s">
        <v>336</v>
      </c>
      <c r="X839" s="668" t="s">
        <v>336</v>
      </c>
    </row>
    <row r="840" spans="1:24" ht="11.25" customHeight="1">
      <c r="A840" s="604">
        <v>48</v>
      </c>
      <c r="B840" s="1184"/>
      <c r="C840" s="341"/>
      <c r="D840" s="341"/>
      <c r="E840" s="341"/>
      <c r="F840" s="341"/>
      <c r="G840" s="341"/>
      <c r="H840" s="341"/>
      <c r="I840" s="341"/>
      <c r="J840" s="341"/>
      <c r="K840" s="67"/>
      <c r="L840" s="682" t="s">
        <v>336</v>
      </c>
      <c r="X840" s="668" t="s">
        <v>336</v>
      </c>
    </row>
    <row r="841" spans="1:24" ht="11.25" customHeight="1">
      <c r="A841" s="604">
        <v>49</v>
      </c>
      <c r="B841" s="1182" t="s">
        <v>932</v>
      </c>
      <c r="C841" s="341"/>
      <c r="D841" s="341"/>
      <c r="E841" s="341"/>
      <c r="F841" s="341"/>
      <c r="G841" s="341"/>
      <c r="H841" s="341"/>
      <c r="I841" s="341"/>
      <c r="J841" s="341"/>
      <c r="K841" s="67"/>
      <c r="L841" s="682" t="s">
        <v>336</v>
      </c>
      <c r="X841" s="668" t="s">
        <v>336</v>
      </c>
    </row>
    <row r="842" spans="1:24" ht="11.25" customHeight="1" thickBot="1">
      <c r="A842" s="604">
        <v>50</v>
      </c>
      <c r="B842" s="1184"/>
      <c r="C842" s="341"/>
      <c r="D842" s="1090" t="s">
        <v>933</v>
      </c>
      <c r="E842" s="1090" t="s">
        <v>444</v>
      </c>
      <c r="F842" s="341"/>
      <c r="G842" s="341"/>
      <c r="H842" s="341"/>
      <c r="I842" s="341"/>
      <c r="J842" s="341"/>
      <c r="K842" s="67"/>
      <c r="L842" s="682" t="s">
        <v>336</v>
      </c>
      <c r="X842" s="668" t="s">
        <v>336</v>
      </c>
    </row>
    <row r="843" spans="1:24" ht="11.25" customHeight="1">
      <c r="A843" s="604">
        <v>51</v>
      </c>
      <c r="B843" s="1184"/>
      <c r="C843" s="48" t="s">
        <v>787</v>
      </c>
      <c r="D843" s="1205" t="str">
        <f>IF(N672="","",N672)</f>
        <v/>
      </c>
      <c r="E843" s="1172" t="str">
        <f>IF(O672="","",O672)</f>
        <v/>
      </c>
      <c r="F843" s="341"/>
      <c r="G843" s="143" t="s">
        <v>901</v>
      </c>
      <c r="H843" s="341" t="str">
        <f>T672</f>
        <v>6 lp/cm for abdomen</v>
      </c>
      <c r="I843" s="341"/>
      <c r="J843" s="341"/>
      <c r="K843" s="67"/>
      <c r="L843" s="682" t="s">
        <v>336</v>
      </c>
      <c r="X843" s="668" t="s">
        <v>336</v>
      </c>
    </row>
    <row r="844" spans="1:24" ht="11.25" customHeight="1" thickBot="1">
      <c r="A844" s="604">
        <v>52</v>
      </c>
      <c r="B844" s="1184"/>
      <c r="C844" s="48" t="s">
        <v>935</v>
      </c>
      <c r="D844" s="186" t="str">
        <f>IF(N673="","",N673)</f>
        <v/>
      </c>
      <c r="E844" s="189" t="str">
        <f>IF(O673="","",O673)</f>
        <v/>
      </c>
      <c r="F844" s="341"/>
      <c r="G844" s="341"/>
      <c r="H844" s="341" t="str">
        <f>T673</f>
        <v>8 lp/cm for high resolution</v>
      </c>
      <c r="I844" s="341"/>
      <c r="J844" s="341"/>
      <c r="K844" s="67"/>
      <c r="L844" s="682" t="s">
        <v>336</v>
      </c>
      <c r="X844" s="668" t="s">
        <v>336</v>
      </c>
    </row>
    <row r="845" spans="1:24" ht="11.25" customHeight="1">
      <c r="A845" s="604">
        <v>53</v>
      </c>
      <c r="B845" s="136"/>
      <c r="C845" s="49"/>
      <c r="D845" s="49"/>
      <c r="E845" s="49"/>
      <c r="F845" s="49"/>
      <c r="G845" s="49"/>
      <c r="H845" s="49"/>
      <c r="I845" s="49"/>
      <c r="J845" s="49"/>
      <c r="K845" s="67"/>
      <c r="L845" s="682" t="s">
        <v>336</v>
      </c>
      <c r="X845" s="668" t="s">
        <v>336</v>
      </c>
    </row>
    <row r="846" spans="1:24" ht="11.25" customHeight="1">
      <c r="A846" s="604">
        <v>54</v>
      </c>
      <c r="B846" s="136"/>
      <c r="C846" s="49"/>
      <c r="D846" s="49"/>
      <c r="E846" s="49"/>
      <c r="F846" s="49"/>
      <c r="G846" s="49"/>
      <c r="H846" s="49"/>
      <c r="I846" s="49"/>
      <c r="J846" s="49"/>
      <c r="K846" s="67"/>
      <c r="L846" s="682" t="s">
        <v>336</v>
      </c>
      <c r="X846" s="668" t="s">
        <v>336</v>
      </c>
    </row>
    <row r="847" spans="1:24" ht="11.25" customHeight="1">
      <c r="A847" s="604">
        <v>55</v>
      </c>
      <c r="B847" s="136"/>
      <c r="C847" s="49"/>
      <c r="D847" s="49"/>
      <c r="E847" s="49"/>
      <c r="F847" s="49"/>
      <c r="G847" s="49"/>
      <c r="H847" s="49"/>
      <c r="I847" s="49"/>
      <c r="J847" s="49"/>
      <c r="K847" s="67"/>
      <c r="L847" s="682" t="s">
        <v>336</v>
      </c>
      <c r="X847" s="668" t="s">
        <v>336</v>
      </c>
    </row>
    <row r="848" spans="1:24" ht="11.25" customHeight="1">
      <c r="A848" s="604">
        <v>56</v>
      </c>
      <c r="B848" s="136"/>
      <c r="C848" s="49"/>
      <c r="D848" s="49"/>
      <c r="E848" s="49"/>
      <c r="F848" s="49"/>
      <c r="G848" s="49"/>
      <c r="H848" s="49"/>
      <c r="I848" s="49"/>
      <c r="J848" s="49"/>
      <c r="K848" s="67"/>
      <c r="L848" s="682" t="s">
        <v>336</v>
      </c>
      <c r="X848" s="668" t="s">
        <v>336</v>
      </c>
    </row>
    <row r="849" spans="1:24" ht="11.25" customHeight="1">
      <c r="A849" s="604">
        <v>57</v>
      </c>
      <c r="B849" s="136"/>
      <c r="C849" s="49"/>
      <c r="D849" s="49"/>
      <c r="E849" s="49"/>
      <c r="F849" s="49"/>
      <c r="G849" s="49"/>
      <c r="H849" s="49"/>
      <c r="I849" s="49"/>
      <c r="J849" s="49"/>
      <c r="K849" s="67"/>
      <c r="L849" s="682" t="s">
        <v>336</v>
      </c>
      <c r="X849" s="668" t="s">
        <v>336</v>
      </c>
    </row>
    <row r="850" spans="1:24" ht="11.25" customHeight="1">
      <c r="A850" s="604">
        <v>58</v>
      </c>
      <c r="B850" s="136"/>
      <c r="C850" s="49"/>
      <c r="D850" s="49"/>
      <c r="E850" s="49"/>
      <c r="F850" s="49"/>
      <c r="G850" s="49"/>
      <c r="H850" s="49"/>
      <c r="I850" s="49"/>
      <c r="J850" s="49"/>
      <c r="K850" s="67"/>
      <c r="L850" s="682" t="s">
        <v>336</v>
      </c>
      <c r="X850" s="668" t="s">
        <v>336</v>
      </c>
    </row>
    <row r="851" spans="1:24" ht="11.25" customHeight="1">
      <c r="A851" s="604">
        <v>59</v>
      </c>
      <c r="B851" s="136"/>
      <c r="C851" s="49"/>
      <c r="D851" s="49"/>
      <c r="E851" s="49"/>
      <c r="F851" s="49"/>
      <c r="G851" s="49"/>
      <c r="H851" s="49"/>
      <c r="I851" s="49"/>
      <c r="J851" s="49"/>
      <c r="K851" s="67"/>
      <c r="L851" s="682" t="s">
        <v>336</v>
      </c>
      <c r="X851" s="668" t="s">
        <v>336</v>
      </c>
    </row>
    <row r="852" spans="1:24" ht="11.25" customHeight="1">
      <c r="A852" s="604">
        <v>60</v>
      </c>
      <c r="B852" s="136"/>
      <c r="C852" s="49"/>
      <c r="D852" s="49"/>
      <c r="E852" s="49"/>
      <c r="F852" s="49"/>
      <c r="G852" s="49"/>
      <c r="H852" s="49"/>
      <c r="I852" s="49"/>
      <c r="J852" s="49"/>
      <c r="K852" s="67"/>
      <c r="L852" s="682" t="s">
        <v>336</v>
      </c>
      <c r="X852" s="668" t="s">
        <v>336</v>
      </c>
    </row>
    <row r="853" spans="1:24" ht="11.25" customHeight="1">
      <c r="A853" s="604">
        <v>61</v>
      </c>
      <c r="B853" s="136"/>
      <c r="C853" s="49"/>
      <c r="D853" s="49"/>
      <c r="E853" s="49"/>
      <c r="F853" s="49"/>
      <c r="G853" s="49"/>
      <c r="H853" s="49"/>
      <c r="I853" s="49"/>
      <c r="J853" s="49"/>
      <c r="K853" s="67"/>
      <c r="L853" s="682" t="s">
        <v>336</v>
      </c>
      <c r="X853" s="668" t="s">
        <v>336</v>
      </c>
    </row>
    <row r="854" spans="1:24" ht="11.25" customHeight="1">
      <c r="A854" s="604">
        <v>62</v>
      </c>
      <c r="B854" s="136"/>
      <c r="C854" s="49"/>
      <c r="D854" s="49"/>
      <c r="E854" s="49"/>
      <c r="F854" s="49"/>
      <c r="G854" s="49"/>
      <c r="H854" s="49"/>
      <c r="I854" s="49"/>
      <c r="J854" s="49"/>
      <c r="K854" s="67"/>
      <c r="L854" s="682" t="s">
        <v>336</v>
      </c>
      <c r="X854" s="668" t="s">
        <v>336</v>
      </c>
    </row>
    <row r="855" spans="1:24" ht="11.25" customHeight="1">
      <c r="A855" s="604">
        <v>63</v>
      </c>
      <c r="B855" s="136"/>
      <c r="C855" s="49"/>
      <c r="D855" s="49"/>
      <c r="E855" s="49"/>
      <c r="F855" s="49"/>
      <c r="G855" s="49"/>
      <c r="H855" s="49"/>
      <c r="I855" s="49"/>
      <c r="J855" s="49"/>
      <c r="K855" s="67"/>
      <c r="L855" s="682" t="s">
        <v>336</v>
      </c>
      <c r="X855" s="668" t="s">
        <v>336</v>
      </c>
    </row>
    <row r="856" spans="1:24" ht="11.25" customHeight="1" thickBot="1">
      <c r="A856" s="604">
        <v>64</v>
      </c>
      <c r="B856" s="98"/>
      <c r="C856" s="80"/>
      <c r="D856" s="80"/>
      <c r="E856" s="80"/>
      <c r="F856" s="80"/>
      <c r="G856" s="80"/>
      <c r="H856" s="80"/>
      <c r="I856" s="80"/>
      <c r="J856" s="80"/>
      <c r="K856" s="85"/>
      <c r="L856" s="682" t="s">
        <v>336</v>
      </c>
      <c r="X856" s="668" t="s">
        <v>336</v>
      </c>
    </row>
    <row r="857" spans="1:24" ht="11.25" customHeight="1" thickTop="1">
      <c r="A857" s="604">
        <v>65</v>
      </c>
      <c r="B857" s="46" t="str">
        <f t="array" ref="B857:C858">$B$65:$C$66</f>
        <v>Date:</v>
      </c>
      <c r="C857" s="1072" t="str">
        <v/>
      </c>
      <c r="D857" s="124"/>
      <c r="E857" s="124"/>
      <c r="F857" s="124"/>
      <c r="G857" s="124"/>
      <c r="H857" s="124"/>
      <c r="I857" s="46" t="str">
        <f t="array" ref="I857:J858">$I$65:$J$66</f>
        <v>Inspector:</v>
      </c>
      <c r="J857" s="401" t="str">
        <v>Eugene Mah</v>
      </c>
      <c r="L857" s="682" t="s">
        <v>336</v>
      </c>
      <c r="X857" s="668" t="s">
        <v>336</v>
      </c>
    </row>
    <row r="858" spans="1:24" ht="11.25" customHeight="1">
      <c r="A858" s="604">
        <v>66</v>
      </c>
      <c r="B858" s="46" t="str">
        <v>Room Number:</v>
      </c>
      <c r="C858" s="363" t="str">
        <v/>
      </c>
      <c r="D858" s="124"/>
      <c r="E858" s="124"/>
      <c r="F858" s="124"/>
      <c r="G858" s="124"/>
      <c r="H858" s="124"/>
      <c r="I858" s="46" t="str">
        <v>Survey ID:</v>
      </c>
      <c r="J858" s="910" t="str">
        <v/>
      </c>
      <c r="L858" s="682" t="s">
        <v>336</v>
      </c>
      <c r="X858" s="668" t="s">
        <v>336</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20">
    <mergeCell ref="D820:E820"/>
    <mergeCell ref="AH126:AI126"/>
    <mergeCell ref="H311:I311"/>
    <mergeCell ref="N590:N592"/>
    <mergeCell ref="N594:N596"/>
    <mergeCell ref="M617:N619"/>
    <mergeCell ref="E626:E627"/>
    <mergeCell ref="F626:F627"/>
    <mergeCell ref="J71:K71"/>
    <mergeCell ref="U67:V67"/>
    <mergeCell ref="T540:T541"/>
    <mergeCell ref="U186:V186"/>
    <mergeCell ref="O187:P187"/>
    <mergeCell ref="Q187:R187"/>
    <mergeCell ref="S187:T187"/>
    <mergeCell ref="U187:V187"/>
    <mergeCell ref="M187:N187"/>
    <mergeCell ref="O186:P186"/>
    <mergeCell ref="Q186:R186"/>
    <mergeCell ref="S186:T186"/>
  </mergeCells>
  <phoneticPr fontId="18" type="noConversion"/>
  <conditionalFormatting sqref="T2:T5">
    <cfRule type="expression" dxfId="63" priority="131" stopIfTrue="1">
      <formula>AND($T$1="",$T$2="",$T$3="",$T$4="",$T$5="",$T$6="")</formula>
    </cfRule>
  </conditionalFormatting>
  <conditionalFormatting sqref="T6">
    <cfRule type="expression" dxfId="62" priority="132" stopIfTrue="1">
      <formula>AND($T$1="",$T$2="",$T$3="",$T$4="",$T$5="",$T$6="")</formula>
    </cfRule>
  </conditionalFormatting>
  <conditionalFormatting sqref="T1">
    <cfRule type="expression" dxfId="61" priority="133" stopIfTrue="1">
      <formula>AND($T$1="",$T$2="",$T$3="",$T$4="",$T$5="",$T$6="")</formula>
    </cfRule>
  </conditionalFormatting>
  <conditionalFormatting sqref="J54:J63 J72:J84 J87:J88 E386 J386 E428:F428 I428:J428 K497 H484:H493 K541 K544 K556 K559 J583:J590 I606:I607 J129 J91:J103 J106:J112">
    <cfRule type="cellIs" dxfId="60" priority="78" operator="equal">
      <formula>"TBD"</formula>
    </cfRule>
  </conditionalFormatting>
  <conditionalFormatting sqref="K54:K63 K72:K84 K87:K88 K583:K590 K129 K91:K103 K106:K114">
    <cfRule type="cellIs" dxfId="59" priority="77" operator="equal">
      <formula>"NO"</formula>
    </cfRule>
  </conditionalFormatting>
  <conditionalFormatting sqref="H314:I315">
    <cfRule type="cellIs" dxfId="58" priority="73" operator="equal">
      <formula>"NO"</formula>
    </cfRule>
  </conditionalFormatting>
  <conditionalFormatting sqref="F314:G315">
    <cfRule type="cellIs" dxfId="57" priority="71" operator="greaterThan">
      <formula>0.02</formula>
    </cfRule>
  </conditionalFormatting>
  <conditionalFormatting sqref="J349">
    <cfRule type="cellIs" dxfId="56" priority="66" operator="equal">
      <formula>"NO"</formula>
    </cfRule>
  </conditionalFormatting>
  <conditionalFormatting sqref="E386 J386">
    <cfRule type="cellIs" dxfId="55" priority="65" operator="equal">
      <formula>"NO"</formula>
    </cfRule>
  </conditionalFormatting>
  <conditionalFormatting sqref="E377:E384 J377:J382">
    <cfRule type="cellIs" dxfId="54" priority="64" operator="greaterThan">
      <formula>0.05</formula>
    </cfRule>
  </conditionalFormatting>
  <conditionalFormatting sqref="E428:F428 I428:J428">
    <cfRule type="cellIs" dxfId="53" priority="63" operator="greaterThan">
      <formula>0.05</formula>
    </cfRule>
  </conditionalFormatting>
  <conditionalFormatting sqref="E430:F430 I430:J430">
    <cfRule type="cellIs" dxfId="52" priority="62" operator="equal">
      <formula>"NO"</formula>
    </cfRule>
  </conditionalFormatting>
  <conditionalFormatting sqref="H484:H493 H499 K499">
    <cfRule type="cellIs" dxfId="51" priority="61" operator="equal">
      <formula>"NO"</formula>
    </cfRule>
  </conditionalFormatting>
  <conditionalFormatting sqref="K541 K544 K556 K559 G571">
    <cfRule type="cellIs" dxfId="50" priority="60" operator="equal">
      <formula>"NO"</formula>
    </cfRule>
  </conditionalFormatting>
  <conditionalFormatting sqref="E571">
    <cfRule type="cellIs" dxfId="49" priority="59" operator="greaterThan">
      <formula>0.1</formula>
    </cfRule>
  </conditionalFormatting>
  <conditionalFormatting sqref="I607">
    <cfRule type="cellIs" dxfId="48" priority="58" operator="equal">
      <formula>"NO"</formula>
    </cfRule>
  </conditionalFormatting>
  <conditionalFormatting sqref="H668:H675 H681:H686 J675 J686">
    <cfRule type="cellIs" dxfId="47" priority="51" operator="equal">
      <formula>"NO"</formula>
    </cfRule>
  </conditionalFormatting>
  <conditionalFormatting sqref="J169">
    <cfRule type="cellIs" dxfId="46" priority="49" operator="equal">
      <formula>"TBD"</formula>
    </cfRule>
  </conditionalFormatting>
  <conditionalFormatting sqref="K169">
    <cfRule type="cellIs" dxfId="45" priority="48" operator="equal">
      <formula>"NO"</formula>
    </cfRule>
  </conditionalFormatting>
  <conditionalFormatting sqref="U352">
    <cfRule type="expression" dxfId="44" priority="181" stopIfTrue="1">
      <formula>AND(OR($O$331=3,$O$331="HF",$O$331="CP"),OR(U354="NO",U355="NO",U356="NO",U357="NO",U358="NO",U359="NO",U360="NO",U361="NO",U362="NO",U363="NO"))</formula>
    </cfRule>
  </conditionalFormatting>
  <conditionalFormatting sqref="U353">
    <cfRule type="expression" dxfId="43" priority="182" stopIfTrue="1">
      <formula>AND(OR($O$331=3,$O$331="HF",$O$331="CP"),OR(U354="NO",U355="NO",U356="NO",U357="NO",U358="NO",U359="NO",U360="NO",U361="NO",U362="NO",U363="NO"))</formula>
    </cfRule>
  </conditionalFormatting>
  <conditionalFormatting sqref="V352">
    <cfRule type="expression" dxfId="42" priority="183" stopIfTrue="1">
      <formula>AND($O$331=1,OR(V354="NO",V355="NO",V356="NO",V357="NO",V358="NO",V359="NO",V360="NO",V361="NO",V362="NO",V363="NO"))</formula>
    </cfRule>
  </conditionalFormatting>
  <conditionalFormatting sqref="V353">
    <cfRule type="expression" dxfId="41" priority="184" stopIfTrue="1">
      <formula>AND($O$331=1,OR(V354="NO",V355="NO",V356="NO",V357="NO",V358="NO",V359="NO",V360="NO",V361="NO",V362="NO",V363="NO"))</formula>
    </cfRule>
  </conditionalFormatting>
  <conditionalFormatting sqref="W352">
    <cfRule type="expression" dxfId="40" priority="185" stopIfTrue="1">
      <formula>AND($O$331="Dent",OR(W354="NO",W355="NO",W356="NO",W357="NO",W358="NO",W359="NO",W360="NO",W361="NO",W362="NO",W363="NO"))</formula>
    </cfRule>
  </conditionalFormatting>
  <conditionalFormatting sqref="W353">
    <cfRule type="expression" dxfId="39" priority="186" stopIfTrue="1">
      <formula>AND($O$331="Dent",OR(W354="NO",W355="NO",W356="NO",W357="NO",W358="NO",W359="NO",W360="NO",W361="NO",W362="NO",W363="NO"))</formula>
    </cfRule>
  </conditionalFormatting>
  <conditionalFormatting sqref="U189:V190">
    <cfRule type="cellIs" dxfId="38" priority="41" operator="equal">
      <formula>"NO"</formula>
    </cfRule>
    <cfRule type="cellIs" dxfId="37" priority="42" operator="equal">
      <formula>"NA"</formula>
    </cfRule>
    <cfRule type="cellIs" dxfId="36" priority="43" operator="equal">
      <formula>"YES"</formula>
    </cfRule>
  </conditionalFormatting>
  <conditionalFormatting sqref="V244 V261 U294:W294 V314:W314 V395 V398 V411 V413 V421 V494 V509 S472:S473">
    <cfRule type="cellIs" dxfId="35" priority="38" operator="equal">
      <formula>"TBD"</formula>
    </cfRule>
    <cfRule type="cellIs" dxfId="34" priority="39" operator="equal">
      <formula>"YES"</formula>
    </cfRule>
    <cfRule type="cellIs" dxfId="33" priority="40" operator="equal">
      <formula>"NO"</formula>
    </cfRule>
  </conditionalFormatting>
  <conditionalFormatting sqref="Q494:S494 Q509:S509">
    <cfRule type="cellIs" dxfId="32" priority="35" operator="lessThan">
      <formula>-0.25</formula>
    </cfRule>
    <cfRule type="cellIs" dxfId="31" priority="36" operator="greaterThan">
      <formula>0.25</formula>
    </cfRule>
    <cfRule type="cellIs" dxfId="30" priority="37" operator="between">
      <formula>-0.25</formula>
      <formula>0.25</formula>
    </cfRule>
  </conditionalFormatting>
  <conditionalFormatting sqref="U354:W363">
    <cfRule type="cellIs" dxfId="29" priority="33" operator="equal">
      <formula>"YES"</formula>
    </cfRule>
    <cfRule type="cellIs" dxfId="28" priority="34" operator="equal">
      <formula>"NO"</formula>
    </cfRule>
  </conditionalFormatting>
  <conditionalFormatting sqref="Q494:S494 Q509:S509 V494 V509">
    <cfRule type="cellIs" dxfId="27" priority="32" operator="equal">
      <formula>"NA"</formula>
    </cfRule>
  </conditionalFormatting>
  <conditionalFormatting sqref="O605:Q605">
    <cfRule type="cellIs" dxfId="26" priority="31" operator="equal">
      <formula>"Fail"</formula>
    </cfRule>
  </conditionalFormatting>
  <conditionalFormatting sqref="O604:Q604">
    <cfRule type="cellIs" dxfId="25" priority="27" operator="lessThan">
      <formula>0.2</formula>
    </cfRule>
    <cfRule type="cellIs" dxfId="24" priority="30" operator="greaterThan">
      <formula>0.2</formula>
    </cfRule>
  </conditionalFormatting>
  <conditionalFormatting sqref="O603:Q603">
    <cfRule type="cellIs" dxfId="23" priority="28" operator="lessThan">
      <formula>0.05</formula>
    </cfRule>
    <cfRule type="cellIs" dxfId="22" priority="29" operator="greaterThan">
      <formula>0.05</formula>
    </cfRule>
  </conditionalFormatting>
  <conditionalFormatting sqref="O621:R621">
    <cfRule type="cellIs" dxfId="21" priority="26" operator="equal">
      <formula>"Fail"</formula>
    </cfRule>
  </conditionalFormatting>
  <conditionalFormatting sqref="O647:S647">
    <cfRule type="cellIs" dxfId="20" priority="25" operator="equal">
      <formula>"Fail"</formula>
    </cfRule>
  </conditionalFormatting>
  <conditionalFormatting sqref="O672:O673">
    <cfRule type="cellIs" dxfId="19" priority="24" operator="equal">
      <formula>"Fail"</formula>
    </cfRule>
  </conditionalFormatting>
  <conditionalFormatting sqref="O672:O673">
    <cfRule type="cellIs" dxfId="18" priority="22" operator="equal">
      <formula>"Fail"</formula>
    </cfRule>
    <cfRule type="cellIs" dxfId="17" priority="23" operator="equal">
      <formula>"Pass"</formula>
    </cfRule>
  </conditionalFormatting>
  <conditionalFormatting sqref="P662:Q666">
    <cfRule type="cellIs" dxfId="16" priority="20" operator="greaterThan">
      <formula>5</formula>
    </cfRule>
    <cfRule type="cellIs" dxfId="15" priority="21" operator="lessThan">
      <formula>5</formula>
    </cfRule>
  </conditionalFormatting>
  <conditionalFormatting sqref="R662:R666">
    <cfRule type="cellIs" dxfId="14" priority="18" operator="equal">
      <formula>"Fail"</formula>
    </cfRule>
    <cfRule type="cellIs" dxfId="13" priority="19" operator="equal">
      <formula>"Pass"</formula>
    </cfRule>
  </conditionalFormatting>
  <conditionalFormatting sqref="T655">
    <cfRule type="cellIs" dxfId="12" priority="16" operator="equal">
      <formula>"Fail"</formula>
    </cfRule>
    <cfRule type="cellIs" dxfId="11" priority="17" operator="equal">
      <formula>"Pass"</formula>
    </cfRule>
  </conditionalFormatting>
  <conditionalFormatting sqref="N658:O658">
    <cfRule type="cellIs" dxfId="10" priority="14" operator="lessThan">
      <formula>1</formula>
    </cfRule>
    <cfRule type="cellIs" dxfId="9" priority="15" operator="greaterThan">
      <formula>1</formula>
    </cfRule>
  </conditionalFormatting>
  <conditionalFormatting sqref="E761:G761">
    <cfRule type="cellIs" dxfId="8" priority="9" operator="equal">
      <formula>"Fail"</formula>
    </cfRule>
  </conditionalFormatting>
  <conditionalFormatting sqref="D775:G775">
    <cfRule type="cellIs" dxfId="7" priority="8" operator="equal">
      <formula>"Fail"</formula>
    </cfRule>
  </conditionalFormatting>
  <conditionalFormatting sqref="B779">
    <cfRule type="cellIs" dxfId="6" priority="6" operator="equal">
      <formula>"Fail"</formula>
    </cfRule>
    <cfRule type="cellIs" dxfId="5" priority="7" operator="equal">
      <formula>"Pass"</formula>
    </cfRule>
  </conditionalFormatting>
  <conditionalFormatting sqref="G804">
    <cfRule type="cellIs" dxfId="4" priority="5" operator="equal">
      <formula>"Fail"</formula>
    </cfRule>
  </conditionalFormatting>
  <conditionalFormatting sqref="E815:I815 J822:J823 E843:E844">
    <cfRule type="cellIs" dxfId="3" priority="4" operator="equal">
      <formula>"Fail"</formula>
    </cfRule>
  </conditionalFormatting>
  <conditionalFormatting sqref="G833:G837">
    <cfRule type="cellIs" dxfId="2" priority="3" operator="equal">
      <formula>"Fail"</formula>
    </cfRule>
  </conditionalFormatting>
  <conditionalFormatting sqref="S549">
    <cfRule type="cellIs" dxfId="1" priority="1" operator="equal">
      <formula>"YES"</formula>
    </cfRule>
    <cfRule type="cellIs" dxfId="0" priority="2" operator="equal">
      <formula>"NO"</formula>
    </cfRule>
  </conditionalFormatting>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12" manualBreakCount="12">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rowBreaks>
  <colBreaks count="1" manualBreakCount="1">
    <brk id="12" max="1048575" man="1"/>
  </colBreaks>
  <drawing r:id="rId3"/>
  <legacyDrawing r:id="rId4"/>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Tables!$U$2:$U$22</xm:f>
          </x14:formula1>
          <xm:sqref>U209 U214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3"/>
  <sheetViews>
    <sheetView topLeftCell="A88" zoomScale="75" zoomScaleNormal="75" workbookViewId="0">
      <selection activeCell="D128" sqref="D128"/>
    </sheetView>
  </sheetViews>
  <sheetFormatPr defaultRowHeight="15.75"/>
  <sheetData>
    <row r="1" spans="1:31">
      <c r="A1" s="971">
        <v>3</v>
      </c>
      <c r="B1" s="955" t="s">
        <v>646</v>
      </c>
      <c r="F1" s="1012" t="s">
        <v>33</v>
      </c>
      <c r="G1" s="1013"/>
      <c r="H1" s="1013"/>
      <c r="I1" s="1014"/>
      <c r="J1" s="1012" t="s">
        <v>32</v>
      </c>
      <c r="K1" s="1013"/>
      <c r="L1" s="1014"/>
      <c r="M1" s="1012" t="s">
        <v>641</v>
      </c>
      <c r="N1" s="1013"/>
      <c r="O1" s="1013"/>
      <c r="P1" s="1013"/>
      <c r="Q1" s="1013"/>
      <c r="R1" s="1014"/>
      <c r="T1" s="1283" t="s">
        <v>664</v>
      </c>
      <c r="U1" s="1283"/>
      <c r="W1" s="331"/>
      <c r="X1" s="411" t="s">
        <v>18</v>
      </c>
      <c r="Y1" s="449"/>
      <c r="Z1" s="245"/>
      <c r="AA1" s="245"/>
      <c r="AB1" s="561"/>
      <c r="AC1" s="562" t="s">
        <v>17</v>
      </c>
      <c r="AD1" s="563"/>
      <c r="AE1" s="560"/>
    </row>
    <row r="2" spans="1:31">
      <c r="F2" s="437"/>
      <c r="G2" s="3"/>
      <c r="H2" s="509" t="s">
        <v>273</v>
      </c>
      <c r="I2" s="306"/>
      <c r="J2" s="26"/>
      <c r="K2" s="509" t="s">
        <v>273</v>
      </c>
      <c r="L2" s="306"/>
      <c r="M2" s="437"/>
      <c r="N2" s="49"/>
      <c r="O2" s="49"/>
      <c r="P2" s="49"/>
      <c r="Q2" s="49"/>
      <c r="R2" s="346"/>
      <c r="T2">
        <v>1.1000000000000001</v>
      </c>
      <c r="U2">
        <v>0.5</v>
      </c>
      <c r="W2" s="3"/>
      <c r="X2" s="318" t="s">
        <v>425</v>
      </c>
      <c r="Z2" s="168"/>
      <c r="AA2" s="245"/>
      <c r="AB2" s="564"/>
      <c r="AC2" s="565" t="s">
        <v>425</v>
      </c>
      <c r="AD2" s="557"/>
      <c r="AE2" s="564"/>
    </row>
    <row r="3" spans="1:31" ht="16.5" thickBot="1">
      <c r="A3" s="512" t="s">
        <v>49</v>
      </c>
      <c r="B3" s="512" t="s">
        <v>50</v>
      </c>
      <c r="C3" s="512" t="s">
        <v>372</v>
      </c>
      <c r="D3" s="512" t="s">
        <v>51</v>
      </c>
      <c r="E3" s="560" t="s">
        <v>53</v>
      </c>
      <c r="F3" s="942" t="s">
        <v>71</v>
      </c>
      <c r="G3" s="956" t="s">
        <v>72</v>
      </c>
      <c r="H3" s="509" t="s">
        <v>372</v>
      </c>
      <c r="I3" s="979" t="s">
        <v>650</v>
      </c>
      <c r="J3" s="975" t="s">
        <v>650</v>
      </c>
      <c r="K3" s="509" t="s">
        <v>372</v>
      </c>
      <c r="L3" s="943" t="s">
        <v>72</v>
      </c>
      <c r="M3" s="989" t="s">
        <v>369</v>
      </c>
      <c r="N3" s="990" t="s">
        <v>642</v>
      </c>
      <c r="O3" s="990" t="s">
        <v>643</v>
      </c>
      <c r="P3" s="990" t="s">
        <v>662</v>
      </c>
      <c r="Q3" s="990" t="s">
        <v>644</v>
      </c>
      <c r="R3" s="991" t="s">
        <v>645</v>
      </c>
      <c r="T3">
        <v>1.2</v>
      </c>
      <c r="U3">
        <v>0.56000000000000005</v>
      </c>
      <c r="W3" s="3"/>
      <c r="X3" s="314" t="s">
        <v>209</v>
      </c>
      <c r="Y3" s="314" t="s">
        <v>210</v>
      </c>
      <c r="Z3" s="544" t="s">
        <v>211</v>
      </c>
      <c r="AA3" s="245"/>
      <c r="AB3" s="564"/>
      <c r="AC3" s="566" t="s">
        <v>209</v>
      </c>
      <c r="AD3" s="566" t="s">
        <v>210</v>
      </c>
      <c r="AE3" s="567" t="s">
        <v>211</v>
      </c>
    </row>
    <row r="4" spans="1:31" ht="16.5" thickTop="1">
      <c r="A4" s="980">
        <v>60</v>
      </c>
      <c r="B4" s="980">
        <v>400</v>
      </c>
      <c r="C4" s="981">
        <v>0.05</v>
      </c>
      <c r="D4" s="982">
        <f t="shared" ref="D4:D25" si="0">IF(LFMAS="mAs",B4*C4,0)</f>
        <v>20</v>
      </c>
      <c r="E4" s="983">
        <v>0</v>
      </c>
      <c r="F4" s="984"/>
      <c r="G4" s="985"/>
      <c r="H4" s="986"/>
      <c r="I4" s="987"/>
      <c r="J4" s="988"/>
      <c r="K4" s="986"/>
      <c r="L4" s="987"/>
      <c r="M4" s="1035"/>
      <c r="N4" s="1036"/>
      <c r="O4" s="1036"/>
      <c r="P4" s="1036"/>
      <c r="Q4" s="1025"/>
      <c r="R4" s="1026"/>
      <c r="T4">
        <v>1.3</v>
      </c>
      <c r="U4">
        <v>0.63</v>
      </c>
      <c r="W4" s="320" t="s">
        <v>369</v>
      </c>
      <c r="X4" s="316" t="s">
        <v>213</v>
      </c>
      <c r="Y4" s="316" t="s">
        <v>213</v>
      </c>
      <c r="Z4" s="545" t="s">
        <v>213</v>
      </c>
      <c r="AA4" s="245"/>
      <c r="AB4" s="568" t="s">
        <v>369</v>
      </c>
      <c r="AC4" s="569" t="s">
        <v>213</v>
      </c>
      <c r="AD4" s="569" t="s">
        <v>213</v>
      </c>
      <c r="AE4" s="570" t="s">
        <v>213</v>
      </c>
    </row>
    <row r="5" spans="1:31">
      <c r="A5" s="654">
        <v>60</v>
      </c>
      <c r="B5" s="654">
        <v>400</v>
      </c>
      <c r="C5" s="655">
        <v>0.05</v>
      </c>
      <c r="D5" s="653">
        <f t="shared" si="0"/>
        <v>20</v>
      </c>
      <c r="E5" s="958">
        <v>0</v>
      </c>
      <c r="F5" s="1060"/>
      <c r="G5" s="1061"/>
      <c r="H5" s="1061"/>
      <c r="I5" s="1062"/>
      <c r="J5" s="1063"/>
      <c r="K5" s="1061"/>
      <c r="L5" s="1062"/>
      <c r="M5" s="1064"/>
      <c r="N5" s="1065"/>
      <c r="O5" s="1065"/>
      <c r="P5" s="1065"/>
      <c r="Q5" s="1066"/>
      <c r="R5" s="1067"/>
      <c r="T5">
        <v>2.1</v>
      </c>
      <c r="U5">
        <v>0.71</v>
      </c>
      <c r="W5" s="322">
        <v>60</v>
      </c>
      <c r="X5" s="413">
        <v>2.1854545454545447</v>
      </c>
      <c r="Y5" s="317">
        <f t="shared" ref="Y5:Y12" si="1">TRUNC(TREND($X$5:$X$12,$W$5:$W$12,0.9*W5),1)</f>
        <v>1.9</v>
      </c>
      <c r="Z5" s="546">
        <f t="shared" ref="Z5:Z12" si="2">MAX(TRUNC(TREND($X$5:$X$12,$W$5:$W$12,1.1*W5),1),ROUND(TREND($X$5:$X$12,$W$5:$W$12,1.1*W5),1))</f>
        <v>2.4</v>
      </c>
      <c r="AA5" s="245"/>
      <c r="AB5" s="571">
        <v>50</v>
      </c>
      <c r="AC5" s="572">
        <v>1.5</v>
      </c>
      <c r="AD5" s="572">
        <v>1.5</v>
      </c>
      <c r="AE5" s="573">
        <v>1.7</v>
      </c>
    </row>
    <row r="6" spans="1:31">
      <c r="A6" s="654">
        <v>80</v>
      </c>
      <c r="B6" s="654">
        <v>400</v>
      </c>
      <c r="C6" s="655">
        <v>0.05</v>
      </c>
      <c r="D6" s="653">
        <f t="shared" si="0"/>
        <v>20</v>
      </c>
      <c r="E6" s="958">
        <v>0</v>
      </c>
      <c r="F6" s="961"/>
      <c r="G6" s="662"/>
      <c r="H6" s="662"/>
      <c r="I6" s="945"/>
      <c r="J6" s="944"/>
      <c r="K6" s="662"/>
      <c r="L6" s="945"/>
      <c r="M6" s="1039"/>
      <c r="N6" s="1040"/>
      <c r="O6" s="1040"/>
      <c r="P6" s="1040"/>
      <c r="Q6" s="1029"/>
      <c r="R6" s="1030"/>
      <c r="T6">
        <v>2.2000000000000002</v>
      </c>
      <c r="U6">
        <v>0.8</v>
      </c>
      <c r="W6" s="322">
        <v>70</v>
      </c>
      <c r="X6" s="413">
        <v>2.6109090909090904</v>
      </c>
      <c r="Y6" s="317">
        <f t="shared" si="1"/>
        <v>2.2999999999999998</v>
      </c>
      <c r="Z6" s="546">
        <f t="shared" si="2"/>
        <v>2.9</v>
      </c>
      <c r="AA6" s="328"/>
      <c r="AB6" s="571">
        <v>60</v>
      </c>
      <c r="AC6" s="572">
        <v>1.5</v>
      </c>
      <c r="AD6" s="572">
        <v>1.5</v>
      </c>
      <c r="AE6" s="573">
        <v>1.7</v>
      </c>
    </row>
    <row r="7" spans="1:31" ht="16.5" thickBot="1">
      <c r="A7" s="654">
        <v>80</v>
      </c>
      <c r="B7" s="654">
        <v>400</v>
      </c>
      <c r="C7" s="655">
        <v>0.05</v>
      </c>
      <c r="D7" s="653">
        <f t="shared" si="0"/>
        <v>20</v>
      </c>
      <c r="E7" s="958">
        <v>0</v>
      </c>
      <c r="F7" s="961"/>
      <c r="G7" s="662"/>
      <c r="H7" s="662"/>
      <c r="I7" s="945"/>
      <c r="J7" s="944"/>
      <c r="K7" s="662"/>
      <c r="L7" s="945"/>
      <c r="M7" s="1039"/>
      <c r="N7" s="1040"/>
      <c r="O7" s="1040"/>
      <c r="P7" s="1040"/>
      <c r="Q7" s="1029"/>
      <c r="R7" s="1030"/>
      <c r="T7">
        <v>2.2999999999999998</v>
      </c>
      <c r="U7">
        <v>0.9</v>
      </c>
      <c r="W7" s="322">
        <v>80</v>
      </c>
      <c r="X7" s="413">
        <v>3.0363636363636357</v>
      </c>
      <c r="Y7" s="317">
        <f t="shared" si="1"/>
        <v>2.6</v>
      </c>
      <c r="Z7" s="546">
        <f t="shared" si="2"/>
        <v>3.4</v>
      </c>
      <c r="AA7" s="245"/>
      <c r="AB7" s="574">
        <v>70</v>
      </c>
      <c r="AC7" s="575">
        <v>1.5</v>
      </c>
      <c r="AD7" s="575">
        <v>1.5</v>
      </c>
      <c r="AE7" s="576">
        <v>1.7</v>
      </c>
    </row>
    <row r="8" spans="1:31">
      <c r="A8" s="654">
        <v>80</v>
      </c>
      <c r="B8" s="654">
        <v>400</v>
      </c>
      <c r="C8" s="655">
        <v>0.05</v>
      </c>
      <c r="D8" s="653">
        <f t="shared" si="0"/>
        <v>20</v>
      </c>
      <c r="E8" s="958">
        <v>0</v>
      </c>
      <c r="F8" s="961"/>
      <c r="G8" s="662"/>
      <c r="H8" s="662"/>
      <c r="I8" s="945"/>
      <c r="J8" s="944"/>
      <c r="K8" s="662"/>
      <c r="L8" s="945"/>
      <c r="M8" s="1039"/>
      <c r="N8" s="1040"/>
      <c r="O8" s="1040"/>
      <c r="P8" s="1040"/>
      <c r="Q8" s="1029"/>
      <c r="R8" s="1030"/>
      <c r="T8">
        <v>3.1</v>
      </c>
      <c r="U8">
        <v>1</v>
      </c>
      <c r="W8" s="322">
        <v>90</v>
      </c>
      <c r="X8" s="413">
        <v>3.4618181818181815</v>
      </c>
      <c r="Y8" s="317">
        <f t="shared" si="1"/>
        <v>3</v>
      </c>
      <c r="Z8" s="546">
        <f t="shared" si="2"/>
        <v>3.8</v>
      </c>
      <c r="AA8" s="245"/>
      <c r="AB8" s="571">
        <v>80</v>
      </c>
      <c r="AC8" s="572">
        <v>2.2999999999999998</v>
      </c>
      <c r="AD8" s="572">
        <v>2.2999999999999998</v>
      </c>
      <c r="AE8" s="573">
        <v>2.7</v>
      </c>
    </row>
    <row r="9" spans="1:31">
      <c r="A9" s="750">
        <v>80</v>
      </c>
      <c r="B9" s="750">
        <v>400</v>
      </c>
      <c r="C9" s="751">
        <v>0.05</v>
      </c>
      <c r="D9" s="749">
        <f t="shared" si="0"/>
        <v>20</v>
      </c>
      <c r="E9" s="959">
        <v>0</v>
      </c>
      <c r="F9" s="962"/>
      <c r="G9" s="757"/>
      <c r="H9" s="757"/>
      <c r="I9" s="947"/>
      <c r="J9" s="946"/>
      <c r="K9" s="757"/>
      <c r="L9" s="947"/>
      <c r="M9" s="1037"/>
      <c r="N9" s="1038"/>
      <c r="O9" s="1038"/>
      <c r="P9" s="1038"/>
      <c r="Q9" s="1027"/>
      <c r="R9" s="1028"/>
      <c r="T9">
        <v>3.2</v>
      </c>
      <c r="U9">
        <v>1.1200000000000001</v>
      </c>
      <c r="W9" s="322">
        <v>100</v>
      </c>
      <c r="X9" s="413">
        <v>3.8872727272727272</v>
      </c>
      <c r="Y9" s="317">
        <f t="shared" si="1"/>
        <v>3.4</v>
      </c>
      <c r="Z9" s="546">
        <f t="shared" si="2"/>
        <v>4.3</v>
      </c>
      <c r="AA9" s="245"/>
      <c r="AB9" s="571">
        <v>90</v>
      </c>
      <c r="AC9" s="572">
        <v>2.5</v>
      </c>
      <c r="AD9" s="572">
        <v>2.5</v>
      </c>
      <c r="AE9" s="573">
        <v>3</v>
      </c>
    </row>
    <row r="10" spans="1:31">
      <c r="A10" s="750">
        <v>80</v>
      </c>
      <c r="B10" s="750">
        <v>400</v>
      </c>
      <c r="C10" s="751">
        <v>0.05</v>
      </c>
      <c r="D10" s="749">
        <f t="shared" si="0"/>
        <v>20</v>
      </c>
      <c r="E10" s="959">
        <v>0</v>
      </c>
      <c r="F10" s="962"/>
      <c r="G10" s="757"/>
      <c r="H10" s="757"/>
      <c r="I10" s="947"/>
      <c r="J10" s="946"/>
      <c r="K10" s="757"/>
      <c r="L10" s="947"/>
      <c r="M10" s="1037"/>
      <c r="N10" s="1038"/>
      <c r="O10" s="1038"/>
      <c r="P10" s="1038"/>
      <c r="Q10" s="1027"/>
      <c r="R10" s="1028"/>
      <c r="T10">
        <v>3.3</v>
      </c>
      <c r="U10">
        <v>1.25</v>
      </c>
      <c r="W10" s="322">
        <v>110</v>
      </c>
      <c r="X10" s="413">
        <v>4.3127272727272734</v>
      </c>
      <c r="Y10" s="317">
        <f t="shared" si="1"/>
        <v>3.8</v>
      </c>
      <c r="Z10" s="546">
        <f t="shared" si="2"/>
        <v>4.8</v>
      </c>
      <c r="AA10" s="328"/>
      <c r="AB10" s="571">
        <v>100</v>
      </c>
      <c r="AC10" s="572">
        <v>2.7</v>
      </c>
      <c r="AD10" s="572">
        <v>2.7</v>
      </c>
      <c r="AE10" s="573">
        <v>3.2</v>
      </c>
    </row>
    <row r="11" spans="1:31">
      <c r="A11" s="750">
        <v>80</v>
      </c>
      <c r="B11" s="750">
        <v>400</v>
      </c>
      <c r="C11" s="751">
        <v>0.05</v>
      </c>
      <c r="D11" s="749">
        <f t="shared" si="0"/>
        <v>20</v>
      </c>
      <c r="E11" s="959">
        <v>3</v>
      </c>
      <c r="F11" s="962"/>
      <c r="G11" s="756"/>
      <c r="H11" s="757"/>
      <c r="I11" s="947"/>
      <c r="J11" s="948"/>
      <c r="K11" s="757"/>
      <c r="L11" s="947"/>
      <c r="M11" s="1037"/>
      <c r="N11" s="1038"/>
      <c r="O11" s="1038"/>
      <c r="P11" s="1038"/>
      <c r="Q11" s="1027"/>
      <c r="R11" s="1028"/>
      <c r="T11">
        <v>4.0999999999999996</v>
      </c>
      <c r="U11">
        <v>1.4</v>
      </c>
      <c r="W11" s="322">
        <v>120</v>
      </c>
      <c r="X11" s="413">
        <v>4.7381818181818192</v>
      </c>
      <c r="Y11" s="317">
        <f t="shared" si="1"/>
        <v>4.2</v>
      </c>
      <c r="Z11" s="546">
        <f t="shared" si="2"/>
        <v>5.2</v>
      </c>
      <c r="AA11" s="328"/>
      <c r="AB11" s="571">
        <v>110</v>
      </c>
      <c r="AC11" s="572">
        <v>3</v>
      </c>
      <c r="AD11" s="572">
        <v>3</v>
      </c>
      <c r="AE11" s="577">
        <v>3.5</v>
      </c>
    </row>
    <row r="12" spans="1:31">
      <c r="A12" s="750">
        <v>80</v>
      </c>
      <c r="B12" s="750">
        <v>400</v>
      </c>
      <c r="C12" s="751">
        <v>0.05</v>
      </c>
      <c r="D12" s="749">
        <f t="shared" si="0"/>
        <v>20</v>
      </c>
      <c r="E12" s="959">
        <v>3</v>
      </c>
      <c r="F12" s="962"/>
      <c r="G12" s="756"/>
      <c r="H12" s="757"/>
      <c r="I12" s="947"/>
      <c r="J12" s="948"/>
      <c r="K12" s="757"/>
      <c r="L12" s="947"/>
      <c r="M12" s="1037"/>
      <c r="N12" s="1038"/>
      <c r="O12" s="1038"/>
      <c r="P12" s="1038"/>
      <c r="Q12" s="1027"/>
      <c r="R12" s="1028"/>
      <c r="T12">
        <v>4.2</v>
      </c>
      <c r="U12">
        <v>1.6</v>
      </c>
      <c r="W12" s="322">
        <v>130</v>
      </c>
      <c r="X12" s="412">
        <v>5.1636363636363649</v>
      </c>
      <c r="Y12" s="317">
        <f t="shared" si="1"/>
        <v>4.5999999999999996</v>
      </c>
      <c r="Z12" s="546">
        <f t="shared" si="2"/>
        <v>5.7</v>
      </c>
      <c r="AA12" s="245"/>
      <c r="AB12" s="571">
        <v>120</v>
      </c>
      <c r="AC12" s="577">
        <f>TREND(AC8:AC11,AB8:AB11,AB12)</f>
        <v>3.2</v>
      </c>
      <c r="AD12" s="572">
        <v>3.2</v>
      </c>
      <c r="AE12" s="573">
        <f>TREND(AE8:AE11,AB8:AB11,AB12)</f>
        <v>3.7499999999999996</v>
      </c>
    </row>
    <row r="13" spans="1:31">
      <c r="A13" s="750">
        <v>80</v>
      </c>
      <c r="B13" s="750">
        <v>400</v>
      </c>
      <c r="C13" s="751">
        <v>0.05</v>
      </c>
      <c r="D13" s="749">
        <f t="shared" si="0"/>
        <v>20</v>
      </c>
      <c r="E13" s="959">
        <v>3.5</v>
      </c>
      <c r="F13" s="962"/>
      <c r="G13" s="756"/>
      <c r="H13" s="757"/>
      <c r="I13" s="947"/>
      <c r="J13" s="948"/>
      <c r="K13" s="757"/>
      <c r="L13" s="947"/>
      <c r="M13" s="1037"/>
      <c r="N13" s="1038"/>
      <c r="O13" s="1038"/>
      <c r="P13" s="1038"/>
      <c r="Q13" s="1027"/>
      <c r="R13" s="1028"/>
      <c r="T13">
        <v>4.3</v>
      </c>
      <c r="U13">
        <v>1.8</v>
      </c>
    </row>
    <row r="14" spans="1:31">
      <c r="A14" s="750">
        <v>80</v>
      </c>
      <c r="B14" s="750">
        <v>400</v>
      </c>
      <c r="C14" s="751">
        <v>0.05</v>
      </c>
      <c r="D14" s="749">
        <f t="shared" si="0"/>
        <v>20</v>
      </c>
      <c r="E14" s="959">
        <v>3.5</v>
      </c>
      <c r="F14" s="962"/>
      <c r="G14" s="756"/>
      <c r="H14" s="757"/>
      <c r="I14" s="947"/>
      <c r="J14" s="948"/>
      <c r="K14" s="757"/>
      <c r="L14" s="947"/>
      <c r="M14" s="1037"/>
      <c r="N14" s="1038"/>
      <c r="O14" s="1038"/>
      <c r="P14" s="1038"/>
      <c r="Q14" s="1027"/>
      <c r="R14" s="1028"/>
      <c r="T14">
        <v>5.0999999999999996</v>
      </c>
      <c r="U14">
        <v>2</v>
      </c>
    </row>
    <row r="15" spans="1:31">
      <c r="A15" s="750">
        <v>80</v>
      </c>
      <c r="B15" s="750">
        <v>400</v>
      </c>
      <c r="C15" s="751">
        <v>0.05</v>
      </c>
      <c r="D15" s="749">
        <f t="shared" si="0"/>
        <v>20</v>
      </c>
      <c r="E15" s="959">
        <v>2.5</v>
      </c>
      <c r="F15" s="962"/>
      <c r="G15" s="756"/>
      <c r="H15" s="757"/>
      <c r="I15" s="947"/>
      <c r="J15" s="948"/>
      <c r="K15" s="757"/>
      <c r="L15" s="947"/>
      <c r="M15" s="1037"/>
      <c r="N15" s="1038"/>
      <c r="O15" s="1038"/>
      <c r="P15" s="1038"/>
      <c r="Q15" s="1027"/>
      <c r="R15" s="1028"/>
      <c r="T15">
        <v>5.2</v>
      </c>
      <c r="U15">
        <v>2.2400000000000002</v>
      </c>
    </row>
    <row r="16" spans="1:31">
      <c r="A16" s="750">
        <v>80</v>
      </c>
      <c r="B16" s="750">
        <v>400</v>
      </c>
      <c r="C16" s="751">
        <v>0.05</v>
      </c>
      <c r="D16" s="749">
        <f t="shared" si="0"/>
        <v>20</v>
      </c>
      <c r="E16" s="959">
        <v>2.5</v>
      </c>
      <c r="F16" s="962"/>
      <c r="G16" s="756"/>
      <c r="H16" s="757"/>
      <c r="I16" s="947"/>
      <c r="J16" s="948"/>
      <c r="K16" s="757"/>
      <c r="L16" s="947"/>
      <c r="M16" s="1037"/>
      <c r="N16" s="1038"/>
      <c r="O16" s="1038"/>
      <c r="P16" s="1038"/>
      <c r="Q16" s="1027"/>
      <c r="R16" s="1028"/>
      <c r="T16">
        <v>5.3</v>
      </c>
      <c r="U16">
        <v>2.5</v>
      </c>
    </row>
    <row r="17" spans="1:21">
      <c r="A17" s="654">
        <v>80</v>
      </c>
      <c r="B17" s="654">
        <v>500</v>
      </c>
      <c r="C17" s="655">
        <v>0.05</v>
      </c>
      <c r="D17" s="653">
        <f t="shared" si="0"/>
        <v>25</v>
      </c>
      <c r="E17" s="958">
        <v>0</v>
      </c>
      <c r="F17" s="961"/>
      <c r="G17" s="661"/>
      <c r="H17" s="662"/>
      <c r="I17" s="945"/>
      <c r="J17" s="949"/>
      <c r="K17" s="662"/>
      <c r="L17" s="945"/>
      <c r="M17" s="1039"/>
      <c r="N17" s="1040"/>
      <c r="O17" s="1040"/>
      <c r="P17" s="1040"/>
      <c r="Q17" s="1029"/>
      <c r="R17" s="1030"/>
      <c r="T17">
        <v>6.1</v>
      </c>
      <c r="U17">
        <v>2.8</v>
      </c>
    </row>
    <row r="18" spans="1:21">
      <c r="A18" s="654">
        <v>80</v>
      </c>
      <c r="B18" s="654">
        <v>50</v>
      </c>
      <c r="C18" s="655">
        <v>0.05</v>
      </c>
      <c r="D18" s="653">
        <f t="shared" si="0"/>
        <v>2.5</v>
      </c>
      <c r="E18" s="958">
        <v>0</v>
      </c>
      <c r="F18" s="961"/>
      <c r="G18" s="661"/>
      <c r="H18" s="662"/>
      <c r="I18" s="945"/>
      <c r="J18" s="949"/>
      <c r="K18" s="662"/>
      <c r="L18" s="945"/>
      <c r="M18" s="1039"/>
      <c r="N18" s="1040"/>
      <c r="O18" s="1040"/>
      <c r="P18" s="1040"/>
      <c r="Q18" s="1029"/>
      <c r="R18" s="1030"/>
      <c r="T18">
        <v>6.2</v>
      </c>
      <c r="U18">
        <v>3.15</v>
      </c>
    </row>
    <row r="19" spans="1:21">
      <c r="A19" s="654">
        <v>80</v>
      </c>
      <c r="B19" s="654">
        <v>800</v>
      </c>
      <c r="C19" s="655">
        <v>0.05</v>
      </c>
      <c r="D19" s="653">
        <f t="shared" si="0"/>
        <v>40</v>
      </c>
      <c r="E19" s="958">
        <v>0</v>
      </c>
      <c r="F19" s="961"/>
      <c r="G19" s="661"/>
      <c r="H19" s="662"/>
      <c r="I19" s="945"/>
      <c r="J19" s="949"/>
      <c r="K19" s="662"/>
      <c r="L19" s="945"/>
      <c r="M19" s="1039"/>
      <c r="N19" s="1040"/>
      <c r="O19" s="1040"/>
      <c r="P19" s="1040"/>
      <c r="Q19" s="1029"/>
      <c r="R19" s="1030"/>
      <c r="T19">
        <v>6.3</v>
      </c>
      <c r="U19">
        <v>3.55</v>
      </c>
    </row>
    <row r="20" spans="1:21">
      <c r="A20" s="654">
        <v>80</v>
      </c>
      <c r="B20" s="654">
        <v>250</v>
      </c>
      <c r="C20" s="655">
        <v>0.05</v>
      </c>
      <c r="D20" s="653">
        <f t="shared" si="0"/>
        <v>12.5</v>
      </c>
      <c r="E20" s="958">
        <v>0</v>
      </c>
      <c r="F20" s="961"/>
      <c r="G20" s="661"/>
      <c r="H20" s="662"/>
      <c r="I20" s="945"/>
      <c r="J20" s="949"/>
      <c r="K20" s="662"/>
      <c r="L20" s="945"/>
      <c r="M20" s="1039"/>
      <c r="N20" s="1040"/>
      <c r="O20" s="1040"/>
      <c r="P20" s="1040"/>
      <c r="Q20" s="1029"/>
      <c r="R20" s="1030"/>
      <c r="T20">
        <v>7.1</v>
      </c>
      <c r="U20">
        <v>4</v>
      </c>
    </row>
    <row r="21" spans="1:21">
      <c r="A21" s="654">
        <v>100</v>
      </c>
      <c r="B21" s="654">
        <v>400</v>
      </c>
      <c r="C21" s="655">
        <v>0.05</v>
      </c>
      <c r="D21" s="653">
        <f t="shared" si="0"/>
        <v>20</v>
      </c>
      <c r="E21" s="958">
        <v>0</v>
      </c>
      <c r="F21" s="961"/>
      <c r="G21" s="661"/>
      <c r="H21" s="662"/>
      <c r="I21" s="945"/>
      <c r="J21" s="949"/>
      <c r="K21" s="662"/>
      <c r="L21" s="945"/>
      <c r="M21" s="1039"/>
      <c r="N21" s="1040"/>
      <c r="O21" s="1040"/>
      <c r="P21" s="1040"/>
      <c r="Q21" s="1029"/>
      <c r="R21" s="1030"/>
      <c r="T21">
        <v>7.2</v>
      </c>
      <c r="U21">
        <v>4.5</v>
      </c>
    </row>
    <row r="22" spans="1:21">
      <c r="A22" s="654">
        <v>100</v>
      </c>
      <c r="B22" s="654">
        <v>400</v>
      </c>
      <c r="C22" s="655">
        <v>0.05</v>
      </c>
      <c r="D22" s="653">
        <f t="shared" si="0"/>
        <v>20</v>
      </c>
      <c r="E22" s="958">
        <v>0</v>
      </c>
      <c r="F22" s="1060"/>
      <c r="G22" s="1061"/>
      <c r="H22" s="1061"/>
      <c r="I22" s="1062"/>
      <c r="J22" s="1063"/>
      <c r="K22" s="1061"/>
      <c r="L22" s="1062"/>
      <c r="M22" s="1064"/>
      <c r="N22" s="1065"/>
      <c r="O22" s="1065"/>
      <c r="P22" s="1065"/>
      <c r="Q22" s="1066"/>
      <c r="R22" s="1067"/>
      <c r="T22">
        <v>7.3</v>
      </c>
      <c r="U22">
        <v>5</v>
      </c>
    </row>
    <row r="23" spans="1:21">
      <c r="A23" s="654">
        <v>120</v>
      </c>
      <c r="B23" s="654">
        <v>400</v>
      </c>
      <c r="C23" s="655">
        <v>0.05</v>
      </c>
      <c r="D23" s="653">
        <f t="shared" si="0"/>
        <v>20</v>
      </c>
      <c r="E23" s="958">
        <v>0</v>
      </c>
      <c r="F23" s="1060"/>
      <c r="G23" s="1068"/>
      <c r="H23" s="1061"/>
      <c r="I23" s="1062"/>
      <c r="J23" s="1069"/>
      <c r="K23" s="1061"/>
      <c r="L23" s="1062"/>
      <c r="M23" s="1064"/>
      <c r="N23" s="1065"/>
      <c r="O23" s="1065"/>
      <c r="P23" s="1065"/>
      <c r="Q23" s="1066"/>
      <c r="R23" s="1067"/>
    </row>
    <row r="24" spans="1:21">
      <c r="A24" s="654">
        <v>120</v>
      </c>
      <c r="B24" s="654">
        <v>400</v>
      </c>
      <c r="C24" s="655">
        <v>0.05</v>
      </c>
      <c r="D24" s="653">
        <f t="shared" si="0"/>
        <v>20</v>
      </c>
      <c r="E24" s="958">
        <v>0</v>
      </c>
      <c r="F24" s="1060"/>
      <c r="G24" s="1061"/>
      <c r="H24" s="1061"/>
      <c r="I24" s="1062"/>
      <c r="J24" s="1063"/>
      <c r="K24" s="1061"/>
      <c r="L24" s="1062"/>
      <c r="M24" s="1064"/>
      <c r="N24" s="1065"/>
      <c r="O24" s="1065"/>
      <c r="P24" s="1065"/>
      <c r="Q24" s="1066"/>
      <c r="R24" s="1067"/>
    </row>
    <row r="25" spans="1:21">
      <c r="A25" s="654">
        <v>140</v>
      </c>
      <c r="B25" s="654">
        <v>400</v>
      </c>
      <c r="C25" s="655">
        <v>0.05</v>
      </c>
      <c r="D25" s="653">
        <f t="shared" si="0"/>
        <v>20</v>
      </c>
      <c r="E25" s="958">
        <v>0</v>
      </c>
      <c r="F25" s="961"/>
      <c r="G25" s="661"/>
      <c r="H25" s="662"/>
      <c r="I25" s="945"/>
      <c r="J25" s="949"/>
      <c r="K25" s="662"/>
      <c r="L25" s="945"/>
      <c r="M25" s="1039"/>
      <c r="N25" s="1040"/>
      <c r="O25" s="1040"/>
      <c r="P25" s="1040"/>
      <c r="Q25" s="1029"/>
      <c r="R25" s="1030"/>
    </row>
    <row r="26" spans="1:21">
      <c r="A26" s="855">
        <v>50</v>
      </c>
      <c r="B26" s="855">
        <v>100</v>
      </c>
      <c r="C26" s="856">
        <v>0.1</v>
      </c>
      <c r="D26" s="857">
        <f t="shared" ref="D26:D39" si="3">IF(SFMAS="mAs",B26*C26,0)</f>
        <v>10</v>
      </c>
      <c r="E26" s="960">
        <v>0</v>
      </c>
      <c r="F26" s="963"/>
      <c r="G26" s="862"/>
      <c r="H26" s="863"/>
      <c r="I26" s="951"/>
      <c r="J26" s="950"/>
      <c r="K26" s="863"/>
      <c r="L26" s="951"/>
      <c r="M26" s="1041"/>
      <c r="N26" s="1042"/>
      <c r="O26" s="1042"/>
      <c r="P26" s="1042"/>
      <c r="Q26" s="1031"/>
      <c r="R26" s="1032"/>
    </row>
    <row r="27" spans="1:21">
      <c r="A27" s="855">
        <v>70</v>
      </c>
      <c r="B27" s="855">
        <v>100</v>
      </c>
      <c r="C27" s="856">
        <v>0.1</v>
      </c>
      <c r="D27" s="857">
        <f t="shared" si="3"/>
        <v>10</v>
      </c>
      <c r="E27" s="960">
        <v>0</v>
      </c>
      <c r="F27" s="963"/>
      <c r="G27" s="862"/>
      <c r="H27" s="863"/>
      <c r="I27" s="951"/>
      <c r="J27" s="950"/>
      <c r="K27" s="863"/>
      <c r="L27" s="951"/>
      <c r="M27" s="1041"/>
      <c r="N27" s="1042"/>
      <c r="O27" s="1042"/>
      <c r="P27" s="1042"/>
      <c r="Q27" s="1031"/>
      <c r="R27" s="1032"/>
    </row>
    <row r="28" spans="1:21">
      <c r="A28" s="855">
        <v>90</v>
      </c>
      <c r="B28" s="855">
        <v>100</v>
      </c>
      <c r="C28" s="856">
        <v>0.1</v>
      </c>
      <c r="D28" s="857">
        <f t="shared" si="3"/>
        <v>10</v>
      </c>
      <c r="E28" s="960">
        <v>0</v>
      </c>
      <c r="F28" s="963"/>
      <c r="G28" s="862"/>
      <c r="H28" s="863"/>
      <c r="I28" s="951"/>
      <c r="J28" s="950"/>
      <c r="K28" s="863"/>
      <c r="L28" s="951"/>
      <c r="M28" s="1041"/>
      <c r="N28" s="1042"/>
      <c r="O28" s="1042"/>
      <c r="P28" s="1042"/>
      <c r="Q28" s="1031"/>
      <c r="R28" s="1032"/>
    </row>
    <row r="29" spans="1:21">
      <c r="A29" s="855">
        <v>90</v>
      </c>
      <c r="B29" s="855">
        <v>100</v>
      </c>
      <c r="C29" s="856">
        <v>0.1</v>
      </c>
      <c r="D29" s="857">
        <f t="shared" si="3"/>
        <v>10</v>
      </c>
      <c r="E29" s="960">
        <v>0</v>
      </c>
      <c r="F29" s="963"/>
      <c r="G29" s="862"/>
      <c r="H29" s="863"/>
      <c r="I29" s="951"/>
      <c r="J29" s="950"/>
      <c r="K29" s="863"/>
      <c r="L29" s="951"/>
      <c r="M29" s="1041"/>
      <c r="N29" s="1042"/>
      <c r="O29" s="1042"/>
      <c r="P29" s="1042"/>
      <c r="Q29" s="1031"/>
      <c r="R29" s="1032"/>
    </row>
    <row r="30" spans="1:21">
      <c r="A30" s="855">
        <v>90</v>
      </c>
      <c r="B30" s="855">
        <v>100</v>
      </c>
      <c r="C30" s="856">
        <v>0.1</v>
      </c>
      <c r="D30" s="857">
        <f t="shared" si="3"/>
        <v>10</v>
      </c>
      <c r="E30" s="960">
        <v>0</v>
      </c>
      <c r="F30" s="963"/>
      <c r="G30" s="862"/>
      <c r="H30" s="863"/>
      <c r="I30" s="951"/>
      <c r="J30" s="950"/>
      <c r="K30" s="863"/>
      <c r="L30" s="951"/>
      <c r="M30" s="1041"/>
      <c r="N30" s="1042"/>
      <c r="O30" s="1042"/>
      <c r="P30" s="1042"/>
      <c r="Q30" s="1031"/>
      <c r="R30" s="1032"/>
    </row>
    <row r="31" spans="1:21">
      <c r="A31" s="855">
        <v>90</v>
      </c>
      <c r="B31" s="855">
        <v>100</v>
      </c>
      <c r="C31" s="856">
        <v>0.1</v>
      </c>
      <c r="D31" s="857">
        <f t="shared" si="3"/>
        <v>10</v>
      </c>
      <c r="E31" s="960">
        <v>0</v>
      </c>
      <c r="F31" s="963"/>
      <c r="G31" s="862"/>
      <c r="H31" s="863"/>
      <c r="I31" s="951"/>
      <c r="J31" s="950"/>
      <c r="K31" s="863"/>
      <c r="L31" s="951"/>
      <c r="M31" s="1041"/>
      <c r="N31" s="1042"/>
      <c r="O31" s="1042"/>
      <c r="P31" s="1042"/>
      <c r="Q31" s="1031"/>
      <c r="R31" s="1032"/>
    </row>
    <row r="32" spans="1:21">
      <c r="A32" s="855">
        <v>90</v>
      </c>
      <c r="B32" s="855">
        <v>100</v>
      </c>
      <c r="C32" s="856">
        <v>0.1</v>
      </c>
      <c r="D32" s="857">
        <f t="shared" si="3"/>
        <v>10</v>
      </c>
      <c r="E32" s="960">
        <v>0</v>
      </c>
      <c r="F32" s="963"/>
      <c r="G32" s="862"/>
      <c r="H32" s="863"/>
      <c r="I32" s="951"/>
      <c r="J32" s="950"/>
      <c r="K32" s="863"/>
      <c r="L32" s="951"/>
      <c r="M32" s="1041"/>
      <c r="N32" s="1042"/>
      <c r="O32" s="1042"/>
      <c r="P32" s="1042"/>
      <c r="Q32" s="1031"/>
      <c r="R32" s="1032"/>
    </row>
    <row r="33" spans="1:33">
      <c r="A33" s="855">
        <v>80</v>
      </c>
      <c r="B33" s="855">
        <v>100</v>
      </c>
      <c r="C33" s="856">
        <v>0.1</v>
      </c>
      <c r="D33" s="857">
        <f t="shared" si="3"/>
        <v>10</v>
      </c>
      <c r="E33" s="960">
        <v>0</v>
      </c>
      <c r="F33" s="963"/>
      <c r="G33" s="862"/>
      <c r="H33" s="863"/>
      <c r="I33" s="951"/>
      <c r="J33" s="950"/>
      <c r="K33" s="863"/>
      <c r="L33" s="951"/>
      <c r="M33" s="1041"/>
      <c r="N33" s="1042"/>
      <c r="O33" s="1042"/>
      <c r="P33" s="1042"/>
      <c r="Q33" s="1031"/>
      <c r="R33" s="1032"/>
    </row>
    <row r="34" spans="1:33">
      <c r="A34" s="855">
        <v>80</v>
      </c>
      <c r="B34" s="855">
        <v>110</v>
      </c>
      <c r="C34" s="856">
        <v>0.1</v>
      </c>
      <c r="D34" s="857">
        <f t="shared" si="3"/>
        <v>11</v>
      </c>
      <c r="E34" s="960">
        <v>0</v>
      </c>
      <c r="F34" s="963"/>
      <c r="G34" s="862"/>
      <c r="H34" s="863"/>
      <c r="I34" s="951"/>
      <c r="J34" s="950"/>
      <c r="K34" s="863"/>
      <c r="L34" s="951"/>
      <c r="M34" s="1041"/>
      <c r="N34" s="1042"/>
      <c r="O34" s="1042"/>
      <c r="P34" s="1042"/>
      <c r="Q34" s="1031"/>
      <c r="R34" s="1032"/>
    </row>
    <row r="35" spans="1:33">
      <c r="A35" s="855">
        <v>80</v>
      </c>
      <c r="B35" s="855">
        <v>250</v>
      </c>
      <c r="C35" s="856">
        <v>0.1</v>
      </c>
      <c r="D35" s="857">
        <f t="shared" si="3"/>
        <v>25</v>
      </c>
      <c r="E35" s="960">
        <v>0</v>
      </c>
      <c r="F35" s="963"/>
      <c r="G35" s="862"/>
      <c r="H35" s="863"/>
      <c r="I35" s="951"/>
      <c r="J35" s="950"/>
      <c r="K35" s="863"/>
      <c r="L35" s="951"/>
      <c r="M35" s="1041"/>
      <c r="N35" s="1042"/>
      <c r="O35" s="1042"/>
      <c r="P35" s="1042"/>
      <c r="Q35" s="1031"/>
      <c r="R35" s="1032"/>
    </row>
    <row r="36" spans="1:33">
      <c r="A36" s="855">
        <v>80</v>
      </c>
      <c r="B36" s="855">
        <v>50</v>
      </c>
      <c r="C36" s="856">
        <v>0.1</v>
      </c>
      <c r="D36" s="857">
        <f t="shared" si="3"/>
        <v>5</v>
      </c>
      <c r="E36" s="960">
        <v>0</v>
      </c>
      <c r="F36" s="963"/>
      <c r="G36" s="862"/>
      <c r="H36" s="863"/>
      <c r="I36" s="951"/>
      <c r="J36" s="950"/>
      <c r="K36" s="863"/>
      <c r="L36" s="951"/>
      <c r="M36" s="1041"/>
      <c r="N36" s="1042"/>
      <c r="O36" s="1042"/>
      <c r="P36" s="1042"/>
      <c r="Q36" s="1031"/>
      <c r="R36" s="1032"/>
    </row>
    <row r="37" spans="1:33">
      <c r="A37" s="855">
        <v>80</v>
      </c>
      <c r="B37" s="855">
        <v>160</v>
      </c>
      <c r="C37" s="856">
        <v>0.1</v>
      </c>
      <c r="D37" s="857">
        <f t="shared" si="3"/>
        <v>16</v>
      </c>
      <c r="E37" s="960">
        <v>0</v>
      </c>
      <c r="F37" s="963"/>
      <c r="G37" s="862"/>
      <c r="H37" s="863"/>
      <c r="I37" s="951"/>
      <c r="J37" s="950"/>
      <c r="K37" s="863"/>
      <c r="L37" s="951"/>
      <c r="M37" s="1041"/>
      <c r="N37" s="1042"/>
      <c r="O37" s="1042"/>
      <c r="P37" s="1042"/>
      <c r="Q37" s="1031"/>
      <c r="R37" s="1032"/>
    </row>
    <row r="38" spans="1:33">
      <c r="A38" s="855">
        <v>110</v>
      </c>
      <c r="B38" s="855">
        <v>100</v>
      </c>
      <c r="C38" s="856">
        <v>0.1</v>
      </c>
      <c r="D38" s="857">
        <f t="shared" si="3"/>
        <v>10</v>
      </c>
      <c r="E38" s="960">
        <v>0</v>
      </c>
      <c r="F38" s="963"/>
      <c r="G38" s="862"/>
      <c r="H38" s="863"/>
      <c r="I38" s="951"/>
      <c r="J38" s="950"/>
      <c r="K38" s="863"/>
      <c r="L38" s="951"/>
      <c r="M38" s="1041"/>
      <c r="N38" s="1042"/>
      <c r="O38" s="1042"/>
      <c r="P38" s="1042"/>
      <c r="Q38" s="1031"/>
      <c r="R38" s="1032"/>
    </row>
    <row r="39" spans="1:33">
      <c r="A39" s="855">
        <v>130</v>
      </c>
      <c r="B39" s="855">
        <v>100</v>
      </c>
      <c r="C39" s="856">
        <v>0.1</v>
      </c>
      <c r="D39" s="857">
        <f t="shared" si="3"/>
        <v>10</v>
      </c>
      <c r="E39" s="960">
        <v>0</v>
      </c>
      <c r="F39" s="963"/>
      <c r="G39" s="862"/>
      <c r="H39" s="863"/>
      <c r="I39" s="951"/>
      <c r="J39" s="950"/>
      <c r="K39" s="863"/>
      <c r="L39" s="951"/>
      <c r="M39" s="1041"/>
      <c r="N39" s="1042"/>
      <c r="O39" s="1042"/>
      <c r="P39" s="1042"/>
      <c r="Q39" s="1031"/>
      <c r="R39" s="1032"/>
    </row>
    <row r="40" spans="1:33">
      <c r="A40" s="654">
        <v>80</v>
      </c>
      <c r="B40" s="654">
        <v>200</v>
      </c>
      <c r="C40" s="655">
        <v>0.01</v>
      </c>
      <c r="D40" s="653">
        <f t="shared" ref="D40:D45" si="4">IF(LFMAS="mAs",B40*C40,0)</f>
        <v>2</v>
      </c>
      <c r="E40" s="958">
        <v>0</v>
      </c>
      <c r="F40" s="961"/>
      <c r="G40" s="661"/>
      <c r="H40" s="662"/>
      <c r="I40" s="945"/>
      <c r="J40" s="949"/>
      <c r="K40" s="662"/>
      <c r="L40" s="945"/>
      <c r="M40" s="1039"/>
      <c r="N40" s="1040"/>
      <c r="O40" s="1040"/>
      <c r="P40" s="1040"/>
      <c r="Q40" s="1029"/>
      <c r="R40" s="1030"/>
    </row>
    <row r="41" spans="1:33">
      <c r="A41" s="654">
        <v>80</v>
      </c>
      <c r="B41" s="654">
        <v>200</v>
      </c>
      <c r="C41" s="655">
        <v>0.02</v>
      </c>
      <c r="D41" s="653">
        <f t="shared" si="4"/>
        <v>4</v>
      </c>
      <c r="E41" s="958">
        <v>0</v>
      </c>
      <c r="F41" s="961"/>
      <c r="G41" s="661"/>
      <c r="H41" s="662"/>
      <c r="I41" s="945"/>
      <c r="J41" s="949"/>
      <c r="K41" s="662"/>
      <c r="L41" s="945"/>
      <c r="M41" s="1039"/>
      <c r="N41" s="1040"/>
      <c r="O41" s="1040"/>
      <c r="P41" s="1040"/>
      <c r="Q41" s="1029"/>
      <c r="R41" s="1030"/>
    </row>
    <row r="42" spans="1:33">
      <c r="A42" s="654">
        <v>80</v>
      </c>
      <c r="B42" s="654">
        <v>200</v>
      </c>
      <c r="C42" s="655">
        <v>0.04</v>
      </c>
      <c r="D42" s="653">
        <f t="shared" si="4"/>
        <v>8</v>
      </c>
      <c r="E42" s="958">
        <v>0</v>
      </c>
      <c r="F42" s="961"/>
      <c r="G42" s="661"/>
      <c r="H42" s="662"/>
      <c r="I42" s="945"/>
      <c r="J42" s="949"/>
      <c r="K42" s="662"/>
      <c r="L42" s="945"/>
      <c r="M42" s="1039"/>
      <c r="N42" s="1040"/>
      <c r="O42" s="1040"/>
      <c r="P42" s="1040"/>
      <c r="Q42" s="1029"/>
      <c r="R42" s="1030"/>
    </row>
    <row r="43" spans="1:33">
      <c r="A43" s="654">
        <v>80</v>
      </c>
      <c r="B43" s="654">
        <v>200</v>
      </c>
      <c r="C43" s="655">
        <v>0.1</v>
      </c>
      <c r="D43" s="653">
        <f t="shared" si="4"/>
        <v>20</v>
      </c>
      <c r="E43" s="958">
        <v>0</v>
      </c>
      <c r="F43" s="961"/>
      <c r="G43" s="661"/>
      <c r="H43" s="662"/>
      <c r="I43" s="945"/>
      <c r="J43" s="949"/>
      <c r="K43" s="662"/>
      <c r="L43" s="945"/>
      <c r="M43" s="1039"/>
      <c r="N43" s="1040"/>
      <c r="O43" s="1040"/>
      <c r="P43" s="1040"/>
      <c r="Q43" s="1029"/>
      <c r="R43" s="1030"/>
    </row>
    <row r="44" spans="1:33">
      <c r="A44" s="654">
        <v>80</v>
      </c>
      <c r="B44" s="654">
        <v>200</v>
      </c>
      <c r="C44" s="655">
        <v>0.25</v>
      </c>
      <c r="D44" s="653">
        <f t="shared" si="4"/>
        <v>50</v>
      </c>
      <c r="E44" s="958">
        <v>0</v>
      </c>
      <c r="F44" s="961"/>
      <c r="G44" s="661"/>
      <c r="H44" s="662"/>
      <c r="I44" s="945"/>
      <c r="J44" s="949"/>
      <c r="K44" s="662"/>
      <c r="L44" s="945"/>
      <c r="M44" s="1039"/>
      <c r="N44" s="1040"/>
      <c r="O44" s="1040"/>
      <c r="P44" s="1040"/>
      <c r="Q44" s="1029"/>
      <c r="R44" s="1030"/>
    </row>
    <row r="45" spans="1:33" ht="16.5" thickBot="1">
      <c r="A45" s="654">
        <v>80</v>
      </c>
      <c r="B45" s="654">
        <v>200</v>
      </c>
      <c r="C45" s="655">
        <v>0.4</v>
      </c>
      <c r="D45" s="653">
        <f t="shared" si="4"/>
        <v>80</v>
      </c>
      <c r="E45" s="958">
        <v>0</v>
      </c>
      <c r="F45" s="964"/>
      <c r="G45" s="957"/>
      <c r="H45" s="953"/>
      <c r="I45" s="954"/>
      <c r="J45" s="952"/>
      <c r="K45" s="953"/>
      <c r="L45" s="954"/>
      <c r="M45" s="1043"/>
      <c r="N45" s="1044"/>
      <c r="O45" s="1044"/>
      <c r="P45" s="1044"/>
      <c r="Q45" s="1033"/>
      <c r="R45" s="1034"/>
    </row>
    <row r="47" spans="1:33">
      <c r="A47" s="328"/>
      <c r="B47" s="328"/>
      <c r="C47" s="328"/>
      <c r="D47" s="328"/>
      <c r="E47" s="328"/>
      <c r="F47" s="560"/>
      <c r="G47" s="560"/>
      <c r="H47" s="560"/>
      <c r="I47" s="560"/>
      <c r="J47" s="560"/>
      <c r="K47" s="242"/>
      <c r="R47" s="443"/>
      <c r="W47" s="1"/>
      <c r="X47" s="1"/>
      <c r="Y47" s="1"/>
      <c r="Z47" s="1"/>
      <c r="AA47" s="1"/>
      <c r="AB47" s="448" t="s">
        <v>273</v>
      </c>
      <c r="AC47" s="1"/>
      <c r="AD47" s="1" t="s">
        <v>426</v>
      </c>
      <c r="AE47" s="853" t="s">
        <v>605</v>
      </c>
      <c r="AF47" s="758"/>
      <c r="AG47" s="868" t="s">
        <v>615</v>
      </c>
    </row>
    <row r="48" spans="1:33" ht="16.5" thickBot="1">
      <c r="A48" s="652" t="s">
        <v>48</v>
      </c>
      <c r="B48" s="512" t="s">
        <v>49</v>
      </c>
      <c r="C48" s="512" t="s">
        <v>50</v>
      </c>
      <c r="D48" s="512" t="s">
        <v>372</v>
      </c>
      <c r="E48" s="512" t="s">
        <v>51</v>
      </c>
      <c r="F48" s="560" t="s">
        <v>52</v>
      </c>
      <c r="G48" s="560" t="s">
        <v>53</v>
      </c>
      <c r="H48" s="560" t="s">
        <v>54</v>
      </c>
      <c r="I48" s="560" t="s">
        <v>55</v>
      </c>
      <c r="J48" s="560" t="s">
        <v>56</v>
      </c>
      <c r="K48" s="512" t="s">
        <v>57</v>
      </c>
      <c r="L48" s="511" t="s">
        <v>58</v>
      </c>
      <c r="M48" s="511" t="s">
        <v>59</v>
      </c>
      <c r="N48" s="511" t="s">
        <v>60</v>
      </c>
      <c r="O48" s="511" t="s">
        <v>61</v>
      </c>
      <c r="P48" s="511" t="s">
        <v>62</v>
      </c>
      <c r="Q48" s="511" t="s">
        <v>63</v>
      </c>
      <c r="R48" s="511" t="s">
        <v>64</v>
      </c>
      <c r="S48" s="511" t="s">
        <v>420</v>
      </c>
      <c r="T48" s="511" t="s">
        <v>65</v>
      </c>
      <c r="U48" s="511" t="s">
        <v>66</v>
      </c>
      <c r="V48" s="511" t="s">
        <v>67</v>
      </c>
      <c r="W48" s="511" t="s">
        <v>68</v>
      </c>
      <c r="X48" s="511" t="s">
        <v>69</v>
      </c>
      <c r="Y48" s="509" t="s">
        <v>70</v>
      </c>
      <c r="Z48" s="509" t="s">
        <v>71</v>
      </c>
      <c r="AA48" s="509" t="s">
        <v>72</v>
      </c>
      <c r="AB48" s="976" t="s">
        <v>651</v>
      </c>
      <c r="AC48" s="976" t="s">
        <v>650</v>
      </c>
      <c r="AD48" s="509"/>
      <c r="AE48" s="852" t="s">
        <v>606</v>
      </c>
      <c r="AF48" s="794"/>
      <c r="AG48" s="868" t="s">
        <v>616</v>
      </c>
    </row>
    <row r="49" spans="1:32" ht="17.25" thickTop="1" thickBot="1">
      <c r="A49" s="982" t="s">
        <v>74</v>
      </c>
      <c r="B49" s="980">
        <f>Tables!A4</f>
        <v>60</v>
      </c>
      <c r="C49" s="980">
        <f>Tables!B4</f>
        <v>400</v>
      </c>
      <c r="D49" s="981">
        <f>Tables!C4</f>
        <v>0.05</v>
      </c>
      <c r="E49" s="982">
        <f>Tables!D4</f>
        <v>20</v>
      </c>
      <c r="F49" s="992" t="s">
        <v>24</v>
      </c>
      <c r="G49" s="992">
        <f>Tables!E4</f>
        <v>0</v>
      </c>
      <c r="H49" s="992" t="s">
        <v>75</v>
      </c>
      <c r="I49" s="993">
        <v>100</v>
      </c>
      <c r="J49" s="992" t="s">
        <v>435</v>
      </c>
      <c r="K49" s="982">
        <v>1</v>
      </c>
      <c r="L49" s="994" t="s">
        <v>76</v>
      </c>
      <c r="M49" s="994" t="s">
        <v>77</v>
      </c>
      <c r="N49" s="995">
        <v>0</v>
      </c>
      <c r="O49" s="995">
        <v>0</v>
      </c>
      <c r="P49" s="994" t="s">
        <v>78</v>
      </c>
      <c r="Q49" s="994"/>
      <c r="R49" s="995">
        <v>0</v>
      </c>
      <c r="S49" s="995">
        <v>1</v>
      </c>
      <c r="T49" s="995">
        <v>0</v>
      </c>
      <c r="U49" s="995">
        <v>0</v>
      </c>
      <c r="V49" s="995">
        <v>0</v>
      </c>
      <c r="W49" s="995"/>
      <c r="X49" s="996"/>
      <c r="Y49" s="1045"/>
      <c r="Z49" s="1000" t="str">
        <f>IF(Tables!F4="","",Tables!F4)</f>
        <v/>
      </c>
      <c r="AA49" s="1000" t="str">
        <f>IF(OR(Tables!$A$1="",AND(Tables!G4="",Tables!L4="",Tables!M4="")),"",CHOOSE(Tables!$A$1,Tables!G4,Tables!L4,Tables!M4))</f>
        <v/>
      </c>
      <c r="AB49" s="1000" t="str">
        <f>IF(OR(Tables!$A$1="",AND(Tables!H4="",Tables!K4="",Tables!N4="")),"",CHOOSE(Tables!$A$1,Tables!H4,Tables!K4,Tables!N4/1000))</f>
        <v/>
      </c>
      <c r="AC49" s="1000" t="str">
        <f>IF(OR(Tables!$A$1="",AND(Tables!I4="",Tables!J4="",Tables!O4="")),"",CHOOSE(Tables!$A$1,Tables!I4,Tables!J4,Tables!O4))</f>
        <v/>
      </c>
      <c r="AD49" s="997"/>
      <c r="AE49" s="999" t="s">
        <v>683</v>
      </c>
      <c r="AF49" s="851" t="s">
        <v>611</v>
      </c>
    </row>
    <row r="50" spans="1:32" ht="16.5" thickTop="1">
      <c r="A50" s="653" t="s">
        <v>74</v>
      </c>
      <c r="B50" s="654">
        <f>Tables!A5</f>
        <v>60</v>
      </c>
      <c r="C50" s="654">
        <f>Tables!B5</f>
        <v>400</v>
      </c>
      <c r="D50" s="1056">
        <f>Tables!C5</f>
        <v>0.05</v>
      </c>
      <c r="E50" s="653">
        <f>Tables!D5</f>
        <v>20</v>
      </c>
      <c r="F50" s="653" t="s">
        <v>24</v>
      </c>
      <c r="G50" s="653">
        <f>Tables!E5</f>
        <v>0</v>
      </c>
      <c r="H50" s="653" t="s">
        <v>75</v>
      </c>
      <c r="I50" s="653">
        <v>100</v>
      </c>
      <c r="J50" s="653" t="s">
        <v>435</v>
      </c>
      <c r="K50" s="653">
        <v>1</v>
      </c>
      <c r="L50" s="653" t="s">
        <v>76</v>
      </c>
      <c r="M50" s="653" t="s">
        <v>77</v>
      </c>
      <c r="N50" s="654">
        <v>0</v>
      </c>
      <c r="O50" s="654">
        <v>0</v>
      </c>
      <c r="P50" s="653" t="s">
        <v>78</v>
      </c>
      <c r="Q50" s="653"/>
      <c r="R50" s="654">
        <v>0</v>
      </c>
      <c r="S50" s="654">
        <v>0</v>
      </c>
      <c r="T50" s="654">
        <v>1</v>
      </c>
      <c r="U50" s="654">
        <v>0</v>
      </c>
      <c r="V50" s="654">
        <v>0</v>
      </c>
      <c r="W50" s="653"/>
      <c r="X50" s="653"/>
      <c r="Y50" s="1057"/>
      <c r="Z50" s="1057" t="str">
        <f>IF(Tables!F5="","",Tables!F5)</f>
        <v/>
      </c>
      <c r="AA50" s="1057" t="str">
        <f>IF(OR(Tables!$A$1="",AND(Tables!G5="",Tables!L5="",Tables!M5="")),"",CHOOSE(Tables!$A$1,Tables!G5,Tables!L5,Tables!M5))</f>
        <v/>
      </c>
      <c r="AB50" s="1057" t="str">
        <f>IF(OR(Tables!$A$1="",AND(Tables!H5="",Tables!K5="",Tables!N5="")),"",CHOOSE(Tables!$A$1,Tables!H5,Tables!K5,Tables!N5/1000))</f>
        <v/>
      </c>
      <c r="AC50" s="1057" t="str">
        <f>IF(OR(Tables!$A$1="",AND(Tables!I5="",Tables!J5="",Tables!O5="")),"",CHOOSE(Tables!$A$1,Tables!I5,Tables!J5,Tables!O5))</f>
        <v/>
      </c>
      <c r="AD50" s="653"/>
      <c r="AE50" s="999" t="s">
        <v>683</v>
      </c>
    </row>
    <row r="51" spans="1:32">
      <c r="A51" s="653" t="s">
        <v>74</v>
      </c>
      <c r="B51" s="654">
        <f>Tables!A6</f>
        <v>80</v>
      </c>
      <c r="C51" s="654">
        <f>Tables!B6</f>
        <v>400</v>
      </c>
      <c r="D51" s="655">
        <f>Tables!C6</f>
        <v>0.05</v>
      </c>
      <c r="E51" s="653">
        <f>Tables!D6</f>
        <v>20</v>
      </c>
      <c r="F51" s="656" t="s">
        <v>25</v>
      </c>
      <c r="G51" s="656">
        <f>Tables!E6</f>
        <v>0</v>
      </c>
      <c r="H51" s="656" t="s">
        <v>75</v>
      </c>
      <c r="I51" s="657">
        <v>100</v>
      </c>
      <c r="J51" s="656" t="s">
        <v>435</v>
      </c>
      <c r="K51" s="653">
        <v>1</v>
      </c>
      <c r="L51" s="658" t="s">
        <v>76</v>
      </c>
      <c r="M51" s="658" t="s">
        <v>77</v>
      </c>
      <c r="N51" s="659">
        <v>0</v>
      </c>
      <c r="O51" s="659">
        <v>0</v>
      </c>
      <c r="P51" s="658" t="s">
        <v>78</v>
      </c>
      <c r="Q51" s="658"/>
      <c r="R51" s="659">
        <v>1</v>
      </c>
      <c r="S51" s="659">
        <v>1</v>
      </c>
      <c r="T51" s="659">
        <v>0</v>
      </c>
      <c r="U51" s="659">
        <v>0</v>
      </c>
      <c r="V51" s="659">
        <v>1</v>
      </c>
      <c r="W51" s="659"/>
      <c r="X51" s="660"/>
      <c r="Y51" s="1046"/>
      <c r="Z51" s="1001" t="str">
        <f>IF(Tables!F6="","",Tables!F6)</f>
        <v/>
      </c>
      <c r="AA51" s="1001" t="str">
        <f>IF(OR(Tables!$A$1="",AND(Tables!G6="",Tables!L6="",Tables!M6="")),"",CHOOSE(Tables!$A$1,Tables!G6,Tables!L6,Tables!M6))</f>
        <v/>
      </c>
      <c r="AB51" s="1001" t="str">
        <f>IF(OR(Tables!$A$1="",AND(Tables!H6="",Tables!K6="",Tables!N6="")),"",CHOOSE(Tables!$A$1,Tables!H6,Tables!K6,Tables!N6/1000))</f>
        <v/>
      </c>
      <c r="AC51" s="1001" t="str">
        <f>IF(OR(Tables!$A$1="",AND(Tables!I6="",Tables!J6="",Tables!O6="")),"",CHOOSE(Tables!$A$1,Tables!I6,Tables!J6,Tables!O6))</f>
        <v/>
      </c>
      <c r="AD51" s="21"/>
      <c r="AE51" s="873" t="s">
        <v>619</v>
      </c>
    </row>
    <row r="52" spans="1:32">
      <c r="A52" s="653" t="s">
        <v>74</v>
      </c>
      <c r="B52" s="654">
        <f>Tables!A7</f>
        <v>80</v>
      </c>
      <c r="C52" s="654">
        <f>Tables!B7</f>
        <v>400</v>
      </c>
      <c r="D52" s="655">
        <f>Tables!C7</f>
        <v>0.05</v>
      </c>
      <c r="E52" s="653">
        <f>Tables!D7</f>
        <v>20</v>
      </c>
      <c r="F52" s="656" t="s">
        <v>25</v>
      </c>
      <c r="G52" s="656">
        <f>Tables!E7</f>
        <v>0</v>
      </c>
      <c r="H52" s="656" t="s">
        <v>75</v>
      </c>
      <c r="I52" s="657">
        <v>100</v>
      </c>
      <c r="J52" s="656" t="s">
        <v>435</v>
      </c>
      <c r="K52" s="653">
        <v>1</v>
      </c>
      <c r="L52" s="658" t="s">
        <v>76</v>
      </c>
      <c r="M52" s="658" t="s">
        <v>77</v>
      </c>
      <c r="N52" s="659">
        <v>0</v>
      </c>
      <c r="O52" s="659">
        <v>0</v>
      </c>
      <c r="P52" s="658" t="s">
        <v>78</v>
      </c>
      <c r="Q52" s="658"/>
      <c r="R52" s="659">
        <v>0</v>
      </c>
      <c r="S52" s="659">
        <v>0</v>
      </c>
      <c r="T52" s="659">
        <v>0</v>
      </c>
      <c r="U52" s="659">
        <v>0</v>
      </c>
      <c r="V52" s="659">
        <v>1</v>
      </c>
      <c r="W52" s="659"/>
      <c r="X52" s="660"/>
      <c r="Y52" s="1046"/>
      <c r="Z52" s="1001" t="str">
        <f>IF(Tables!F7="","",Tables!F7)</f>
        <v/>
      </c>
      <c r="AA52" s="1001" t="str">
        <f>IF(OR(Tables!$A$1="",AND(Tables!G7="",Tables!L7="",Tables!M7="")),"",CHOOSE(Tables!$A$1,Tables!G7,Tables!L7,Tables!M7))</f>
        <v/>
      </c>
      <c r="AB52" s="1001" t="str">
        <f>IF(OR(Tables!$A$1="",AND(Tables!H7="",Tables!K7="",Tables!N7="")),"",CHOOSE(Tables!$A$1,Tables!H7,Tables!K7,Tables!N7/1000))</f>
        <v/>
      </c>
      <c r="AC52" s="1001" t="str">
        <f>IF(OR(Tables!$A$1="",AND(Tables!I7="",Tables!J7="",Tables!O7="")),"",CHOOSE(Tables!$A$1,Tables!I7,Tables!J7,Tables!O7))</f>
        <v/>
      </c>
      <c r="AD52" s="21"/>
      <c r="AE52" s="873" t="s">
        <v>609</v>
      </c>
    </row>
    <row r="53" spans="1:32">
      <c r="A53" s="653" t="s">
        <v>74</v>
      </c>
      <c r="B53" s="654">
        <f>Tables!A8</f>
        <v>80</v>
      </c>
      <c r="C53" s="654">
        <f>Tables!B8</f>
        <v>400</v>
      </c>
      <c r="D53" s="655">
        <f>Tables!C8</f>
        <v>0.05</v>
      </c>
      <c r="E53" s="653">
        <f>Tables!D8</f>
        <v>20</v>
      </c>
      <c r="F53" s="656" t="s">
        <v>25</v>
      </c>
      <c r="G53" s="656">
        <f>Tables!E8</f>
        <v>0</v>
      </c>
      <c r="H53" s="656" t="s">
        <v>75</v>
      </c>
      <c r="I53" s="657">
        <v>100</v>
      </c>
      <c r="J53" s="656" t="s">
        <v>435</v>
      </c>
      <c r="K53" s="653">
        <v>1</v>
      </c>
      <c r="L53" s="658" t="s">
        <v>76</v>
      </c>
      <c r="M53" s="658" t="s">
        <v>77</v>
      </c>
      <c r="N53" s="659">
        <v>0</v>
      </c>
      <c r="O53" s="659">
        <v>1</v>
      </c>
      <c r="P53" s="658" t="s">
        <v>78</v>
      </c>
      <c r="Q53" s="658"/>
      <c r="R53" s="659">
        <v>0</v>
      </c>
      <c r="S53" s="659">
        <v>0</v>
      </c>
      <c r="T53" s="659">
        <v>0</v>
      </c>
      <c r="U53" s="659">
        <v>0</v>
      </c>
      <c r="V53" s="659">
        <v>1</v>
      </c>
      <c r="W53" s="659"/>
      <c r="X53" s="660"/>
      <c r="Y53" s="1046"/>
      <c r="Z53" s="1001" t="str">
        <f>IF(Tables!F8="","",Tables!F8)</f>
        <v/>
      </c>
      <c r="AA53" s="1001" t="str">
        <f>IF(OR(Tables!$A$1="",AND(Tables!G8="",Tables!L8="",Tables!M8="")),"",CHOOSE(Tables!$A$1,Tables!G8,Tables!L8,Tables!M8))</f>
        <v/>
      </c>
      <c r="AB53" s="1001" t="str">
        <f>IF(OR(Tables!$A$1="",AND(Tables!H8="",Tables!K8="",Tables!N8="")),"",CHOOSE(Tables!$A$1,Tables!H8,Tables!K8,Tables!N8/1000))</f>
        <v/>
      </c>
      <c r="AC53" s="1001" t="str">
        <f>IF(OR(Tables!$A$1="",AND(Tables!I8="",Tables!J8="",Tables!O8="")),"",CHOOSE(Tables!$A$1,Tables!I8,Tables!J8,Tables!O8))</f>
        <v/>
      </c>
      <c r="AD53" s="21"/>
      <c r="AE53" s="873" t="s">
        <v>609</v>
      </c>
    </row>
    <row r="54" spans="1:32">
      <c r="A54" s="749" t="s">
        <v>74</v>
      </c>
      <c r="B54" s="750">
        <f>Tables!A9</f>
        <v>80</v>
      </c>
      <c r="C54" s="750">
        <f>Tables!B9</f>
        <v>400</v>
      </c>
      <c r="D54" s="751">
        <f>Tables!C9</f>
        <v>0.05</v>
      </c>
      <c r="E54" s="749">
        <f>Tables!D9</f>
        <v>20</v>
      </c>
      <c r="F54" s="752" t="s">
        <v>25</v>
      </c>
      <c r="G54" s="753">
        <f>Tables!E9</f>
        <v>0</v>
      </c>
      <c r="H54" s="753" t="s">
        <v>75</v>
      </c>
      <c r="I54" s="754">
        <v>100</v>
      </c>
      <c r="J54" s="753" t="s">
        <v>435</v>
      </c>
      <c r="K54" s="749">
        <v>1</v>
      </c>
      <c r="L54" s="749" t="s">
        <v>76</v>
      </c>
      <c r="M54" s="749" t="s">
        <v>77</v>
      </c>
      <c r="N54" s="750">
        <v>0</v>
      </c>
      <c r="O54" s="750">
        <v>0</v>
      </c>
      <c r="P54" s="749" t="s">
        <v>78</v>
      </c>
      <c r="Q54" s="749"/>
      <c r="R54" s="750">
        <v>0</v>
      </c>
      <c r="S54" s="750">
        <v>0</v>
      </c>
      <c r="T54" s="750">
        <v>1</v>
      </c>
      <c r="U54" s="750">
        <v>0</v>
      </c>
      <c r="V54" s="750">
        <v>1</v>
      </c>
      <c r="W54" s="750"/>
      <c r="X54" s="755"/>
      <c r="Y54" s="1047"/>
      <c r="Z54" s="1002" t="str">
        <f>IF(Tables!F9="","",Tables!F9)</f>
        <v/>
      </c>
      <c r="AA54" s="1002" t="str">
        <f>IF(OR(Tables!$A$1="",AND(Tables!G9="",Tables!L9="",Tables!M9="")),"",CHOOSE(Tables!$A$1,Tables!G9,Tables!L9,Tables!M9))</f>
        <v/>
      </c>
      <c r="AB54" s="1002" t="str">
        <f>IF(OR(Tables!$A$1="",AND(Tables!H9="",Tables!K9="",Tables!N9="")),"",CHOOSE(Tables!$A$1,Tables!H9,Tables!K9,Tables!N9/1000))</f>
        <v/>
      </c>
      <c r="AC54" s="1002" t="str">
        <f>IF(OR(Tables!$A$1="",AND(Tables!I9="",Tables!J9="",Tables!O9="")),"",CHOOSE(Tables!$A$1,Tables!I9,Tables!J9,Tables!O9))</f>
        <v/>
      </c>
      <c r="AD54" s="759"/>
      <c r="AE54" s="872" t="s">
        <v>618</v>
      </c>
    </row>
    <row r="55" spans="1:32">
      <c r="A55" s="749" t="s">
        <v>74</v>
      </c>
      <c r="B55" s="750">
        <f>Tables!A10</f>
        <v>80</v>
      </c>
      <c r="C55" s="750">
        <f>Tables!B10</f>
        <v>400</v>
      </c>
      <c r="D55" s="751">
        <f>Tables!C10</f>
        <v>0.05</v>
      </c>
      <c r="E55" s="749">
        <f>Tables!D10</f>
        <v>20</v>
      </c>
      <c r="F55" s="752" t="s">
        <v>25</v>
      </c>
      <c r="G55" s="753">
        <f>Tables!E10</f>
        <v>0</v>
      </c>
      <c r="H55" s="753" t="s">
        <v>75</v>
      </c>
      <c r="I55" s="754">
        <v>100</v>
      </c>
      <c r="J55" s="753" t="s">
        <v>435</v>
      </c>
      <c r="K55" s="749">
        <v>1</v>
      </c>
      <c r="L55" s="749" t="s">
        <v>76</v>
      </c>
      <c r="M55" s="749" t="s">
        <v>77</v>
      </c>
      <c r="N55" s="750">
        <v>0</v>
      </c>
      <c r="O55" s="750">
        <v>0</v>
      </c>
      <c r="P55" s="749" t="s">
        <v>78</v>
      </c>
      <c r="Q55" s="749"/>
      <c r="R55" s="750">
        <v>0</v>
      </c>
      <c r="S55" s="750">
        <v>0</v>
      </c>
      <c r="T55" s="750">
        <v>1</v>
      </c>
      <c r="U55" s="750">
        <v>0</v>
      </c>
      <c r="V55" s="750">
        <v>1</v>
      </c>
      <c r="W55" s="750"/>
      <c r="X55" s="755"/>
      <c r="Y55" s="1047"/>
      <c r="Z55" s="1002" t="str">
        <f>IF(Tables!F10="","",Tables!F10)</f>
        <v/>
      </c>
      <c r="AA55" s="1002" t="str">
        <f>IF(OR(Tables!$A$1="",AND(Tables!G10="",Tables!L10="",Tables!M10="")),"",CHOOSE(Tables!$A$1,Tables!G10,Tables!L10,Tables!M10))</f>
        <v/>
      </c>
      <c r="AB55" s="1002" t="str">
        <f>IF(OR(Tables!$A$1="",AND(Tables!H10="",Tables!K10="",Tables!N10="")),"",CHOOSE(Tables!$A$1,Tables!H10,Tables!K10,Tables!N10/1000))</f>
        <v/>
      </c>
      <c r="AC55" s="1002" t="str">
        <f>IF(OR(Tables!$A$1="",AND(Tables!I10="",Tables!J10="",Tables!O10="")),"",CHOOSE(Tables!$A$1,Tables!I10,Tables!J10,Tables!O10))</f>
        <v/>
      </c>
      <c r="AD55" s="759"/>
      <c r="AE55" s="872" t="s">
        <v>618</v>
      </c>
    </row>
    <row r="56" spans="1:32">
      <c r="A56" s="749" t="s">
        <v>74</v>
      </c>
      <c r="B56" s="750">
        <f>Tables!A11</f>
        <v>80</v>
      </c>
      <c r="C56" s="750">
        <f>Tables!B11</f>
        <v>400</v>
      </c>
      <c r="D56" s="751">
        <f>Tables!C11</f>
        <v>0.05</v>
      </c>
      <c r="E56" s="749">
        <f>Tables!D11</f>
        <v>20</v>
      </c>
      <c r="F56" s="752" t="s">
        <v>25</v>
      </c>
      <c r="G56" s="753">
        <f>Tables!E11</f>
        <v>3</v>
      </c>
      <c r="H56" s="753" t="s">
        <v>96</v>
      </c>
      <c r="I56" s="754">
        <v>100</v>
      </c>
      <c r="J56" s="753" t="s">
        <v>435</v>
      </c>
      <c r="K56" s="749">
        <v>1</v>
      </c>
      <c r="L56" s="749" t="s">
        <v>76</v>
      </c>
      <c r="M56" s="749" t="s">
        <v>77</v>
      </c>
      <c r="N56" s="750">
        <v>0</v>
      </c>
      <c r="O56" s="750">
        <v>0</v>
      </c>
      <c r="P56" s="749" t="s">
        <v>78</v>
      </c>
      <c r="Q56" s="749"/>
      <c r="R56" s="750">
        <v>0</v>
      </c>
      <c r="S56" s="750">
        <v>0</v>
      </c>
      <c r="T56" s="750">
        <v>1</v>
      </c>
      <c r="U56" s="750">
        <v>0</v>
      </c>
      <c r="V56" s="750">
        <v>0</v>
      </c>
      <c r="W56" s="750"/>
      <c r="X56" s="755"/>
      <c r="Y56" s="1047"/>
      <c r="Z56" s="1002" t="str">
        <f>IF(Tables!F11="","",Tables!F11)</f>
        <v/>
      </c>
      <c r="AA56" s="1002" t="str">
        <f>IF(OR(Tables!$A$1="",AND(Tables!G11="",Tables!L11="",Tables!M11="")),"",CHOOSE(Tables!$A$1,Tables!G11,Tables!L11,Tables!M11))</f>
        <v/>
      </c>
      <c r="AB56" s="1002" t="str">
        <f>IF(OR(Tables!$A$1="",AND(Tables!H11="",Tables!K11="",Tables!N11="")),"",CHOOSE(Tables!$A$1,Tables!H11,Tables!K11,Tables!N11/1000))</f>
        <v/>
      </c>
      <c r="AC56" s="1002" t="str">
        <f>IF(OR(Tables!$A$1="",AND(Tables!I11="",Tables!J11="",Tables!O11="")),"",CHOOSE(Tables!$A$1,Tables!I11,Tables!J11,Tables!O11))</f>
        <v/>
      </c>
      <c r="AD56" s="759"/>
      <c r="AE56" s="759" t="s">
        <v>209</v>
      </c>
    </row>
    <row r="57" spans="1:32">
      <c r="A57" s="749" t="s">
        <v>74</v>
      </c>
      <c r="B57" s="750">
        <f>Tables!A12</f>
        <v>80</v>
      </c>
      <c r="C57" s="750">
        <f>Tables!B12</f>
        <v>400</v>
      </c>
      <c r="D57" s="751">
        <f>Tables!C12</f>
        <v>0.05</v>
      </c>
      <c r="E57" s="749">
        <f>Tables!D12</f>
        <v>20</v>
      </c>
      <c r="F57" s="752" t="s">
        <v>25</v>
      </c>
      <c r="G57" s="753">
        <f>Tables!E12</f>
        <v>3</v>
      </c>
      <c r="H57" s="753" t="s">
        <v>96</v>
      </c>
      <c r="I57" s="754">
        <v>100</v>
      </c>
      <c r="J57" s="753" t="s">
        <v>435</v>
      </c>
      <c r="K57" s="749">
        <v>1</v>
      </c>
      <c r="L57" s="749" t="s">
        <v>76</v>
      </c>
      <c r="M57" s="749" t="s">
        <v>77</v>
      </c>
      <c r="N57" s="750">
        <v>0</v>
      </c>
      <c r="O57" s="750">
        <v>0</v>
      </c>
      <c r="P57" s="749" t="s">
        <v>78</v>
      </c>
      <c r="Q57" s="749"/>
      <c r="R57" s="750">
        <v>0</v>
      </c>
      <c r="S57" s="750">
        <v>0</v>
      </c>
      <c r="T57" s="750">
        <v>1</v>
      </c>
      <c r="U57" s="750">
        <v>0</v>
      </c>
      <c r="V57" s="750">
        <v>0</v>
      </c>
      <c r="W57" s="750"/>
      <c r="X57" s="755"/>
      <c r="Y57" s="1047"/>
      <c r="Z57" s="1002" t="str">
        <f>IF(Tables!F12="","",Tables!F12)</f>
        <v/>
      </c>
      <c r="AA57" s="1002" t="str">
        <f>IF(OR(Tables!$A$1="",AND(Tables!G12="",Tables!L12="",Tables!M12="")),"",CHOOSE(Tables!$A$1,Tables!G12,Tables!L12,Tables!M12))</f>
        <v/>
      </c>
      <c r="AB57" s="1002" t="str">
        <f>IF(OR(Tables!$A$1="",AND(Tables!H12="",Tables!K12="",Tables!N12="")),"",CHOOSE(Tables!$A$1,Tables!H12,Tables!K12,Tables!N12/1000))</f>
        <v/>
      </c>
      <c r="AC57" s="1002" t="str">
        <f>IF(OR(Tables!$A$1="",AND(Tables!I12="",Tables!J12="",Tables!O12="")),"",CHOOSE(Tables!$A$1,Tables!I12,Tables!J12,Tables!O12))</f>
        <v/>
      </c>
      <c r="AD57" s="759"/>
      <c r="AE57" s="759" t="s">
        <v>209</v>
      </c>
      <c r="AF57" s="851" t="s">
        <v>612</v>
      </c>
    </row>
    <row r="58" spans="1:32">
      <c r="A58" s="749" t="s">
        <v>74</v>
      </c>
      <c r="B58" s="750">
        <f>Tables!A13</f>
        <v>80</v>
      </c>
      <c r="C58" s="750">
        <f>Tables!B13</f>
        <v>400</v>
      </c>
      <c r="D58" s="751">
        <f>Tables!C13</f>
        <v>0.05</v>
      </c>
      <c r="E58" s="749">
        <f>Tables!D13</f>
        <v>20</v>
      </c>
      <c r="F58" s="752" t="s">
        <v>25</v>
      </c>
      <c r="G58" s="753">
        <f>Tables!E13</f>
        <v>3.5</v>
      </c>
      <c r="H58" s="753" t="s">
        <v>96</v>
      </c>
      <c r="I58" s="754">
        <v>100</v>
      </c>
      <c r="J58" s="753" t="s">
        <v>435</v>
      </c>
      <c r="K58" s="749">
        <v>1</v>
      </c>
      <c r="L58" s="749" t="s">
        <v>76</v>
      </c>
      <c r="M58" s="749" t="s">
        <v>77</v>
      </c>
      <c r="N58" s="750">
        <v>0</v>
      </c>
      <c r="O58" s="750">
        <v>0</v>
      </c>
      <c r="P58" s="749" t="s">
        <v>78</v>
      </c>
      <c r="Q58" s="749"/>
      <c r="R58" s="750">
        <v>0</v>
      </c>
      <c r="S58" s="750">
        <v>0</v>
      </c>
      <c r="T58" s="750">
        <v>1</v>
      </c>
      <c r="U58" s="750">
        <v>0</v>
      </c>
      <c r="V58" s="750">
        <v>0</v>
      </c>
      <c r="W58" s="750"/>
      <c r="X58" s="755"/>
      <c r="Y58" s="1047"/>
      <c r="Z58" s="1002" t="str">
        <f>IF(Tables!F13="","",Tables!F13)</f>
        <v/>
      </c>
      <c r="AA58" s="1002" t="str">
        <f>IF(OR(Tables!$A$1="",AND(Tables!G13="",Tables!L13="",Tables!M13="")),"",CHOOSE(Tables!$A$1,Tables!G13,Tables!L13,Tables!M13))</f>
        <v/>
      </c>
      <c r="AB58" s="1002" t="str">
        <f>IF(OR(Tables!$A$1="",AND(Tables!H13="",Tables!K13="",Tables!N13="")),"",CHOOSE(Tables!$A$1,Tables!H13,Tables!K13,Tables!N13/1000))</f>
        <v/>
      </c>
      <c r="AC58" s="1002" t="str">
        <f>IF(OR(Tables!$A$1="",AND(Tables!I13="",Tables!J13="",Tables!O13="")),"",CHOOSE(Tables!$A$1,Tables!I13,Tables!J13,Tables!O13))</f>
        <v/>
      </c>
      <c r="AD58" s="759"/>
      <c r="AE58" s="759" t="s">
        <v>209</v>
      </c>
      <c r="AF58" s="851" t="s">
        <v>617</v>
      </c>
    </row>
    <row r="59" spans="1:32">
      <c r="A59" s="749" t="s">
        <v>74</v>
      </c>
      <c r="B59" s="750">
        <f>Tables!A14</f>
        <v>80</v>
      </c>
      <c r="C59" s="750">
        <f>Tables!B14</f>
        <v>400</v>
      </c>
      <c r="D59" s="751">
        <f>Tables!C14</f>
        <v>0.05</v>
      </c>
      <c r="E59" s="749">
        <f>Tables!D14</f>
        <v>20</v>
      </c>
      <c r="F59" s="752" t="s">
        <v>25</v>
      </c>
      <c r="G59" s="753">
        <f>Tables!E14</f>
        <v>3.5</v>
      </c>
      <c r="H59" s="753" t="s">
        <v>96</v>
      </c>
      <c r="I59" s="754">
        <v>100</v>
      </c>
      <c r="J59" s="753" t="s">
        <v>435</v>
      </c>
      <c r="K59" s="749">
        <v>1</v>
      </c>
      <c r="L59" s="749" t="s">
        <v>76</v>
      </c>
      <c r="M59" s="749" t="s">
        <v>77</v>
      </c>
      <c r="N59" s="750">
        <v>0</v>
      </c>
      <c r="O59" s="750">
        <v>0</v>
      </c>
      <c r="P59" s="749" t="s">
        <v>78</v>
      </c>
      <c r="Q59" s="749"/>
      <c r="R59" s="750">
        <v>0</v>
      </c>
      <c r="S59" s="750">
        <v>0</v>
      </c>
      <c r="T59" s="750">
        <v>1</v>
      </c>
      <c r="U59" s="750">
        <v>0</v>
      </c>
      <c r="V59" s="750">
        <v>0</v>
      </c>
      <c r="W59" s="750"/>
      <c r="X59" s="755"/>
      <c r="Y59" s="1047"/>
      <c r="Z59" s="1002" t="str">
        <f>IF(Tables!F14="","",Tables!F14)</f>
        <v/>
      </c>
      <c r="AA59" s="1002" t="str">
        <f>IF(OR(Tables!$A$1="",AND(Tables!G14="",Tables!L14="",Tables!M14="")),"",CHOOSE(Tables!$A$1,Tables!G14,Tables!L14,Tables!M14))</f>
        <v/>
      </c>
      <c r="AB59" s="1002" t="str">
        <f>IF(OR(Tables!$A$1="",AND(Tables!H14="",Tables!K14="",Tables!N14="")),"",CHOOSE(Tables!$A$1,Tables!H14,Tables!K14,Tables!N14/1000))</f>
        <v/>
      </c>
      <c r="AC59" s="1002" t="str">
        <f>IF(OR(Tables!$A$1="",AND(Tables!I14="",Tables!J14="",Tables!O14="")),"",CHOOSE(Tables!$A$1,Tables!I14,Tables!J14,Tables!O14))</f>
        <v/>
      </c>
      <c r="AD59" s="759"/>
      <c r="AE59" s="759" t="s">
        <v>209</v>
      </c>
      <c r="AF59" s="851" t="s">
        <v>608</v>
      </c>
    </row>
    <row r="60" spans="1:32">
      <c r="A60" s="749" t="s">
        <v>74</v>
      </c>
      <c r="B60" s="750">
        <f>Tables!A15</f>
        <v>80</v>
      </c>
      <c r="C60" s="750">
        <f>Tables!B15</f>
        <v>400</v>
      </c>
      <c r="D60" s="751">
        <f>Tables!C15</f>
        <v>0.05</v>
      </c>
      <c r="E60" s="749">
        <f>Tables!D15</f>
        <v>20</v>
      </c>
      <c r="F60" s="752" t="s">
        <v>25</v>
      </c>
      <c r="G60" s="753">
        <f>Tables!E15</f>
        <v>2.5</v>
      </c>
      <c r="H60" s="753" t="s">
        <v>96</v>
      </c>
      <c r="I60" s="754">
        <v>100</v>
      </c>
      <c r="J60" s="753" t="s">
        <v>435</v>
      </c>
      <c r="K60" s="749">
        <v>1</v>
      </c>
      <c r="L60" s="749" t="s">
        <v>76</v>
      </c>
      <c r="M60" s="749" t="s">
        <v>77</v>
      </c>
      <c r="N60" s="750">
        <v>0</v>
      </c>
      <c r="O60" s="750">
        <v>0</v>
      </c>
      <c r="P60" s="749" t="s">
        <v>78</v>
      </c>
      <c r="Q60" s="749"/>
      <c r="R60" s="750">
        <v>0</v>
      </c>
      <c r="S60" s="750">
        <v>0</v>
      </c>
      <c r="T60" s="750">
        <v>1</v>
      </c>
      <c r="U60" s="750">
        <v>0</v>
      </c>
      <c r="V60" s="750">
        <v>0</v>
      </c>
      <c r="W60" s="750"/>
      <c r="X60" s="755"/>
      <c r="Y60" s="1047"/>
      <c r="Z60" s="1002" t="str">
        <f>IF(Tables!F15="","",Tables!F15)</f>
        <v/>
      </c>
      <c r="AA60" s="1002" t="str">
        <f>IF(OR(Tables!$A$1="",AND(Tables!G15="",Tables!L15="",Tables!M15="")),"",CHOOSE(Tables!$A$1,Tables!G15,Tables!L15,Tables!M15))</f>
        <v/>
      </c>
      <c r="AB60" s="1002" t="str">
        <f>IF(OR(Tables!$A$1="",AND(Tables!H15="",Tables!K15="",Tables!N15="")),"",CHOOSE(Tables!$A$1,Tables!H15,Tables!K15,Tables!N15/1000))</f>
        <v/>
      </c>
      <c r="AC60" s="1002" t="str">
        <f>IF(OR(Tables!$A$1="",AND(Tables!I15="",Tables!J15="",Tables!O15="")),"",CHOOSE(Tables!$A$1,Tables!I15,Tables!J15,Tables!O15))</f>
        <v/>
      </c>
      <c r="AD60" s="759"/>
      <c r="AE60" s="759" t="s">
        <v>209</v>
      </c>
      <c r="AF60" s="851" t="s">
        <v>607</v>
      </c>
    </row>
    <row r="61" spans="1:32">
      <c r="A61" s="749" t="s">
        <v>74</v>
      </c>
      <c r="B61" s="750">
        <f>Tables!A16</f>
        <v>80</v>
      </c>
      <c r="C61" s="750">
        <f>Tables!B16</f>
        <v>400</v>
      </c>
      <c r="D61" s="751">
        <f>Tables!C16</f>
        <v>0.05</v>
      </c>
      <c r="E61" s="749">
        <f>Tables!D16</f>
        <v>20</v>
      </c>
      <c r="F61" s="752" t="s">
        <v>25</v>
      </c>
      <c r="G61" s="753">
        <f>Tables!E16</f>
        <v>2.5</v>
      </c>
      <c r="H61" s="753" t="s">
        <v>96</v>
      </c>
      <c r="I61" s="754">
        <v>100</v>
      </c>
      <c r="J61" s="753" t="s">
        <v>435</v>
      </c>
      <c r="K61" s="749">
        <v>1</v>
      </c>
      <c r="L61" s="749" t="s">
        <v>76</v>
      </c>
      <c r="M61" s="749" t="s">
        <v>77</v>
      </c>
      <c r="N61" s="750">
        <v>0</v>
      </c>
      <c r="O61" s="750">
        <v>0</v>
      </c>
      <c r="P61" s="749" t="s">
        <v>78</v>
      </c>
      <c r="Q61" s="749"/>
      <c r="R61" s="750">
        <v>0</v>
      </c>
      <c r="S61" s="750">
        <v>0</v>
      </c>
      <c r="T61" s="750">
        <v>1</v>
      </c>
      <c r="U61" s="750">
        <v>0</v>
      </c>
      <c r="V61" s="750">
        <v>0</v>
      </c>
      <c r="W61" s="750"/>
      <c r="X61" s="755"/>
      <c r="Y61" s="1047"/>
      <c r="Z61" s="1002" t="str">
        <f>IF(Tables!F16="","",Tables!F16)</f>
        <v/>
      </c>
      <c r="AA61" s="1002" t="str">
        <f>IF(OR(Tables!$A$1="",AND(Tables!G16="",Tables!L16="",Tables!M16="")),"",CHOOSE(Tables!$A$1,Tables!G16,Tables!L16,Tables!M16))</f>
        <v/>
      </c>
      <c r="AB61" s="1002" t="str">
        <f>IF(OR(Tables!$A$1="",AND(Tables!H16="",Tables!K16="",Tables!N16="")),"",CHOOSE(Tables!$A$1,Tables!H16,Tables!K16,Tables!N16/1000))</f>
        <v/>
      </c>
      <c r="AC61" s="1002" t="str">
        <f>IF(OR(Tables!$A$1="",AND(Tables!I16="",Tables!J16="",Tables!O16="")),"",CHOOSE(Tables!$A$1,Tables!I16,Tables!J16,Tables!O16))</f>
        <v/>
      </c>
      <c r="AD61" s="759"/>
      <c r="AE61" s="759" t="s">
        <v>209</v>
      </c>
    </row>
    <row r="62" spans="1:32">
      <c r="A62" s="653" t="s">
        <v>74</v>
      </c>
      <c r="B62" s="654">
        <f>Tables!A17</f>
        <v>80</v>
      </c>
      <c r="C62" s="654">
        <f>Tables!B17</f>
        <v>500</v>
      </c>
      <c r="D62" s="655">
        <f>Tables!C17</f>
        <v>0.05</v>
      </c>
      <c r="E62" s="653">
        <f>Tables!D17</f>
        <v>25</v>
      </c>
      <c r="F62" s="656" t="s">
        <v>25</v>
      </c>
      <c r="G62" s="656">
        <f>Tables!E17</f>
        <v>0</v>
      </c>
      <c r="H62" s="656" t="s">
        <v>75</v>
      </c>
      <c r="I62" s="657">
        <v>100</v>
      </c>
      <c r="J62" s="656" t="s">
        <v>435</v>
      </c>
      <c r="K62" s="653">
        <v>1</v>
      </c>
      <c r="L62" s="658" t="s">
        <v>76</v>
      </c>
      <c r="M62" s="658" t="s">
        <v>77</v>
      </c>
      <c r="N62" s="659">
        <v>0</v>
      </c>
      <c r="O62" s="659">
        <v>0</v>
      </c>
      <c r="P62" s="658" t="s">
        <v>78</v>
      </c>
      <c r="Q62" s="658"/>
      <c r="R62" s="659">
        <v>1</v>
      </c>
      <c r="S62" s="659">
        <v>0</v>
      </c>
      <c r="T62" s="659">
        <v>0</v>
      </c>
      <c r="U62" s="659">
        <v>0</v>
      </c>
      <c r="V62" s="659">
        <v>0</v>
      </c>
      <c r="W62" s="659"/>
      <c r="X62" s="660"/>
      <c r="Y62" s="1046"/>
      <c r="Z62" s="1001" t="str">
        <f>IF(Tables!F17="","",Tables!F17)</f>
        <v/>
      </c>
      <c r="AA62" s="1001" t="str">
        <f>IF(OR(Tables!$A$1="",AND(Tables!G17="",Tables!L17="",Tables!M17="")),"",CHOOSE(Tables!$A$1,Tables!G17,Tables!L17,Tables!M17))</f>
        <v/>
      </c>
      <c r="AB62" s="1001" t="str">
        <f>IF(OR(Tables!$A$1="",AND(Tables!H17="",Tables!K17="",Tables!N17="")),"",CHOOSE(Tables!$A$1,Tables!H17,Tables!K17,Tables!N17/1000))</f>
        <v/>
      </c>
      <c r="AC62" s="1001" t="str">
        <f>IF(OR(Tables!$A$1="",AND(Tables!I17="",Tables!J17="",Tables!O17="")),"",CHOOSE(Tables!$A$1,Tables!I17,Tables!J17,Tables!O17))</f>
        <v/>
      </c>
      <c r="AD62" s="21"/>
      <c r="AE62" s="869" t="s">
        <v>610</v>
      </c>
    </row>
    <row r="63" spans="1:32">
      <c r="A63" s="653" t="s">
        <v>74</v>
      </c>
      <c r="B63" s="654">
        <f>Tables!A18</f>
        <v>80</v>
      </c>
      <c r="C63" s="654">
        <f>Tables!B18</f>
        <v>50</v>
      </c>
      <c r="D63" s="655">
        <f>Tables!C18</f>
        <v>0.05</v>
      </c>
      <c r="E63" s="653">
        <f>Tables!D18</f>
        <v>2.5</v>
      </c>
      <c r="F63" s="656" t="s">
        <v>25</v>
      </c>
      <c r="G63" s="656">
        <f>Tables!E18</f>
        <v>0</v>
      </c>
      <c r="H63" s="656" t="s">
        <v>75</v>
      </c>
      <c r="I63" s="657">
        <v>100</v>
      </c>
      <c r="J63" s="656" t="s">
        <v>435</v>
      </c>
      <c r="K63" s="653">
        <v>1</v>
      </c>
      <c r="L63" s="658" t="s">
        <v>270</v>
      </c>
      <c r="M63" s="658" t="s">
        <v>77</v>
      </c>
      <c r="N63" s="659">
        <v>0</v>
      </c>
      <c r="O63" s="659">
        <v>0</v>
      </c>
      <c r="P63" s="658" t="s">
        <v>78</v>
      </c>
      <c r="Q63" s="658"/>
      <c r="R63" s="659">
        <v>1</v>
      </c>
      <c r="S63" s="659">
        <v>0</v>
      </c>
      <c r="T63" s="659">
        <v>0</v>
      </c>
      <c r="U63" s="659">
        <v>0</v>
      </c>
      <c r="V63" s="659">
        <v>0</v>
      </c>
      <c r="W63" s="659"/>
      <c r="X63" s="660"/>
      <c r="Y63" s="1046"/>
      <c r="Z63" s="1001" t="str">
        <f>IF(Tables!F18="","",Tables!F18)</f>
        <v/>
      </c>
      <c r="AA63" s="1001" t="str">
        <f>IF(OR(Tables!$A$1="",AND(Tables!G18="",Tables!L18="",Tables!M18="")),"",CHOOSE(Tables!$A$1,Tables!G18,Tables!L18,Tables!M18))</f>
        <v/>
      </c>
      <c r="AB63" s="1001" t="str">
        <f>IF(OR(Tables!$A$1="",AND(Tables!H18="",Tables!K18="",Tables!N18="")),"",CHOOSE(Tables!$A$1,Tables!H18,Tables!K18,Tables!N18/1000))</f>
        <v/>
      </c>
      <c r="AC63" s="1001" t="str">
        <f>IF(OR(Tables!$A$1="",AND(Tables!I18="",Tables!J18="",Tables!O18="")),"",CHOOSE(Tables!$A$1,Tables!I18,Tables!J18,Tables!O18))</f>
        <v/>
      </c>
      <c r="AD63" s="21"/>
      <c r="AE63" s="869" t="s">
        <v>610</v>
      </c>
      <c r="AF63" s="851"/>
    </row>
    <row r="64" spans="1:32">
      <c r="A64" s="653" t="s">
        <v>74</v>
      </c>
      <c r="B64" s="654">
        <f>Tables!A19</f>
        <v>80</v>
      </c>
      <c r="C64" s="654">
        <f>Tables!B19</f>
        <v>800</v>
      </c>
      <c r="D64" s="655">
        <f>Tables!C19</f>
        <v>0.05</v>
      </c>
      <c r="E64" s="653">
        <f>Tables!D19</f>
        <v>40</v>
      </c>
      <c r="F64" s="656" t="s">
        <v>25</v>
      </c>
      <c r="G64" s="656">
        <f>Tables!E19</f>
        <v>0</v>
      </c>
      <c r="H64" s="656" t="s">
        <v>75</v>
      </c>
      <c r="I64" s="657">
        <v>100</v>
      </c>
      <c r="J64" s="656" t="s">
        <v>435</v>
      </c>
      <c r="K64" s="653">
        <v>1</v>
      </c>
      <c r="L64" s="658" t="s">
        <v>76</v>
      </c>
      <c r="M64" s="658" t="s">
        <v>77</v>
      </c>
      <c r="N64" s="659">
        <v>0</v>
      </c>
      <c r="O64" s="659">
        <v>0</v>
      </c>
      <c r="P64" s="658" t="s">
        <v>78</v>
      </c>
      <c r="Q64" s="658"/>
      <c r="R64" s="659">
        <v>1</v>
      </c>
      <c r="S64" s="659">
        <v>0</v>
      </c>
      <c r="T64" s="659">
        <v>0</v>
      </c>
      <c r="U64" s="659">
        <v>0</v>
      </c>
      <c r="V64" s="659">
        <v>0</v>
      </c>
      <c r="W64" s="659"/>
      <c r="X64" s="660"/>
      <c r="Y64" s="1046"/>
      <c r="Z64" s="1001" t="str">
        <f>IF(Tables!F19="","",Tables!F19)</f>
        <v/>
      </c>
      <c r="AA64" s="1001" t="str">
        <f>IF(OR(Tables!$A$1="",AND(Tables!G19="",Tables!L19="",Tables!M19="")),"",CHOOSE(Tables!$A$1,Tables!G19,Tables!L19,Tables!M19))</f>
        <v/>
      </c>
      <c r="AB64" s="1001" t="str">
        <f>IF(OR(Tables!$A$1="",AND(Tables!H19="",Tables!K19="",Tables!N19="")),"",CHOOSE(Tables!$A$1,Tables!H19,Tables!K19,Tables!N19/1000))</f>
        <v/>
      </c>
      <c r="AC64" s="1001" t="str">
        <f>IF(OR(Tables!$A$1="",AND(Tables!I19="",Tables!J19="",Tables!O19="")),"",CHOOSE(Tables!$A$1,Tables!I19,Tables!J19,Tables!O19))</f>
        <v/>
      </c>
      <c r="AD64" s="21"/>
      <c r="AE64" s="869" t="s">
        <v>610</v>
      </c>
    </row>
    <row r="65" spans="1:31">
      <c r="A65" s="653" t="s">
        <v>74</v>
      </c>
      <c r="B65" s="654">
        <f>Tables!A20</f>
        <v>80</v>
      </c>
      <c r="C65" s="654">
        <f>Tables!B20</f>
        <v>250</v>
      </c>
      <c r="D65" s="655">
        <f>Tables!C20</f>
        <v>0.05</v>
      </c>
      <c r="E65" s="653">
        <f>Tables!D20</f>
        <v>12.5</v>
      </c>
      <c r="F65" s="656" t="s">
        <v>25</v>
      </c>
      <c r="G65" s="656">
        <f>Tables!E20</f>
        <v>0</v>
      </c>
      <c r="H65" s="656" t="s">
        <v>75</v>
      </c>
      <c r="I65" s="657">
        <v>100</v>
      </c>
      <c r="J65" s="656" t="s">
        <v>435</v>
      </c>
      <c r="K65" s="653">
        <v>1</v>
      </c>
      <c r="L65" s="658" t="s">
        <v>76</v>
      </c>
      <c r="M65" s="658" t="s">
        <v>77</v>
      </c>
      <c r="N65" s="659">
        <v>0</v>
      </c>
      <c r="O65" s="659">
        <v>0</v>
      </c>
      <c r="P65" s="658" t="s">
        <v>78</v>
      </c>
      <c r="Q65" s="658"/>
      <c r="R65" s="659">
        <v>1</v>
      </c>
      <c r="S65" s="659">
        <v>0</v>
      </c>
      <c r="T65" s="659">
        <v>0</v>
      </c>
      <c r="U65" s="659">
        <v>0</v>
      </c>
      <c r="V65" s="659">
        <v>0</v>
      </c>
      <c r="W65" s="659"/>
      <c r="X65" s="660"/>
      <c r="Y65" s="1046"/>
      <c r="Z65" s="1001" t="str">
        <f>IF(Tables!F20="","",Tables!F20)</f>
        <v/>
      </c>
      <c r="AA65" s="1001" t="str">
        <f>IF(OR(Tables!$A$1="",AND(Tables!G20="",Tables!L20="",Tables!M20="")),"",CHOOSE(Tables!$A$1,Tables!G20,Tables!L20,Tables!M20))</f>
        <v/>
      </c>
      <c r="AB65" s="1001" t="str">
        <f>IF(OR(Tables!$A$1="",AND(Tables!H20="",Tables!K20="",Tables!N20="")),"",CHOOSE(Tables!$A$1,Tables!H20,Tables!K20,Tables!N20/1000))</f>
        <v/>
      </c>
      <c r="AC65" s="1001" t="str">
        <f>IF(OR(Tables!$A$1="",AND(Tables!I20="",Tables!J20="",Tables!O20="")),"",CHOOSE(Tables!$A$1,Tables!I20,Tables!J20,Tables!O20))</f>
        <v/>
      </c>
      <c r="AD65" s="21"/>
      <c r="AE65" s="869" t="s">
        <v>610</v>
      </c>
    </row>
    <row r="66" spans="1:31">
      <c r="A66" s="653" t="s">
        <v>74</v>
      </c>
      <c r="B66" s="654">
        <f>Tables!A21</f>
        <v>100</v>
      </c>
      <c r="C66" s="654">
        <f>Tables!B21</f>
        <v>400</v>
      </c>
      <c r="D66" s="655">
        <f>Tables!C21</f>
        <v>0.05</v>
      </c>
      <c r="E66" s="653">
        <f>Tables!D21</f>
        <v>20</v>
      </c>
      <c r="F66" s="656" t="s">
        <v>25</v>
      </c>
      <c r="G66" s="656">
        <f>Tables!E21</f>
        <v>0</v>
      </c>
      <c r="H66" s="656" t="s">
        <v>75</v>
      </c>
      <c r="I66" s="657">
        <v>100</v>
      </c>
      <c r="J66" s="656" t="s">
        <v>435</v>
      </c>
      <c r="K66" s="653">
        <v>1</v>
      </c>
      <c r="L66" s="658" t="s">
        <v>76</v>
      </c>
      <c r="M66" s="658" t="s">
        <v>77</v>
      </c>
      <c r="N66" s="659">
        <v>0</v>
      </c>
      <c r="O66" s="659">
        <v>0</v>
      </c>
      <c r="P66" s="658" t="s">
        <v>78</v>
      </c>
      <c r="Q66" s="658"/>
      <c r="R66" s="659">
        <v>0</v>
      </c>
      <c r="S66" s="659">
        <v>1</v>
      </c>
      <c r="T66" s="659">
        <v>0</v>
      </c>
      <c r="U66" s="659">
        <v>0</v>
      </c>
      <c r="V66" s="659">
        <v>0</v>
      </c>
      <c r="W66" s="659"/>
      <c r="X66" s="660"/>
      <c r="Y66" s="1046"/>
      <c r="Z66" s="1001" t="str">
        <f>IF(Tables!F21="","",Tables!F21)</f>
        <v/>
      </c>
      <c r="AA66" s="1001" t="str">
        <f>IF(OR(Tables!$A$1="",AND(Tables!G21="",Tables!L21="",Tables!M21="")),"",CHOOSE(Tables!$A$1,Tables!G21,Tables!L21,Tables!M21))</f>
        <v/>
      </c>
      <c r="AB66" s="1001" t="str">
        <f>IF(OR(Tables!$A$1="",AND(Tables!H21="",Tables!K21="",Tables!N21="")),"",CHOOSE(Tables!$A$1,Tables!H21,Tables!K21,Tables!N21/1000))</f>
        <v/>
      </c>
      <c r="AC66" s="1001" t="str">
        <f>IF(OR(Tables!$A$1="",AND(Tables!I21="",Tables!J21="",Tables!O21="")),"",CHOOSE(Tables!$A$1,Tables!I21,Tables!J21,Tables!O21))</f>
        <v/>
      </c>
      <c r="AD66" s="21"/>
      <c r="AE66" s="871" t="s">
        <v>614</v>
      </c>
    </row>
    <row r="67" spans="1:31">
      <c r="A67" s="653" t="s">
        <v>74</v>
      </c>
      <c r="B67" s="654">
        <f>Tables!A22</f>
        <v>100</v>
      </c>
      <c r="C67" s="654">
        <f>Tables!B22</f>
        <v>400</v>
      </c>
      <c r="D67" s="1056">
        <f>Tables!C22</f>
        <v>0.05</v>
      </c>
      <c r="E67" s="653">
        <f>Tables!D22</f>
        <v>20</v>
      </c>
      <c r="F67" s="653" t="s">
        <v>103</v>
      </c>
      <c r="G67" s="653">
        <f>Tables!E22</f>
        <v>0</v>
      </c>
      <c r="H67" s="653" t="s">
        <v>75</v>
      </c>
      <c r="I67" s="653">
        <v>100</v>
      </c>
      <c r="J67" s="653" t="s">
        <v>435</v>
      </c>
      <c r="K67" s="653">
        <v>1</v>
      </c>
      <c r="L67" s="653" t="s">
        <v>76</v>
      </c>
      <c r="M67" s="653" t="s">
        <v>77</v>
      </c>
      <c r="N67" s="654">
        <v>0</v>
      </c>
      <c r="O67" s="654">
        <v>0</v>
      </c>
      <c r="P67" s="653" t="s">
        <v>78</v>
      </c>
      <c r="Q67" s="653"/>
      <c r="R67" s="654">
        <v>0</v>
      </c>
      <c r="S67" s="654">
        <v>1</v>
      </c>
      <c r="T67" s="654">
        <v>1</v>
      </c>
      <c r="U67" s="654">
        <v>0</v>
      </c>
      <c r="V67" s="654">
        <v>0</v>
      </c>
      <c r="W67" s="653"/>
      <c r="X67" s="653"/>
      <c r="Y67" s="1057"/>
      <c r="Z67" s="1057" t="str">
        <f>IF(Tables!F22="","",Tables!F22)</f>
        <v/>
      </c>
      <c r="AA67" s="1057" t="str">
        <f>IF(OR(Tables!$A$1="",AND(Tables!G22="",Tables!L22="",Tables!M22="")),"",CHOOSE(Tables!$A$1,Tables!G22,Tables!L22,Tables!M22))</f>
        <v/>
      </c>
      <c r="AB67" s="1057" t="str">
        <f>IF(OR(Tables!$A$1="",AND(Tables!H22="",Tables!K22="",Tables!N22="")),"",CHOOSE(Tables!$A$1,Tables!H22,Tables!K22,Tables!N22/1000))</f>
        <v/>
      </c>
      <c r="AC67" s="1057" t="str">
        <f>IF(OR(Tables!$A$1="",AND(Tables!I22="",Tables!J22="",Tables!O22="")),"",CHOOSE(Tables!$A$1,Tables!I22,Tables!J22,Tables!O22))</f>
        <v/>
      </c>
      <c r="AD67" s="653"/>
      <c r="AE67" s="871" t="s">
        <v>614</v>
      </c>
    </row>
    <row r="68" spans="1:31">
      <c r="A68" s="663" t="s">
        <v>74</v>
      </c>
      <c r="B68" s="654">
        <f>Tables!A23</f>
        <v>120</v>
      </c>
      <c r="C68" s="654">
        <f>Tables!B23</f>
        <v>400</v>
      </c>
      <c r="D68" s="655">
        <f>Tables!C23</f>
        <v>0.05</v>
      </c>
      <c r="E68" s="653">
        <f>Tables!D23</f>
        <v>20</v>
      </c>
      <c r="F68" s="656" t="s">
        <v>103</v>
      </c>
      <c r="G68" s="656">
        <f>Tables!E23</f>
        <v>0</v>
      </c>
      <c r="H68" s="656" t="s">
        <v>75</v>
      </c>
      <c r="I68" s="657">
        <v>100</v>
      </c>
      <c r="J68" s="656" t="s">
        <v>435</v>
      </c>
      <c r="K68" s="653">
        <v>1</v>
      </c>
      <c r="L68" s="653" t="s">
        <v>76</v>
      </c>
      <c r="M68" s="653" t="s">
        <v>77</v>
      </c>
      <c r="N68" s="654">
        <v>0</v>
      </c>
      <c r="O68" s="654">
        <v>0</v>
      </c>
      <c r="P68" s="653" t="s">
        <v>78</v>
      </c>
      <c r="Q68" s="653"/>
      <c r="R68" s="654">
        <v>0</v>
      </c>
      <c r="S68" s="654">
        <v>1</v>
      </c>
      <c r="T68" s="654">
        <v>0</v>
      </c>
      <c r="U68" s="654">
        <v>0</v>
      </c>
      <c r="V68" s="654">
        <v>0</v>
      </c>
      <c r="W68" s="654"/>
      <c r="X68" s="1058"/>
      <c r="Y68" s="1059"/>
      <c r="Z68" s="1057" t="str">
        <f>IF(Tables!F23="","",Tables!F23)</f>
        <v/>
      </c>
      <c r="AA68" s="1057" t="str">
        <f>IF(OR(Tables!$A$1="",AND(Tables!G23="",Tables!L23="",Tables!M23="")),"",CHOOSE(Tables!$A$1,Tables!G23,Tables!L23,Tables!M23))</f>
        <v/>
      </c>
      <c r="AB68" s="1057" t="str">
        <f>IF(OR(Tables!$A$1="",AND(Tables!H23="",Tables!K23="",Tables!N23="")),"",CHOOSE(Tables!$A$1,Tables!H23,Tables!K23,Tables!N23/1000))</f>
        <v/>
      </c>
      <c r="AC68" s="1057" t="str">
        <f>IF(OR(Tables!$A$1="",AND(Tables!I23="",Tables!J23="",Tables!O23="")),"",CHOOSE(Tables!$A$1,Tables!I23,Tables!J23,Tables!O23))</f>
        <v/>
      </c>
      <c r="AD68" s="998"/>
      <c r="AE68" s="998" t="s">
        <v>683</v>
      </c>
    </row>
    <row r="69" spans="1:31">
      <c r="A69" s="653" t="s">
        <v>74</v>
      </c>
      <c r="B69" s="654">
        <f>Tables!A24</f>
        <v>120</v>
      </c>
      <c r="C69" s="654">
        <f>Tables!B24</f>
        <v>400</v>
      </c>
      <c r="D69" s="1056">
        <f>Tables!C24</f>
        <v>0.05</v>
      </c>
      <c r="E69" s="653">
        <f>Tables!D24</f>
        <v>20</v>
      </c>
      <c r="F69" s="653" t="s">
        <v>103</v>
      </c>
      <c r="G69" s="653">
        <f>Tables!E24</f>
        <v>0</v>
      </c>
      <c r="H69" s="653" t="s">
        <v>75</v>
      </c>
      <c r="I69" s="653">
        <v>100</v>
      </c>
      <c r="J69" s="653" t="s">
        <v>435</v>
      </c>
      <c r="K69" s="653">
        <v>1</v>
      </c>
      <c r="L69" s="653" t="s">
        <v>76</v>
      </c>
      <c r="M69" s="653" t="s">
        <v>77</v>
      </c>
      <c r="N69" s="654">
        <v>0</v>
      </c>
      <c r="O69" s="654">
        <v>0</v>
      </c>
      <c r="P69" s="653" t="s">
        <v>78</v>
      </c>
      <c r="Q69" s="653"/>
      <c r="R69" s="654">
        <v>0</v>
      </c>
      <c r="S69" s="654">
        <v>1</v>
      </c>
      <c r="T69" s="654">
        <v>1</v>
      </c>
      <c r="U69" s="654">
        <v>0</v>
      </c>
      <c r="V69" s="654">
        <v>0</v>
      </c>
      <c r="W69" s="653"/>
      <c r="X69" s="653"/>
      <c r="Y69" s="1057"/>
      <c r="Z69" s="1057" t="str">
        <f>IF(Tables!F24="","",Tables!F24)</f>
        <v/>
      </c>
      <c r="AA69" s="1057" t="str">
        <f>IF(OR(Tables!$A$1="",AND(Tables!G24="",Tables!L24="",Tables!M24="")),"",CHOOSE(Tables!$A$1,Tables!G24,Tables!L24,Tables!M24))</f>
        <v/>
      </c>
      <c r="AB69" s="1057" t="str">
        <f>IF(OR(Tables!$A$1="",AND(Tables!H24="",Tables!K24="",Tables!N24="")),"",CHOOSE(Tables!$A$1,Tables!H24,Tables!K24,Tables!N24/1000))</f>
        <v/>
      </c>
      <c r="AC69" s="1057" t="str">
        <f>IF(OR(Tables!$A$1="",AND(Tables!I24="",Tables!J24="",Tables!O24="")),"",CHOOSE(Tables!$A$1,Tables!I24,Tables!J24,Tables!O24))</f>
        <v/>
      </c>
      <c r="AD69" s="653"/>
      <c r="AE69" s="998" t="s">
        <v>683</v>
      </c>
    </row>
    <row r="70" spans="1:31">
      <c r="A70" s="663" t="s">
        <v>74</v>
      </c>
      <c r="B70" s="654">
        <f>Tables!A25</f>
        <v>140</v>
      </c>
      <c r="C70" s="654">
        <f>Tables!B25</f>
        <v>400</v>
      </c>
      <c r="D70" s="655">
        <f>Tables!C25</f>
        <v>0.05</v>
      </c>
      <c r="E70" s="653">
        <f>Tables!D25</f>
        <v>20</v>
      </c>
      <c r="F70" s="656" t="s">
        <v>103</v>
      </c>
      <c r="G70" s="656">
        <f>Tables!E25</f>
        <v>0</v>
      </c>
      <c r="H70" s="656" t="s">
        <v>75</v>
      </c>
      <c r="I70" s="657">
        <v>100</v>
      </c>
      <c r="J70" s="656" t="s">
        <v>435</v>
      </c>
      <c r="K70" s="653">
        <v>1</v>
      </c>
      <c r="L70" s="658" t="s">
        <v>76</v>
      </c>
      <c r="M70" s="658" t="s">
        <v>77</v>
      </c>
      <c r="N70" s="659">
        <v>0</v>
      </c>
      <c r="O70" s="659">
        <v>0</v>
      </c>
      <c r="P70" s="658" t="s">
        <v>78</v>
      </c>
      <c r="Q70" s="658"/>
      <c r="R70" s="659">
        <v>0</v>
      </c>
      <c r="S70" s="659">
        <v>1</v>
      </c>
      <c r="T70" s="659">
        <v>0</v>
      </c>
      <c r="U70" s="659">
        <v>0</v>
      </c>
      <c r="V70" s="659">
        <v>0</v>
      </c>
      <c r="W70" s="659"/>
      <c r="X70" s="660"/>
      <c r="Y70" s="1046"/>
      <c r="Z70" s="1001" t="str">
        <f>IF(Tables!F25="","",Tables!F25)</f>
        <v/>
      </c>
      <c r="AA70" s="1001" t="str">
        <f>IF(OR(Tables!$A$1="",AND(Tables!G25="",Tables!L25="",Tables!M25="")),"",CHOOSE(Tables!$A$1,Tables!G25,Tables!L25,Tables!M25))</f>
        <v/>
      </c>
      <c r="AB70" s="1001" t="str">
        <f>IF(OR(Tables!$A$1="",AND(Tables!H25="",Tables!K25="",Tables!N25="")),"",CHOOSE(Tables!$A$1,Tables!H25,Tables!K25,Tables!N25/1000))</f>
        <v/>
      </c>
      <c r="AC70" s="1001" t="str">
        <f>IF(OR(Tables!$A$1="",AND(Tables!I25="",Tables!J25="",Tables!O25="")),"",CHOOSE(Tables!$A$1,Tables!I25,Tables!J25,Tables!O25))</f>
        <v/>
      </c>
      <c r="AD70" s="21"/>
      <c r="AE70" s="871" t="s">
        <v>614</v>
      </c>
    </row>
    <row r="71" spans="1:31">
      <c r="A71" s="854" t="s">
        <v>74</v>
      </c>
      <c r="B71" s="855">
        <f>Tables!A26</f>
        <v>50</v>
      </c>
      <c r="C71" s="855">
        <f>Tables!B26</f>
        <v>100</v>
      </c>
      <c r="D71" s="856">
        <f>Tables!C26</f>
        <v>0.1</v>
      </c>
      <c r="E71" s="857">
        <f>Tables!D26</f>
        <v>10</v>
      </c>
      <c r="F71" s="858" t="s">
        <v>26</v>
      </c>
      <c r="G71" s="858">
        <f>Tables!E26</f>
        <v>0</v>
      </c>
      <c r="H71" s="858" t="s">
        <v>75</v>
      </c>
      <c r="I71" s="859">
        <v>100</v>
      </c>
      <c r="J71" s="858" t="s">
        <v>435</v>
      </c>
      <c r="K71" s="857">
        <v>1</v>
      </c>
      <c r="L71" s="857" t="s">
        <v>76</v>
      </c>
      <c r="M71" s="857" t="s">
        <v>77</v>
      </c>
      <c r="N71" s="855">
        <v>0</v>
      </c>
      <c r="O71" s="855">
        <v>0</v>
      </c>
      <c r="P71" s="854" t="s">
        <v>106</v>
      </c>
      <c r="Q71" s="860"/>
      <c r="R71" s="855">
        <v>0</v>
      </c>
      <c r="S71" s="855">
        <v>1</v>
      </c>
      <c r="T71" s="855">
        <v>0</v>
      </c>
      <c r="U71" s="855">
        <v>0</v>
      </c>
      <c r="V71" s="855">
        <v>0</v>
      </c>
      <c r="W71" s="855"/>
      <c r="X71" s="861"/>
      <c r="Y71" s="1048"/>
      <c r="Z71" s="1003" t="str">
        <f>IF(Tables!F26="","",Tables!F26)</f>
        <v/>
      </c>
      <c r="AA71" s="1003" t="str">
        <f>IF(OR(Tables!$A$1="",AND(Tables!G26="",Tables!L26="",Tables!M26="")),"",CHOOSE(Tables!$A$1,Tables!G26,Tables!L26,Tables!M26))</f>
        <v/>
      </c>
      <c r="AB71" s="1003" t="str">
        <f>IF(OR(Tables!$A$1="",AND(Tables!H26="",Tables!K26="",Tables!N26="")),"",CHOOSE(Tables!$A$1,Tables!H26,Tables!K26,Tables!N26/1000))</f>
        <v/>
      </c>
      <c r="AC71" s="1003" t="str">
        <f>IF(OR(Tables!$A$1="",AND(Tables!I26="",Tables!J26="",Tables!O26="")),"",CHOOSE(Tables!$A$1,Tables!I26,Tables!J26,Tables!O26))</f>
        <v/>
      </c>
      <c r="AD71" s="794"/>
      <c r="AE71" s="874" t="s">
        <v>614</v>
      </c>
    </row>
    <row r="72" spans="1:31">
      <c r="A72" s="854" t="s">
        <v>74</v>
      </c>
      <c r="B72" s="855">
        <f>Tables!A27</f>
        <v>70</v>
      </c>
      <c r="C72" s="855">
        <f>Tables!B27</f>
        <v>100</v>
      </c>
      <c r="D72" s="856">
        <f>Tables!C27</f>
        <v>0.1</v>
      </c>
      <c r="E72" s="857">
        <f>Tables!D27</f>
        <v>10</v>
      </c>
      <c r="F72" s="858" t="s">
        <v>24</v>
      </c>
      <c r="G72" s="858">
        <f>Tables!E27</f>
        <v>0</v>
      </c>
      <c r="H72" s="858" t="s">
        <v>75</v>
      </c>
      <c r="I72" s="859">
        <v>100</v>
      </c>
      <c r="J72" s="858" t="s">
        <v>435</v>
      </c>
      <c r="K72" s="857">
        <v>1</v>
      </c>
      <c r="L72" s="857" t="s">
        <v>76</v>
      </c>
      <c r="M72" s="857" t="s">
        <v>77</v>
      </c>
      <c r="N72" s="855">
        <v>0</v>
      </c>
      <c r="O72" s="855">
        <v>0</v>
      </c>
      <c r="P72" s="854" t="s">
        <v>106</v>
      </c>
      <c r="Q72" s="860"/>
      <c r="R72" s="855">
        <v>0</v>
      </c>
      <c r="S72" s="855">
        <v>1</v>
      </c>
      <c r="T72" s="855">
        <v>0</v>
      </c>
      <c r="U72" s="855">
        <v>0</v>
      </c>
      <c r="V72" s="855">
        <v>0</v>
      </c>
      <c r="W72" s="855"/>
      <c r="X72" s="861"/>
      <c r="Y72" s="1048"/>
      <c r="Z72" s="1003" t="str">
        <f>IF(Tables!F27="","",Tables!F27)</f>
        <v/>
      </c>
      <c r="AA72" s="1003" t="str">
        <f>IF(OR(Tables!$A$1="",AND(Tables!G27="",Tables!L27="",Tables!M27="")),"",CHOOSE(Tables!$A$1,Tables!G27,Tables!L27,Tables!M27))</f>
        <v/>
      </c>
      <c r="AB72" s="1003" t="str">
        <f>IF(OR(Tables!$A$1="",AND(Tables!H27="",Tables!K27="",Tables!N27="")),"",CHOOSE(Tables!$A$1,Tables!H27,Tables!K27,Tables!N27/1000))</f>
        <v/>
      </c>
      <c r="AC72" s="1003" t="str">
        <f>IF(OR(Tables!$A$1="",AND(Tables!I27="",Tables!J27="",Tables!O27="")),"",CHOOSE(Tables!$A$1,Tables!I27,Tables!J27,Tables!O27))</f>
        <v/>
      </c>
      <c r="AD72" s="794"/>
      <c r="AE72" s="874" t="s">
        <v>614</v>
      </c>
    </row>
    <row r="73" spans="1:31">
      <c r="A73" s="854" t="s">
        <v>74</v>
      </c>
      <c r="B73" s="855">
        <f>Tables!A28</f>
        <v>90</v>
      </c>
      <c r="C73" s="855">
        <f>Tables!B28</f>
        <v>100</v>
      </c>
      <c r="D73" s="856">
        <f>Tables!C28</f>
        <v>0.1</v>
      </c>
      <c r="E73" s="857">
        <f>Tables!D28</f>
        <v>10</v>
      </c>
      <c r="F73" s="858" t="s">
        <v>25</v>
      </c>
      <c r="G73" s="858">
        <f>Tables!E28</f>
        <v>0</v>
      </c>
      <c r="H73" s="858" t="s">
        <v>75</v>
      </c>
      <c r="I73" s="859">
        <v>100</v>
      </c>
      <c r="J73" s="858" t="s">
        <v>435</v>
      </c>
      <c r="K73" s="857">
        <v>1</v>
      </c>
      <c r="L73" s="857" t="s">
        <v>76</v>
      </c>
      <c r="M73" s="857" t="s">
        <v>77</v>
      </c>
      <c r="N73" s="855">
        <v>0</v>
      </c>
      <c r="O73" s="855">
        <v>0</v>
      </c>
      <c r="P73" s="854" t="s">
        <v>106</v>
      </c>
      <c r="Q73" s="860"/>
      <c r="R73" s="855">
        <v>0</v>
      </c>
      <c r="S73" s="855">
        <v>1</v>
      </c>
      <c r="T73" s="855">
        <v>0</v>
      </c>
      <c r="U73" s="855">
        <v>0</v>
      </c>
      <c r="V73" s="855">
        <v>1</v>
      </c>
      <c r="W73" s="855"/>
      <c r="X73" s="861"/>
      <c r="Y73" s="1048"/>
      <c r="Z73" s="1003" t="str">
        <f>IF(Tables!F28="","",Tables!F28)</f>
        <v/>
      </c>
      <c r="AA73" s="1003" t="str">
        <f>IF(OR(Tables!$A$1="",AND(Tables!G28="",Tables!L28="",Tables!M28="")),"",CHOOSE(Tables!$A$1,Tables!G28,Tables!L28,Tables!M28))</f>
        <v/>
      </c>
      <c r="AB73" s="1003" t="str">
        <f>IF(OR(Tables!$A$1="",AND(Tables!H28="",Tables!K28="",Tables!N28="")),"",CHOOSE(Tables!$A$1,Tables!H28,Tables!K28,Tables!N28/1000))</f>
        <v/>
      </c>
      <c r="AC73" s="1003" t="str">
        <f>IF(OR(Tables!$A$1="",AND(Tables!I28="",Tables!J28="",Tables!O28="")),"",CHOOSE(Tables!$A$1,Tables!I28,Tables!J28,Tables!O28))</f>
        <v/>
      </c>
      <c r="AD73" s="794"/>
      <c r="AE73" s="866" t="s">
        <v>620</v>
      </c>
    </row>
    <row r="74" spans="1:31">
      <c r="A74" s="854" t="s">
        <v>74</v>
      </c>
      <c r="B74" s="855">
        <f>Tables!A29</f>
        <v>90</v>
      </c>
      <c r="C74" s="855">
        <f>Tables!B29</f>
        <v>100</v>
      </c>
      <c r="D74" s="856">
        <f>Tables!C29</f>
        <v>0.1</v>
      </c>
      <c r="E74" s="857">
        <f>Tables!D29</f>
        <v>10</v>
      </c>
      <c r="F74" s="858" t="s">
        <v>25</v>
      </c>
      <c r="G74" s="858">
        <f>Tables!E29</f>
        <v>0</v>
      </c>
      <c r="H74" s="858" t="s">
        <v>75</v>
      </c>
      <c r="I74" s="859">
        <v>100</v>
      </c>
      <c r="J74" s="858" t="s">
        <v>435</v>
      </c>
      <c r="K74" s="857">
        <v>1</v>
      </c>
      <c r="L74" s="857" t="s">
        <v>76</v>
      </c>
      <c r="M74" s="857" t="s">
        <v>77</v>
      </c>
      <c r="N74" s="855">
        <v>0</v>
      </c>
      <c r="O74" s="855">
        <v>0</v>
      </c>
      <c r="P74" s="854" t="s">
        <v>106</v>
      </c>
      <c r="Q74" s="860"/>
      <c r="R74" s="855">
        <v>0</v>
      </c>
      <c r="S74" s="855">
        <v>0</v>
      </c>
      <c r="T74" s="855">
        <v>0</v>
      </c>
      <c r="U74" s="855">
        <v>0</v>
      </c>
      <c r="V74" s="855">
        <v>1</v>
      </c>
      <c r="W74" s="855"/>
      <c r="X74" s="861"/>
      <c r="Y74" s="1048"/>
      <c r="Z74" s="1003" t="str">
        <f>IF(Tables!F29="","",Tables!F29)</f>
        <v/>
      </c>
      <c r="AA74" s="1003" t="str">
        <f>IF(OR(Tables!$A$1="",AND(Tables!G29="",Tables!L29="",Tables!M29="")),"",CHOOSE(Tables!$A$1,Tables!G29,Tables!L29,Tables!M29))</f>
        <v/>
      </c>
      <c r="AB74" s="1003" t="str">
        <f>IF(OR(Tables!$A$1="",AND(Tables!H29="",Tables!K29="",Tables!N29="")),"",CHOOSE(Tables!$A$1,Tables!H29,Tables!K29,Tables!N29/1000))</f>
        <v/>
      </c>
      <c r="AC74" s="1003" t="str">
        <f>IF(OR(Tables!$A$1="",AND(Tables!I29="",Tables!J29="",Tables!O29="")),"",CHOOSE(Tables!$A$1,Tables!I29,Tables!J29,Tables!O29))</f>
        <v/>
      </c>
      <c r="AD74" s="794"/>
      <c r="AE74" s="866" t="s">
        <v>609</v>
      </c>
    </row>
    <row r="75" spans="1:31">
      <c r="A75" s="864" t="s">
        <v>74</v>
      </c>
      <c r="B75" s="855">
        <f>Tables!A30</f>
        <v>90</v>
      </c>
      <c r="C75" s="855">
        <f>Tables!B30</f>
        <v>100</v>
      </c>
      <c r="D75" s="856">
        <f>Tables!C30</f>
        <v>0.1</v>
      </c>
      <c r="E75" s="857">
        <f>Tables!D30</f>
        <v>10</v>
      </c>
      <c r="F75" s="865" t="s">
        <v>25</v>
      </c>
      <c r="G75" s="858">
        <f>Tables!E30</f>
        <v>0</v>
      </c>
      <c r="H75" s="858" t="s">
        <v>75</v>
      </c>
      <c r="I75" s="859">
        <v>100</v>
      </c>
      <c r="J75" s="858" t="s">
        <v>435</v>
      </c>
      <c r="K75" s="857">
        <v>1</v>
      </c>
      <c r="L75" s="857" t="s">
        <v>76</v>
      </c>
      <c r="M75" s="857" t="s">
        <v>77</v>
      </c>
      <c r="N75" s="855">
        <v>0</v>
      </c>
      <c r="O75" s="855">
        <v>1</v>
      </c>
      <c r="P75" s="854" t="s">
        <v>106</v>
      </c>
      <c r="Q75" s="860"/>
      <c r="R75" s="855">
        <v>0</v>
      </c>
      <c r="S75" s="855">
        <v>0</v>
      </c>
      <c r="T75" s="855">
        <v>0</v>
      </c>
      <c r="U75" s="855">
        <v>0</v>
      </c>
      <c r="V75" s="855">
        <v>1</v>
      </c>
      <c r="W75" s="855"/>
      <c r="X75" s="861"/>
      <c r="Y75" s="1048"/>
      <c r="Z75" s="1003" t="str">
        <f>IF(Tables!F30="","",Tables!F30)</f>
        <v/>
      </c>
      <c r="AA75" s="1003" t="str">
        <f>IF(OR(Tables!$A$1="",AND(Tables!G30="",Tables!L30="",Tables!M30="")),"",CHOOSE(Tables!$A$1,Tables!G30,Tables!L30,Tables!M30))</f>
        <v/>
      </c>
      <c r="AB75" s="1003" t="str">
        <f>IF(OR(Tables!$A$1="",AND(Tables!H30="",Tables!K30="",Tables!N30="")),"",CHOOSE(Tables!$A$1,Tables!H30,Tables!K30,Tables!N30/1000))</f>
        <v/>
      </c>
      <c r="AC75" s="1003" t="str">
        <f>IF(OR(Tables!$A$1="",AND(Tables!I30="",Tables!J30="",Tables!O30="")),"",CHOOSE(Tables!$A$1,Tables!I30,Tables!J30,Tables!O30))</f>
        <v/>
      </c>
      <c r="AD75" s="794"/>
      <c r="AE75" s="866" t="s">
        <v>609</v>
      </c>
    </row>
    <row r="76" spans="1:31">
      <c r="A76" s="854" t="s">
        <v>74</v>
      </c>
      <c r="B76" s="855">
        <f>Tables!A31</f>
        <v>90</v>
      </c>
      <c r="C76" s="855">
        <f>Tables!B31</f>
        <v>100</v>
      </c>
      <c r="D76" s="856">
        <f>Tables!C31</f>
        <v>0.1</v>
      </c>
      <c r="E76" s="857">
        <f>Tables!D31</f>
        <v>10</v>
      </c>
      <c r="F76" s="865" t="s">
        <v>25</v>
      </c>
      <c r="G76" s="858">
        <f>Tables!E31</f>
        <v>0</v>
      </c>
      <c r="H76" s="858" t="s">
        <v>75</v>
      </c>
      <c r="I76" s="859">
        <v>100</v>
      </c>
      <c r="J76" s="858" t="s">
        <v>435</v>
      </c>
      <c r="K76" s="857">
        <v>1</v>
      </c>
      <c r="L76" s="857" t="s">
        <v>76</v>
      </c>
      <c r="M76" s="857" t="s">
        <v>77</v>
      </c>
      <c r="N76" s="855">
        <v>0</v>
      </c>
      <c r="O76" s="855">
        <v>0</v>
      </c>
      <c r="P76" s="854" t="s">
        <v>106</v>
      </c>
      <c r="Q76" s="860"/>
      <c r="R76" s="855">
        <v>0</v>
      </c>
      <c r="S76" s="855">
        <v>0</v>
      </c>
      <c r="T76" s="855">
        <v>0</v>
      </c>
      <c r="U76" s="855">
        <v>0</v>
      </c>
      <c r="V76" s="855">
        <v>1</v>
      </c>
      <c r="W76" s="855"/>
      <c r="X76" s="861"/>
      <c r="Y76" s="1048"/>
      <c r="Z76" s="1003" t="str">
        <f>IF(Tables!F31="","",Tables!F31)</f>
        <v/>
      </c>
      <c r="AA76" s="1003" t="str">
        <f>IF(OR(Tables!$A$1="",AND(Tables!G31="",Tables!L31="",Tables!M31="")),"",CHOOSE(Tables!$A$1,Tables!G31,Tables!L31,Tables!M31))</f>
        <v/>
      </c>
      <c r="AB76" s="1003" t="str">
        <f>IF(OR(Tables!$A$1="",AND(Tables!H31="",Tables!K31="",Tables!N31="")),"",CHOOSE(Tables!$A$1,Tables!H31,Tables!K31,Tables!N31/1000))</f>
        <v/>
      </c>
      <c r="AC76" s="1003" t="str">
        <f>IF(OR(Tables!$A$1="",AND(Tables!I31="",Tables!J31="",Tables!O31="")),"",CHOOSE(Tables!$A$1,Tables!I31,Tables!J31,Tables!O31))</f>
        <v/>
      </c>
      <c r="AD76" s="794"/>
      <c r="AE76" s="866" t="s">
        <v>609</v>
      </c>
    </row>
    <row r="77" spans="1:31">
      <c r="A77" s="854" t="s">
        <v>74</v>
      </c>
      <c r="B77" s="855">
        <f>Tables!A32</f>
        <v>90</v>
      </c>
      <c r="C77" s="855">
        <f>Tables!B32</f>
        <v>100</v>
      </c>
      <c r="D77" s="856">
        <f>Tables!C32</f>
        <v>0.1</v>
      </c>
      <c r="E77" s="857">
        <f>Tables!D32</f>
        <v>10</v>
      </c>
      <c r="F77" s="865" t="s">
        <v>25</v>
      </c>
      <c r="G77" s="858">
        <f>Tables!E32</f>
        <v>0</v>
      </c>
      <c r="H77" s="858" t="s">
        <v>75</v>
      </c>
      <c r="I77" s="859">
        <v>100</v>
      </c>
      <c r="J77" s="858" t="s">
        <v>435</v>
      </c>
      <c r="K77" s="857">
        <v>1</v>
      </c>
      <c r="L77" s="857" t="s">
        <v>76</v>
      </c>
      <c r="M77" s="857" t="s">
        <v>77</v>
      </c>
      <c r="N77" s="855">
        <v>0</v>
      </c>
      <c r="O77" s="855">
        <v>0</v>
      </c>
      <c r="P77" s="854" t="s">
        <v>106</v>
      </c>
      <c r="Q77" s="860"/>
      <c r="R77" s="855">
        <v>0</v>
      </c>
      <c r="S77" s="855">
        <v>0</v>
      </c>
      <c r="T77" s="855">
        <v>0</v>
      </c>
      <c r="U77" s="855">
        <v>0</v>
      </c>
      <c r="V77" s="855">
        <v>1</v>
      </c>
      <c r="W77" s="855"/>
      <c r="X77" s="861"/>
      <c r="Y77" s="1048"/>
      <c r="Z77" s="1003" t="str">
        <f>IF(Tables!F32="","",Tables!F32)</f>
        <v/>
      </c>
      <c r="AA77" s="1003" t="str">
        <f>IF(OR(Tables!$A$1="",AND(Tables!G32="",Tables!L32="",Tables!M32="")),"",CHOOSE(Tables!$A$1,Tables!G32,Tables!L32,Tables!M32))</f>
        <v/>
      </c>
      <c r="AB77" s="1003" t="str">
        <f>IF(OR(Tables!$A$1="",AND(Tables!H32="",Tables!K32="",Tables!N32="")),"",CHOOSE(Tables!$A$1,Tables!H32,Tables!K32,Tables!N32/1000))</f>
        <v/>
      </c>
      <c r="AC77" s="1003" t="str">
        <f>IF(OR(Tables!$A$1="",AND(Tables!I32="",Tables!J32="",Tables!O32="")),"",CHOOSE(Tables!$A$1,Tables!I32,Tables!J32,Tables!O32))</f>
        <v/>
      </c>
      <c r="AD77" s="794"/>
      <c r="AE77" s="866" t="s">
        <v>609</v>
      </c>
    </row>
    <row r="78" spans="1:31">
      <c r="A78" s="854" t="s">
        <v>74</v>
      </c>
      <c r="B78" s="855">
        <f>Tables!A33</f>
        <v>80</v>
      </c>
      <c r="C78" s="855">
        <f>Tables!B33</f>
        <v>100</v>
      </c>
      <c r="D78" s="856">
        <f>Tables!C33</f>
        <v>0.1</v>
      </c>
      <c r="E78" s="857">
        <f>Tables!D33</f>
        <v>10</v>
      </c>
      <c r="F78" s="865" t="s">
        <v>25</v>
      </c>
      <c r="G78" s="858">
        <f>Tables!E33</f>
        <v>0</v>
      </c>
      <c r="H78" s="858" t="s">
        <v>75</v>
      </c>
      <c r="I78" s="859">
        <v>100</v>
      </c>
      <c r="J78" s="858" t="s">
        <v>435</v>
      </c>
      <c r="K78" s="857">
        <v>1</v>
      </c>
      <c r="L78" s="857" t="s">
        <v>76</v>
      </c>
      <c r="M78" s="857" t="s">
        <v>77</v>
      </c>
      <c r="N78" s="855">
        <v>0</v>
      </c>
      <c r="O78" s="855">
        <v>0</v>
      </c>
      <c r="P78" s="854" t="s">
        <v>106</v>
      </c>
      <c r="Q78" s="860"/>
      <c r="R78" s="855">
        <v>1</v>
      </c>
      <c r="S78" s="855">
        <v>0</v>
      </c>
      <c r="T78" s="855">
        <v>0</v>
      </c>
      <c r="U78" s="855">
        <v>0</v>
      </c>
      <c r="V78" s="855">
        <v>0</v>
      </c>
      <c r="W78" s="855"/>
      <c r="X78" s="861"/>
      <c r="Y78" s="1048"/>
      <c r="Z78" s="1003" t="str">
        <f>IF(Tables!F33="","",Tables!F33)</f>
        <v/>
      </c>
      <c r="AA78" s="1003" t="str">
        <f>IF(OR(Tables!$A$1="",AND(Tables!G33="",Tables!L33="",Tables!M33="")),"",CHOOSE(Tables!$A$1,Tables!G33,Tables!L33,Tables!M33))</f>
        <v/>
      </c>
      <c r="AB78" s="1003" t="str">
        <f>IF(OR(Tables!$A$1="",AND(Tables!H33="",Tables!K33="",Tables!N33="")),"",CHOOSE(Tables!$A$1,Tables!H33,Tables!K33,Tables!N33/1000))</f>
        <v/>
      </c>
      <c r="AC78" s="1003" t="str">
        <f>IF(OR(Tables!$A$1="",AND(Tables!I33="",Tables!J33="",Tables!O33="")),"",CHOOSE(Tables!$A$1,Tables!I33,Tables!J33,Tables!O33))</f>
        <v/>
      </c>
      <c r="AD78" s="794"/>
      <c r="AE78" s="870" t="s">
        <v>610</v>
      </c>
    </row>
    <row r="79" spans="1:31">
      <c r="A79" s="854" t="s">
        <v>74</v>
      </c>
      <c r="B79" s="855">
        <f>Tables!A34</f>
        <v>80</v>
      </c>
      <c r="C79" s="855">
        <f>Tables!B34</f>
        <v>110</v>
      </c>
      <c r="D79" s="856">
        <f>Tables!C34</f>
        <v>0.1</v>
      </c>
      <c r="E79" s="857">
        <f>Tables!D34</f>
        <v>11</v>
      </c>
      <c r="F79" s="865" t="s">
        <v>25</v>
      </c>
      <c r="G79" s="858">
        <f>Tables!E34</f>
        <v>0</v>
      </c>
      <c r="H79" s="858" t="s">
        <v>75</v>
      </c>
      <c r="I79" s="859">
        <v>100</v>
      </c>
      <c r="J79" s="858" t="s">
        <v>435</v>
      </c>
      <c r="K79" s="857">
        <v>1</v>
      </c>
      <c r="L79" s="857" t="s">
        <v>76</v>
      </c>
      <c r="M79" s="857" t="s">
        <v>77</v>
      </c>
      <c r="N79" s="855">
        <v>0</v>
      </c>
      <c r="O79" s="855">
        <v>0</v>
      </c>
      <c r="P79" s="854" t="s">
        <v>106</v>
      </c>
      <c r="Q79" s="860"/>
      <c r="R79" s="855">
        <v>1</v>
      </c>
      <c r="S79" s="855">
        <v>0</v>
      </c>
      <c r="T79" s="855">
        <v>0</v>
      </c>
      <c r="U79" s="855">
        <v>0</v>
      </c>
      <c r="V79" s="855">
        <v>0</v>
      </c>
      <c r="W79" s="855"/>
      <c r="X79" s="861"/>
      <c r="Y79" s="1048"/>
      <c r="Z79" s="1003" t="str">
        <f>IF(Tables!F34="","",Tables!F34)</f>
        <v/>
      </c>
      <c r="AA79" s="1003" t="str">
        <f>IF(OR(Tables!$A$1="",AND(Tables!G34="",Tables!L34="",Tables!M34="")),"",CHOOSE(Tables!$A$1,Tables!G34,Tables!L34,Tables!M34))</f>
        <v/>
      </c>
      <c r="AB79" s="1003" t="str">
        <f>IF(OR(Tables!$A$1="",AND(Tables!H34="",Tables!K34="",Tables!N34="")),"",CHOOSE(Tables!$A$1,Tables!H34,Tables!K34,Tables!N34/1000))</f>
        <v/>
      </c>
      <c r="AC79" s="1003" t="str">
        <f>IF(OR(Tables!$A$1="",AND(Tables!I34="",Tables!J34="",Tables!O34="")),"",CHOOSE(Tables!$A$1,Tables!I34,Tables!J34,Tables!O34))</f>
        <v/>
      </c>
      <c r="AD79" s="794"/>
      <c r="AE79" s="870" t="s">
        <v>610</v>
      </c>
    </row>
    <row r="80" spans="1:31">
      <c r="A80" s="854" t="s">
        <v>74</v>
      </c>
      <c r="B80" s="855">
        <f>Tables!A35</f>
        <v>80</v>
      </c>
      <c r="C80" s="855">
        <f>Tables!B35</f>
        <v>250</v>
      </c>
      <c r="D80" s="856">
        <f>Tables!C35</f>
        <v>0.1</v>
      </c>
      <c r="E80" s="857">
        <f>Tables!D35</f>
        <v>25</v>
      </c>
      <c r="F80" s="865" t="s">
        <v>25</v>
      </c>
      <c r="G80" s="858">
        <f>Tables!E35</f>
        <v>0</v>
      </c>
      <c r="H80" s="858" t="s">
        <v>75</v>
      </c>
      <c r="I80" s="859">
        <v>100</v>
      </c>
      <c r="J80" s="858" t="s">
        <v>435</v>
      </c>
      <c r="K80" s="857">
        <v>1</v>
      </c>
      <c r="L80" s="857" t="s">
        <v>270</v>
      </c>
      <c r="M80" s="857" t="s">
        <v>77</v>
      </c>
      <c r="N80" s="855">
        <v>0</v>
      </c>
      <c r="O80" s="855">
        <v>0</v>
      </c>
      <c r="P80" s="854" t="s">
        <v>106</v>
      </c>
      <c r="Q80" s="860"/>
      <c r="R80" s="855">
        <v>1</v>
      </c>
      <c r="S80" s="855">
        <v>0</v>
      </c>
      <c r="T80" s="855">
        <v>0</v>
      </c>
      <c r="U80" s="855">
        <v>0</v>
      </c>
      <c r="V80" s="855">
        <v>0</v>
      </c>
      <c r="W80" s="855"/>
      <c r="X80" s="861"/>
      <c r="Y80" s="1048"/>
      <c r="Z80" s="1003" t="str">
        <f>IF(Tables!F35="","",Tables!F35)</f>
        <v/>
      </c>
      <c r="AA80" s="1003" t="str">
        <f>IF(OR(Tables!$A$1="",AND(Tables!G35="",Tables!L35="",Tables!M35="")),"",CHOOSE(Tables!$A$1,Tables!G35,Tables!L35,Tables!M35))</f>
        <v/>
      </c>
      <c r="AB80" s="1003" t="str">
        <f>IF(OR(Tables!$A$1="",AND(Tables!H35="",Tables!K35="",Tables!N35="")),"",CHOOSE(Tables!$A$1,Tables!H35,Tables!K35,Tables!N35/1000))</f>
        <v/>
      </c>
      <c r="AC80" s="1003" t="str">
        <f>IF(OR(Tables!$A$1="",AND(Tables!I35="",Tables!J35="",Tables!O35="")),"",CHOOSE(Tables!$A$1,Tables!I35,Tables!J35,Tables!O35))</f>
        <v/>
      </c>
      <c r="AD80" s="794"/>
      <c r="AE80" s="870" t="s">
        <v>610</v>
      </c>
    </row>
    <row r="81" spans="1:31">
      <c r="A81" s="854" t="s">
        <v>74</v>
      </c>
      <c r="B81" s="855">
        <f>Tables!A36</f>
        <v>80</v>
      </c>
      <c r="C81" s="855">
        <f>Tables!B36</f>
        <v>50</v>
      </c>
      <c r="D81" s="856">
        <f>Tables!C36</f>
        <v>0.1</v>
      </c>
      <c r="E81" s="857">
        <f>Tables!D36</f>
        <v>5</v>
      </c>
      <c r="F81" s="865" t="s">
        <v>25</v>
      </c>
      <c r="G81" s="858">
        <f>Tables!E36</f>
        <v>0</v>
      </c>
      <c r="H81" s="858" t="s">
        <v>75</v>
      </c>
      <c r="I81" s="859">
        <v>100</v>
      </c>
      <c r="J81" s="858" t="s">
        <v>435</v>
      </c>
      <c r="K81" s="857">
        <v>1</v>
      </c>
      <c r="L81" s="857" t="s">
        <v>270</v>
      </c>
      <c r="M81" s="857" t="s">
        <v>77</v>
      </c>
      <c r="N81" s="855">
        <v>0</v>
      </c>
      <c r="O81" s="855">
        <v>0</v>
      </c>
      <c r="P81" s="854" t="s">
        <v>106</v>
      </c>
      <c r="Q81" s="860"/>
      <c r="R81" s="855">
        <v>1</v>
      </c>
      <c r="S81" s="855">
        <v>0</v>
      </c>
      <c r="T81" s="855">
        <v>0</v>
      </c>
      <c r="U81" s="855">
        <v>0</v>
      </c>
      <c r="V81" s="855">
        <v>0</v>
      </c>
      <c r="W81" s="855"/>
      <c r="X81" s="861"/>
      <c r="Y81" s="1048"/>
      <c r="Z81" s="1003" t="str">
        <f>IF(Tables!F36="","",Tables!F36)</f>
        <v/>
      </c>
      <c r="AA81" s="1003" t="str">
        <f>IF(OR(Tables!$A$1="",AND(Tables!G36="",Tables!L36="",Tables!M36="")),"",CHOOSE(Tables!$A$1,Tables!G36,Tables!L36,Tables!M36))</f>
        <v/>
      </c>
      <c r="AB81" s="1003" t="str">
        <f>IF(OR(Tables!$A$1="",AND(Tables!H36="",Tables!K36="",Tables!N36="")),"",CHOOSE(Tables!$A$1,Tables!H36,Tables!K36,Tables!N36/1000))</f>
        <v/>
      </c>
      <c r="AC81" s="1003" t="str">
        <f>IF(OR(Tables!$A$1="",AND(Tables!I36="",Tables!J36="",Tables!O36="")),"",CHOOSE(Tables!$A$1,Tables!I36,Tables!J36,Tables!O36))</f>
        <v/>
      </c>
      <c r="AD81" s="794"/>
      <c r="AE81" s="870" t="s">
        <v>610</v>
      </c>
    </row>
    <row r="82" spans="1:31">
      <c r="A82" s="854" t="s">
        <v>74</v>
      </c>
      <c r="B82" s="855">
        <f>Tables!A37</f>
        <v>80</v>
      </c>
      <c r="C82" s="855">
        <f>Tables!B37</f>
        <v>160</v>
      </c>
      <c r="D82" s="856">
        <f>Tables!C37</f>
        <v>0.1</v>
      </c>
      <c r="E82" s="857">
        <f>Tables!D37</f>
        <v>16</v>
      </c>
      <c r="F82" s="865" t="s">
        <v>25</v>
      </c>
      <c r="G82" s="858">
        <f>Tables!E37</f>
        <v>0</v>
      </c>
      <c r="H82" s="858" t="s">
        <v>75</v>
      </c>
      <c r="I82" s="859">
        <v>100</v>
      </c>
      <c r="J82" s="858" t="s">
        <v>435</v>
      </c>
      <c r="K82" s="857">
        <v>1</v>
      </c>
      <c r="L82" s="857" t="s">
        <v>76</v>
      </c>
      <c r="M82" s="857" t="s">
        <v>77</v>
      </c>
      <c r="N82" s="855">
        <v>0</v>
      </c>
      <c r="O82" s="855">
        <v>0</v>
      </c>
      <c r="P82" s="854" t="s">
        <v>106</v>
      </c>
      <c r="Q82" s="860"/>
      <c r="R82" s="855">
        <v>1</v>
      </c>
      <c r="S82" s="855">
        <v>0</v>
      </c>
      <c r="T82" s="855">
        <v>0</v>
      </c>
      <c r="U82" s="855">
        <v>0</v>
      </c>
      <c r="V82" s="855">
        <v>0</v>
      </c>
      <c r="W82" s="855"/>
      <c r="X82" s="861"/>
      <c r="Y82" s="1048"/>
      <c r="Z82" s="1003" t="str">
        <f>IF(Tables!F37="","",Tables!F37)</f>
        <v/>
      </c>
      <c r="AA82" s="1003" t="str">
        <f>IF(OR(Tables!$A$1="",AND(Tables!G37="",Tables!L37="",Tables!M37="")),"",CHOOSE(Tables!$A$1,Tables!G37,Tables!L37,Tables!M37))</f>
        <v/>
      </c>
      <c r="AB82" s="1003" t="str">
        <f>IF(OR(Tables!$A$1="",AND(Tables!H37="",Tables!K37="",Tables!N37="")),"",CHOOSE(Tables!$A$1,Tables!H37,Tables!K37,Tables!N37/1000))</f>
        <v/>
      </c>
      <c r="AC82" s="1003" t="str">
        <f>IF(OR(Tables!$A$1="",AND(Tables!I37="",Tables!J37="",Tables!O37="")),"",CHOOSE(Tables!$A$1,Tables!I37,Tables!J37,Tables!O37))</f>
        <v/>
      </c>
      <c r="AD82" s="794"/>
      <c r="AE82" s="870" t="s">
        <v>610</v>
      </c>
    </row>
    <row r="83" spans="1:31">
      <c r="A83" s="854" t="s">
        <v>74</v>
      </c>
      <c r="B83" s="855">
        <f>Tables!A38</f>
        <v>110</v>
      </c>
      <c r="C83" s="855">
        <f>Tables!B38</f>
        <v>100</v>
      </c>
      <c r="D83" s="856">
        <f>Tables!C38</f>
        <v>0.1</v>
      </c>
      <c r="E83" s="857">
        <f>Tables!D38</f>
        <v>10</v>
      </c>
      <c r="F83" s="858" t="s">
        <v>25</v>
      </c>
      <c r="G83" s="858">
        <f>Tables!E38</f>
        <v>0</v>
      </c>
      <c r="H83" s="858" t="s">
        <v>75</v>
      </c>
      <c r="I83" s="859">
        <v>100</v>
      </c>
      <c r="J83" s="858" t="s">
        <v>435</v>
      </c>
      <c r="K83" s="857">
        <v>1</v>
      </c>
      <c r="L83" s="857" t="s">
        <v>76</v>
      </c>
      <c r="M83" s="857" t="s">
        <v>77</v>
      </c>
      <c r="N83" s="855">
        <v>0</v>
      </c>
      <c r="O83" s="855">
        <v>0</v>
      </c>
      <c r="P83" s="854" t="s">
        <v>106</v>
      </c>
      <c r="Q83" s="860"/>
      <c r="R83" s="855">
        <v>0</v>
      </c>
      <c r="S83" s="855">
        <v>1</v>
      </c>
      <c r="T83" s="855">
        <v>0</v>
      </c>
      <c r="U83" s="855">
        <v>0</v>
      </c>
      <c r="V83" s="855">
        <v>0</v>
      </c>
      <c r="W83" s="855"/>
      <c r="X83" s="861"/>
      <c r="Y83" s="1048"/>
      <c r="Z83" s="1003" t="str">
        <f>IF(Tables!F38="","",Tables!F38)</f>
        <v/>
      </c>
      <c r="AA83" s="1003" t="str">
        <f>IF(OR(Tables!$A$1="",AND(Tables!G38="",Tables!L38="",Tables!M38="")),"",CHOOSE(Tables!$A$1,Tables!G38,Tables!L38,Tables!M38))</f>
        <v/>
      </c>
      <c r="AB83" s="1003" t="str">
        <f>IF(OR(Tables!$A$1="",AND(Tables!H38="",Tables!K38="",Tables!N38="")),"",CHOOSE(Tables!$A$1,Tables!H38,Tables!K38,Tables!N38/1000))</f>
        <v/>
      </c>
      <c r="AC83" s="1003" t="str">
        <f>IF(OR(Tables!$A$1="",AND(Tables!I38="",Tables!J38="",Tables!O38="")),"",CHOOSE(Tables!$A$1,Tables!I38,Tables!J38,Tables!O38))</f>
        <v/>
      </c>
      <c r="AD83" s="794"/>
      <c r="AE83" s="874" t="s">
        <v>614</v>
      </c>
    </row>
    <row r="84" spans="1:31">
      <c r="A84" s="854" t="s">
        <v>74</v>
      </c>
      <c r="B84" s="855">
        <f>Tables!A39</f>
        <v>130</v>
      </c>
      <c r="C84" s="855">
        <f>Tables!B39</f>
        <v>100</v>
      </c>
      <c r="D84" s="856">
        <f>Tables!C39</f>
        <v>0.1</v>
      </c>
      <c r="E84" s="857">
        <f>Tables!D39</f>
        <v>10</v>
      </c>
      <c r="F84" s="858" t="s">
        <v>103</v>
      </c>
      <c r="G84" s="858">
        <f>Tables!E39</f>
        <v>0</v>
      </c>
      <c r="H84" s="858" t="s">
        <v>75</v>
      </c>
      <c r="I84" s="859">
        <v>100</v>
      </c>
      <c r="J84" s="858" t="s">
        <v>435</v>
      </c>
      <c r="K84" s="857">
        <v>1</v>
      </c>
      <c r="L84" s="857" t="s">
        <v>76</v>
      </c>
      <c r="M84" s="857" t="s">
        <v>77</v>
      </c>
      <c r="N84" s="855">
        <v>0</v>
      </c>
      <c r="O84" s="855">
        <v>0</v>
      </c>
      <c r="P84" s="854" t="s">
        <v>106</v>
      </c>
      <c r="Q84" s="860"/>
      <c r="R84" s="855">
        <v>0</v>
      </c>
      <c r="S84" s="855">
        <v>1</v>
      </c>
      <c r="T84" s="855">
        <v>0</v>
      </c>
      <c r="U84" s="855">
        <v>0</v>
      </c>
      <c r="V84" s="855">
        <v>0</v>
      </c>
      <c r="W84" s="855"/>
      <c r="X84" s="861"/>
      <c r="Y84" s="1048"/>
      <c r="Z84" s="1003" t="str">
        <f>IF(Tables!F39="","",Tables!F39)</f>
        <v/>
      </c>
      <c r="AA84" s="1003" t="str">
        <f>IF(OR(Tables!$A$1="",AND(Tables!G39="",Tables!L39="",Tables!M39="")),"",CHOOSE(Tables!$A$1,Tables!G39,Tables!L39,Tables!M39))</f>
        <v/>
      </c>
      <c r="AB84" s="1003" t="str">
        <f>IF(OR(Tables!$A$1="",AND(Tables!H39="",Tables!K39="",Tables!N39="")),"",CHOOSE(Tables!$A$1,Tables!H39,Tables!K39,Tables!N39/1000))</f>
        <v/>
      </c>
      <c r="AC84" s="1003" t="str">
        <f>IF(OR(Tables!$A$1="",AND(Tables!I39="",Tables!J39="",Tables!O39="")),"",CHOOSE(Tables!$A$1,Tables!I39,Tables!J39,Tables!O39))</f>
        <v/>
      </c>
      <c r="AD84" s="794"/>
      <c r="AE84" s="874" t="s">
        <v>614</v>
      </c>
    </row>
    <row r="85" spans="1:31">
      <c r="A85" s="664" t="s">
        <v>74</v>
      </c>
      <c r="B85" s="654">
        <f>Tables!A40</f>
        <v>80</v>
      </c>
      <c r="C85" s="654">
        <f>Tables!B40</f>
        <v>200</v>
      </c>
      <c r="D85" s="655">
        <f>Tables!C40</f>
        <v>0.01</v>
      </c>
      <c r="E85" s="653">
        <f>Tables!D40</f>
        <v>2</v>
      </c>
      <c r="F85" s="656" t="s">
        <v>25</v>
      </c>
      <c r="G85" s="656">
        <f>Tables!E40</f>
        <v>0</v>
      </c>
      <c r="H85" s="656" t="s">
        <v>75</v>
      </c>
      <c r="I85" s="657">
        <v>100</v>
      </c>
      <c r="J85" s="656" t="s">
        <v>435</v>
      </c>
      <c r="K85" s="653">
        <v>1</v>
      </c>
      <c r="L85" s="658" t="s">
        <v>76</v>
      </c>
      <c r="M85" s="658" t="s">
        <v>77</v>
      </c>
      <c r="N85" s="659">
        <v>0</v>
      </c>
      <c r="O85" s="659">
        <v>1</v>
      </c>
      <c r="P85" s="658" t="s">
        <v>78</v>
      </c>
      <c r="Q85" s="658"/>
      <c r="R85" s="659">
        <v>0</v>
      </c>
      <c r="S85" s="659">
        <v>1</v>
      </c>
      <c r="T85" s="659">
        <v>0</v>
      </c>
      <c r="U85" s="659">
        <v>0</v>
      </c>
      <c r="V85" s="659">
        <v>0</v>
      </c>
      <c r="W85" s="659"/>
      <c r="X85" s="660"/>
      <c r="Y85" s="1046"/>
      <c r="Z85" s="1001" t="str">
        <f>IF(Tables!F40="","",Tables!F40)</f>
        <v/>
      </c>
      <c r="AA85" s="1001" t="str">
        <f>IF(OR(Tables!$A$1="",AND(Tables!G40="",Tables!L40="",Tables!M40="")),"",CHOOSE(Tables!$A$1,Tables!G40,Tables!L40,Tables!M40))</f>
        <v/>
      </c>
      <c r="AB85" s="1001" t="str">
        <f>IF(OR(Tables!$A$1="",AND(Tables!H40="",Tables!K40="",Tables!N40="")),"",CHOOSE(Tables!$A$1,Tables!H40,Tables!K40,Tables!N40/1000))</f>
        <v/>
      </c>
      <c r="AC85" s="1001" t="str">
        <f>IF(OR(Tables!$A$1="",AND(Tables!I40="",Tables!J40="",Tables!O40="")),"",CHOOSE(Tables!$A$1,Tables!I40,Tables!J40,Tables!O40))</f>
        <v/>
      </c>
      <c r="AD85" s="21"/>
      <c r="AE85" s="875" t="s">
        <v>613</v>
      </c>
    </row>
    <row r="86" spans="1:31">
      <c r="A86" s="664" t="s">
        <v>74</v>
      </c>
      <c r="B86" s="654">
        <f>Tables!A41</f>
        <v>80</v>
      </c>
      <c r="C86" s="654">
        <f>Tables!B41</f>
        <v>200</v>
      </c>
      <c r="D86" s="655">
        <f>Tables!C41</f>
        <v>0.02</v>
      </c>
      <c r="E86" s="653">
        <f>Tables!D41</f>
        <v>4</v>
      </c>
      <c r="F86" s="656" t="s">
        <v>25</v>
      </c>
      <c r="G86" s="656">
        <f>Tables!E41</f>
        <v>0</v>
      </c>
      <c r="H86" s="656" t="s">
        <v>75</v>
      </c>
      <c r="I86" s="657">
        <v>100</v>
      </c>
      <c r="J86" s="656" t="s">
        <v>435</v>
      </c>
      <c r="K86" s="653">
        <v>1</v>
      </c>
      <c r="L86" s="658" t="s">
        <v>76</v>
      </c>
      <c r="M86" s="658" t="s">
        <v>77</v>
      </c>
      <c r="N86" s="659">
        <v>0</v>
      </c>
      <c r="O86" s="659">
        <v>1</v>
      </c>
      <c r="P86" s="658" t="s">
        <v>78</v>
      </c>
      <c r="Q86" s="658"/>
      <c r="R86" s="659">
        <v>0</v>
      </c>
      <c r="S86" s="659">
        <v>1</v>
      </c>
      <c r="T86" s="659">
        <v>0</v>
      </c>
      <c r="U86" s="659">
        <v>0</v>
      </c>
      <c r="V86" s="659">
        <v>0</v>
      </c>
      <c r="W86" s="659"/>
      <c r="X86" s="660"/>
      <c r="Y86" s="1046"/>
      <c r="Z86" s="1001" t="str">
        <f>IF(Tables!F41="","",Tables!F41)</f>
        <v/>
      </c>
      <c r="AA86" s="1001" t="str">
        <f>IF(OR(Tables!$A$1="",AND(Tables!G41="",Tables!L41="",Tables!M41="")),"",CHOOSE(Tables!$A$1,Tables!G41,Tables!L41,Tables!M41))</f>
        <v/>
      </c>
      <c r="AB86" s="1001" t="str">
        <f>IF(OR(Tables!$A$1="",AND(Tables!H41="",Tables!K41="",Tables!N41="")),"",CHOOSE(Tables!$A$1,Tables!H41,Tables!K41,Tables!N41/1000))</f>
        <v/>
      </c>
      <c r="AC86" s="1001" t="str">
        <f>IF(OR(Tables!$A$1="",AND(Tables!I41="",Tables!J41="",Tables!O41="")),"",CHOOSE(Tables!$A$1,Tables!I41,Tables!J41,Tables!O41))</f>
        <v/>
      </c>
      <c r="AD86" s="21"/>
      <c r="AE86" s="875" t="s">
        <v>613</v>
      </c>
    </row>
    <row r="87" spans="1:31">
      <c r="A87" s="664" t="s">
        <v>74</v>
      </c>
      <c r="B87" s="654">
        <f>Tables!A42</f>
        <v>80</v>
      </c>
      <c r="C87" s="654">
        <f>Tables!B42</f>
        <v>200</v>
      </c>
      <c r="D87" s="655">
        <f>Tables!C42</f>
        <v>0.04</v>
      </c>
      <c r="E87" s="653">
        <f>Tables!D42</f>
        <v>8</v>
      </c>
      <c r="F87" s="656" t="s">
        <v>25</v>
      </c>
      <c r="G87" s="656">
        <f>Tables!E42</f>
        <v>0</v>
      </c>
      <c r="H87" s="656" t="s">
        <v>75</v>
      </c>
      <c r="I87" s="657">
        <v>100</v>
      </c>
      <c r="J87" s="656" t="s">
        <v>435</v>
      </c>
      <c r="K87" s="653">
        <v>1</v>
      </c>
      <c r="L87" s="658" t="s">
        <v>76</v>
      </c>
      <c r="M87" s="658" t="s">
        <v>77</v>
      </c>
      <c r="N87" s="659">
        <v>0</v>
      </c>
      <c r="O87" s="659">
        <v>1</v>
      </c>
      <c r="P87" s="658" t="s">
        <v>78</v>
      </c>
      <c r="Q87" s="658"/>
      <c r="R87" s="659">
        <v>0</v>
      </c>
      <c r="S87" s="659">
        <v>1</v>
      </c>
      <c r="T87" s="659">
        <v>0</v>
      </c>
      <c r="U87" s="659">
        <v>0</v>
      </c>
      <c r="V87" s="659">
        <v>0</v>
      </c>
      <c r="W87" s="659"/>
      <c r="X87" s="660"/>
      <c r="Y87" s="1046"/>
      <c r="Z87" s="1001" t="str">
        <f>IF(Tables!F42="","",Tables!F42)</f>
        <v/>
      </c>
      <c r="AA87" s="1001" t="str">
        <f>IF(OR(Tables!$A$1="",AND(Tables!G42="",Tables!L42="",Tables!M42="")),"",CHOOSE(Tables!$A$1,Tables!G42,Tables!L42,Tables!M42))</f>
        <v/>
      </c>
      <c r="AB87" s="1001" t="str">
        <f>IF(OR(Tables!$A$1="",AND(Tables!H42="",Tables!K42="",Tables!N42="")),"",CHOOSE(Tables!$A$1,Tables!H42,Tables!K42,Tables!N42/1000))</f>
        <v/>
      </c>
      <c r="AC87" s="1001" t="str">
        <f>IF(OR(Tables!$A$1="",AND(Tables!I42="",Tables!J42="",Tables!O42="")),"",CHOOSE(Tables!$A$1,Tables!I42,Tables!J42,Tables!O42))</f>
        <v/>
      </c>
      <c r="AD87" s="21"/>
      <c r="AE87" s="875" t="s">
        <v>613</v>
      </c>
    </row>
    <row r="88" spans="1:31">
      <c r="A88" s="664" t="s">
        <v>74</v>
      </c>
      <c r="B88" s="654">
        <f>Tables!A43</f>
        <v>80</v>
      </c>
      <c r="C88" s="654">
        <f>Tables!B43</f>
        <v>200</v>
      </c>
      <c r="D88" s="655">
        <f>Tables!C43</f>
        <v>0.1</v>
      </c>
      <c r="E88" s="653">
        <f>Tables!D43</f>
        <v>20</v>
      </c>
      <c r="F88" s="656" t="s">
        <v>25</v>
      </c>
      <c r="G88" s="656">
        <f>Tables!E43</f>
        <v>0</v>
      </c>
      <c r="H88" s="656" t="s">
        <v>75</v>
      </c>
      <c r="I88" s="657">
        <v>100</v>
      </c>
      <c r="J88" s="656" t="s">
        <v>435</v>
      </c>
      <c r="K88" s="653">
        <v>1</v>
      </c>
      <c r="L88" s="658" t="s">
        <v>76</v>
      </c>
      <c r="M88" s="658" t="s">
        <v>77</v>
      </c>
      <c r="N88" s="659">
        <v>0</v>
      </c>
      <c r="O88" s="659">
        <v>0</v>
      </c>
      <c r="P88" s="658" t="s">
        <v>78</v>
      </c>
      <c r="Q88" s="658"/>
      <c r="R88" s="659">
        <v>0</v>
      </c>
      <c r="S88" s="659">
        <v>1</v>
      </c>
      <c r="T88" s="659">
        <v>0</v>
      </c>
      <c r="U88" s="659">
        <v>0</v>
      </c>
      <c r="V88" s="659">
        <v>0</v>
      </c>
      <c r="W88" s="659"/>
      <c r="X88" s="660"/>
      <c r="Y88" s="1046"/>
      <c r="Z88" s="1001" t="str">
        <f>IF(Tables!F43="","",Tables!F43)</f>
        <v/>
      </c>
      <c r="AA88" s="1001" t="str">
        <f>IF(OR(Tables!$A$1="",AND(Tables!G43="",Tables!L43="",Tables!M43="")),"",CHOOSE(Tables!$A$1,Tables!G43,Tables!L43,Tables!M43))</f>
        <v/>
      </c>
      <c r="AB88" s="1001" t="str">
        <f>IF(OR(Tables!$A$1="",AND(Tables!H43="",Tables!K43="",Tables!N43="")),"",CHOOSE(Tables!$A$1,Tables!H43,Tables!K43,Tables!N43/1000))</f>
        <v/>
      </c>
      <c r="AC88" s="1001" t="str">
        <f>IF(OR(Tables!$A$1="",AND(Tables!I43="",Tables!J43="",Tables!O43="")),"",CHOOSE(Tables!$A$1,Tables!I43,Tables!J43,Tables!O43))</f>
        <v/>
      </c>
      <c r="AD88" s="21"/>
      <c r="AE88" s="875" t="s">
        <v>613</v>
      </c>
    </row>
    <row r="89" spans="1:31">
      <c r="A89" s="664" t="s">
        <v>74</v>
      </c>
      <c r="B89" s="654">
        <f>Tables!A44</f>
        <v>80</v>
      </c>
      <c r="C89" s="654">
        <f>Tables!B44</f>
        <v>200</v>
      </c>
      <c r="D89" s="655">
        <f>Tables!C44</f>
        <v>0.25</v>
      </c>
      <c r="E89" s="653">
        <f>Tables!D44</f>
        <v>50</v>
      </c>
      <c r="F89" s="656" t="s">
        <v>25</v>
      </c>
      <c r="G89" s="656">
        <f>Tables!E44</f>
        <v>0</v>
      </c>
      <c r="H89" s="656" t="s">
        <v>75</v>
      </c>
      <c r="I89" s="657">
        <v>100</v>
      </c>
      <c r="J89" s="656" t="s">
        <v>435</v>
      </c>
      <c r="K89" s="653">
        <v>1</v>
      </c>
      <c r="L89" s="658" t="s">
        <v>76</v>
      </c>
      <c r="M89" s="658" t="s">
        <v>77</v>
      </c>
      <c r="N89" s="659">
        <v>0</v>
      </c>
      <c r="O89" s="659">
        <v>0</v>
      </c>
      <c r="P89" s="658" t="s">
        <v>78</v>
      </c>
      <c r="Q89" s="658"/>
      <c r="R89" s="659">
        <v>0</v>
      </c>
      <c r="S89" s="659">
        <v>1</v>
      </c>
      <c r="T89" s="659">
        <v>0</v>
      </c>
      <c r="U89" s="659">
        <v>0</v>
      </c>
      <c r="V89" s="659">
        <v>0</v>
      </c>
      <c r="W89" s="659"/>
      <c r="X89" s="660"/>
      <c r="Y89" s="1046"/>
      <c r="Z89" s="1001" t="str">
        <f>IF(Tables!F44="","",Tables!F44)</f>
        <v/>
      </c>
      <c r="AA89" s="1001" t="str">
        <f>IF(OR(Tables!$A$1="",AND(Tables!G44="",Tables!L44="",Tables!M44="")),"",CHOOSE(Tables!$A$1,Tables!G44,Tables!L44,Tables!M44))</f>
        <v/>
      </c>
      <c r="AB89" s="1001" t="str">
        <f>IF(OR(Tables!$A$1="",AND(Tables!H44="",Tables!K44="",Tables!N44="")),"",CHOOSE(Tables!$A$1,Tables!H44,Tables!K44,Tables!N44/1000))</f>
        <v/>
      </c>
      <c r="AC89" s="1001" t="str">
        <f>IF(OR(Tables!$A$1="",AND(Tables!I44="",Tables!J44="",Tables!O44="")),"",CHOOSE(Tables!$A$1,Tables!I44,Tables!J44,Tables!O44))</f>
        <v/>
      </c>
      <c r="AD89" s="665"/>
      <c r="AE89" s="875" t="s">
        <v>613</v>
      </c>
    </row>
    <row r="90" spans="1:31">
      <c r="A90" s="664" t="s">
        <v>74</v>
      </c>
      <c r="B90" s="654">
        <f>Tables!A45</f>
        <v>80</v>
      </c>
      <c r="C90" s="654">
        <f>Tables!B45</f>
        <v>200</v>
      </c>
      <c r="D90" s="655">
        <f>Tables!C45</f>
        <v>0.4</v>
      </c>
      <c r="E90" s="653">
        <f>Tables!D45</f>
        <v>80</v>
      </c>
      <c r="F90" s="656" t="s">
        <v>25</v>
      </c>
      <c r="G90" s="656">
        <f>Tables!E45</f>
        <v>0</v>
      </c>
      <c r="H90" s="656" t="s">
        <v>75</v>
      </c>
      <c r="I90" s="657">
        <v>100</v>
      </c>
      <c r="J90" s="656" t="s">
        <v>435</v>
      </c>
      <c r="K90" s="653">
        <v>1</v>
      </c>
      <c r="L90" s="658" t="s">
        <v>76</v>
      </c>
      <c r="M90" s="658" t="s">
        <v>77</v>
      </c>
      <c r="N90" s="659">
        <v>0</v>
      </c>
      <c r="O90" s="659">
        <v>0</v>
      </c>
      <c r="P90" s="658" t="s">
        <v>78</v>
      </c>
      <c r="Q90" s="658"/>
      <c r="R90" s="659">
        <v>0</v>
      </c>
      <c r="S90" s="659">
        <v>1</v>
      </c>
      <c r="T90" s="659">
        <v>0</v>
      </c>
      <c r="U90" s="659">
        <v>0</v>
      </c>
      <c r="V90" s="659">
        <v>0</v>
      </c>
      <c r="W90" s="659"/>
      <c r="X90" s="660"/>
      <c r="Y90" s="1046"/>
      <c r="Z90" s="1001" t="str">
        <f>IF(Tables!F45="","",Tables!F45)</f>
        <v/>
      </c>
      <c r="AA90" s="1001" t="str">
        <f>IF(OR(Tables!$A$1="",AND(Tables!G45="",Tables!L45="",Tables!M45="")),"",CHOOSE(Tables!$A$1,Tables!G45,Tables!L45,Tables!M45))</f>
        <v/>
      </c>
      <c r="AB90" s="1001" t="str">
        <f>IF(OR(Tables!$A$1="",AND(Tables!H45="",Tables!K45="",Tables!N45="")),"",CHOOSE(Tables!$A$1,Tables!H45,Tables!K45,Tables!N45/1000))</f>
        <v/>
      </c>
      <c r="AC90" s="1001" t="str">
        <f>IF(OR(Tables!$A$1="",AND(Tables!I45="",Tables!J45="",Tables!O45="")),"",CHOOSE(Tables!$A$1,Tables!I45,Tables!J45,Tables!O45))</f>
        <v/>
      </c>
      <c r="AD90" s="21"/>
      <c r="AE90" s="875" t="s">
        <v>613</v>
      </c>
    </row>
    <row r="92" spans="1:31">
      <c r="A92" s="127" t="s">
        <v>741</v>
      </c>
      <c r="B92" s="127"/>
      <c r="C92" s="127">
        <v>65</v>
      </c>
      <c r="D92" s="127">
        <v>70</v>
      </c>
      <c r="E92" s="127">
        <v>75</v>
      </c>
      <c r="F92" s="127">
        <v>80</v>
      </c>
      <c r="G92" s="127" t="s">
        <v>742</v>
      </c>
      <c r="I92" s="127" t="s">
        <v>769</v>
      </c>
      <c r="J92" s="127">
        <v>65</v>
      </c>
      <c r="K92" s="127">
        <v>70</v>
      </c>
      <c r="L92" s="127">
        <v>75</v>
      </c>
      <c r="M92" s="127">
        <v>80</v>
      </c>
      <c r="O92" s="1147" t="s">
        <v>770</v>
      </c>
      <c r="P92" s="127" t="s">
        <v>771</v>
      </c>
      <c r="Q92" s="127" t="s">
        <v>772</v>
      </c>
      <c r="R92" s="1141">
        <v>1</v>
      </c>
      <c r="S92" s="1141">
        <v>2</v>
      </c>
      <c r="T92" s="1141">
        <v>3</v>
      </c>
      <c r="U92" s="1141">
        <v>4</v>
      </c>
      <c r="V92" s="1141">
        <v>5</v>
      </c>
      <c r="W92" s="1141">
        <v>6</v>
      </c>
      <c r="X92" s="1141">
        <v>7</v>
      </c>
      <c r="Y92" s="1141">
        <v>8</v>
      </c>
      <c r="Z92" s="1141">
        <v>9</v>
      </c>
    </row>
    <row r="93" spans="1:31">
      <c r="A93" s="1141">
        <v>1</v>
      </c>
      <c r="B93" s="1142">
        <f>HLOOKUP(Gen_form!$N$542,$C$92:$F$111,A93+1)</f>
        <v>0.16700000000000001</v>
      </c>
      <c r="C93" s="1142">
        <v>0.188</v>
      </c>
      <c r="D93" s="1142">
        <v>0.16700000000000001</v>
      </c>
      <c r="E93" s="1142">
        <v>0.14899999999999999</v>
      </c>
      <c r="F93" s="1142">
        <v>0.13500000000000001</v>
      </c>
      <c r="G93" s="1142">
        <v>0.16</v>
      </c>
      <c r="I93" s="1142">
        <v>1.2E-2</v>
      </c>
      <c r="J93" s="1142">
        <v>1.1900000000000001E-2</v>
      </c>
      <c r="K93" s="1142">
        <v>1.0999999999999999E-2</v>
      </c>
      <c r="L93" s="1142">
        <v>1.03E-2</v>
      </c>
      <c r="M93" s="1142">
        <v>9.7000000000000003E-3</v>
      </c>
      <c r="O93" s="127" t="s">
        <v>728</v>
      </c>
      <c r="P93" s="127">
        <v>11.1</v>
      </c>
      <c r="Q93" s="1005">
        <f t="shared" ref="Q93:Q104" si="5">SQRT(PI()*(P93/2)^2)</f>
        <v>9.8371188725256129</v>
      </c>
      <c r="R93" s="1005">
        <v>0.16</v>
      </c>
      <c r="S93" s="1005">
        <v>0.123</v>
      </c>
      <c r="T93" s="1005">
        <v>8.5999999999999993E-2</v>
      </c>
      <c r="U93" s="1005">
        <v>6.6000000000000003E-2</v>
      </c>
      <c r="V93" s="1005">
        <v>4.4999999999999998E-2</v>
      </c>
      <c r="W93" s="1005">
        <v>3.2000000000000001E-2</v>
      </c>
      <c r="X93" s="1005">
        <v>2.3E-2</v>
      </c>
      <c r="Y93" s="1005">
        <v>1.6E-2</v>
      </c>
      <c r="Z93" s="1005">
        <v>1.2E-2</v>
      </c>
    </row>
    <row r="94" spans="1:31">
      <c r="A94" s="1141">
        <v>2</v>
      </c>
      <c r="B94" s="1142">
        <f>HLOOKUP(Gen_form!$N$542,$C$92:$F$111,A94+1)</f>
        <v>0.14799999999999999</v>
      </c>
      <c r="C94" s="1142">
        <v>0.16700000000000001</v>
      </c>
      <c r="D94" s="1142">
        <v>0.14799999999999999</v>
      </c>
      <c r="E94" s="1142">
        <v>0.13200000000000001</v>
      </c>
      <c r="F94" s="1142">
        <v>0.12</v>
      </c>
      <c r="G94" s="1142">
        <v>0.14499999999999999</v>
      </c>
      <c r="I94" s="1142">
        <v>1.6E-2</v>
      </c>
      <c r="J94" s="1142">
        <v>1.6799999999999999E-2</v>
      </c>
      <c r="K94" s="1142">
        <v>1.55E-2</v>
      </c>
      <c r="L94" s="1142">
        <v>1.4500000000000001E-2</v>
      </c>
      <c r="M94" s="1142">
        <v>1.38E-2</v>
      </c>
      <c r="O94" s="127" t="s">
        <v>729</v>
      </c>
      <c r="P94" s="127">
        <v>7.9</v>
      </c>
      <c r="Q94" s="1005">
        <f t="shared" si="5"/>
        <v>7.0011927110767882</v>
      </c>
      <c r="R94" s="1005">
        <v>0.16</v>
      </c>
      <c r="S94" s="1005">
        <v>0.123</v>
      </c>
      <c r="T94" s="1005">
        <v>8.5999999999999993E-2</v>
      </c>
      <c r="U94" s="1005">
        <v>6.6000000000000003E-2</v>
      </c>
      <c r="V94" s="1005">
        <v>4.4999999999999998E-2</v>
      </c>
      <c r="W94" s="1005">
        <v>3.2000000000000001E-2</v>
      </c>
      <c r="X94" s="1005">
        <v>2.3E-2</v>
      </c>
      <c r="Y94" s="1005">
        <v>1.6E-2</v>
      </c>
      <c r="Z94" s="1005">
        <v>1.2E-2</v>
      </c>
    </row>
    <row r="95" spans="1:31">
      <c r="A95" s="1141">
        <v>3</v>
      </c>
      <c r="B95" s="1142">
        <f>HLOOKUP(Gen_form!$N$542,$C$92:$F$111,A95+1)</f>
        <v>0.128</v>
      </c>
      <c r="C95" s="1142">
        <v>0.14499999999999999</v>
      </c>
      <c r="D95" s="1142">
        <v>0.128</v>
      </c>
      <c r="E95" s="1142">
        <v>0.114</v>
      </c>
      <c r="F95" s="1142">
        <v>0.104</v>
      </c>
      <c r="G95" s="1142">
        <v>0.123</v>
      </c>
      <c r="I95" s="1142">
        <v>2.3E-2</v>
      </c>
      <c r="J95" s="1142">
        <v>2.3199999999999998E-2</v>
      </c>
      <c r="K95" s="1142">
        <v>2.1499999999999998E-2</v>
      </c>
      <c r="L95" s="1142">
        <v>2.01E-2</v>
      </c>
      <c r="M95" s="1142">
        <v>1.9E-2</v>
      </c>
      <c r="O95" s="127" t="s">
        <v>730</v>
      </c>
      <c r="P95" s="127">
        <v>5.6</v>
      </c>
      <c r="Q95" s="1005">
        <f t="shared" si="5"/>
        <v>4.9628707825354441</v>
      </c>
      <c r="R95" s="1005">
        <v>0.16</v>
      </c>
      <c r="S95" s="1005">
        <v>0.123</v>
      </c>
      <c r="T95" s="1005">
        <v>8.5999999999999993E-2</v>
      </c>
      <c r="U95" s="1005">
        <v>6.6000000000000003E-2</v>
      </c>
      <c r="V95" s="1005">
        <v>4.4999999999999998E-2</v>
      </c>
      <c r="W95" s="1005">
        <v>3.2000000000000001E-2</v>
      </c>
      <c r="X95" s="1005">
        <v>2.3E-2</v>
      </c>
      <c r="Y95" s="1005">
        <v>1.6E-2</v>
      </c>
      <c r="Z95" s="1005">
        <v>1.2E-2</v>
      </c>
    </row>
    <row r="96" spans="1:31">
      <c r="A96" s="1141">
        <v>4</v>
      </c>
      <c r="B96" s="1142">
        <f>HLOOKUP(Gen_form!$N$542,$C$92:$F$111,A96+1)</f>
        <v>0.109</v>
      </c>
      <c r="C96" s="1142">
        <v>0.124</v>
      </c>
      <c r="D96" s="1142">
        <v>0.109</v>
      </c>
      <c r="E96" s="1142">
        <v>9.7000000000000003E-2</v>
      </c>
      <c r="F96" s="1142">
        <v>8.7999999999999995E-2</v>
      </c>
      <c r="G96" s="1142">
        <v>0.108</v>
      </c>
      <c r="I96" s="1142">
        <v>3.2000000000000001E-2</v>
      </c>
      <c r="J96" s="1142">
        <v>3.4700000000000002E-2</v>
      </c>
      <c r="K96" s="1142">
        <v>3.2199999999999999E-2</v>
      </c>
      <c r="L96" s="1142">
        <v>3.0099999999999998E-2</v>
      </c>
      <c r="M96" s="1142">
        <v>2.8500000000000001E-2</v>
      </c>
      <c r="O96" s="127" t="s">
        <v>724</v>
      </c>
      <c r="P96" s="127">
        <v>4</v>
      </c>
      <c r="Q96" s="1005">
        <f t="shared" si="5"/>
        <v>3.5449077018110318</v>
      </c>
      <c r="R96" s="1005">
        <v>0.23</v>
      </c>
      <c r="S96" s="1005">
        <v>0.16</v>
      </c>
      <c r="T96" s="1005">
        <v>0.123</v>
      </c>
      <c r="U96" s="1005">
        <v>8.5999999999999993E-2</v>
      </c>
      <c r="V96" s="1005">
        <v>6.6000000000000003E-2</v>
      </c>
      <c r="W96" s="1005">
        <v>4.4999999999999998E-2</v>
      </c>
      <c r="X96" s="1005">
        <v>3.2000000000000001E-2</v>
      </c>
      <c r="Y96" s="1005">
        <v>2.3E-2</v>
      </c>
      <c r="Z96" s="1005">
        <v>1.6E-2</v>
      </c>
    </row>
    <row r="97" spans="1:26">
      <c r="A97" s="1141">
        <v>5</v>
      </c>
      <c r="B97" s="1142">
        <f>HLOOKUP(Gen_form!$N$542,$C$92:$F$111,A97+1)</f>
        <v>8.7599999999999997E-2</v>
      </c>
      <c r="C97" s="1142">
        <v>9.9299999999999999E-2</v>
      </c>
      <c r="D97" s="1142">
        <v>8.7599999999999997E-2</v>
      </c>
      <c r="E97" s="1142">
        <v>7.8E-2</v>
      </c>
      <c r="F97" s="1142">
        <v>7.0499999999999993E-2</v>
      </c>
      <c r="G97" s="1142">
        <v>8.5999999999999993E-2</v>
      </c>
      <c r="I97" s="1142">
        <v>4.4999999999999998E-2</v>
      </c>
      <c r="J97" s="1142">
        <v>5.1200000000000002E-2</v>
      </c>
      <c r="K97" s="1142">
        <v>4.4999999999999998E-2</v>
      </c>
      <c r="L97" s="1142">
        <v>3.9899999999999998E-2</v>
      </c>
      <c r="M97" s="1142">
        <v>3.5999999999999997E-2</v>
      </c>
      <c r="O97" s="127" t="s">
        <v>731</v>
      </c>
      <c r="P97" s="127">
        <v>2.8</v>
      </c>
      <c r="Q97" s="1005">
        <f t="shared" si="5"/>
        <v>2.4814353912677221</v>
      </c>
      <c r="R97" s="1005">
        <v>0.23</v>
      </c>
      <c r="S97" s="1005">
        <v>0.16</v>
      </c>
      <c r="T97" s="1005">
        <v>0.123</v>
      </c>
      <c r="U97" s="1005">
        <v>8.5999999999999993E-2</v>
      </c>
      <c r="V97" s="1005">
        <v>6.6000000000000003E-2</v>
      </c>
      <c r="W97" s="1005">
        <v>4.4999999999999998E-2</v>
      </c>
      <c r="X97" s="1005">
        <v>3.2000000000000001E-2</v>
      </c>
      <c r="Y97" s="1005">
        <v>2.3E-2</v>
      </c>
      <c r="Z97" s="1005">
        <v>1.6E-2</v>
      </c>
    </row>
    <row r="98" spans="1:26">
      <c r="A98" s="1141">
        <v>6</v>
      </c>
      <c r="B98" s="1142">
        <f>HLOOKUP(Gen_form!$N$542,$C$92:$F$111,A98+1)</f>
        <v>7.4899999999999994E-2</v>
      </c>
      <c r="C98" s="1142">
        <v>8.4699999999999998E-2</v>
      </c>
      <c r="D98" s="1142">
        <v>7.4899999999999994E-2</v>
      </c>
      <c r="E98" s="1142">
        <v>6.7000000000000004E-2</v>
      </c>
      <c r="F98" s="1142">
        <v>6.0900000000000003E-2</v>
      </c>
      <c r="G98" s="1142">
        <v>7.5999999999999998E-2</v>
      </c>
      <c r="I98" s="1142">
        <v>6.6000000000000003E-2</v>
      </c>
      <c r="J98" s="1142">
        <v>7.6600000000000001E-2</v>
      </c>
      <c r="K98" s="1142">
        <v>6.7400000000000002E-2</v>
      </c>
      <c r="L98" s="1142">
        <v>5.9900000000000002E-2</v>
      </c>
      <c r="M98" s="1142">
        <v>5.4199999999999998E-2</v>
      </c>
      <c r="O98" s="127" t="s">
        <v>732</v>
      </c>
      <c r="P98" s="127">
        <v>2</v>
      </c>
      <c r="Q98" s="1005">
        <f t="shared" si="5"/>
        <v>1.7724538509055159</v>
      </c>
      <c r="R98" s="1005">
        <v>0.23</v>
      </c>
      <c r="S98" s="1005">
        <v>0.16</v>
      </c>
      <c r="T98" s="1005">
        <v>0.123</v>
      </c>
      <c r="U98" s="1005">
        <v>8.5999999999999993E-2</v>
      </c>
      <c r="V98" s="1005">
        <v>6.6000000000000003E-2</v>
      </c>
      <c r="W98" s="1005">
        <v>4.4999999999999998E-2</v>
      </c>
      <c r="X98" s="1005">
        <v>3.2000000000000001E-2</v>
      </c>
      <c r="Y98" s="1005">
        <v>2.3E-2</v>
      </c>
      <c r="Z98" s="1005">
        <v>1.6E-2</v>
      </c>
    </row>
    <row r="99" spans="1:26">
      <c r="A99" s="1141">
        <v>7</v>
      </c>
      <c r="B99" s="1142">
        <f>HLOOKUP(Gen_form!$N$542,$C$92:$F$111,A99+1)</f>
        <v>6.7400000000000002E-2</v>
      </c>
      <c r="C99" s="1142">
        <v>7.6600000000000001E-2</v>
      </c>
      <c r="D99" s="1142">
        <v>6.7400000000000002E-2</v>
      </c>
      <c r="E99" s="1142">
        <v>5.9900000000000002E-2</v>
      </c>
      <c r="F99" s="1142">
        <v>5.4199999999999998E-2</v>
      </c>
      <c r="G99" s="1142">
        <v>6.6000000000000003E-2</v>
      </c>
      <c r="I99" s="1142">
        <v>8.5999999999999993E-2</v>
      </c>
      <c r="J99" s="1142">
        <v>9.9299999999999999E-2</v>
      </c>
      <c r="K99" s="1142">
        <v>8.7599999999999997E-2</v>
      </c>
      <c r="L99" s="1142">
        <v>7.8E-2</v>
      </c>
      <c r="M99" s="1142">
        <v>7.0499999999999993E-2</v>
      </c>
      <c r="O99" s="127" t="s">
        <v>733</v>
      </c>
      <c r="P99" s="127">
        <v>1.4</v>
      </c>
      <c r="Q99" s="1005">
        <f t="shared" si="5"/>
        <v>1.240717695633861</v>
      </c>
      <c r="R99" s="1005">
        <v>0.5</v>
      </c>
      <c r="S99" s="1005">
        <v>0.35</v>
      </c>
      <c r="T99" s="1005">
        <v>0.23</v>
      </c>
      <c r="U99" s="1005">
        <v>0.16</v>
      </c>
      <c r="V99" s="1005">
        <v>0.123</v>
      </c>
      <c r="W99" s="1005">
        <v>8.5999999999999993E-2</v>
      </c>
      <c r="X99" s="1005">
        <v>6.6000000000000003E-2</v>
      </c>
      <c r="Y99" s="1005">
        <v>4.4999999999999998E-2</v>
      </c>
      <c r="Z99" s="1005">
        <v>3.2000000000000001E-2</v>
      </c>
    </row>
    <row r="100" spans="1:26">
      <c r="A100" s="1141">
        <v>8</v>
      </c>
      <c r="B100" s="1142">
        <f>HLOOKUP(Gen_form!$N$542,$C$92:$F$111,A100+1)</f>
        <v>5.2499999999999998E-2</v>
      </c>
      <c r="C100" s="1142">
        <v>5.9299999999999999E-2</v>
      </c>
      <c r="D100" s="1142">
        <v>5.2499999999999998E-2</v>
      </c>
      <c r="E100" s="1142">
        <v>4.7E-2</v>
      </c>
      <c r="F100" s="1142">
        <v>4.2700000000000002E-2</v>
      </c>
      <c r="G100" s="1142">
        <v>5.5E-2</v>
      </c>
      <c r="I100" s="1142">
        <v>0.123</v>
      </c>
      <c r="J100" s="1142">
        <v>0.14499999999999999</v>
      </c>
      <c r="K100" s="1142">
        <v>0.128</v>
      </c>
      <c r="L100" s="1142">
        <v>0.114</v>
      </c>
      <c r="M100" s="1142">
        <v>0.104</v>
      </c>
      <c r="O100" s="127" t="s">
        <v>734</v>
      </c>
      <c r="P100" s="127">
        <v>1</v>
      </c>
      <c r="Q100" s="1005">
        <f t="shared" si="5"/>
        <v>0.88622692545275794</v>
      </c>
      <c r="R100" s="1005">
        <v>0.5</v>
      </c>
      <c r="S100" s="1005">
        <v>0.35</v>
      </c>
      <c r="T100" s="1005">
        <v>0.23</v>
      </c>
      <c r="U100" s="1005">
        <v>0.16</v>
      </c>
      <c r="V100" s="1005">
        <v>0.123</v>
      </c>
      <c r="W100" s="1005">
        <v>8.5999999999999993E-2</v>
      </c>
      <c r="X100" s="1005">
        <v>6.6000000000000003E-2</v>
      </c>
      <c r="Y100" s="1005">
        <v>4.4999999999999998E-2</v>
      </c>
      <c r="Z100" s="1005">
        <v>3.2000000000000001E-2</v>
      </c>
    </row>
    <row r="101" spans="1:26">
      <c r="A101" s="1141">
        <v>9</v>
      </c>
      <c r="B101" s="1142">
        <f>HLOOKUP(Gen_form!$N$542,$C$92:$F$111,A101+1)</f>
        <v>4.4999999999999998E-2</v>
      </c>
      <c r="C101" s="1142">
        <v>5.1200000000000002E-2</v>
      </c>
      <c r="D101" s="1142">
        <v>4.4999999999999998E-2</v>
      </c>
      <c r="E101" s="1142">
        <v>3.9899999999999998E-2</v>
      </c>
      <c r="F101" s="1142">
        <v>3.5999999999999997E-2</v>
      </c>
      <c r="G101" s="1142">
        <v>4.4999999999999998E-2</v>
      </c>
      <c r="I101" s="1142">
        <v>0.16</v>
      </c>
      <c r="J101" s="1142">
        <v>0.188</v>
      </c>
      <c r="K101" s="1142">
        <v>0.16700000000000001</v>
      </c>
      <c r="L101" s="1142">
        <v>0.14899999999999999</v>
      </c>
      <c r="M101" s="1142">
        <v>0.13500000000000001</v>
      </c>
      <c r="O101" s="127" t="s">
        <v>735</v>
      </c>
      <c r="P101" s="127">
        <v>0.7</v>
      </c>
      <c r="Q101" s="1005">
        <f t="shared" si="5"/>
        <v>0.62035884781693051</v>
      </c>
      <c r="R101" s="1005">
        <v>0.5</v>
      </c>
      <c r="S101" s="1005">
        <v>0.35</v>
      </c>
      <c r="T101" s="1005">
        <v>0.23</v>
      </c>
      <c r="U101" s="1005">
        <v>0.16</v>
      </c>
      <c r="V101" s="1005">
        <v>0.123</v>
      </c>
      <c r="W101" s="1005">
        <v>8.5999999999999993E-2</v>
      </c>
      <c r="X101" s="1005">
        <v>6.6000000000000003E-2</v>
      </c>
      <c r="Y101" s="1005">
        <v>4.4999999999999998E-2</v>
      </c>
      <c r="Z101" s="1005">
        <v>3.2000000000000001E-2</v>
      </c>
    </row>
    <row r="102" spans="1:26">
      <c r="A102" s="1141">
        <v>10</v>
      </c>
      <c r="B102" s="1142">
        <f>HLOOKUP(Gen_form!$N$542,$C$92:$F$111,A102+1)</f>
        <v>3.7100000000000001E-2</v>
      </c>
      <c r="C102" s="1142">
        <v>0.04</v>
      </c>
      <c r="D102" s="1142">
        <v>3.7100000000000001E-2</v>
      </c>
      <c r="E102" s="1142">
        <v>3.4700000000000002E-2</v>
      </c>
      <c r="F102" s="1142">
        <v>3.2899999999999999E-2</v>
      </c>
      <c r="G102" s="1142">
        <v>3.9E-2</v>
      </c>
      <c r="I102" s="1142">
        <v>0.23</v>
      </c>
      <c r="J102" s="1142">
        <v>0.26700000000000002</v>
      </c>
      <c r="K102" s="1142">
        <v>0.23799999999999999</v>
      </c>
      <c r="L102" s="1142">
        <v>0.214</v>
      </c>
      <c r="M102" s="1142">
        <v>0.19400000000000001</v>
      </c>
      <c r="O102" s="127" t="s">
        <v>736</v>
      </c>
      <c r="P102" s="127">
        <v>0.5</v>
      </c>
      <c r="Q102" s="1005">
        <f t="shared" si="5"/>
        <v>0.44311346272637897</v>
      </c>
      <c r="R102" s="1005">
        <v>0.93</v>
      </c>
      <c r="S102" s="1005">
        <v>0.66</v>
      </c>
      <c r="T102" s="1005">
        <v>0.5</v>
      </c>
      <c r="U102" s="1005">
        <v>0.35</v>
      </c>
      <c r="V102" s="1005">
        <v>0.23</v>
      </c>
      <c r="W102" s="1005">
        <v>0.16</v>
      </c>
      <c r="X102" s="1005">
        <v>0.123</v>
      </c>
      <c r="Y102" s="1005">
        <v>8.5999999999999993E-2</v>
      </c>
      <c r="Z102" s="1005">
        <v>6.6000000000000003E-2</v>
      </c>
    </row>
    <row r="103" spans="1:26">
      <c r="A103" s="1141">
        <v>11</v>
      </c>
      <c r="B103" s="1142">
        <f>HLOOKUP(Gen_form!$N$542,$C$92:$F$111,A103+1)</f>
        <v>3.2199999999999999E-2</v>
      </c>
      <c r="C103" s="1142">
        <v>3.4700000000000002E-2</v>
      </c>
      <c r="D103" s="1142">
        <v>3.2199999999999999E-2</v>
      </c>
      <c r="E103" s="1142">
        <v>3.0099999999999998E-2</v>
      </c>
      <c r="F103" s="1142">
        <v>2.8500000000000001E-2</v>
      </c>
      <c r="G103" s="1142">
        <v>3.3000000000000002E-2</v>
      </c>
      <c r="I103" s="1142">
        <v>0.35</v>
      </c>
      <c r="J103" s="1142">
        <v>0.39900000000000002</v>
      </c>
      <c r="K103" s="1142">
        <v>0.36</v>
      </c>
      <c r="L103" s="1142">
        <v>0.32700000000000001</v>
      </c>
      <c r="M103" s="1142">
        <v>0.29899999999999999</v>
      </c>
      <c r="O103" s="127" t="s">
        <v>737</v>
      </c>
      <c r="P103" s="127">
        <v>0.35</v>
      </c>
      <c r="Q103" s="1005">
        <f t="shared" si="5"/>
        <v>0.31017942390846526</v>
      </c>
      <c r="R103" s="1005">
        <v>0.93</v>
      </c>
      <c r="S103" s="1005">
        <v>0.66</v>
      </c>
      <c r="T103" s="1005">
        <v>0.5</v>
      </c>
      <c r="U103" s="1005">
        <v>0.35</v>
      </c>
      <c r="V103" s="1005">
        <v>0.23</v>
      </c>
      <c r="W103" s="1005">
        <v>0.16</v>
      </c>
      <c r="X103" s="1005">
        <v>0.123</v>
      </c>
      <c r="Y103" s="1005">
        <v>8.5999999999999993E-2</v>
      </c>
      <c r="Z103" s="1005">
        <v>6.6000000000000003E-2</v>
      </c>
    </row>
    <row r="104" spans="1:26">
      <c r="A104" s="1141">
        <v>12</v>
      </c>
      <c r="B104" s="1142">
        <f>HLOOKUP(Gen_form!$N$542,$C$92:$F$111,A104+1)</f>
        <v>2.46E-2</v>
      </c>
      <c r="C104" s="1142">
        <v>2.69E-2</v>
      </c>
      <c r="D104" s="1142">
        <v>2.46E-2</v>
      </c>
      <c r="E104" s="1142">
        <v>2.3300000000000001E-2</v>
      </c>
      <c r="F104" s="1142">
        <v>2.1999999999999999E-2</v>
      </c>
      <c r="G104" s="1142">
        <v>2.7E-2</v>
      </c>
      <c r="I104" s="1142">
        <v>0.5</v>
      </c>
      <c r="J104" s="1142">
        <v>0.61799999999999999</v>
      </c>
      <c r="K104" s="1142">
        <v>0.57299999999999995</v>
      </c>
      <c r="L104" s="1142">
        <v>0.53300000000000003</v>
      </c>
      <c r="M104" s="1142">
        <v>0.497</v>
      </c>
      <c r="O104" s="127" t="s">
        <v>738</v>
      </c>
      <c r="P104" s="127">
        <v>0.25</v>
      </c>
      <c r="Q104" s="1005">
        <f t="shared" si="5"/>
        <v>0.22155673136318949</v>
      </c>
      <c r="R104" s="1005">
        <v>0.93</v>
      </c>
      <c r="S104" s="1005">
        <v>0.66</v>
      </c>
      <c r="T104" s="1005">
        <v>0.5</v>
      </c>
      <c r="U104" s="1005">
        <v>0.35</v>
      </c>
      <c r="V104" s="1005">
        <v>0.23</v>
      </c>
      <c r="W104" s="1005">
        <v>0.16</v>
      </c>
      <c r="X104" s="1005">
        <v>0.123</v>
      </c>
      <c r="Y104" s="1005">
        <v>8.5999999999999993E-2</v>
      </c>
      <c r="Z104" s="1005">
        <v>6.6000000000000003E-2</v>
      </c>
    </row>
    <row r="105" spans="1:26">
      <c r="A105" s="1141">
        <v>13</v>
      </c>
      <c r="B105" s="1142">
        <f>HLOOKUP(Gen_form!$N$542,$C$92:$F$111,A105+1)</f>
        <v>2.1499999999999998E-2</v>
      </c>
      <c r="C105" s="1142">
        <v>2.3199999999999998E-2</v>
      </c>
      <c r="D105" s="1142">
        <v>2.1499999999999998E-2</v>
      </c>
      <c r="E105" s="1142">
        <v>2.01E-2</v>
      </c>
      <c r="F105" s="1142">
        <v>1.9E-2</v>
      </c>
      <c r="G105" s="1142">
        <v>2.3E-2</v>
      </c>
      <c r="I105" s="1142">
        <v>0.66</v>
      </c>
      <c r="J105" s="1142">
        <v>0.76900000000000002</v>
      </c>
      <c r="K105" s="1142">
        <v>0.72599999999999998</v>
      </c>
      <c r="L105" s="1142">
        <v>0.68600000000000005</v>
      </c>
      <c r="M105" s="1142">
        <v>0.64900000000000002</v>
      </c>
    </row>
    <row r="106" spans="1:26">
      <c r="A106" s="1141">
        <v>14</v>
      </c>
      <c r="B106" s="1142">
        <f>HLOOKUP(Gen_form!$N$542,$C$92:$F$111,A106+1)</f>
        <v>1.72E-2</v>
      </c>
      <c r="C106" s="1142">
        <v>1.8599999999999998E-2</v>
      </c>
      <c r="D106" s="1142">
        <v>1.72E-2</v>
      </c>
      <c r="E106" s="1142">
        <v>1.61E-2</v>
      </c>
      <c r="F106" s="1142">
        <v>1.5299999999999999E-2</v>
      </c>
      <c r="G106" s="1142">
        <v>1.7999999999999999E-2</v>
      </c>
      <c r="I106" s="1142">
        <v>0.93</v>
      </c>
      <c r="J106" s="1142">
        <v>0.96899999999999997</v>
      </c>
      <c r="K106" s="1142">
        <v>0.95399999999999996</v>
      </c>
      <c r="L106" s="1142">
        <v>0.93600000000000005</v>
      </c>
      <c r="M106" s="1142">
        <v>0.91500000000000004</v>
      </c>
    </row>
    <row r="107" spans="1:26">
      <c r="A107" s="1141">
        <v>15</v>
      </c>
      <c r="B107" s="1142">
        <f>HLOOKUP(Gen_form!$N$542,$C$92:$F$111,A107+1)</f>
        <v>1.55E-2</v>
      </c>
      <c r="C107" s="1142">
        <v>1.6799999999999999E-2</v>
      </c>
      <c r="D107" s="1142">
        <v>1.55E-2</v>
      </c>
      <c r="E107" s="1142">
        <v>1.4500000000000001E-2</v>
      </c>
      <c r="F107" s="1142">
        <v>1.38E-2</v>
      </c>
      <c r="G107" s="1142">
        <v>1.6E-2</v>
      </c>
    </row>
    <row r="108" spans="1:26">
      <c r="A108" s="1141">
        <v>16</v>
      </c>
      <c r="B108" s="1142">
        <f>HLOOKUP(Gen_form!$N$542,$C$92:$F$111,A108+1)</f>
        <v>1.2999999999999999E-2</v>
      </c>
      <c r="C108" s="1142">
        <v>1.4E-2</v>
      </c>
      <c r="D108" s="1142">
        <v>1.2999999999999999E-2</v>
      </c>
      <c r="E108" s="1142">
        <v>1.2200000000000001E-2</v>
      </c>
      <c r="F108" s="1142">
        <v>1.15E-2</v>
      </c>
      <c r="G108" s="1142">
        <v>1.2999999999999999E-2</v>
      </c>
    </row>
    <row r="109" spans="1:26">
      <c r="A109" s="1141">
        <v>17</v>
      </c>
      <c r="B109" s="1142">
        <f>HLOOKUP(Gen_form!$N$542,$C$92:$F$111,A109+1)</f>
        <v>1.0999999999999999E-2</v>
      </c>
      <c r="C109" s="1142">
        <v>1.1900000000000001E-2</v>
      </c>
      <c r="D109" s="1142">
        <v>1.0999999999999999E-2</v>
      </c>
      <c r="E109" s="1142">
        <v>1.03E-2</v>
      </c>
      <c r="F109" s="1142">
        <v>9.7000000000000003E-3</v>
      </c>
      <c r="G109" s="1142">
        <v>1.0999999999999999E-2</v>
      </c>
    </row>
    <row r="110" spans="1:26">
      <c r="A110" s="1141">
        <v>18</v>
      </c>
      <c r="B110" s="1142">
        <f>HLOOKUP(Gen_form!$N$542,$C$92:$F$111,A110+1)</f>
        <v>8.6E-3</v>
      </c>
      <c r="C110" s="1142">
        <v>9.2999999999999992E-3</v>
      </c>
      <c r="D110" s="1142">
        <v>8.6E-3</v>
      </c>
      <c r="E110" s="1142">
        <v>8.0999999999999996E-3</v>
      </c>
      <c r="F110" s="1142">
        <v>7.7000000000000002E-3</v>
      </c>
      <c r="G110" s="1142">
        <v>8.9999999999999993E-3</v>
      </c>
    </row>
    <row r="111" spans="1:26">
      <c r="A111" s="1141">
        <v>19</v>
      </c>
      <c r="B111" s="1142">
        <f>HLOOKUP(Gen_form!$N$542,$C$92:$F$111,A111+1)</f>
        <v>6.6E-3</v>
      </c>
      <c r="C111" s="1142">
        <v>7.1000000000000004E-3</v>
      </c>
      <c r="D111" s="1142">
        <v>6.6E-3</v>
      </c>
      <c r="E111" s="1142">
        <v>6.1999999999999998E-3</v>
      </c>
      <c r="F111" s="1142">
        <v>5.8999999999999999E-3</v>
      </c>
      <c r="G111" s="1142">
        <v>7.0000000000000001E-3</v>
      </c>
    </row>
    <row r="113" spans="1:19">
      <c r="A113" s="1005" t="s">
        <v>773</v>
      </c>
      <c r="B113" s="1141">
        <v>0</v>
      </c>
      <c r="C113" s="1141">
        <v>1</v>
      </c>
      <c r="D113" s="1141">
        <v>1.5</v>
      </c>
      <c r="E113" s="1141">
        <v>2</v>
      </c>
      <c r="F113" s="1141">
        <v>2.5</v>
      </c>
      <c r="G113" s="1141">
        <v>3</v>
      </c>
      <c r="H113" s="1141">
        <v>3.5</v>
      </c>
      <c r="I113" s="1141">
        <v>4</v>
      </c>
      <c r="J113" s="1141">
        <v>4.5</v>
      </c>
      <c r="K113" s="1141">
        <v>5</v>
      </c>
      <c r="L113" s="1141">
        <v>5.5</v>
      </c>
      <c r="M113" s="1141">
        <v>6</v>
      </c>
      <c r="N113" s="1141">
        <v>6.5</v>
      </c>
      <c r="O113" s="1141">
        <v>7</v>
      </c>
      <c r="P113" s="1141">
        <v>7.5</v>
      </c>
      <c r="Q113" s="1141">
        <v>8</v>
      </c>
      <c r="R113" s="1141">
        <v>8.5</v>
      </c>
      <c r="S113" s="1141">
        <v>9</v>
      </c>
    </row>
    <row r="114" spans="1:19">
      <c r="A114" s="1005" t="s">
        <v>728</v>
      </c>
      <c r="B114" s="1005" t="e">
        <f>NA()</f>
        <v>#N/A</v>
      </c>
      <c r="C114" s="1005">
        <f>VLOOKUP(R93,TO10kVAdj,MATCH(Gen_form!$N$542,$J$92:$M$92,0)+1)</f>
        <v>0.16700000000000001</v>
      </c>
      <c r="D114" s="1005">
        <f t="shared" ref="D114:D125" si="6">(C114+E114)/2</f>
        <v>0.14750000000000002</v>
      </c>
      <c r="E114" s="1005">
        <f>VLOOKUP(S93,TO10kVAdj,MATCH(Gen_form!$N$542,$J$92:$M$92,0)+1)</f>
        <v>0.128</v>
      </c>
      <c r="F114" s="1005">
        <f t="shared" ref="F114:F125" si="7">(E114+G114)/2</f>
        <v>0.10780000000000001</v>
      </c>
      <c r="G114" s="1005">
        <f>VLOOKUP(T93,TO10kVAdj,MATCH(Gen_form!$N$542,$J$92:$M$92,0)+1)</f>
        <v>8.7599999999999997E-2</v>
      </c>
      <c r="H114" s="1005">
        <f t="shared" ref="H114:H125" si="8">(G114+I114)/2</f>
        <v>7.7499999999999999E-2</v>
      </c>
      <c r="I114" s="1005">
        <f>VLOOKUP(U93,TO10kVAdj,MATCH(Gen_form!$N$542,$J$92:$M$92,0)+1)</f>
        <v>6.7400000000000002E-2</v>
      </c>
      <c r="J114" s="1005">
        <f t="shared" ref="J114:J125" si="9">(I114+K114)/2</f>
        <v>5.62E-2</v>
      </c>
      <c r="K114" s="1005">
        <f>VLOOKUP(V93,TO10kVAdj,MATCH(Gen_form!$N$542,$J$92:$M$92,0)+1)</f>
        <v>4.4999999999999998E-2</v>
      </c>
      <c r="L114" s="1005">
        <f t="shared" ref="L114:L125" si="10">(K114+M114)/2</f>
        <v>3.8599999999999995E-2</v>
      </c>
      <c r="M114" s="1005">
        <f>VLOOKUP(W93,TO10kVAdj,MATCH(Gen_form!$N$542,$J$92:$M$92,0)+1)</f>
        <v>3.2199999999999999E-2</v>
      </c>
      <c r="N114" s="1005">
        <f t="shared" ref="N114:N125" si="11">(M114+O114)/2</f>
        <v>2.6849999999999999E-2</v>
      </c>
      <c r="O114" s="1005">
        <f>VLOOKUP(X93,TO10kVAdj,MATCH(Gen_form!$N$542,$J$92:$M$92,0)+1)</f>
        <v>2.1499999999999998E-2</v>
      </c>
      <c r="P114" s="1005">
        <f t="shared" ref="P114:P125" si="12">(O114+Q114)/2</f>
        <v>1.8499999999999999E-2</v>
      </c>
      <c r="Q114" s="1005">
        <f>VLOOKUP(Y93,TO10kVAdj,MATCH(Gen_form!$N$542,$J$92:$M$92,0)+1)</f>
        <v>1.55E-2</v>
      </c>
      <c r="R114" s="1005">
        <f t="shared" ref="R114:R125" si="13">(Q114+S114)/2</f>
        <v>1.325E-2</v>
      </c>
      <c r="S114" s="1005">
        <f>VLOOKUP(Z93,TO10kVAdj,MATCH(Gen_form!$N$542,$J$92:$M$92,0)+1)</f>
        <v>1.0999999999999999E-2</v>
      </c>
    </row>
    <row r="115" spans="1:19">
      <c r="A115" s="1005" t="s">
        <v>729</v>
      </c>
      <c r="B115" s="1005" t="e">
        <f>NA()</f>
        <v>#N/A</v>
      </c>
      <c r="C115" s="1005">
        <f>VLOOKUP(R94,TO10kVAdj,MATCH(Gen_form!$N$542,$J$92:$M$92,0)+1)</f>
        <v>0.16700000000000001</v>
      </c>
      <c r="D115" s="1005">
        <f t="shared" si="6"/>
        <v>0.14750000000000002</v>
      </c>
      <c r="E115" s="1005">
        <f>VLOOKUP(S94,TO10kVAdj,MATCH(Gen_form!$N$542,$J$92:$M$92,0)+1)</f>
        <v>0.128</v>
      </c>
      <c r="F115" s="1005">
        <f t="shared" si="7"/>
        <v>0.10780000000000001</v>
      </c>
      <c r="G115" s="1005">
        <f>VLOOKUP(T94,TO10kVAdj,MATCH(Gen_form!$N$542,$J$92:$M$92,0)+1)</f>
        <v>8.7599999999999997E-2</v>
      </c>
      <c r="H115" s="1005">
        <f t="shared" si="8"/>
        <v>7.7499999999999999E-2</v>
      </c>
      <c r="I115" s="1005">
        <f>VLOOKUP(U94,TO10kVAdj,MATCH(Gen_form!$N$542,$J$92:$M$92,0)+1)</f>
        <v>6.7400000000000002E-2</v>
      </c>
      <c r="J115" s="1005">
        <f t="shared" si="9"/>
        <v>5.62E-2</v>
      </c>
      <c r="K115" s="1005">
        <f>VLOOKUP(V94,TO10kVAdj,MATCH(Gen_form!$N$542,$J$92:$M$92,0)+1)</f>
        <v>4.4999999999999998E-2</v>
      </c>
      <c r="L115" s="1005">
        <f t="shared" si="10"/>
        <v>3.8599999999999995E-2</v>
      </c>
      <c r="M115" s="1005">
        <f>VLOOKUP(W94,TO10kVAdj,MATCH(Gen_form!$N$542,$J$92:$M$92,0)+1)</f>
        <v>3.2199999999999999E-2</v>
      </c>
      <c r="N115" s="1005">
        <f t="shared" si="11"/>
        <v>2.6849999999999999E-2</v>
      </c>
      <c r="O115" s="1005">
        <f>VLOOKUP(X94,TO10kVAdj,MATCH(Gen_form!$N$542,$J$92:$M$92,0)+1)</f>
        <v>2.1499999999999998E-2</v>
      </c>
      <c r="P115" s="1005">
        <f t="shared" si="12"/>
        <v>1.8499999999999999E-2</v>
      </c>
      <c r="Q115" s="1005">
        <f>VLOOKUP(Y94,TO10kVAdj,MATCH(Gen_form!$N$542,$J$92:$M$92,0)+1)</f>
        <v>1.55E-2</v>
      </c>
      <c r="R115" s="1005">
        <f t="shared" si="13"/>
        <v>1.325E-2</v>
      </c>
      <c r="S115" s="1005">
        <f>VLOOKUP(Z94,TO10kVAdj,MATCH(Gen_form!$N$542,$J$92:$M$92,0)+1)</f>
        <v>1.0999999999999999E-2</v>
      </c>
    </row>
    <row r="116" spans="1:19">
      <c r="A116" s="1005" t="s">
        <v>730</v>
      </c>
      <c r="B116" s="1005" t="e">
        <f>NA()</f>
        <v>#N/A</v>
      </c>
      <c r="C116" s="1005">
        <f>VLOOKUP(R95,TO10kVAdj,MATCH(Gen_form!$N$542,$J$92:$M$92,0)+1)</f>
        <v>0.16700000000000001</v>
      </c>
      <c r="D116" s="1005">
        <f t="shared" si="6"/>
        <v>0.14750000000000002</v>
      </c>
      <c r="E116" s="1005">
        <f>VLOOKUP(S95,TO10kVAdj,MATCH(Gen_form!$N$542,$J$92:$M$92,0)+1)</f>
        <v>0.128</v>
      </c>
      <c r="F116" s="1005">
        <f t="shared" si="7"/>
        <v>0.10780000000000001</v>
      </c>
      <c r="G116" s="1005">
        <f>VLOOKUP(T95,TO10kVAdj,MATCH(Gen_form!$N$542,$J$92:$M$92,0)+1)</f>
        <v>8.7599999999999997E-2</v>
      </c>
      <c r="H116" s="1005">
        <f t="shared" si="8"/>
        <v>7.7499999999999999E-2</v>
      </c>
      <c r="I116" s="1005">
        <f>VLOOKUP(U95,TO10kVAdj,MATCH(Gen_form!$N$542,$J$92:$M$92,0)+1)</f>
        <v>6.7400000000000002E-2</v>
      </c>
      <c r="J116" s="1005">
        <f t="shared" si="9"/>
        <v>5.62E-2</v>
      </c>
      <c r="K116" s="1005">
        <f>VLOOKUP(V95,TO10kVAdj,MATCH(Gen_form!$N$542,$J$92:$M$92,0)+1)</f>
        <v>4.4999999999999998E-2</v>
      </c>
      <c r="L116" s="1005">
        <f t="shared" si="10"/>
        <v>3.8599999999999995E-2</v>
      </c>
      <c r="M116" s="1005">
        <f>VLOOKUP(W95,TO10kVAdj,MATCH(Gen_form!$N$542,$J$92:$M$92,0)+1)</f>
        <v>3.2199999999999999E-2</v>
      </c>
      <c r="N116" s="1005">
        <f t="shared" si="11"/>
        <v>2.6849999999999999E-2</v>
      </c>
      <c r="O116" s="1005">
        <f>VLOOKUP(X95,TO10kVAdj,MATCH(Gen_form!$N$542,$J$92:$M$92,0)+1)</f>
        <v>2.1499999999999998E-2</v>
      </c>
      <c r="P116" s="1005">
        <f t="shared" si="12"/>
        <v>1.8499999999999999E-2</v>
      </c>
      <c r="Q116" s="1005">
        <f>VLOOKUP(Y95,TO10kVAdj,MATCH(Gen_form!$N$542,$J$92:$M$92,0)+1)</f>
        <v>1.55E-2</v>
      </c>
      <c r="R116" s="1005">
        <f t="shared" si="13"/>
        <v>1.325E-2</v>
      </c>
      <c r="S116" s="1005">
        <f>VLOOKUP(Z95,TO10kVAdj,MATCH(Gen_form!$N$542,$J$92:$M$92,0)+1)</f>
        <v>1.0999999999999999E-2</v>
      </c>
    </row>
    <row r="117" spans="1:19">
      <c r="A117" s="1005" t="s">
        <v>724</v>
      </c>
      <c r="B117" s="1005" t="e">
        <f>NA()</f>
        <v>#N/A</v>
      </c>
      <c r="C117" s="1005">
        <f>VLOOKUP(R96,TO10kVAdj,MATCH(Gen_form!$N$542,$J$92:$M$92,0)+1)</f>
        <v>0.23799999999999999</v>
      </c>
      <c r="D117" s="1005">
        <f t="shared" si="6"/>
        <v>0.20250000000000001</v>
      </c>
      <c r="E117" s="1005">
        <f>VLOOKUP(S96,TO10kVAdj,MATCH(Gen_form!$N$542,$J$92:$M$92,0)+1)</f>
        <v>0.16700000000000001</v>
      </c>
      <c r="F117" s="1005">
        <f t="shared" si="7"/>
        <v>0.14750000000000002</v>
      </c>
      <c r="G117" s="1005">
        <f>VLOOKUP(T96,TO10kVAdj,MATCH(Gen_form!$N$542,$J$92:$M$92,0)+1)</f>
        <v>0.128</v>
      </c>
      <c r="H117" s="1005">
        <f t="shared" si="8"/>
        <v>0.10780000000000001</v>
      </c>
      <c r="I117" s="1005">
        <f>VLOOKUP(U96,TO10kVAdj,MATCH(Gen_form!$N$542,$J$92:$M$92,0)+1)</f>
        <v>8.7599999999999997E-2</v>
      </c>
      <c r="J117" s="1005">
        <f t="shared" si="9"/>
        <v>7.7499999999999999E-2</v>
      </c>
      <c r="K117" s="1005">
        <f>VLOOKUP(V96,TO10kVAdj,MATCH(Gen_form!$N$542,$J$92:$M$92,0)+1)</f>
        <v>6.7400000000000002E-2</v>
      </c>
      <c r="L117" s="1005">
        <f t="shared" si="10"/>
        <v>5.62E-2</v>
      </c>
      <c r="M117" s="1005">
        <f>VLOOKUP(W96,TO10kVAdj,MATCH(Gen_form!$N$542,$J$92:$M$92,0)+1)</f>
        <v>4.4999999999999998E-2</v>
      </c>
      <c r="N117" s="1005">
        <f t="shared" si="11"/>
        <v>3.8599999999999995E-2</v>
      </c>
      <c r="O117" s="1005">
        <f>VLOOKUP(X96,TO10kVAdj,MATCH(Gen_form!$N$542,$J$92:$M$92,0)+1)</f>
        <v>3.2199999999999999E-2</v>
      </c>
      <c r="P117" s="1005">
        <f t="shared" si="12"/>
        <v>2.6849999999999999E-2</v>
      </c>
      <c r="Q117" s="1005">
        <f>VLOOKUP(Y96,TO10kVAdj,MATCH(Gen_form!$N$542,$J$92:$M$92,0)+1)</f>
        <v>2.1499999999999998E-2</v>
      </c>
      <c r="R117" s="1005">
        <f t="shared" si="13"/>
        <v>1.8499999999999999E-2</v>
      </c>
      <c r="S117" s="1005">
        <f>VLOOKUP(Z96,TO10kVAdj,MATCH(Gen_form!$N$542,$J$92:$M$92,0)+1)</f>
        <v>1.55E-2</v>
      </c>
    </row>
    <row r="118" spans="1:19">
      <c r="A118" s="1005" t="s">
        <v>731</v>
      </c>
      <c r="B118" s="1005" t="e">
        <f>NA()</f>
        <v>#N/A</v>
      </c>
      <c r="C118" s="1005">
        <f>VLOOKUP(R97,TO10kVAdj,MATCH(Gen_form!$N$542,$J$92:$M$92,0)+1)</f>
        <v>0.23799999999999999</v>
      </c>
      <c r="D118" s="1005">
        <f t="shared" si="6"/>
        <v>0.20250000000000001</v>
      </c>
      <c r="E118" s="1005">
        <f>VLOOKUP(S97,TO10kVAdj,MATCH(Gen_form!$N$542,$J$92:$M$92,0)+1)</f>
        <v>0.16700000000000001</v>
      </c>
      <c r="F118" s="1005">
        <f t="shared" si="7"/>
        <v>0.14750000000000002</v>
      </c>
      <c r="G118" s="1005">
        <f>VLOOKUP(T97,TO10kVAdj,MATCH(Gen_form!$N$542,$J$92:$M$92,0)+1)</f>
        <v>0.128</v>
      </c>
      <c r="H118" s="1005">
        <f t="shared" si="8"/>
        <v>0.10780000000000001</v>
      </c>
      <c r="I118" s="1005">
        <f>VLOOKUP(U97,TO10kVAdj,MATCH(Gen_form!$N$542,$J$92:$M$92,0)+1)</f>
        <v>8.7599999999999997E-2</v>
      </c>
      <c r="J118" s="1005">
        <f t="shared" si="9"/>
        <v>7.7499999999999999E-2</v>
      </c>
      <c r="K118" s="1005">
        <f>VLOOKUP(V97,TO10kVAdj,MATCH(Gen_form!$N$542,$J$92:$M$92,0)+1)</f>
        <v>6.7400000000000002E-2</v>
      </c>
      <c r="L118" s="1005">
        <f t="shared" si="10"/>
        <v>5.62E-2</v>
      </c>
      <c r="M118" s="1005">
        <f>VLOOKUP(W97,TO10kVAdj,MATCH(Gen_form!$N$542,$J$92:$M$92,0)+1)</f>
        <v>4.4999999999999998E-2</v>
      </c>
      <c r="N118" s="1005">
        <f t="shared" si="11"/>
        <v>3.8599999999999995E-2</v>
      </c>
      <c r="O118" s="1005">
        <f>VLOOKUP(X97,TO10kVAdj,MATCH(Gen_form!$N$542,$J$92:$M$92,0)+1)</f>
        <v>3.2199999999999999E-2</v>
      </c>
      <c r="P118" s="1005">
        <f t="shared" si="12"/>
        <v>2.6849999999999999E-2</v>
      </c>
      <c r="Q118" s="1005">
        <f>VLOOKUP(Y97,TO10kVAdj,MATCH(Gen_form!$N$542,$J$92:$M$92,0)+1)</f>
        <v>2.1499999999999998E-2</v>
      </c>
      <c r="R118" s="1005">
        <f t="shared" si="13"/>
        <v>1.8499999999999999E-2</v>
      </c>
      <c r="S118" s="1005">
        <f>VLOOKUP(Z97,TO10kVAdj,MATCH(Gen_form!$N$542,$J$92:$M$92,0)+1)</f>
        <v>1.55E-2</v>
      </c>
    </row>
    <row r="119" spans="1:19">
      <c r="A119" s="1005" t="s">
        <v>732</v>
      </c>
      <c r="B119" s="1005" t="e">
        <f>NA()</f>
        <v>#N/A</v>
      </c>
      <c r="C119" s="1005">
        <f>VLOOKUP(R98,TO10kVAdj,MATCH(Gen_form!$N$542,$J$92:$M$92,0)+1)</f>
        <v>0.23799999999999999</v>
      </c>
      <c r="D119" s="1005">
        <f t="shared" si="6"/>
        <v>0.20250000000000001</v>
      </c>
      <c r="E119" s="1005">
        <f>VLOOKUP(S98,TO10kVAdj,MATCH(Gen_form!$N$542,$J$92:$M$92,0)+1)</f>
        <v>0.16700000000000001</v>
      </c>
      <c r="F119" s="1005">
        <f t="shared" si="7"/>
        <v>0.14750000000000002</v>
      </c>
      <c r="G119" s="1005">
        <f>VLOOKUP(T98,TO10kVAdj,MATCH(Gen_form!$N$542,$J$92:$M$92,0)+1)</f>
        <v>0.128</v>
      </c>
      <c r="H119" s="1005">
        <f t="shared" si="8"/>
        <v>0.10780000000000001</v>
      </c>
      <c r="I119" s="1005">
        <f>VLOOKUP(U98,TO10kVAdj,MATCH(Gen_form!$N$542,$J$92:$M$92,0)+1)</f>
        <v>8.7599999999999997E-2</v>
      </c>
      <c r="J119" s="1005">
        <f t="shared" si="9"/>
        <v>7.7499999999999999E-2</v>
      </c>
      <c r="K119" s="1005">
        <f>VLOOKUP(V98,TO10kVAdj,MATCH(Gen_form!$N$542,$J$92:$M$92,0)+1)</f>
        <v>6.7400000000000002E-2</v>
      </c>
      <c r="L119" s="1005">
        <f t="shared" si="10"/>
        <v>5.62E-2</v>
      </c>
      <c r="M119" s="1005">
        <f>VLOOKUP(W98,TO10kVAdj,MATCH(Gen_form!$N$542,$J$92:$M$92,0)+1)</f>
        <v>4.4999999999999998E-2</v>
      </c>
      <c r="N119" s="1005">
        <f t="shared" si="11"/>
        <v>3.8599999999999995E-2</v>
      </c>
      <c r="O119" s="1005">
        <f>VLOOKUP(X98,TO10kVAdj,MATCH(Gen_form!$N$542,$J$92:$M$92,0)+1)</f>
        <v>3.2199999999999999E-2</v>
      </c>
      <c r="P119" s="1005">
        <f t="shared" si="12"/>
        <v>2.6849999999999999E-2</v>
      </c>
      <c r="Q119" s="1005">
        <f>VLOOKUP(Y98,TO10kVAdj,MATCH(Gen_form!$N$542,$J$92:$M$92,0)+1)</f>
        <v>2.1499999999999998E-2</v>
      </c>
      <c r="R119" s="1005">
        <f t="shared" si="13"/>
        <v>1.8499999999999999E-2</v>
      </c>
      <c r="S119" s="1005">
        <f>VLOOKUP(Z98,TO10kVAdj,MATCH(Gen_form!$N$542,$J$92:$M$92,0)+1)</f>
        <v>1.55E-2</v>
      </c>
    </row>
    <row r="120" spans="1:19">
      <c r="A120" s="1005" t="s">
        <v>733</v>
      </c>
      <c r="B120" s="1005" t="e">
        <f>NA()</f>
        <v>#N/A</v>
      </c>
      <c r="C120" s="1005">
        <f>VLOOKUP(R99,TO10kVAdj,MATCH(Gen_form!$N$542,$J$92:$M$92,0)+1)</f>
        <v>0.57299999999999995</v>
      </c>
      <c r="D120" s="1005">
        <f t="shared" si="6"/>
        <v>0.46649999999999997</v>
      </c>
      <c r="E120" s="1005">
        <f>VLOOKUP(S99,TO10kVAdj,MATCH(Gen_form!$N$542,$J$92:$M$92,0)+1)</f>
        <v>0.36</v>
      </c>
      <c r="F120" s="1005">
        <f t="shared" si="7"/>
        <v>0.29899999999999999</v>
      </c>
      <c r="G120" s="1005">
        <f>VLOOKUP(T99,TO10kVAdj,MATCH(Gen_form!$N$542,$J$92:$M$92,0)+1)</f>
        <v>0.23799999999999999</v>
      </c>
      <c r="H120" s="1005">
        <f t="shared" si="8"/>
        <v>0.20250000000000001</v>
      </c>
      <c r="I120" s="1005">
        <f>VLOOKUP(U99,TO10kVAdj,MATCH(Gen_form!$N$542,$J$92:$M$92,0)+1)</f>
        <v>0.16700000000000001</v>
      </c>
      <c r="J120" s="1005">
        <f t="shared" si="9"/>
        <v>0.14750000000000002</v>
      </c>
      <c r="K120" s="1005">
        <f>VLOOKUP(V99,TO10kVAdj,MATCH(Gen_form!$N$542,$J$92:$M$92,0)+1)</f>
        <v>0.128</v>
      </c>
      <c r="L120" s="1005">
        <f t="shared" si="10"/>
        <v>0.10780000000000001</v>
      </c>
      <c r="M120" s="1005">
        <f>VLOOKUP(W99,TO10kVAdj,MATCH(Gen_form!$N$542,$J$92:$M$92,0)+1)</f>
        <v>8.7599999999999997E-2</v>
      </c>
      <c r="N120" s="1005">
        <f t="shared" si="11"/>
        <v>7.7499999999999999E-2</v>
      </c>
      <c r="O120" s="1005">
        <f>VLOOKUP(X99,TO10kVAdj,MATCH(Gen_form!$N$542,$J$92:$M$92,0)+1)</f>
        <v>6.7400000000000002E-2</v>
      </c>
      <c r="P120" s="1005">
        <f t="shared" si="12"/>
        <v>5.62E-2</v>
      </c>
      <c r="Q120" s="1005">
        <f>VLOOKUP(Y99,TO10kVAdj,MATCH(Gen_form!$N$542,$J$92:$M$92,0)+1)</f>
        <v>4.4999999999999998E-2</v>
      </c>
      <c r="R120" s="1005">
        <f t="shared" si="13"/>
        <v>3.8599999999999995E-2</v>
      </c>
      <c r="S120" s="1005">
        <f>VLOOKUP(Z99,TO10kVAdj,MATCH(Gen_form!$N$542,$J$92:$M$92,0)+1)</f>
        <v>3.2199999999999999E-2</v>
      </c>
    </row>
    <row r="121" spans="1:19">
      <c r="A121" s="1005" t="s">
        <v>734</v>
      </c>
      <c r="B121" s="1005" t="e">
        <f>NA()</f>
        <v>#N/A</v>
      </c>
      <c r="C121" s="1005">
        <f>VLOOKUP(R100,TO10kVAdj,MATCH(Gen_form!$N$542,$J$92:$M$92,0)+1)</f>
        <v>0.57299999999999995</v>
      </c>
      <c r="D121" s="1005">
        <f t="shared" si="6"/>
        <v>0.46649999999999997</v>
      </c>
      <c r="E121" s="1005">
        <f>VLOOKUP(S100,TO10kVAdj,MATCH(Gen_form!$N$542,$J$92:$M$92,0)+1)</f>
        <v>0.36</v>
      </c>
      <c r="F121" s="1005">
        <f t="shared" si="7"/>
        <v>0.29899999999999999</v>
      </c>
      <c r="G121" s="1005">
        <f>VLOOKUP(T100,TO10kVAdj,MATCH(Gen_form!$N$542,$J$92:$M$92,0)+1)</f>
        <v>0.23799999999999999</v>
      </c>
      <c r="H121" s="1005">
        <f t="shared" si="8"/>
        <v>0.20250000000000001</v>
      </c>
      <c r="I121" s="1005">
        <f>VLOOKUP(U100,TO10kVAdj,MATCH(Gen_form!$N$542,$J$92:$M$92,0)+1)</f>
        <v>0.16700000000000001</v>
      </c>
      <c r="J121" s="1005">
        <f t="shared" si="9"/>
        <v>0.14750000000000002</v>
      </c>
      <c r="K121" s="1005">
        <f>VLOOKUP(V100,TO10kVAdj,MATCH(Gen_form!$N$542,$J$92:$M$92,0)+1)</f>
        <v>0.128</v>
      </c>
      <c r="L121" s="1005">
        <f t="shared" si="10"/>
        <v>0.10780000000000001</v>
      </c>
      <c r="M121" s="1005">
        <f>VLOOKUP(W100,TO10kVAdj,MATCH(Gen_form!$N$542,$J$92:$M$92,0)+1)</f>
        <v>8.7599999999999997E-2</v>
      </c>
      <c r="N121" s="1005">
        <f t="shared" si="11"/>
        <v>7.7499999999999999E-2</v>
      </c>
      <c r="O121" s="1005">
        <f>VLOOKUP(X100,TO10kVAdj,MATCH(Gen_form!$N$542,$J$92:$M$92,0)+1)</f>
        <v>6.7400000000000002E-2</v>
      </c>
      <c r="P121" s="1005">
        <f t="shared" si="12"/>
        <v>5.62E-2</v>
      </c>
      <c r="Q121" s="1005">
        <f>VLOOKUP(Y100,TO10kVAdj,MATCH(Gen_form!$N$542,$J$92:$M$92,0)+1)</f>
        <v>4.4999999999999998E-2</v>
      </c>
      <c r="R121" s="1005">
        <f t="shared" si="13"/>
        <v>3.8599999999999995E-2</v>
      </c>
      <c r="S121" s="1005">
        <f>VLOOKUP(Z100,TO10kVAdj,MATCH(Gen_form!$N$542,$J$92:$M$92,0)+1)</f>
        <v>3.2199999999999999E-2</v>
      </c>
    </row>
    <row r="122" spans="1:19">
      <c r="A122" s="1005" t="s">
        <v>735</v>
      </c>
      <c r="B122" s="1005" t="e">
        <f>NA()</f>
        <v>#N/A</v>
      </c>
      <c r="C122" s="1005">
        <f>VLOOKUP(R101,TO10kVAdj,MATCH(Gen_form!$N$542,$J$92:$M$92,0)+1)</f>
        <v>0.57299999999999995</v>
      </c>
      <c r="D122" s="1005">
        <f t="shared" si="6"/>
        <v>0.46649999999999997</v>
      </c>
      <c r="E122" s="1005">
        <f>VLOOKUP(S101,TO10kVAdj,MATCH(Gen_form!$N$542,$J$92:$M$92,0)+1)</f>
        <v>0.36</v>
      </c>
      <c r="F122" s="1005">
        <f t="shared" si="7"/>
        <v>0.29899999999999999</v>
      </c>
      <c r="G122" s="1005">
        <f>VLOOKUP(T101,TO10kVAdj,MATCH(Gen_form!$N$542,$J$92:$M$92,0)+1)</f>
        <v>0.23799999999999999</v>
      </c>
      <c r="H122" s="1005">
        <f t="shared" si="8"/>
        <v>0.20250000000000001</v>
      </c>
      <c r="I122" s="1005">
        <f>VLOOKUP(U101,TO10kVAdj,MATCH(Gen_form!$N$542,$J$92:$M$92,0)+1)</f>
        <v>0.16700000000000001</v>
      </c>
      <c r="J122" s="1005">
        <f t="shared" si="9"/>
        <v>0.14750000000000002</v>
      </c>
      <c r="K122" s="1005">
        <f>VLOOKUP(V101,TO10kVAdj,MATCH(Gen_form!$N$542,$J$92:$M$92,0)+1)</f>
        <v>0.128</v>
      </c>
      <c r="L122" s="1005">
        <f t="shared" si="10"/>
        <v>0.10780000000000001</v>
      </c>
      <c r="M122" s="1005">
        <f>VLOOKUP(W101,TO10kVAdj,MATCH(Gen_form!$N$542,$J$92:$M$92,0)+1)</f>
        <v>8.7599999999999997E-2</v>
      </c>
      <c r="N122" s="1005">
        <f t="shared" si="11"/>
        <v>7.7499999999999999E-2</v>
      </c>
      <c r="O122" s="1005">
        <f>VLOOKUP(X101,TO10kVAdj,MATCH(Gen_form!$N$542,$J$92:$M$92,0)+1)</f>
        <v>6.7400000000000002E-2</v>
      </c>
      <c r="P122" s="1005">
        <f t="shared" si="12"/>
        <v>5.62E-2</v>
      </c>
      <c r="Q122" s="1005">
        <f>VLOOKUP(Y101,TO10kVAdj,MATCH(Gen_form!$N$542,$J$92:$M$92,0)+1)</f>
        <v>4.4999999999999998E-2</v>
      </c>
      <c r="R122" s="1005">
        <f t="shared" si="13"/>
        <v>3.8599999999999995E-2</v>
      </c>
      <c r="S122" s="1005">
        <f>VLOOKUP(Z101,TO10kVAdj,MATCH(Gen_form!$N$542,$J$92:$M$92,0)+1)</f>
        <v>3.2199999999999999E-2</v>
      </c>
    </row>
    <row r="123" spans="1:19">
      <c r="A123" s="1005" t="s">
        <v>736</v>
      </c>
      <c r="B123" s="1005" t="e">
        <f>NA()</f>
        <v>#N/A</v>
      </c>
      <c r="C123" s="1005">
        <f>VLOOKUP(R102,TO10kVAdj,MATCH(Gen_form!$N$542,$J$92:$M$92,0)+1)</f>
        <v>0.95399999999999996</v>
      </c>
      <c r="D123" s="1005">
        <f t="shared" si="6"/>
        <v>0.84</v>
      </c>
      <c r="E123" s="1005">
        <f>VLOOKUP(S102,TO10kVAdj,MATCH(Gen_form!$N$542,$J$92:$M$92,0)+1)</f>
        <v>0.72599999999999998</v>
      </c>
      <c r="F123" s="1005">
        <f t="shared" si="7"/>
        <v>0.64949999999999997</v>
      </c>
      <c r="G123" s="1005">
        <f>VLOOKUP(T102,TO10kVAdj,MATCH(Gen_form!$N$542,$J$92:$M$92,0)+1)</f>
        <v>0.57299999999999995</v>
      </c>
      <c r="H123" s="1005">
        <f t="shared" si="8"/>
        <v>0.46649999999999997</v>
      </c>
      <c r="I123" s="1005">
        <f>VLOOKUP(U102,TO10kVAdj,MATCH(Gen_form!$N$542,$J$92:$M$92,0)+1)</f>
        <v>0.36</v>
      </c>
      <c r="J123" s="1005">
        <f t="shared" si="9"/>
        <v>0.29899999999999999</v>
      </c>
      <c r="K123" s="1005">
        <f>VLOOKUP(V102,TO10kVAdj,MATCH(Gen_form!$N$542,$J$92:$M$92,0)+1)</f>
        <v>0.23799999999999999</v>
      </c>
      <c r="L123" s="1005">
        <f t="shared" si="10"/>
        <v>0.20250000000000001</v>
      </c>
      <c r="M123" s="1005">
        <f>VLOOKUP(W102,TO10kVAdj,MATCH(Gen_form!$N$542,$J$92:$M$92,0)+1)</f>
        <v>0.16700000000000001</v>
      </c>
      <c r="N123" s="1005">
        <f t="shared" si="11"/>
        <v>0.14750000000000002</v>
      </c>
      <c r="O123" s="1005">
        <f>VLOOKUP(X102,TO10kVAdj,MATCH(Gen_form!$N$542,$J$92:$M$92,0)+1)</f>
        <v>0.128</v>
      </c>
      <c r="P123" s="1005">
        <f t="shared" si="12"/>
        <v>0.10780000000000001</v>
      </c>
      <c r="Q123" s="1005">
        <f>VLOOKUP(Y102,TO10kVAdj,MATCH(Gen_form!$N$542,$J$92:$M$92,0)+1)</f>
        <v>8.7599999999999997E-2</v>
      </c>
      <c r="R123" s="1005">
        <f t="shared" si="13"/>
        <v>7.7499999999999999E-2</v>
      </c>
      <c r="S123" s="1005">
        <f>VLOOKUP(Z102,TO10kVAdj,MATCH(Gen_form!$N$542,$J$92:$M$92,0)+1)</f>
        <v>6.7400000000000002E-2</v>
      </c>
    </row>
    <row r="124" spans="1:19">
      <c r="A124" s="1005" t="s">
        <v>737</v>
      </c>
      <c r="B124" s="1005" t="e">
        <f>NA()</f>
        <v>#N/A</v>
      </c>
      <c r="C124" s="1005">
        <f>VLOOKUP(R103,TO10kVAdj,MATCH(Gen_form!$N$542,$J$92:$M$92,0)+1)</f>
        <v>0.95399999999999996</v>
      </c>
      <c r="D124" s="1005">
        <f t="shared" si="6"/>
        <v>0.84</v>
      </c>
      <c r="E124" s="1005">
        <f>VLOOKUP(S103,TO10kVAdj,MATCH(Gen_form!$N$542,$J$92:$M$92,0)+1)</f>
        <v>0.72599999999999998</v>
      </c>
      <c r="F124" s="1005">
        <f t="shared" si="7"/>
        <v>0.64949999999999997</v>
      </c>
      <c r="G124" s="1005">
        <f>VLOOKUP(T103,TO10kVAdj,MATCH(Gen_form!$N$542,$J$92:$M$92,0)+1)</f>
        <v>0.57299999999999995</v>
      </c>
      <c r="H124" s="1005">
        <f t="shared" si="8"/>
        <v>0.46649999999999997</v>
      </c>
      <c r="I124" s="1005">
        <f>VLOOKUP(U103,TO10kVAdj,MATCH(Gen_form!$N$542,$J$92:$M$92,0)+1)</f>
        <v>0.36</v>
      </c>
      <c r="J124" s="1005">
        <f t="shared" si="9"/>
        <v>0.29899999999999999</v>
      </c>
      <c r="K124" s="1005">
        <f>VLOOKUP(V103,TO10kVAdj,MATCH(Gen_form!$N$542,$J$92:$M$92,0)+1)</f>
        <v>0.23799999999999999</v>
      </c>
      <c r="L124" s="1005">
        <f t="shared" si="10"/>
        <v>0.20250000000000001</v>
      </c>
      <c r="M124" s="1005">
        <f>VLOOKUP(W103,TO10kVAdj,MATCH(Gen_form!$N$542,$J$92:$M$92,0)+1)</f>
        <v>0.16700000000000001</v>
      </c>
      <c r="N124" s="1005">
        <f t="shared" si="11"/>
        <v>0.14750000000000002</v>
      </c>
      <c r="O124" s="1005">
        <f>VLOOKUP(X103,TO10kVAdj,MATCH(Gen_form!$N$542,$J$92:$M$92,0)+1)</f>
        <v>0.128</v>
      </c>
      <c r="P124" s="1005">
        <f t="shared" si="12"/>
        <v>0.10780000000000001</v>
      </c>
      <c r="Q124" s="1005">
        <f>VLOOKUP(Y103,TO10kVAdj,MATCH(Gen_form!$N$542,$J$92:$M$92,0)+1)</f>
        <v>8.7599999999999997E-2</v>
      </c>
      <c r="R124" s="1005">
        <f t="shared" si="13"/>
        <v>7.7499999999999999E-2</v>
      </c>
      <c r="S124" s="1005">
        <f>VLOOKUP(Z103,TO10kVAdj,MATCH(Gen_form!$N$542,$J$92:$M$92,0)+1)</f>
        <v>6.7400000000000002E-2</v>
      </c>
    </row>
    <row r="125" spans="1:19">
      <c r="A125" s="1005" t="s">
        <v>738</v>
      </c>
      <c r="B125" s="1005" t="e">
        <f>NA()</f>
        <v>#N/A</v>
      </c>
      <c r="C125" s="1005">
        <f>VLOOKUP(R104,TO10kVAdj,MATCH(Gen_form!$N$542,$J$92:$M$92,0)+1)</f>
        <v>0.95399999999999996</v>
      </c>
      <c r="D125" s="1005">
        <f t="shared" si="6"/>
        <v>0.84</v>
      </c>
      <c r="E125" s="1005">
        <f>VLOOKUP(S104,TO10kVAdj,MATCH(Gen_form!$N$542,$J$92:$M$92,0)+1)</f>
        <v>0.72599999999999998</v>
      </c>
      <c r="F125" s="1005">
        <f t="shared" si="7"/>
        <v>0.64949999999999997</v>
      </c>
      <c r="G125" s="1005">
        <f>VLOOKUP(T104,TO10kVAdj,MATCH(Gen_form!$N$542,$J$92:$M$92,0)+1)</f>
        <v>0.57299999999999995</v>
      </c>
      <c r="H125" s="1005">
        <f t="shared" si="8"/>
        <v>0.46649999999999997</v>
      </c>
      <c r="I125" s="1005">
        <f>VLOOKUP(U104,TO10kVAdj,MATCH(Gen_form!$N$542,$J$92:$M$92,0)+1)</f>
        <v>0.36</v>
      </c>
      <c r="J125" s="1005">
        <f t="shared" si="9"/>
        <v>0.29899999999999999</v>
      </c>
      <c r="K125" s="1005">
        <f>VLOOKUP(V104,TO10kVAdj,MATCH(Gen_form!$N$542,$J$92:$M$92,0)+1)</f>
        <v>0.23799999999999999</v>
      </c>
      <c r="L125" s="1005">
        <f t="shared" si="10"/>
        <v>0.20250000000000001</v>
      </c>
      <c r="M125" s="1005">
        <f>VLOOKUP(W104,TO10kVAdj,MATCH(Gen_form!$N$542,$J$92:$M$92,0)+1)</f>
        <v>0.16700000000000001</v>
      </c>
      <c r="N125" s="1005">
        <f t="shared" si="11"/>
        <v>0.14750000000000002</v>
      </c>
      <c r="O125" s="1005">
        <f>VLOOKUP(X104,TO10kVAdj,MATCH(Gen_form!$N$542,$J$92:$M$92,0)+1)</f>
        <v>0.128</v>
      </c>
      <c r="P125" s="1005">
        <f t="shared" si="12"/>
        <v>0.10780000000000001</v>
      </c>
      <c r="Q125" s="1005">
        <f>VLOOKUP(Y104,TO10kVAdj,MATCH(Gen_form!$N$542,$J$92:$M$92,0)+1)</f>
        <v>8.7599999999999997E-2</v>
      </c>
      <c r="R125" s="1005">
        <f t="shared" si="13"/>
        <v>7.7499999999999999E-2</v>
      </c>
      <c r="S125" s="1005">
        <f>VLOOKUP(Z104,TO10kVAdj,MATCH(Gen_form!$N$542,$J$92:$M$92,0)+1)</f>
        <v>6.7400000000000002E-2</v>
      </c>
    </row>
    <row r="127" spans="1:19">
      <c r="A127" s="1147" t="s">
        <v>726</v>
      </c>
      <c r="B127" s="127" t="s">
        <v>771</v>
      </c>
      <c r="C127" s="127" t="s">
        <v>772</v>
      </c>
      <c r="D127" s="1141">
        <v>1</v>
      </c>
      <c r="E127" s="1141">
        <v>2</v>
      </c>
      <c r="F127" s="1141">
        <v>3</v>
      </c>
      <c r="G127" s="1141">
        <v>4</v>
      </c>
      <c r="H127" s="1141">
        <v>5</v>
      </c>
      <c r="I127" s="1141">
        <v>6</v>
      </c>
      <c r="J127" s="1141">
        <v>7</v>
      </c>
      <c r="K127" s="1141">
        <v>8</v>
      </c>
      <c r="L127" s="1141">
        <v>9</v>
      </c>
      <c r="M127" s="1141">
        <v>10</v>
      </c>
      <c r="N127" s="1141">
        <v>11</v>
      </c>
      <c r="O127" s="1141">
        <v>12</v>
      </c>
    </row>
    <row r="128" spans="1:19">
      <c r="A128" s="127" t="s">
        <v>728</v>
      </c>
      <c r="B128" s="127">
        <v>11.1</v>
      </c>
      <c r="C128" s="1005">
        <f t="shared" ref="C128:C139" si="14">SQRT(PI()*(B128/2)^2)</f>
        <v>9.8371188725256129</v>
      </c>
      <c r="D128" s="1236">
        <v>6.0100000000000001E-2</v>
      </c>
      <c r="E128" s="1236">
        <v>0.04</v>
      </c>
      <c r="F128" s="1236">
        <v>3.0099999999999998E-2</v>
      </c>
      <c r="G128" s="1236">
        <v>2.01E-2</v>
      </c>
      <c r="H128" s="1236">
        <v>1.4500000000000001E-2</v>
      </c>
      <c r="I128" s="1236">
        <v>1.01E-2</v>
      </c>
      <c r="J128" s="1236">
        <v>8.0999999999999996E-3</v>
      </c>
      <c r="K128" s="1236">
        <v>6.1999999999999998E-3</v>
      </c>
      <c r="L128" s="1236">
        <v>4.0000000000000001E-3</v>
      </c>
      <c r="M128" s="1236">
        <v>2.8E-3</v>
      </c>
      <c r="N128" s="1236">
        <v>2E-3</v>
      </c>
      <c r="O128" s="1236">
        <v>1.5E-3</v>
      </c>
    </row>
    <row r="129" spans="1:21">
      <c r="A129" s="127" t="s">
        <v>729</v>
      </c>
      <c r="B129" s="127">
        <v>8</v>
      </c>
      <c r="C129" s="1005">
        <f t="shared" si="14"/>
        <v>7.0898154036220635</v>
      </c>
      <c r="D129" s="1236">
        <v>6.0100000000000001E-2</v>
      </c>
      <c r="E129" s="1236">
        <v>0.04</v>
      </c>
      <c r="F129" s="1236">
        <v>3.0099999999999998E-2</v>
      </c>
      <c r="G129" s="1236">
        <v>2.01E-2</v>
      </c>
      <c r="H129" s="1236">
        <v>1.4500000000000001E-2</v>
      </c>
      <c r="I129" s="1236">
        <v>1.01E-2</v>
      </c>
      <c r="J129" s="1236">
        <v>8.0999999999999996E-3</v>
      </c>
      <c r="K129" s="1236">
        <v>6.1999999999999998E-3</v>
      </c>
      <c r="L129" s="1236">
        <v>4.0000000000000001E-3</v>
      </c>
      <c r="M129" s="1236">
        <v>2.8E-3</v>
      </c>
      <c r="N129" s="1236">
        <v>2E-3</v>
      </c>
      <c r="O129" s="1236">
        <v>1.5E-3</v>
      </c>
    </row>
    <row r="130" spans="1:21">
      <c r="A130" s="127" t="s">
        <v>730</v>
      </c>
      <c r="B130" s="127">
        <v>5.6</v>
      </c>
      <c r="C130" s="1005">
        <f t="shared" si="14"/>
        <v>4.9628707825354441</v>
      </c>
      <c r="D130" s="1236">
        <v>6.0100000000000001E-2</v>
      </c>
      <c r="E130" s="1236">
        <v>0.04</v>
      </c>
      <c r="F130" s="1236">
        <v>3.0099999999999998E-2</v>
      </c>
      <c r="G130" s="1236">
        <v>2.01E-2</v>
      </c>
      <c r="H130" s="1236">
        <v>1.4500000000000001E-2</v>
      </c>
      <c r="I130" s="1236">
        <v>1.01E-2</v>
      </c>
      <c r="J130" s="1236">
        <v>8.0999999999999996E-3</v>
      </c>
      <c r="K130" s="1236">
        <v>6.1999999999999998E-3</v>
      </c>
      <c r="L130" s="1236">
        <v>4.0000000000000001E-3</v>
      </c>
      <c r="M130" s="1236">
        <v>2.8E-3</v>
      </c>
      <c r="N130" s="1236">
        <v>2E-3</v>
      </c>
      <c r="O130" s="1236">
        <v>1.5E-3</v>
      </c>
    </row>
    <row r="131" spans="1:21">
      <c r="A131" s="127" t="s">
        <v>724</v>
      </c>
      <c r="B131" s="127">
        <v>4</v>
      </c>
      <c r="C131" s="1005">
        <f t="shared" si="14"/>
        <v>3.5449077018110318</v>
      </c>
      <c r="D131" s="1236">
        <v>7.8200000000000006E-2</v>
      </c>
      <c r="E131" s="1236">
        <v>6.0100000000000001E-2</v>
      </c>
      <c r="F131" s="1236">
        <v>0.04</v>
      </c>
      <c r="G131" s="1236">
        <v>3.0099999999999998E-2</v>
      </c>
      <c r="H131" s="1236">
        <v>2.01E-2</v>
      </c>
      <c r="I131" s="1236">
        <v>1.4500000000000001E-2</v>
      </c>
      <c r="J131" s="1236">
        <v>1.01E-2</v>
      </c>
      <c r="K131" s="1236">
        <v>8.0999999999999996E-3</v>
      </c>
      <c r="L131" s="1236">
        <v>6.1999999999999998E-3</v>
      </c>
      <c r="M131" s="1236">
        <v>4.0000000000000001E-3</v>
      </c>
      <c r="N131" s="1236">
        <v>2.8E-3</v>
      </c>
      <c r="O131" s="1236">
        <v>2E-3</v>
      </c>
    </row>
    <row r="132" spans="1:21">
      <c r="A132" s="127" t="s">
        <v>731</v>
      </c>
      <c r="B132" s="127">
        <v>2.8</v>
      </c>
      <c r="C132" s="1005">
        <f t="shared" si="14"/>
        <v>2.4814353912677221</v>
      </c>
      <c r="D132" s="1236">
        <v>7.8200000000000006E-2</v>
      </c>
      <c r="E132" s="1236">
        <v>6.0100000000000001E-2</v>
      </c>
      <c r="F132" s="1236">
        <v>0.04</v>
      </c>
      <c r="G132" s="1236">
        <v>3.0099999999999998E-2</v>
      </c>
      <c r="H132" s="1236">
        <v>2.01E-2</v>
      </c>
      <c r="I132" s="1236">
        <v>1.4500000000000001E-2</v>
      </c>
      <c r="J132" s="1236">
        <v>1.01E-2</v>
      </c>
      <c r="K132" s="1236">
        <v>8.0999999999999996E-3</v>
      </c>
      <c r="L132" s="1236">
        <v>6.1999999999999998E-3</v>
      </c>
      <c r="M132" s="1236">
        <v>4.0000000000000001E-3</v>
      </c>
      <c r="N132" s="1236">
        <v>2.8E-3</v>
      </c>
      <c r="O132" s="1236">
        <v>2E-3</v>
      </c>
    </row>
    <row r="133" spans="1:21">
      <c r="A133" s="127" t="s">
        <v>732</v>
      </c>
      <c r="B133" s="127">
        <v>2</v>
      </c>
      <c r="C133" s="1005">
        <f t="shared" si="14"/>
        <v>1.7724538509055159</v>
      </c>
      <c r="D133" s="1236">
        <v>7.8200000000000006E-2</v>
      </c>
      <c r="E133" s="1236">
        <v>6.0100000000000001E-2</v>
      </c>
      <c r="F133" s="1236">
        <v>0.04</v>
      </c>
      <c r="G133" s="1236">
        <v>3.0099999999999998E-2</v>
      </c>
      <c r="H133" s="1236">
        <v>2.01E-2</v>
      </c>
      <c r="I133" s="1236">
        <v>1.4500000000000001E-2</v>
      </c>
      <c r="J133" s="1236">
        <v>1.01E-2</v>
      </c>
      <c r="K133" s="1236">
        <v>8.0999999999999996E-3</v>
      </c>
      <c r="L133" s="1236">
        <v>6.1999999999999998E-3</v>
      </c>
      <c r="M133" s="1236">
        <v>4.0000000000000001E-3</v>
      </c>
      <c r="N133" s="1236">
        <v>2.8E-3</v>
      </c>
      <c r="O133" s="1236">
        <v>2E-3</v>
      </c>
    </row>
    <row r="134" spans="1:21">
      <c r="A134" s="127" t="s">
        <v>733</v>
      </c>
      <c r="B134" s="127">
        <v>1.4</v>
      </c>
      <c r="C134" s="1005">
        <f t="shared" si="14"/>
        <v>1.240717695633861</v>
      </c>
      <c r="D134" s="1236">
        <v>0.115</v>
      </c>
      <c r="E134" s="1236">
        <v>7.8200000000000006E-2</v>
      </c>
      <c r="F134" s="1236">
        <v>6.0100000000000001E-2</v>
      </c>
      <c r="G134" s="1236">
        <v>0.04</v>
      </c>
      <c r="H134" s="1236">
        <v>3.0099999999999998E-2</v>
      </c>
      <c r="I134" s="1236">
        <v>2.01E-2</v>
      </c>
      <c r="J134" s="1236">
        <v>1.4500000000000001E-2</v>
      </c>
      <c r="K134" s="1236">
        <v>1.01E-2</v>
      </c>
      <c r="L134" s="1236">
        <v>8.0999999999999996E-3</v>
      </c>
      <c r="M134" s="1236">
        <v>6.1999999999999998E-3</v>
      </c>
      <c r="N134" s="1236">
        <v>4.0000000000000001E-3</v>
      </c>
      <c r="O134" s="1236">
        <v>2.8E-3</v>
      </c>
    </row>
    <row r="135" spans="1:21">
      <c r="A135" s="127" t="s">
        <v>734</v>
      </c>
      <c r="B135" s="127">
        <v>1</v>
      </c>
      <c r="C135" s="1005">
        <f t="shared" si="14"/>
        <v>0.88622692545275794</v>
      </c>
      <c r="D135" s="1236">
        <v>0.115</v>
      </c>
      <c r="E135" s="1236">
        <v>7.8200000000000006E-2</v>
      </c>
      <c r="F135" s="1236">
        <v>6.0100000000000001E-2</v>
      </c>
      <c r="G135" s="1236">
        <v>0.04</v>
      </c>
      <c r="H135" s="1236">
        <v>3.0099999999999998E-2</v>
      </c>
      <c r="I135" s="1236">
        <v>2.01E-2</v>
      </c>
      <c r="J135" s="1236">
        <v>1.4500000000000001E-2</v>
      </c>
      <c r="K135" s="1236">
        <v>1.01E-2</v>
      </c>
      <c r="L135" s="1236">
        <v>8.0999999999999996E-3</v>
      </c>
      <c r="M135" s="1236">
        <v>6.1999999999999998E-3</v>
      </c>
      <c r="N135" s="1236">
        <v>4.0000000000000001E-3</v>
      </c>
      <c r="O135" s="1236">
        <v>2.8E-3</v>
      </c>
    </row>
    <row r="136" spans="1:21">
      <c r="A136" s="127" t="s">
        <v>735</v>
      </c>
      <c r="B136" s="127">
        <v>0.7</v>
      </c>
      <c r="C136" s="1005">
        <f t="shared" si="14"/>
        <v>0.62035884781693051</v>
      </c>
      <c r="D136" s="1236">
        <v>0.115</v>
      </c>
      <c r="E136" s="1236">
        <v>7.8200000000000006E-2</v>
      </c>
      <c r="F136" s="1236">
        <v>6.0100000000000001E-2</v>
      </c>
      <c r="G136" s="1236">
        <v>0.04</v>
      </c>
      <c r="H136" s="1236">
        <v>3.0099999999999998E-2</v>
      </c>
      <c r="I136" s="1236">
        <v>2.01E-2</v>
      </c>
      <c r="J136" s="1236">
        <v>1.4500000000000001E-2</v>
      </c>
      <c r="K136" s="1236">
        <v>1.01E-2</v>
      </c>
      <c r="L136" s="1236">
        <v>8.0999999999999996E-3</v>
      </c>
      <c r="M136" s="1236">
        <v>6.1999999999999998E-3</v>
      </c>
      <c r="N136" s="1236">
        <v>4.0000000000000001E-3</v>
      </c>
      <c r="O136" s="1236">
        <v>2.8E-3</v>
      </c>
    </row>
    <row r="137" spans="1:21">
      <c r="A137" s="127" t="s">
        <v>736</v>
      </c>
      <c r="B137" s="127">
        <v>0.5</v>
      </c>
      <c r="C137" s="1005">
        <f t="shared" si="14"/>
        <v>0.44311346272637897</v>
      </c>
      <c r="D137" s="1236">
        <v>0.46500000000000002</v>
      </c>
      <c r="E137" s="1236">
        <v>0.33</v>
      </c>
      <c r="F137" s="1236">
        <v>0.215</v>
      </c>
      <c r="G137" s="1236">
        <v>0.15</v>
      </c>
      <c r="H137" s="1236">
        <v>0.115</v>
      </c>
      <c r="I137" s="1236">
        <v>7.8200000000000006E-2</v>
      </c>
      <c r="J137" s="1236">
        <v>6.0100000000000001E-2</v>
      </c>
      <c r="K137" s="1236">
        <v>0.04</v>
      </c>
      <c r="L137" s="1236">
        <v>3.0099999999999998E-2</v>
      </c>
      <c r="M137" s="1236">
        <v>2.01E-2</v>
      </c>
      <c r="N137" s="1236">
        <v>1.4500000000000001E-2</v>
      </c>
      <c r="O137" s="1236">
        <v>1.01E-2</v>
      </c>
    </row>
    <row r="138" spans="1:21">
      <c r="A138" s="127" t="s">
        <v>737</v>
      </c>
      <c r="B138" s="127">
        <v>0.35</v>
      </c>
      <c r="C138" s="1005">
        <f t="shared" si="14"/>
        <v>0.31017942390846526</v>
      </c>
      <c r="D138" s="1236">
        <v>0.69699999999999995</v>
      </c>
      <c r="E138" s="1236">
        <v>4.65E-2</v>
      </c>
      <c r="F138" s="1236">
        <v>0.33</v>
      </c>
      <c r="G138" s="1236">
        <v>0.215</v>
      </c>
      <c r="H138" s="1236">
        <v>0.15</v>
      </c>
      <c r="I138" s="1236">
        <v>0.115</v>
      </c>
      <c r="J138" s="1236">
        <v>7.8200000000000006E-2</v>
      </c>
      <c r="K138" s="1236">
        <v>6.0100000000000001E-2</v>
      </c>
      <c r="L138" s="1236">
        <v>0.04</v>
      </c>
      <c r="M138" s="1236">
        <v>3.0099999999999998E-2</v>
      </c>
      <c r="N138" s="1236">
        <v>2.01E-2</v>
      </c>
      <c r="O138" s="1236">
        <v>1.4500000000000001E-2</v>
      </c>
    </row>
    <row r="139" spans="1:21">
      <c r="A139" s="127" t="s">
        <v>738</v>
      </c>
      <c r="B139" s="127">
        <v>0.25</v>
      </c>
      <c r="C139" s="1005">
        <f t="shared" si="14"/>
        <v>0.22155673136318949</v>
      </c>
      <c r="D139" s="1236">
        <v>0.94499999999999995</v>
      </c>
      <c r="E139" s="1236">
        <v>0.69699999999999995</v>
      </c>
      <c r="F139" s="1236">
        <v>0.46500000000000002</v>
      </c>
      <c r="G139" s="1236">
        <v>0.33</v>
      </c>
      <c r="H139" s="1236">
        <v>0.215</v>
      </c>
      <c r="I139" s="1236">
        <v>0.15</v>
      </c>
      <c r="J139" s="1236">
        <v>0.115</v>
      </c>
      <c r="K139" s="1236">
        <v>7.8200000000000006E-2</v>
      </c>
      <c r="L139" s="1236">
        <v>6.0100000000000001E-2</v>
      </c>
      <c r="M139" s="1236">
        <v>0.04</v>
      </c>
      <c r="N139" s="1236">
        <v>3.0099999999999998E-2</v>
      </c>
      <c r="O139" s="1236">
        <v>2.01E-2</v>
      </c>
    </row>
    <row r="140" spans="1:21" ht="16.5" thickBot="1">
      <c r="A140" s="1230"/>
      <c r="B140" s="1230"/>
      <c r="C140" s="1235"/>
    </row>
    <row r="141" spans="1:21" ht="16.5" thickTop="1">
      <c r="A141" s="75"/>
      <c r="B141" s="58"/>
      <c r="C141" s="58"/>
      <c r="D141" s="58"/>
      <c r="E141" s="326"/>
      <c r="F141" s="326"/>
      <c r="G141" s="596"/>
      <c r="H141" s="596"/>
      <c r="I141" s="596"/>
      <c r="J141" s="596"/>
      <c r="K141" s="596"/>
      <c r="L141" s="58"/>
      <c r="M141" s="58"/>
      <c r="N141" s="58"/>
      <c r="O141" s="58"/>
      <c r="P141" s="58"/>
      <c r="Q141" s="58"/>
      <c r="R141" s="58"/>
      <c r="S141" s="58"/>
      <c r="T141" s="58"/>
      <c r="U141" s="76"/>
    </row>
    <row r="142" spans="1:21">
      <c r="A142" s="136"/>
      <c r="B142" s="689" t="s">
        <v>603</v>
      </c>
      <c r="C142" s="49"/>
      <c r="E142" s="815"/>
      <c r="F142" s="168"/>
      <c r="G142" s="168"/>
      <c r="H142" s="564"/>
      <c r="I142" s="564"/>
      <c r="J142" s="564"/>
      <c r="K142" s="564"/>
      <c r="L142" s="564"/>
      <c r="M142" s="49"/>
      <c r="N142" s="49"/>
      <c r="O142" s="49"/>
      <c r="P142" s="49"/>
      <c r="Q142" s="49"/>
      <c r="R142" s="49"/>
      <c r="S142" s="49"/>
      <c r="T142" s="49"/>
      <c r="U142" s="67"/>
    </row>
    <row r="143" spans="1:21">
      <c r="A143" s="136"/>
      <c r="B143" s="450"/>
      <c r="C143" s="450"/>
      <c r="D143" s="450"/>
      <c r="E143" s="450"/>
      <c r="F143" s="804" t="s">
        <v>158</v>
      </c>
      <c r="G143" s="805"/>
      <c r="H143" s="825" t="str">
        <f>"Note: Maximum should be "&amp;ROUND(3*F149,0)&amp;" for the parameters specified."</f>
        <v>Note: Maximum should be 407 for the parameters specified.</v>
      </c>
      <c r="I143" s="450"/>
      <c r="J143" s="450"/>
      <c r="K143" s="450"/>
      <c r="L143" s="564"/>
      <c r="M143" s="49"/>
      <c r="N143" s="49"/>
      <c r="O143" s="49"/>
      <c r="P143" s="49"/>
      <c r="Q143" s="49"/>
      <c r="R143" s="49"/>
      <c r="S143" s="49"/>
      <c r="T143" s="49"/>
      <c r="U143" s="67"/>
    </row>
    <row r="144" spans="1:21" ht="16.5" thickBot="1">
      <c r="A144" s="136"/>
      <c r="B144" s="450"/>
      <c r="C144" s="450"/>
      <c r="D144" s="450"/>
      <c r="E144" s="450"/>
      <c r="F144" s="806" t="s">
        <v>156</v>
      </c>
      <c r="G144" s="807" t="s">
        <v>157</v>
      </c>
      <c r="H144" s="450"/>
      <c r="I144" s="801" t="s">
        <v>604</v>
      </c>
      <c r="J144" s="450"/>
      <c r="K144" s="450"/>
      <c r="L144" s="564"/>
      <c r="M144" s="49"/>
      <c r="N144" s="49"/>
      <c r="O144" s="49"/>
      <c r="P144" s="49"/>
      <c r="Q144" s="49"/>
      <c r="R144" s="49"/>
      <c r="S144" s="49"/>
      <c r="T144" s="49"/>
      <c r="U144" s="831" t="s">
        <v>336</v>
      </c>
    </row>
    <row r="145" spans="1:21">
      <c r="A145" s="136"/>
      <c r="B145" s="808"/>
      <c r="C145" s="809"/>
      <c r="D145" s="809"/>
      <c r="E145" s="802" t="s">
        <v>165</v>
      </c>
      <c r="F145" s="823">
        <v>6</v>
      </c>
      <c r="G145" s="810"/>
      <c r="H145" s="450"/>
      <c r="I145" s="826" t="s">
        <v>164</v>
      </c>
      <c r="J145" s="830">
        <f>LEN(I144)</f>
        <v>409</v>
      </c>
      <c r="K145" s="450"/>
      <c r="L145" s="564"/>
      <c r="M145" s="49"/>
      <c r="N145" s="49"/>
      <c r="O145" s="49"/>
      <c r="P145" s="49"/>
      <c r="Q145" s="49"/>
      <c r="R145" s="49"/>
      <c r="S145" s="49"/>
      <c r="T145" s="49"/>
      <c r="U145" s="67"/>
    </row>
    <row r="146" spans="1:21">
      <c r="A146" s="136"/>
      <c r="B146" s="811"/>
      <c r="C146" s="450"/>
      <c r="D146" s="450"/>
      <c r="E146" s="451" t="s">
        <v>166</v>
      </c>
      <c r="F146" s="824">
        <v>137</v>
      </c>
      <c r="G146" s="822">
        <v>1505</v>
      </c>
      <c r="H146" s="827">
        <f>LEN(I146)</f>
        <v>135</v>
      </c>
      <c r="I146" s="816" t="str">
        <f>IF(I144="","",IF(LEN(I144)&lt;=$F$146,I144,IF(LEN($I$144)&lt;=$F$147,LEFT(I144,SEARCH(" ",I144,$F$148)),LEFT(I144,SEARCH(" ",I144,$F$149)))))</f>
        <v xml:space="preserve">I wanted every body to know that now is the time for all good women to come to the aid of their country, and if you don't belive that, </v>
      </c>
      <c r="J146" s="817"/>
      <c r="K146" s="817"/>
      <c r="L146" s="818"/>
      <c r="M146" s="819"/>
      <c r="N146" s="819"/>
      <c r="O146" s="819"/>
      <c r="P146" s="819"/>
      <c r="Q146" s="819"/>
      <c r="R146" s="819"/>
      <c r="S146" s="819"/>
      <c r="T146" s="819"/>
      <c r="U146" s="67"/>
    </row>
    <row r="147" spans="1:21">
      <c r="A147" s="136"/>
      <c r="B147" s="811"/>
      <c r="C147" s="450"/>
      <c r="D147" s="450"/>
      <c r="E147" s="451" t="s">
        <v>159</v>
      </c>
      <c r="F147" s="820">
        <f>2*F146-F145</f>
        <v>268</v>
      </c>
      <c r="G147" s="812">
        <v>1506</v>
      </c>
      <c r="H147" s="827">
        <f>LEN(I147)</f>
        <v>133</v>
      </c>
      <c r="I147" s="816" t="str">
        <f>IF(LEN(I144)&lt;=$F$146,"",IF(LEN(I144)&lt;=$F$147,RIGHT(I144,LEN(I144)-SEARCH(" ",I144,$F$148)),MID(I144,SEARCH(" ",I144,$F$149),IF(LEN(I144)&lt;=$F$150,LEN(I144),SEARCH(" ",I144,$F$151)-SEARCH(" ",I144,$F$149)))))</f>
        <v xml:space="preserve"> then know that the sly brown fox jumped quickly over the lazy dog. I wanted every body to know that now is the time for all good men</v>
      </c>
      <c r="J147" s="817"/>
      <c r="K147" s="817"/>
      <c r="L147" s="818"/>
      <c r="M147" s="819"/>
      <c r="N147" s="819"/>
      <c r="O147" s="819"/>
      <c r="P147" s="819"/>
      <c r="Q147" s="819"/>
      <c r="R147" s="819"/>
      <c r="S147" s="819"/>
      <c r="T147" s="819"/>
      <c r="U147" s="67"/>
    </row>
    <row r="148" spans="1:21" ht="16.5" thickBot="1">
      <c r="A148" s="136"/>
      <c r="B148" s="811"/>
      <c r="C148" s="450"/>
      <c r="D148" s="450"/>
      <c r="E148" s="451" t="s">
        <v>160</v>
      </c>
      <c r="F148" s="820">
        <f>F146-F145/2</f>
        <v>134</v>
      </c>
      <c r="G148" s="822">
        <v>1507</v>
      </c>
      <c r="H148" s="828">
        <f>LEN(I148)</f>
        <v>141</v>
      </c>
      <c r="I148" s="816" t="str">
        <f>IF(LEN(I144)&lt;=$F$150,"",RIGHT(I144,LEN(I144)-SEARCH(" ",I144,$F$151)))</f>
        <v>to come to the aid of their country, and if you don't belive that, the know that the sly brown fox jumped quickly over the lazy dog. The end.</v>
      </c>
      <c r="J148" s="817"/>
      <c r="K148" s="817"/>
      <c r="L148" s="818"/>
      <c r="M148" s="819"/>
      <c r="N148" s="819"/>
      <c r="O148" s="819"/>
      <c r="P148" s="819"/>
      <c r="Q148" s="819"/>
      <c r="R148" s="819"/>
      <c r="S148" s="819"/>
      <c r="T148" s="819"/>
      <c r="U148" s="67"/>
    </row>
    <row r="149" spans="1:21">
      <c r="A149" s="136"/>
      <c r="B149" s="811"/>
      <c r="C149" s="450"/>
      <c r="D149" s="450"/>
      <c r="E149" s="451" t="s">
        <v>161</v>
      </c>
      <c r="F149" s="820">
        <f>F146-F145/4</f>
        <v>135.5</v>
      </c>
      <c r="G149" s="812">
        <v>1508</v>
      </c>
      <c r="H149" s="829">
        <f>SUM(H146:H148)</f>
        <v>409</v>
      </c>
      <c r="I149" s="450"/>
      <c r="J149" s="450"/>
      <c r="K149" s="450"/>
      <c r="L149" s="564"/>
      <c r="M149" s="49"/>
      <c r="N149" s="49"/>
      <c r="O149" s="49"/>
      <c r="P149" s="49"/>
      <c r="Q149" s="49"/>
      <c r="R149" s="49"/>
      <c r="S149" s="49"/>
      <c r="T149" s="49"/>
      <c r="U149" s="67"/>
    </row>
    <row r="150" spans="1:21">
      <c r="A150" s="136"/>
      <c r="B150" s="811"/>
      <c r="C150" s="450"/>
      <c r="D150" s="450"/>
      <c r="E150" s="451" t="s">
        <v>162</v>
      </c>
      <c r="F150" s="820">
        <f>2*F146-F145/4</f>
        <v>272.5</v>
      </c>
      <c r="G150" s="822">
        <v>1509</v>
      </c>
      <c r="H150" s="450"/>
      <c r="I150" s="450"/>
      <c r="J150" s="450"/>
      <c r="K150" s="450"/>
      <c r="L150" s="564"/>
      <c r="M150" s="49"/>
      <c r="N150" s="49"/>
      <c r="O150" s="49"/>
      <c r="P150" s="49"/>
      <c r="Q150" s="49"/>
      <c r="R150" s="49"/>
      <c r="S150" s="49"/>
      <c r="T150" s="49"/>
      <c r="U150" s="67"/>
    </row>
    <row r="151" spans="1:21" ht="16.5" thickBot="1">
      <c r="A151" s="136"/>
      <c r="B151" s="539"/>
      <c r="C151" s="813"/>
      <c r="D151" s="813"/>
      <c r="E151" s="803" t="s">
        <v>163</v>
      </c>
      <c r="F151" s="821">
        <f>F150-F145</f>
        <v>266.5</v>
      </c>
      <c r="G151" s="814">
        <v>1510</v>
      </c>
      <c r="H151" s="450"/>
      <c r="I151" s="450"/>
      <c r="J151" s="450"/>
      <c r="K151" s="450"/>
      <c r="L151" s="564"/>
      <c r="M151" s="49"/>
      <c r="N151" s="49"/>
      <c r="O151" s="49"/>
      <c r="P151" s="49"/>
      <c r="Q151" s="49"/>
      <c r="R151" s="49"/>
      <c r="S151" s="49"/>
      <c r="T151" s="49"/>
      <c r="U151" s="67"/>
    </row>
    <row r="152" spans="1:21" ht="16.5" thickBot="1">
      <c r="A152" s="98"/>
      <c r="B152" s="80"/>
      <c r="C152" s="80"/>
      <c r="D152" s="80"/>
      <c r="E152" s="513"/>
      <c r="F152" s="513"/>
      <c r="G152" s="597"/>
      <c r="H152" s="597"/>
      <c r="I152" s="597"/>
      <c r="J152" s="597"/>
      <c r="K152" s="597"/>
      <c r="L152" s="80"/>
      <c r="M152" s="80"/>
      <c r="N152" s="80"/>
      <c r="O152" s="80"/>
      <c r="P152" s="80"/>
      <c r="Q152" s="80"/>
      <c r="R152" s="80"/>
      <c r="S152" s="80"/>
      <c r="T152" s="80"/>
      <c r="U152" s="85"/>
    </row>
    <row r="153" spans="1:21" ht="16.5" thickTop="1"/>
  </sheetData>
  <mergeCells count="1">
    <mergeCell ref="T1:U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C72"/>
  <sheetViews>
    <sheetView workbookViewId="0"/>
  </sheetViews>
  <sheetFormatPr defaultRowHeight="15.75"/>
  <sheetData>
    <row r="1" spans="1:5">
      <c r="A1" t="s">
        <v>677</v>
      </c>
      <c r="B1" s="1053" t="s">
        <v>678</v>
      </c>
    </row>
    <row r="2" spans="1:5">
      <c r="A2" t="s">
        <v>679</v>
      </c>
      <c r="B2" s="1053" t="str">
        <f>Gen_form!E14</f>
        <v/>
      </c>
    </row>
    <row r="3" spans="1:5">
      <c r="A3" t="s">
        <v>669</v>
      </c>
      <c r="B3" s="1053">
        <f>Gen_form!U209</f>
        <v>0</v>
      </c>
    </row>
    <row r="4" spans="1:5">
      <c r="A4" t="s">
        <v>670</v>
      </c>
      <c r="B4" s="1053">
        <f>Gen_form!U214</f>
        <v>0</v>
      </c>
    </row>
    <row r="5" spans="1:5">
      <c r="A5" t="s">
        <v>671</v>
      </c>
      <c r="B5" s="1053">
        <f>Gen_form!B314</f>
        <v>5</v>
      </c>
      <c r="C5" s="1053">
        <f>Gen_form!C314</f>
        <v>5</v>
      </c>
      <c r="D5" s="1053">
        <f>Gen_form!D314</f>
        <v>5</v>
      </c>
      <c r="E5" s="1053">
        <f>Gen_form!E314</f>
        <v>5</v>
      </c>
    </row>
    <row r="6" spans="1:5">
      <c r="B6" s="1053" t="str">
        <f>Gen_form!B315</f>
        <v/>
      </c>
      <c r="C6" s="1053" t="str">
        <f>Gen_form!C315</f>
        <v/>
      </c>
      <c r="D6" s="1053" t="str">
        <f>Gen_form!D315</f>
        <v/>
      </c>
      <c r="E6" s="1053" t="str">
        <f>Gen_form!E315</f>
        <v/>
      </c>
    </row>
    <row r="7" spans="1:5">
      <c r="A7" t="s">
        <v>672</v>
      </c>
      <c r="B7" s="1053" t="str">
        <f>Gen_form!D668</f>
        <v/>
      </c>
      <c r="C7" s="1053" t="str">
        <f>Gen_form!E668</f>
        <v/>
      </c>
    </row>
    <row r="8" spans="1:5">
      <c r="B8" s="1053" t="str">
        <f>Gen_form!D669</f>
        <v/>
      </c>
      <c r="C8" s="1053" t="str">
        <f>Gen_form!E669</f>
        <v/>
      </c>
    </row>
    <row r="9" spans="1:5">
      <c r="B9" s="1053" t="str">
        <f>Gen_form!D670</f>
        <v/>
      </c>
      <c r="C9" s="1053" t="str">
        <f>Gen_form!E670</f>
        <v/>
      </c>
    </row>
    <row r="10" spans="1:5">
      <c r="B10" s="1053" t="str">
        <f>Gen_form!D671</f>
        <v/>
      </c>
      <c r="C10" s="1053" t="str">
        <f>Gen_form!E671</f>
        <v/>
      </c>
    </row>
    <row r="11" spans="1:5">
      <c r="B11" s="1053" t="str">
        <f>Gen_form!D672</f>
        <v/>
      </c>
      <c r="C11" s="1053" t="str">
        <f>Gen_form!E672</f>
        <v/>
      </c>
    </row>
    <row r="12" spans="1:5">
      <c r="B12" s="1053" t="str">
        <f>Gen_form!D673</f>
        <v/>
      </c>
      <c r="C12" s="1053" t="str">
        <f>Gen_form!E673</f>
        <v/>
      </c>
    </row>
    <row r="13" spans="1:5">
      <c r="B13" s="1053" t="str">
        <f>Gen_form!D674</f>
        <v/>
      </c>
      <c r="C13" s="1053" t="str">
        <f>Gen_form!E674</f>
        <v/>
      </c>
    </row>
    <row r="14" spans="1:5">
      <c r="B14" s="1053" t="str">
        <f>Gen_form!D675</f>
        <v/>
      </c>
      <c r="C14" s="1053" t="str">
        <f>Gen_form!E675</f>
        <v/>
      </c>
    </row>
    <row r="15" spans="1:5">
      <c r="A15" t="s">
        <v>673</v>
      </c>
      <c r="B15" s="1053" t="str">
        <f>Gen_form!D681</f>
        <v/>
      </c>
      <c r="C15" s="1053" t="str">
        <f>Gen_form!E681</f>
        <v/>
      </c>
    </row>
    <row r="16" spans="1:5">
      <c r="B16" s="1053" t="str">
        <f>Gen_form!D682</f>
        <v/>
      </c>
      <c r="C16" s="1053" t="str">
        <f>Gen_form!E682</f>
        <v/>
      </c>
    </row>
    <row r="17" spans="1:29">
      <c r="B17" s="1053" t="str">
        <f>Gen_form!D683</f>
        <v/>
      </c>
      <c r="C17" s="1053" t="str">
        <f>Gen_form!E683</f>
        <v/>
      </c>
    </row>
    <row r="18" spans="1:29">
      <c r="B18" s="1053" t="str">
        <f>Gen_form!D684</f>
        <v/>
      </c>
      <c r="C18" s="1053" t="str">
        <f>Gen_form!E684</f>
        <v/>
      </c>
    </row>
    <row r="19" spans="1:29">
      <c r="B19" s="1053" t="str">
        <f>Gen_form!D685</f>
        <v/>
      </c>
      <c r="C19" s="1053" t="str">
        <f>Gen_form!E685</f>
        <v/>
      </c>
    </row>
    <row r="20" spans="1:29">
      <c r="B20" s="1054" t="str">
        <f>Gen_form!D686</f>
        <v/>
      </c>
      <c r="C20" s="1054" t="str">
        <f>Gen_form!E686</f>
        <v/>
      </c>
    </row>
    <row r="21" spans="1:29">
      <c r="A21" t="s">
        <v>674</v>
      </c>
      <c r="B21" s="1053">
        <f>Tables!B49</f>
        <v>60</v>
      </c>
      <c r="C21" s="1053">
        <f>Tables!C49</f>
        <v>400</v>
      </c>
      <c r="D21" s="1053">
        <f>Tables!D49</f>
        <v>0.05</v>
      </c>
      <c r="E21" s="1053">
        <f>Tables!E49</f>
        <v>20</v>
      </c>
      <c r="F21" s="1053" t="str">
        <f>Tables!F49</f>
        <v>50-85</v>
      </c>
      <c r="G21" s="1053">
        <f>Tables!G49</f>
        <v>0</v>
      </c>
      <c r="H21" s="1053" t="str">
        <f>Tables!H49</f>
        <v>none</v>
      </c>
      <c r="I21" s="1053">
        <f>Tables!I49</f>
        <v>100</v>
      </c>
      <c r="J21" s="1053" t="str">
        <f>Tables!J49</f>
        <v>cm</v>
      </c>
      <c r="K21" s="1053">
        <f>Tables!K49</f>
        <v>1</v>
      </c>
      <c r="L21" s="1053" t="str">
        <f>Tables!L49</f>
        <v>Low</v>
      </c>
      <c r="M21" s="1053" t="str">
        <f>Tables!M49</f>
        <v>Internal</v>
      </c>
      <c r="N21" s="1053">
        <f>Tables!N49</f>
        <v>0</v>
      </c>
      <c r="O21" s="1053">
        <f>Tables!O49</f>
        <v>0</v>
      </c>
      <c r="P21" s="1053" t="str">
        <f>Tables!P49</f>
        <v>Large</v>
      </c>
      <c r="Q21" s="1053">
        <f>Tables!Q49</f>
        <v>0</v>
      </c>
      <c r="R21" s="1053">
        <f>Tables!R49</f>
        <v>0</v>
      </c>
      <c r="S21" s="1053">
        <f>Tables!S49</f>
        <v>1</v>
      </c>
      <c r="T21" s="1053">
        <f>Tables!T49</f>
        <v>0</v>
      </c>
      <c r="U21" s="1053">
        <f>Tables!U49</f>
        <v>0</v>
      </c>
      <c r="V21" s="1053">
        <f>Tables!V49</f>
        <v>0</v>
      </c>
      <c r="W21" s="1053">
        <f>Tables!W49</f>
        <v>0</v>
      </c>
      <c r="X21" s="1053">
        <f>Tables!X49</f>
        <v>0</v>
      </c>
      <c r="Y21" s="1053">
        <f>Tables!Y49</f>
        <v>0</v>
      </c>
      <c r="Z21" s="1053" t="str">
        <f>Tables!Z49</f>
        <v/>
      </c>
      <c r="AA21" s="1053" t="str">
        <f>Tables!AA49</f>
        <v/>
      </c>
      <c r="AB21" s="1053" t="str">
        <f>Tables!AB49</f>
        <v/>
      </c>
      <c r="AC21" s="1053" t="str">
        <f>Tables!AC49</f>
        <v/>
      </c>
    </row>
    <row r="22" spans="1:29">
      <c r="B22" s="1053">
        <f>Tables!B50</f>
        <v>60</v>
      </c>
      <c r="C22" s="1053">
        <f>Tables!C50</f>
        <v>400</v>
      </c>
      <c r="D22" s="1053">
        <f>Tables!D50</f>
        <v>0.05</v>
      </c>
      <c r="E22" s="1053">
        <f>Tables!E50</f>
        <v>20</v>
      </c>
      <c r="F22" s="1053" t="str">
        <f>Tables!F50</f>
        <v>50-85</v>
      </c>
      <c r="G22" s="1053">
        <f>Tables!G50</f>
        <v>0</v>
      </c>
      <c r="H22" s="1053" t="str">
        <f>Tables!H50</f>
        <v>none</v>
      </c>
      <c r="I22" s="1053">
        <f>Tables!I50</f>
        <v>100</v>
      </c>
      <c r="J22" s="1053" t="str">
        <f>Tables!J50</f>
        <v>cm</v>
      </c>
      <c r="K22" s="1053">
        <f>Tables!K50</f>
        <v>1</v>
      </c>
      <c r="L22" s="1053" t="str">
        <f>Tables!L50</f>
        <v>Low</v>
      </c>
      <c r="M22" s="1053" t="str">
        <f>Tables!M50</f>
        <v>Internal</v>
      </c>
      <c r="N22" s="1053">
        <f>Tables!N50</f>
        <v>0</v>
      </c>
      <c r="O22" s="1053">
        <f>Tables!O50</f>
        <v>0</v>
      </c>
      <c r="P22" s="1053" t="str">
        <f>Tables!P50</f>
        <v>Large</v>
      </c>
      <c r="Q22" s="1053">
        <f>Tables!Q50</f>
        <v>0</v>
      </c>
      <c r="R22" s="1053">
        <f>Tables!R50</f>
        <v>0</v>
      </c>
      <c r="S22" s="1053">
        <f>Tables!S50</f>
        <v>0</v>
      </c>
      <c r="T22" s="1053">
        <f>Tables!T50</f>
        <v>1</v>
      </c>
      <c r="U22" s="1053">
        <f>Tables!U50</f>
        <v>0</v>
      </c>
      <c r="V22" s="1053">
        <f>Tables!V50</f>
        <v>0</v>
      </c>
      <c r="W22" s="1053">
        <f>Tables!W50</f>
        <v>0</v>
      </c>
      <c r="X22" s="1053">
        <f>Tables!X50</f>
        <v>0</v>
      </c>
      <c r="Y22" s="1053">
        <f>Tables!Y50</f>
        <v>0</v>
      </c>
      <c r="Z22" s="1053" t="str">
        <f>Tables!Z50</f>
        <v/>
      </c>
      <c r="AA22" s="1053" t="str">
        <f>Tables!AA50</f>
        <v/>
      </c>
      <c r="AB22" s="1053" t="str">
        <f>Tables!AB50</f>
        <v/>
      </c>
      <c r="AC22" s="1053" t="str">
        <f>Tables!AC50</f>
        <v/>
      </c>
    </row>
    <row r="23" spans="1:29">
      <c r="B23" s="1053">
        <f>Tables!B51</f>
        <v>80</v>
      </c>
      <c r="C23" s="1053">
        <f>Tables!C51</f>
        <v>400</v>
      </c>
      <c r="D23" s="1053">
        <f>Tables!D51</f>
        <v>0.05</v>
      </c>
      <c r="E23" s="1053">
        <f>Tables!E51</f>
        <v>20</v>
      </c>
      <c r="F23" s="1053" t="str">
        <f>Tables!F51</f>
        <v>70-120</v>
      </c>
      <c r="G23" s="1053">
        <f>Tables!G51</f>
        <v>0</v>
      </c>
      <c r="H23" s="1053" t="str">
        <f>Tables!H51</f>
        <v>none</v>
      </c>
      <c r="I23" s="1053">
        <f>Tables!I51</f>
        <v>100</v>
      </c>
      <c r="J23" s="1053" t="str">
        <f>Tables!J51</f>
        <v>cm</v>
      </c>
      <c r="K23" s="1053">
        <f>Tables!K51</f>
        <v>1</v>
      </c>
      <c r="L23" s="1053" t="str">
        <f>Tables!L51</f>
        <v>Low</v>
      </c>
      <c r="M23" s="1053" t="str">
        <f>Tables!M51</f>
        <v>Internal</v>
      </c>
      <c r="N23" s="1053">
        <f>Tables!N51</f>
        <v>0</v>
      </c>
      <c r="O23" s="1053">
        <f>Tables!O51</f>
        <v>0</v>
      </c>
      <c r="P23" s="1053" t="str">
        <f>Tables!P51</f>
        <v>Large</v>
      </c>
      <c r="Q23" s="1053">
        <f>Tables!Q51</f>
        <v>0</v>
      </c>
      <c r="R23" s="1053">
        <f>Tables!R51</f>
        <v>1</v>
      </c>
      <c r="S23" s="1053">
        <f>Tables!S51</f>
        <v>1</v>
      </c>
      <c r="T23" s="1053">
        <f>Tables!T51</f>
        <v>0</v>
      </c>
      <c r="U23" s="1053">
        <f>Tables!U51</f>
        <v>0</v>
      </c>
      <c r="V23" s="1053">
        <f>Tables!V51</f>
        <v>1</v>
      </c>
      <c r="W23" s="1053">
        <f>Tables!W51</f>
        <v>0</v>
      </c>
      <c r="X23" s="1053">
        <f>Tables!X51</f>
        <v>0</v>
      </c>
      <c r="Y23" s="1053">
        <f>Tables!Y51</f>
        <v>0</v>
      </c>
      <c r="Z23" s="1053" t="str">
        <f>Tables!Z51</f>
        <v/>
      </c>
      <c r="AA23" s="1053" t="str">
        <f>Tables!AA51</f>
        <v/>
      </c>
      <c r="AB23" s="1053" t="str">
        <f>Tables!AB51</f>
        <v/>
      </c>
      <c r="AC23" s="1053" t="str">
        <f>Tables!AC51</f>
        <v/>
      </c>
    </row>
    <row r="24" spans="1:29">
      <c r="B24" s="1053">
        <f>Tables!B52</f>
        <v>80</v>
      </c>
      <c r="C24" s="1053">
        <f>Tables!C52</f>
        <v>400</v>
      </c>
      <c r="D24" s="1053">
        <f>Tables!D52</f>
        <v>0.05</v>
      </c>
      <c r="E24" s="1053">
        <f>Tables!E52</f>
        <v>20</v>
      </c>
      <c r="F24" s="1053" t="str">
        <f>Tables!F52</f>
        <v>70-120</v>
      </c>
      <c r="G24" s="1053">
        <f>Tables!G52</f>
        <v>0</v>
      </c>
      <c r="H24" s="1053" t="str">
        <f>Tables!H52</f>
        <v>none</v>
      </c>
      <c r="I24" s="1053">
        <f>Tables!I52</f>
        <v>100</v>
      </c>
      <c r="J24" s="1053" t="str">
        <f>Tables!J52</f>
        <v>cm</v>
      </c>
      <c r="K24" s="1053">
        <f>Tables!K52</f>
        <v>1</v>
      </c>
      <c r="L24" s="1053" t="str">
        <f>Tables!L52</f>
        <v>Low</v>
      </c>
      <c r="M24" s="1053" t="str">
        <f>Tables!M52</f>
        <v>Internal</v>
      </c>
      <c r="N24" s="1053">
        <f>Tables!N52</f>
        <v>0</v>
      </c>
      <c r="O24" s="1053">
        <f>Tables!O52</f>
        <v>0</v>
      </c>
      <c r="P24" s="1053" t="str">
        <f>Tables!P52</f>
        <v>Large</v>
      </c>
      <c r="Q24" s="1053">
        <f>Tables!Q52</f>
        <v>0</v>
      </c>
      <c r="R24" s="1053">
        <f>Tables!R52</f>
        <v>0</v>
      </c>
      <c r="S24" s="1053">
        <f>Tables!S52</f>
        <v>0</v>
      </c>
      <c r="T24" s="1053">
        <f>Tables!T52</f>
        <v>0</v>
      </c>
      <c r="U24" s="1053">
        <f>Tables!U52</f>
        <v>0</v>
      </c>
      <c r="V24" s="1053">
        <f>Tables!V52</f>
        <v>1</v>
      </c>
      <c r="W24" s="1053">
        <f>Tables!W52</f>
        <v>0</v>
      </c>
      <c r="X24" s="1053">
        <f>Tables!X52</f>
        <v>0</v>
      </c>
      <c r="Y24" s="1053">
        <f>Tables!Y52</f>
        <v>0</v>
      </c>
      <c r="Z24" s="1053" t="str">
        <f>Tables!Z52</f>
        <v/>
      </c>
      <c r="AA24" s="1053" t="str">
        <f>Tables!AA52</f>
        <v/>
      </c>
      <c r="AB24" s="1053" t="str">
        <f>Tables!AB52</f>
        <v/>
      </c>
      <c r="AC24" s="1053" t="str">
        <f>Tables!AC52</f>
        <v/>
      </c>
    </row>
    <row r="25" spans="1:29">
      <c r="B25" s="1053">
        <f>Tables!B53</f>
        <v>80</v>
      </c>
      <c r="C25" s="1053">
        <f>Tables!C53</f>
        <v>400</v>
      </c>
      <c r="D25" s="1053">
        <f>Tables!D53</f>
        <v>0.05</v>
      </c>
      <c r="E25" s="1053">
        <f>Tables!E53</f>
        <v>20</v>
      </c>
      <c r="F25" s="1053" t="str">
        <f>Tables!F53</f>
        <v>70-120</v>
      </c>
      <c r="G25" s="1053">
        <f>Tables!G53</f>
        <v>0</v>
      </c>
      <c r="H25" s="1053" t="str">
        <f>Tables!H53</f>
        <v>none</v>
      </c>
      <c r="I25" s="1053">
        <f>Tables!I53</f>
        <v>100</v>
      </c>
      <c r="J25" s="1053" t="str">
        <f>Tables!J53</f>
        <v>cm</v>
      </c>
      <c r="K25" s="1053">
        <f>Tables!K53</f>
        <v>1</v>
      </c>
      <c r="L25" s="1053" t="str">
        <f>Tables!L53</f>
        <v>Low</v>
      </c>
      <c r="M25" s="1053" t="str">
        <f>Tables!M53</f>
        <v>Internal</v>
      </c>
      <c r="N25" s="1053">
        <f>Tables!N53</f>
        <v>0</v>
      </c>
      <c r="O25" s="1053">
        <f>Tables!O53</f>
        <v>1</v>
      </c>
      <c r="P25" s="1053" t="str">
        <f>Tables!P53</f>
        <v>Large</v>
      </c>
      <c r="Q25" s="1053">
        <f>Tables!Q53</f>
        <v>0</v>
      </c>
      <c r="R25" s="1053">
        <f>Tables!R53</f>
        <v>0</v>
      </c>
      <c r="S25" s="1053">
        <f>Tables!S53</f>
        <v>0</v>
      </c>
      <c r="T25" s="1053">
        <f>Tables!T53</f>
        <v>0</v>
      </c>
      <c r="U25" s="1053">
        <f>Tables!U53</f>
        <v>0</v>
      </c>
      <c r="V25" s="1053">
        <f>Tables!V53</f>
        <v>1</v>
      </c>
      <c r="W25" s="1053">
        <f>Tables!W53</f>
        <v>0</v>
      </c>
      <c r="X25" s="1053">
        <f>Tables!X53</f>
        <v>0</v>
      </c>
      <c r="Y25" s="1053">
        <f>Tables!Y53</f>
        <v>0</v>
      </c>
      <c r="Z25" s="1053" t="str">
        <f>Tables!Z53</f>
        <v/>
      </c>
      <c r="AA25" s="1053" t="str">
        <f>Tables!AA53</f>
        <v/>
      </c>
      <c r="AB25" s="1053" t="str">
        <f>Tables!AB53</f>
        <v/>
      </c>
      <c r="AC25" s="1053" t="str">
        <f>Tables!AC53</f>
        <v/>
      </c>
    </row>
    <row r="26" spans="1:29">
      <c r="B26" s="1053">
        <f>Tables!B54</f>
        <v>80</v>
      </c>
      <c r="C26" s="1053">
        <f>Tables!C54</f>
        <v>400</v>
      </c>
      <c r="D26" s="1053">
        <f>Tables!D54</f>
        <v>0.05</v>
      </c>
      <c r="E26" s="1053">
        <f>Tables!E54</f>
        <v>20</v>
      </c>
      <c r="F26" s="1053" t="str">
        <f>Tables!F54</f>
        <v>70-120</v>
      </c>
      <c r="G26" s="1053">
        <f>Tables!G54</f>
        <v>0</v>
      </c>
      <c r="H26" s="1053" t="str">
        <f>Tables!H54</f>
        <v>none</v>
      </c>
      <c r="I26" s="1053">
        <f>Tables!I54</f>
        <v>100</v>
      </c>
      <c r="J26" s="1053" t="str">
        <f>Tables!J54</f>
        <v>cm</v>
      </c>
      <c r="K26" s="1053">
        <f>Tables!K54</f>
        <v>1</v>
      </c>
      <c r="L26" s="1053" t="str">
        <f>Tables!L54</f>
        <v>Low</v>
      </c>
      <c r="M26" s="1053" t="str">
        <f>Tables!M54</f>
        <v>Internal</v>
      </c>
      <c r="N26" s="1053">
        <f>Tables!N54</f>
        <v>0</v>
      </c>
      <c r="O26" s="1053">
        <f>Tables!O54</f>
        <v>0</v>
      </c>
      <c r="P26" s="1053" t="str">
        <f>Tables!P54</f>
        <v>Large</v>
      </c>
      <c r="Q26" s="1053">
        <f>Tables!Q54</f>
        <v>0</v>
      </c>
      <c r="R26" s="1053">
        <f>Tables!R54</f>
        <v>0</v>
      </c>
      <c r="S26" s="1053">
        <f>Tables!S54</f>
        <v>0</v>
      </c>
      <c r="T26" s="1053">
        <f>Tables!T54</f>
        <v>1</v>
      </c>
      <c r="U26" s="1053">
        <f>Tables!U54</f>
        <v>0</v>
      </c>
      <c r="V26" s="1053">
        <f>Tables!V54</f>
        <v>1</v>
      </c>
      <c r="W26" s="1053">
        <f>Tables!W54</f>
        <v>0</v>
      </c>
      <c r="X26" s="1053">
        <f>Tables!X54</f>
        <v>0</v>
      </c>
      <c r="Y26" s="1053">
        <f>Tables!Y54</f>
        <v>0</v>
      </c>
      <c r="Z26" s="1053" t="str">
        <f>Tables!Z54</f>
        <v/>
      </c>
      <c r="AA26" s="1053" t="str">
        <f>Tables!AA54</f>
        <v/>
      </c>
      <c r="AB26" s="1053" t="str">
        <f>Tables!AB54</f>
        <v/>
      </c>
      <c r="AC26" s="1053" t="str">
        <f>Tables!AC54</f>
        <v/>
      </c>
    </row>
    <row r="27" spans="1:29">
      <c r="B27" s="1053">
        <f>Tables!B55</f>
        <v>80</v>
      </c>
      <c r="C27" s="1053">
        <f>Tables!C55</f>
        <v>400</v>
      </c>
      <c r="D27" s="1053">
        <f>Tables!D55</f>
        <v>0.05</v>
      </c>
      <c r="E27" s="1053">
        <f>Tables!E55</f>
        <v>20</v>
      </c>
      <c r="F27" s="1053" t="str">
        <f>Tables!F55</f>
        <v>70-120</v>
      </c>
      <c r="G27" s="1053">
        <f>Tables!G55</f>
        <v>0</v>
      </c>
      <c r="H27" s="1053" t="str">
        <f>Tables!H55</f>
        <v>none</v>
      </c>
      <c r="I27" s="1053">
        <f>Tables!I55</f>
        <v>100</v>
      </c>
      <c r="J27" s="1053" t="str">
        <f>Tables!J55</f>
        <v>cm</v>
      </c>
      <c r="K27" s="1053">
        <f>Tables!K55</f>
        <v>1</v>
      </c>
      <c r="L27" s="1053" t="str">
        <f>Tables!L55</f>
        <v>Low</v>
      </c>
      <c r="M27" s="1053" t="str">
        <f>Tables!M55</f>
        <v>Internal</v>
      </c>
      <c r="N27" s="1053">
        <f>Tables!N55</f>
        <v>0</v>
      </c>
      <c r="O27" s="1053">
        <f>Tables!O55</f>
        <v>0</v>
      </c>
      <c r="P27" s="1053" t="str">
        <f>Tables!P55</f>
        <v>Large</v>
      </c>
      <c r="Q27" s="1053">
        <f>Tables!Q55</f>
        <v>0</v>
      </c>
      <c r="R27" s="1053">
        <f>Tables!R55</f>
        <v>0</v>
      </c>
      <c r="S27" s="1053">
        <f>Tables!S55</f>
        <v>0</v>
      </c>
      <c r="T27" s="1053">
        <f>Tables!T55</f>
        <v>1</v>
      </c>
      <c r="U27" s="1053">
        <f>Tables!U55</f>
        <v>0</v>
      </c>
      <c r="V27" s="1053">
        <f>Tables!V55</f>
        <v>1</v>
      </c>
      <c r="W27" s="1053">
        <f>Tables!W55</f>
        <v>0</v>
      </c>
      <c r="X27" s="1053">
        <f>Tables!X55</f>
        <v>0</v>
      </c>
      <c r="Y27" s="1053">
        <f>Tables!Y55</f>
        <v>0</v>
      </c>
      <c r="Z27" s="1053" t="str">
        <f>Tables!Z55</f>
        <v/>
      </c>
      <c r="AA27" s="1053" t="str">
        <f>Tables!AA55</f>
        <v/>
      </c>
      <c r="AB27" s="1053" t="str">
        <f>Tables!AB55</f>
        <v/>
      </c>
      <c r="AC27" s="1053" t="str">
        <f>Tables!AC55</f>
        <v/>
      </c>
    </row>
    <row r="28" spans="1:29">
      <c r="B28" s="1053">
        <f>Tables!B56</f>
        <v>80</v>
      </c>
      <c r="C28" s="1053">
        <f>Tables!C56</f>
        <v>400</v>
      </c>
      <c r="D28" s="1053">
        <f>Tables!D56</f>
        <v>0.05</v>
      </c>
      <c r="E28" s="1053">
        <f>Tables!E56</f>
        <v>20</v>
      </c>
      <c r="F28" s="1053" t="str">
        <f>Tables!F56</f>
        <v>70-120</v>
      </c>
      <c r="G28" s="1053">
        <f>Tables!G56</f>
        <v>3</v>
      </c>
      <c r="H28" s="1053" t="str">
        <f>Tables!H56</f>
        <v>Aluminum</v>
      </c>
      <c r="I28" s="1053">
        <f>Tables!I56</f>
        <v>100</v>
      </c>
      <c r="J28" s="1053" t="str">
        <f>Tables!J56</f>
        <v>cm</v>
      </c>
      <c r="K28" s="1053">
        <f>Tables!K56</f>
        <v>1</v>
      </c>
      <c r="L28" s="1053" t="str">
        <f>Tables!L56</f>
        <v>Low</v>
      </c>
      <c r="M28" s="1053" t="str">
        <f>Tables!M56</f>
        <v>Internal</v>
      </c>
      <c r="N28" s="1053">
        <f>Tables!N56</f>
        <v>0</v>
      </c>
      <c r="O28" s="1053">
        <f>Tables!O56</f>
        <v>0</v>
      </c>
      <c r="P28" s="1053" t="str">
        <f>Tables!P56</f>
        <v>Large</v>
      </c>
      <c r="Q28" s="1053">
        <f>Tables!Q56</f>
        <v>0</v>
      </c>
      <c r="R28" s="1053">
        <f>Tables!R56</f>
        <v>0</v>
      </c>
      <c r="S28" s="1053">
        <f>Tables!S56</f>
        <v>0</v>
      </c>
      <c r="T28" s="1053">
        <f>Tables!T56</f>
        <v>1</v>
      </c>
      <c r="U28" s="1053">
        <f>Tables!U56</f>
        <v>0</v>
      </c>
      <c r="V28" s="1053">
        <f>Tables!V56</f>
        <v>0</v>
      </c>
      <c r="W28" s="1053">
        <f>Tables!W56</f>
        <v>0</v>
      </c>
      <c r="X28" s="1053">
        <f>Tables!X56</f>
        <v>0</v>
      </c>
      <c r="Y28" s="1053">
        <f>Tables!Y56</f>
        <v>0</v>
      </c>
      <c r="Z28" s="1053" t="str">
        <f>Tables!Z56</f>
        <v/>
      </c>
      <c r="AA28" s="1053" t="str">
        <f>Tables!AA56</f>
        <v/>
      </c>
      <c r="AB28" s="1053" t="str">
        <f>Tables!AB56</f>
        <v/>
      </c>
      <c r="AC28" s="1053" t="str">
        <f>Tables!AC56</f>
        <v/>
      </c>
    </row>
    <row r="29" spans="1:29">
      <c r="B29" s="1053">
        <f>Tables!B57</f>
        <v>80</v>
      </c>
      <c r="C29" s="1053">
        <f>Tables!C57</f>
        <v>400</v>
      </c>
      <c r="D29" s="1053">
        <f>Tables!D57</f>
        <v>0.05</v>
      </c>
      <c r="E29" s="1053">
        <f>Tables!E57</f>
        <v>20</v>
      </c>
      <c r="F29" s="1053" t="str">
        <f>Tables!F57</f>
        <v>70-120</v>
      </c>
      <c r="G29" s="1053">
        <f>Tables!G57</f>
        <v>3</v>
      </c>
      <c r="H29" s="1053" t="str">
        <f>Tables!H57</f>
        <v>Aluminum</v>
      </c>
      <c r="I29" s="1053">
        <f>Tables!I57</f>
        <v>100</v>
      </c>
      <c r="J29" s="1053" t="str">
        <f>Tables!J57</f>
        <v>cm</v>
      </c>
      <c r="K29" s="1053">
        <f>Tables!K57</f>
        <v>1</v>
      </c>
      <c r="L29" s="1053" t="str">
        <f>Tables!L57</f>
        <v>Low</v>
      </c>
      <c r="M29" s="1053" t="str">
        <f>Tables!M57</f>
        <v>Internal</v>
      </c>
      <c r="N29" s="1053">
        <f>Tables!N57</f>
        <v>0</v>
      </c>
      <c r="O29" s="1053">
        <f>Tables!O57</f>
        <v>0</v>
      </c>
      <c r="P29" s="1053" t="str">
        <f>Tables!P57</f>
        <v>Large</v>
      </c>
      <c r="Q29" s="1053">
        <f>Tables!Q57</f>
        <v>0</v>
      </c>
      <c r="R29" s="1053">
        <f>Tables!R57</f>
        <v>0</v>
      </c>
      <c r="S29" s="1053">
        <f>Tables!S57</f>
        <v>0</v>
      </c>
      <c r="T29" s="1053">
        <f>Tables!T57</f>
        <v>1</v>
      </c>
      <c r="U29" s="1053">
        <f>Tables!U57</f>
        <v>0</v>
      </c>
      <c r="V29" s="1053">
        <f>Tables!V57</f>
        <v>0</v>
      </c>
      <c r="W29" s="1053">
        <f>Tables!W57</f>
        <v>0</v>
      </c>
      <c r="X29" s="1053">
        <f>Tables!X57</f>
        <v>0</v>
      </c>
      <c r="Y29" s="1053">
        <f>Tables!Y57</f>
        <v>0</v>
      </c>
      <c r="Z29" s="1053" t="str">
        <f>Tables!Z57</f>
        <v/>
      </c>
      <c r="AA29" s="1053" t="str">
        <f>Tables!AA57</f>
        <v/>
      </c>
      <c r="AB29" s="1053" t="str">
        <f>Tables!AB57</f>
        <v/>
      </c>
      <c r="AC29" s="1053" t="str">
        <f>Tables!AC57</f>
        <v/>
      </c>
    </row>
    <row r="30" spans="1:29">
      <c r="B30" s="1053">
        <f>Tables!B58</f>
        <v>80</v>
      </c>
      <c r="C30" s="1053">
        <f>Tables!C58</f>
        <v>400</v>
      </c>
      <c r="D30" s="1053">
        <f>Tables!D58</f>
        <v>0.05</v>
      </c>
      <c r="E30" s="1053">
        <f>Tables!E58</f>
        <v>20</v>
      </c>
      <c r="F30" s="1053" t="str">
        <f>Tables!F58</f>
        <v>70-120</v>
      </c>
      <c r="G30" s="1053">
        <f>Tables!G58</f>
        <v>3.5</v>
      </c>
      <c r="H30" s="1053" t="str">
        <f>Tables!H58</f>
        <v>Aluminum</v>
      </c>
      <c r="I30" s="1053">
        <f>Tables!I58</f>
        <v>100</v>
      </c>
      <c r="J30" s="1053" t="str">
        <f>Tables!J58</f>
        <v>cm</v>
      </c>
      <c r="K30" s="1053">
        <f>Tables!K58</f>
        <v>1</v>
      </c>
      <c r="L30" s="1053" t="str">
        <f>Tables!L58</f>
        <v>Low</v>
      </c>
      <c r="M30" s="1053" t="str">
        <f>Tables!M58</f>
        <v>Internal</v>
      </c>
      <c r="N30" s="1053">
        <f>Tables!N58</f>
        <v>0</v>
      </c>
      <c r="O30" s="1053">
        <f>Tables!O58</f>
        <v>0</v>
      </c>
      <c r="P30" s="1053" t="str">
        <f>Tables!P58</f>
        <v>Large</v>
      </c>
      <c r="Q30" s="1053">
        <f>Tables!Q58</f>
        <v>0</v>
      </c>
      <c r="R30" s="1053">
        <f>Tables!R58</f>
        <v>0</v>
      </c>
      <c r="S30" s="1053">
        <f>Tables!S58</f>
        <v>0</v>
      </c>
      <c r="T30" s="1053">
        <f>Tables!T58</f>
        <v>1</v>
      </c>
      <c r="U30" s="1053">
        <f>Tables!U58</f>
        <v>0</v>
      </c>
      <c r="V30" s="1053">
        <f>Tables!V58</f>
        <v>0</v>
      </c>
      <c r="W30" s="1053">
        <f>Tables!W58</f>
        <v>0</v>
      </c>
      <c r="X30" s="1053">
        <f>Tables!X58</f>
        <v>0</v>
      </c>
      <c r="Y30" s="1053">
        <f>Tables!Y58</f>
        <v>0</v>
      </c>
      <c r="Z30" s="1053" t="str">
        <f>Tables!Z58</f>
        <v/>
      </c>
      <c r="AA30" s="1053" t="str">
        <f>Tables!AA58</f>
        <v/>
      </c>
      <c r="AB30" s="1053" t="str">
        <f>Tables!AB58</f>
        <v/>
      </c>
      <c r="AC30" s="1053" t="str">
        <f>Tables!AC58</f>
        <v/>
      </c>
    </row>
    <row r="31" spans="1:29">
      <c r="B31" s="1053">
        <f>Tables!B59</f>
        <v>80</v>
      </c>
      <c r="C31" s="1053">
        <f>Tables!C59</f>
        <v>400</v>
      </c>
      <c r="D31" s="1053">
        <f>Tables!D59</f>
        <v>0.05</v>
      </c>
      <c r="E31" s="1053">
        <f>Tables!E59</f>
        <v>20</v>
      </c>
      <c r="F31" s="1053" t="str">
        <f>Tables!F59</f>
        <v>70-120</v>
      </c>
      <c r="G31" s="1053">
        <f>Tables!G59</f>
        <v>3.5</v>
      </c>
      <c r="H31" s="1053" t="str">
        <f>Tables!H59</f>
        <v>Aluminum</v>
      </c>
      <c r="I31" s="1053">
        <f>Tables!I59</f>
        <v>100</v>
      </c>
      <c r="J31" s="1053" t="str">
        <f>Tables!J59</f>
        <v>cm</v>
      </c>
      <c r="K31" s="1053">
        <f>Tables!K59</f>
        <v>1</v>
      </c>
      <c r="L31" s="1053" t="str">
        <f>Tables!L59</f>
        <v>Low</v>
      </c>
      <c r="M31" s="1053" t="str">
        <f>Tables!M59</f>
        <v>Internal</v>
      </c>
      <c r="N31" s="1053">
        <f>Tables!N59</f>
        <v>0</v>
      </c>
      <c r="O31" s="1053">
        <f>Tables!O59</f>
        <v>0</v>
      </c>
      <c r="P31" s="1053" t="str">
        <f>Tables!P59</f>
        <v>Large</v>
      </c>
      <c r="Q31" s="1053">
        <f>Tables!Q59</f>
        <v>0</v>
      </c>
      <c r="R31" s="1053">
        <f>Tables!R59</f>
        <v>0</v>
      </c>
      <c r="S31" s="1053">
        <f>Tables!S59</f>
        <v>0</v>
      </c>
      <c r="T31" s="1053">
        <f>Tables!T59</f>
        <v>1</v>
      </c>
      <c r="U31" s="1053">
        <f>Tables!U59</f>
        <v>0</v>
      </c>
      <c r="V31" s="1053">
        <f>Tables!V59</f>
        <v>0</v>
      </c>
      <c r="W31" s="1053">
        <f>Tables!W59</f>
        <v>0</v>
      </c>
      <c r="X31" s="1053">
        <f>Tables!X59</f>
        <v>0</v>
      </c>
      <c r="Y31" s="1053">
        <f>Tables!Y59</f>
        <v>0</v>
      </c>
      <c r="Z31" s="1053" t="str">
        <f>Tables!Z59</f>
        <v/>
      </c>
      <c r="AA31" s="1053" t="str">
        <f>Tables!AA59</f>
        <v/>
      </c>
      <c r="AB31" s="1053" t="str">
        <f>Tables!AB59</f>
        <v/>
      </c>
      <c r="AC31" s="1053" t="str">
        <f>Tables!AC59</f>
        <v/>
      </c>
    </row>
    <row r="32" spans="1:29">
      <c r="B32" s="1053">
        <f>Tables!B60</f>
        <v>80</v>
      </c>
      <c r="C32" s="1053">
        <f>Tables!C60</f>
        <v>400</v>
      </c>
      <c r="D32" s="1053">
        <f>Tables!D60</f>
        <v>0.05</v>
      </c>
      <c r="E32" s="1053">
        <f>Tables!E60</f>
        <v>20</v>
      </c>
      <c r="F32" s="1053" t="str">
        <f>Tables!F60</f>
        <v>70-120</v>
      </c>
      <c r="G32" s="1053">
        <f>Tables!G60</f>
        <v>2.5</v>
      </c>
      <c r="H32" s="1053" t="str">
        <f>Tables!H60</f>
        <v>Aluminum</v>
      </c>
      <c r="I32" s="1053">
        <f>Tables!I60</f>
        <v>100</v>
      </c>
      <c r="J32" s="1053" t="str">
        <f>Tables!J60</f>
        <v>cm</v>
      </c>
      <c r="K32" s="1053">
        <f>Tables!K60</f>
        <v>1</v>
      </c>
      <c r="L32" s="1053" t="str">
        <f>Tables!L60</f>
        <v>Low</v>
      </c>
      <c r="M32" s="1053" t="str">
        <f>Tables!M60</f>
        <v>Internal</v>
      </c>
      <c r="N32" s="1053">
        <f>Tables!N60</f>
        <v>0</v>
      </c>
      <c r="O32" s="1053">
        <f>Tables!O60</f>
        <v>0</v>
      </c>
      <c r="P32" s="1053" t="str">
        <f>Tables!P60</f>
        <v>Large</v>
      </c>
      <c r="Q32" s="1053">
        <f>Tables!Q60</f>
        <v>0</v>
      </c>
      <c r="R32" s="1053">
        <f>Tables!R60</f>
        <v>0</v>
      </c>
      <c r="S32" s="1053">
        <f>Tables!S60</f>
        <v>0</v>
      </c>
      <c r="T32" s="1053">
        <f>Tables!T60</f>
        <v>1</v>
      </c>
      <c r="U32" s="1053">
        <f>Tables!U60</f>
        <v>0</v>
      </c>
      <c r="V32" s="1053">
        <f>Tables!V60</f>
        <v>0</v>
      </c>
      <c r="W32" s="1053">
        <f>Tables!W60</f>
        <v>0</v>
      </c>
      <c r="X32" s="1053">
        <f>Tables!X60</f>
        <v>0</v>
      </c>
      <c r="Y32" s="1053">
        <f>Tables!Y60</f>
        <v>0</v>
      </c>
      <c r="Z32" s="1053" t="str">
        <f>Tables!Z60</f>
        <v/>
      </c>
      <c r="AA32" s="1053" t="str">
        <f>Tables!AA60</f>
        <v/>
      </c>
      <c r="AB32" s="1053" t="str">
        <f>Tables!AB60</f>
        <v/>
      </c>
      <c r="AC32" s="1053" t="str">
        <f>Tables!AC60</f>
        <v/>
      </c>
    </row>
    <row r="33" spans="2:29">
      <c r="B33" s="1053">
        <f>Tables!B61</f>
        <v>80</v>
      </c>
      <c r="C33" s="1053">
        <f>Tables!C61</f>
        <v>400</v>
      </c>
      <c r="D33" s="1053">
        <f>Tables!D61</f>
        <v>0.05</v>
      </c>
      <c r="E33" s="1053">
        <f>Tables!E61</f>
        <v>20</v>
      </c>
      <c r="F33" s="1053" t="str">
        <f>Tables!F61</f>
        <v>70-120</v>
      </c>
      <c r="G33" s="1053">
        <f>Tables!G61</f>
        <v>2.5</v>
      </c>
      <c r="H33" s="1053" t="str">
        <f>Tables!H61</f>
        <v>Aluminum</v>
      </c>
      <c r="I33" s="1053">
        <f>Tables!I61</f>
        <v>100</v>
      </c>
      <c r="J33" s="1053" t="str">
        <f>Tables!J61</f>
        <v>cm</v>
      </c>
      <c r="K33" s="1053">
        <f>Tables!K61</f>
        <v>1</v>
      </c>
      <c r="L33" s="1053" t="str">
        <f>Tables!L61</f>
        <v>Low</v>
      </c>
      <c r="M33" s="1053" t="str">
        <f>Tables!M61</f>
        <v>Internal</v>
      </c>
      <c r="N33" s="1053">
        <f>Tables!N61</f>
        <v>0</v>
      </c>
      <c r="O33" s="1053">
        <f>Tables!O61</f>
        <v>0</v>
      </c>
      <c r="P33" s="1053" t="str">
        <f>Tables!P61</f>
        <v>Large</v>
      </c>
      <c r="Q33" s="1053">
        <f>Tables!Q61</f>
        <v>0</v>
      </c>
      <c r="R33" s="1053">
        <f>Tables!R61</f>
        <v>0</v>
      </c>
      <c r="S33" s="1053">
        <f>Tables!S61</f>
        <v>0</v>
      </c>
      <c r="T33" s="1053">
        <f>Tables!T61</f>
        <v>1</v>
      </c>
      <c r="U33" s="1053">
        <f>Tables!U61</f>
        <v>0</v>
      </c>
      <c r="V33" s="1053">
        <f>Tables!V61</f>
        <v>0</v>
      </c>
      <c r="W33" s="1053">
        <f>Tables!W61</f>
        <v>0</v>
      </c>
      <c r="X33" s="1053">
        <f>Tables!X61</f>
        <v>0</v>
      </c>
      <c r="Y33" s="1053">
        <f>Tables!Y61</f>
        <v>0</v>
      </c>
      <c r="Z33" s="1053" t="str">
        <f>Tables!Z61</f>
        <v/>
      </c>
      <c r="AA33" s="1053" t="str">
        <f>Tables!AA61</f>
        <v/>
      </c>
      <c r="AB33" s="1053" t="str">
        <f>Tables!AB61</f>
        <v/>
      </c>
      <c r="AC33" s="1053" t="str">
        <f>Tables!AC61</f>
        <v/>
      </c>
    </row>
    <row r="34" spans="2:29">
      <c r="B34" s="1053">
        <f>Tables!B62</f>
        <v>80</v>
      </c>
      <c r="C34" s="1053">
        <f>Tables!C62</f>
        <v>500</v>
      </c>
      <c r="D34" s="1053">
        <f>Tables!D62</f>
        <v>0.05</v>
      </c>
      <c r="E34" s="1053">
        <f>Tables!E62</f>
        <v>25</v>
      </c>
      <c r="F34" s="1053" t="str">
        <f>Tables!F62</f>
        <v>70-120</v>
      </c>
      <c r="G34" s="1053">
        <f>Tables!G62</f>
        <v>0</v>
      </c>
      <c r="H34" s="1053" t="str">
        <f>Tables!H62</f>
        <v>none</v>
      </c>
      <c r="I34" s="1053">
        <f>Tables!I62</f>
        <v>100</v>
      </c>
      <c r="J34" s="1053" t="str">
        <f>Tables!J62</f>
        <v>cm</v>
      </c>
      <c r="K34" s="1053">
        <f>Tables!K62</f>
        <v>1</v>
      </c>
      <c r="L34" s="1053" t="str">
        <f>Tables!L62</f>
        <v>Low</v>
      </c>
      <c r="M34" s="1053" t="str">
        <f>Tables!M62</f>
        <v>Internal</v>
      </c>
      <c r="N34" s="1053">
        <f>Tables!N62</f>
        <v>0</v>
      </c>
      <c r="O34" s="1053">
        <f>Tables!O62</f>
        <v>0</v>
      </c>
      <c r="P34" s="1053" t="str">
        <f>Tables!P62</f>
        <v>Large</v>
      </c>
      <c r="Q34" s="1053">
        <f>Tables!Q62</f>
        <v>0</v>
      </c>
      <c r="R34" s="1053">
        <f>Tables!R62</f>
        <v>1</v>
      </c>
      <c r="S34" s="1053">
        <f>Tables!S62</f>
        <v>0</v>
      </c>
      <c r="T34" s="1053">
        <f>Tables!T62</f>
        <v>0</v>
      </c>
      <c r="U34" s="1053">
        <f>Tables!U62</f>
        <v>0</v>
      </c>
      <c r="V34" s="1053">
        <f>Tables!V62</f>
        <v>0</v>
      </c>
      <c r="W34" s="1053">
        <f>Tables!W62</f>
        <v>0</v>
      </c>
      <c r="X34" s="1053">
        <f>Tables!X62</f>
        <v>0</v>
      </c>
      <c r="Y34" s="1053">
        <f>Tables!Y62</f>
        <v>0</v>
      </c>
      <c r="Z34" s="1053" t="str">
        <f>Tables!Z62</f>
        <v/>
      </c>
      <c r="AA34" s="1053" t="str">
        <f>Tables!AA62</f>
        <v/>
      </c>
      <c r="AB34" s="1053" t="str">
        <f>Tables!AB62</f>
        <v/>
      </c>
      <c r="AC34" s="1053" t="str">
        <f>Tables!AC62</f>
        <v/>
      </c>
    </row>
    <row r="35" spans="2:29">
      <c r="B35" s="1053">
        <f>Tables!B63</f>
        <v>80</v>
      </c>
      <c r="C35" s="1053">
        <f>Tables!C63</f>
        <v>50</v>
      </c>
      <c r="D35" s="1053">
        <f>Tables!D63</f>
        <v>0.05</v>
      </c>
      <c r="E35" s="1053">
        <f>Tables!E63</f>
        <v>2.5</v>
      </c>
      <c r="F35" s="1053" t="str">
        <f>Tables!F63</f>
        <v>70-120</v>
      </c>
      <c r="G35" s="1053">
        <f>Tables!G63</f>
        <v>0</v>
      </c>
      <c r="H35" s="1053" t="str">
        <f>Tables!H63</f>
        <v>none</v>
      </c>
      <c r="I35" s="1053">
        <f>Tables!I63</f>
        <v>100</v>
      </c>
      <c r="J35" s="1053" t="str">
        <f>Tables!J63</f>
        <v>cm</v>
      </c>
      <c r="K35" s="1053">
        <f>Tables!K63</f>
        <v>1</v>
      </c>
      <c r="L35" s="1053" t="str">
        <f>Tables!L63</f>
        <v>High</v>
      </c>
      <c r="M35" s="1053" t="str">
        <f>Tables!M63</f>
        <v>Internal</v>
      </c>
      <c r="N35" s="1053">
        <f>Tables!N63</f>
        <v>0</v>
      </c>
      <c r="O35" s="1053">
        <f>Tables!O63</f>
        <v>0</v>
      </c>
      <c r="P35" s="1053" t="str">
        <f>Tables!P63</f>
        <v>Large</v>
      </c>
      <c r="Q35" s="1053">
        <f>Tables!Q63</f>
        <v>0</v>
      </c>
      <c r="R35" s="1053">
        <f>Tables!R63</f>
        <v>1</v>
      </c>
      <c r="S35" s="1053">
        <f>Tables!S63</f>
        <v>0</v>
      </c>
      <c r="T35" s="1053">
        <f>Tables!T63</f>
        <v>0</v>
      </c>
      <c r="U35" s="1053">
        <f>Tables!U63</f>
        <v>0</v>
      </c>
      <c r="V35" s="1053">
        <f>Tables!V63</f>
        <v>0</v>
      </c>
      <c r="W35" s="1053">
        <f>Tables!W63</f>
        <v>0</v>
      </c>
      <c r="X35" s="1053">
        <f>Tables!X63</f>
        <v>0</v>
      </c>
      <c r="Y35" s="1053">
        <f>Tables!Y63</f>
        <v>0</v>
      </c>
      <c r="Z35" s="1053" t="str">
        <f>Tables!Z63</f>
        <v/>
      </c>
      <c r="AA35" s="1053" t="str">
        <f>Tables!AA63</f>
        <v/>
      </c>
      <c r="AB35" s="1053" t="str">
        <f>Tables!AB63</f>
        <v/>
      </c>
      <c r="AC35" s="1053" t="str">
        <f>Tables!AC63</f>
        <v/>
      </c>
    </row>
    <row r="36" spans="2:29">
      <c r="B36" s="1053">
        <f>Tables!B64</f>
        <v>80</v>
      </c>
      <c r="C36" s="1053">
        <f>Tables!C64</f>
        <v>800</v>
      </c>
      <c r="D36" s="1053">
        <f>Tables!D64</f>
        <v>0.05</v>
      </c>
      <c r="E36" s="1053">
        <f>Tables!E64</f>
        <v>40</v>
      </c>
      <c r="F36" s="1053" t="str">
        <f>Tables!F64</f>
        <v>70-120</v>
      </c>
      <c r="G36" s="1053">
        <f>Tables!G64</f>
        <v>0</v>
      </c>
      <c r="H36" s="1053" t="str">
        <f>Tables!H64</f>
        <v>none</v>
      </c>
      <c r="I36" s="1053">
        <f>Tables!I64</f>
        <v>100</v>
      </c>
      <c r="J36" s="1053" t="str">
        <f>Tables!J64</f>
        <v>cm</v>
      </c>
      <c r="K36" s="1053">
        <f>Tables!K64</f>
        <v>1</v>
      </c>
      <c r="L36" s="1053" t="str">
        <f>Tables!L64</f>
        <v>Low</v>
      </c>
      <c r="M36" s="1053" t="str">
        <f>Tables!M64</f>
        <v>Internal</v>
      </c>
      <c r="N36" s="1053">
        <f>Tables!N64</f>
        <v>0</v>
      </c>
      <c r="O36" s="1053">
        <f>Tables!O64</f>
        <v>0</v>
      </c>
      <c r="P36" s="1053" t="str">
        <f>Tables!P64</f>
        <v>Large</v>
      </c>
      <c r="Q36" s="1053">
        <f>Tables!Q64</f>
        <v>0</v>
      </c>
      <c r="R36" s="1053">
        <f>Tables!R64</f>
        <v>1</v>
      </c>
      <c r="S36" s="1053">
        <f>Tables!S64</f>
        <v>0</v>
      </c>
      <c r="T36" s="1053">
        <f>Tables!T64</f>
        <v>0</v>
      </c>
      <c r="U36" s="1053">
        <f>Tables!U64</f>
        <v>0</v>
      </c>
      <c r="V36" s="1053">
        <f>Tables!V64</f>
        <v>0</v>
      </c>
      <c r="W36" s="1053">
        <f>Tables!W64</f>
        <v>0</v>
      </c>
      <c r="X36" s="1053">
        <f>Tables!X64</f>
        <v>0</v>
      </c>
      <c r="Y36" s="1053">
        <f>Tables!Y64</f>
        <v>0</v>
      </c>
      <c r="Z36" s="1053" t="str">
        <f>Tables!Z64</f>
        <v/>
      </c>
      <c r="AA36" s="1053" t="str">
        <f>Tables!AA64</f>
        <v/>
      </c>
      <c r="AB36" s="1053" t="str">
        <f>Tables!AB64</f>
        <v/>
      </c>
      <c r="AC36" s="1053" t="str">
        <f>Tables!AC64</f>
        <v/>
      </c>
    </row>
    <row r="37" spans="2:29">
      <c r="B37" s="1053">
        <f>Tables!B65</f>
        <v>80</v>
      </c>
      <c r="C37" s="1053">
        <f>Tables!C65</f>
        <v>250</v>
      </c>
      <c r="D37" s="1053">
        <f>Tables!D65</f>
        <v>0.05</v>
      </c>
      <c r="E37" s="1053">
        <f>Tables!E65</f>
        <v>12.5</v>
      </c>
      <c r="F37" s="1053" t="str">
        <f>Tables!F65</f>
        <v>70-120</v>
      </c>
      <c r="G37" s="1053">
        <f>Tables!G65</f>
        <v>0</v>
      </c>
      <c r="H37" s="1053" t="str">
        <f>Tables!H65</f>
        <v>none</v>
      </c>
      <c r="I37" s="1053">
        <f>Tables!I65</f>
        <v>100</v>
      </c>
      <c r="J37" s="1053" t="str">
        <f>Tables!J65</f>
        <v>cm</v>
      </c>
      <c r="K37" s="1053">
        <f>Tables!K65</f>
        <v>1</v>
      </c>
      <c r="L37" s="1053" t="str">
        <f>Tables!L65</f>
        <v>Low</v>
      </c>
      <c r="M37" s="1053" t="str">
        <f>Tables!M65</f>
        <v>Internal</v>
      </c>
      <c r="N37" s="1053">
        <f>Tables!N65</f>
        <v>0</v>
      </c>
      <c r="O37" s="1053">
        <f>Tables!O65</f>
        <v>0</v>
      </c>
      <c r="P37" s="1053" t="str">
        <f>Tables!P65</f>
        <v>Large</v>
      </c>
      <c r="Q37" s="1053">
        <f>Tables!Q65</f>
        <v>0</v>
      </c>
      <c r="R37" s="1053">
        <f>Tables!R65</f>
        <v>1</v>
      </c>
      <c r="S37" s="1053">
        <f>Tables!S65</f>
        <v>0</v>
      </c>
      <c r="T37" s="1053">
        <f>Tables!T65</f>
        <v>0</v>
      </c>
      <c r="U37" s="1053">
        <f>Tables!U65</f>
        <v>0</v>
      </c>
      <c r="V37" s="1053">
        <f>Tables!V65</f>
        <v>0</v>
      </c>
      <c r="W37" s="1053">
        <f>Tables!W65</f>
        <v>0</v>
      </c>
      <c r="X37" s="1053">
        <f>Tables!X65</f>
        <v>0</v>
      </c>
      <c r="Y37" s="1053">
        <f>Tables!Y65</f>
        <v>0</v>
      </c>
      <c r="Z37" s="1053" t="str">
        <f>Tables!Z65</f>
        <v/>
      </c>
      <c r="AA37" s="1053" t="str">
        <f>Tables!AA65</f>
        <v/>
      </c>
      <c r="AB37" s="1053" t="str">
        <f>Tables!AB65</f>
        <v/>
      </c>
      <c r="AC37" s="1053" t="str">
        <f>Tables!AC65</f>
        <v/>
      </c>
    </row>
    <row r="38" spans="2:29">
      <c r="B38" s="1053">
        <f>Tables!B66</f>
        <v>100</v>
      </c>
      <c r="C38" s="1053">
        <f>Tables!C66</f>
        <v>400</v>
      </c>
      <c r="D38" s="1053">
        <f>Tables!D66</f>
        <v>0.05</v>
      </c>
      <c r="E38" s="1053">
        <f>Tables!E66</f>
        <v>20</v>
      </c>
      <c r="F38" s="1053" t="str">
        <f>Tables!F66</f>
        <v>70-120</v>
      </c>
      <c r="G38" s="1053">
        <f>Tables!G66</f>
        <v>0</v>
      </c>
      <c r="H38" s="1053" t="str">
        <f>Tables!H66</f>
        <v>none</v>
      </c>
      <c r="I38" s="1053">
        <f>Tables!I66</f>
        <v>100</v>
      </c>
      <c r="J38" s="1053" t="str">
        <f>Tables!J66</f>
        <v>cm</v>
      </c>
      <c r="K38" s="1053">
        <f>Tables!K66</f>
        <v>1</v>
      </c>
      <c r="L38" s="1053" t="str">
        <f>Tables!L66</f>
        <v>Low</v>
      </c>
      <c r="M38" s="1053" t="str">
        <f>Tables!M66</f>
        <v>Internal</v>
      </c>
      <c r="N38" s="1053">
        <f>Tables!N66</f>
        <v>0</v>
      </c>
      <c r="O38" s="1053">
        <f>Tables!O66</f>
        <v>0</v>
      </c>
      <c r="P38" s="1053" t="str">
        <f>Tables!P66</f>
        <v>Large</v>
      </c>
      <c r="Q38" s="1053">
        <f>Tables!Q66</f>
        <v>0</v>
      </c>
      <c r="R38" s="1053">
        <f>Tables!R66</f>
        <v>0</v>
      </c>
      <c r="S38" s="1053">
        <f>Tables!S66</f>
        <v>1</v>
      </c>
      <c r="T38" s="1053">
        <f>Tables!T66</f>
        <v>0</v>
      </c>
      <c r="U38" s="1053">
        <f>Tables!U66</f>
        <v>0</v>
      </c>
      <c r="V38" s="1053">
        <f>Tables!V66</f>
        <v>0</v>
      </c>
      <c r="W38" s="1053">
        <f>Tables!W66</f>
        <v>0</v>
      </c>
      <c r="X38" s="1053">
        <f>Tables!X66</f>
        <v>0</v>
      </c>
      <c r="Y38" s="1053">
        <f>Tables!Y66</f>
        <v>0</v>
      </c>
      <c r="Z38" s="1053" t="str">
        <f>Tables!Z66</f>
        <v/>
      </c>
      <c r="AA38" s="1053" t="str">
        <f>Tables!AA66</f>
        <v/>
      </c>
      <c r="AB38" s="1053" t="str">
        <f>Tables!AB66</f>
        <v/>
      </c>
      <c r="AC38" s="1053" t="str">
        <f>Tables!AC66</f>
        <v/>
      </c>
    </row>
    <row r="39" spans="2:29">
      <c r="B39" s="1053">
        <f>Tables!B67</f>
        <v>100</v>
      </c>
      <c r="C39" s="1053">
        <f>Tables!C67</f>
        <v>400</v>
      </c>
      <c r="D39" s="1053">
        <f>Tables!D67</f>
        <v>0.05</v>
      </c>
      <c r="E39" s="1053">
        <f>Tables!E67</f>
        <v>20</v>
      </c>
      <c r="F39" s="1053" t="str">
        <f>Tables!F67</f>
        <v>100-155</v>
      </c>
      <c r="G39" s="1053">
        <f>Tables!G67</f>
        <v>0</v>
      </c>
      <c r="H39" s="1053" t="str">
        <f>Tables!H67</f>
        <v>none</v>
      </c>
      <c r="I39" s="1053">
        <f>Tables!I67</f>
        <v>100</v>
      </c>
      <c r="J39" s="1053" t="str">
        <f>Tables!J67</f>
        <v>cm</v>
      </c>
      <c r="K39" s="1053">
        <f>Tables!K67</f>
        <v>1</v>
      </c>
      <c r="L39" s="1053" t="str">
        <f>Tables!L67</f>
        <v>Low</v>
      </c>
      <c r="M39" s="1053" t="str">
        <f>Tables!M67</f>
        <v>Internal</v>
      </c>
      <c r="N39" s="1053">
        <f>Tables!N67</f>
        <v>0</v>
      </c>
      <c r="O39" s="1053">
        <f>Tables!O67</f>
        <v>0</v>
      </c>
      <c r="P39" s="1053" t="str">
        <f>Tables!P67</f>
        <v>Large</v>
      </c>
      <c r="Q39" s="1053">
        <f>Tables!Q67</f>
        <v>0</v>
      </c>
      <c r="R39" s="1053">
        <f>Tables!R67</f>
        <v>0</v>
      </c>
      <c r="S39" s="1053">
        <f>Tables!S67</f>
        <v>1</v>
      </c>
      <c r="T39" s="1053">
        <f>Tables!T67</f>
        <v>1</v>
      </c>
      <c r="U39" s="1053">
        <f>Tables!U67</f>
        <v>0</v>
      </c>
      <c r="V39" s="1053">
        <f>Tables!V67</f>
        <v>0</v>
      </c>
      <c r="W39" s="1053">
        <f>Tables!W67</f>
        <v>0</v>
      </c>
      <c r="X39" s="1053">
        <f>Tables!X67</f>
        <v>0</v>
      </c>
      <c r="Y39" s="1053">
        <f>Tables!Y67</f>
        <v>0</v>
      </c>
      <c r="Z39" s="1053" t="str">
        <f>Tables!Z67</f>
        <v/>
      </c>
      <c r="AA39" s="1053" t="str">
        <f>Tables!AA67</f>
        <v/>
      </c>
      <c r="AB39" s="1053" t="str">
        <f>Tables!AB67</f>
        <v/>
      </c>
      <c r="AC39" s="1053" t="str">
        <f>Tables!AC67</f>
        <v/>
      </c>
    </row>
    <row r="40" spans="2:29">
      <c r="B40" s="1053">
        <f>Tables!B68</f>
        <v>120</v>
      </c>
      <c r="C40" s="1053">
        <f>Tables!C68</f>
        <v>400</v>
      </c>
      <c r="D40" s="1053">
        <f>Tables!D68</f>
        <v>0.05</v>
      </c>
      <c r="E40" s="1053">
        <f>Tables!E68</f>
        <v>20</v>
      </c>
      <c r="F40" s="1053" t="str">
        <f>Tables!F68</f>
        <v>100-155</v>
      </c>
      <c r="G40" s="1053">
        <f>Tables!G68</f>
        <v>0</v>
      </c>
      <c r="H40" s="1053" t="str">
        <f>Tables!H68</f>
        <v>none</v>
      </c>
      <c r="I40" s="1053">
        <f>Tables!I68</f>
        <v>100</v>
      </c>
      <c r="J40" s="1053" t="str">
        <f>Tables!J68</f>
        <v>cm</v>
      </c>
      <c r="K40" s="1053">
        <f>Tables!K68</f>
        <v>1</v>
      </c>
      <c r="L40" s="1053" t="str">
        <f>Tables!L68</f>
        <v>Low</v>
      </c>
      <c r="M40" s="1053" t="str">
        <f>Tables!M68</f>
        <v>Internal</v>
      </c>
      <c r="N40" s="1053">
        <f>Tables!N68</f>
        <v>0</v>
      </c>
      <c r="O40" s="1053">
        <f>Tables!O68</f>
        <v>0</v>
      </c>
      <c r="P40" s="1053" t="str">
        <f>Tables!P68</f>
        <v>Large</v>
      </c>
      <c r="Q40" s="1053">
        <f>Tables!Q68</f>
        <v>0</v>
      </c>
      <c r="R40" s="1053">
        <f>Tables!R68</f>
        <v>0</v>
      </c>
      <c r="S40" s="1053">
        <f>Tables!S68</f>
        <v>1</v>
      </c>
      <c r="T40" s="1053">
        <f>Tables!T68</f>
        <v>0</v>
      </c>
      <c r="U40" s="1053">
        <f>Tables!U68</f>
        <v>0</v>
      </c>
      <c r="V40" s="1053">
        <f>Tables!V68</f>
        <v>0</v>
      </c>
      <c r="W40" s="1053">
        <f>Tables!W68</f>
        <v>0</v>
      </c>
      <c r="X40" s="1053">
        <f>Tables!X68</f>
        <v>0</v>
      </c>
      <c r="Y40" s="1053">
        <f>Tables!Y68</f>
        <v>0</v>
      </c>
      <c r="Z40" s="1053" t="str">
        <f>Tables!Z68</f>
        <v/>
      </c>
      <c r="AA40" s="1053" t="str">
        <f>Tables!AA68</f>
        <v/>
      </c>
      <c r="AB40" s="1053" t="str">
        <f>Tables!AB68</f>
        <v/>
      </c>
      <c r="AC40" s="1053" t="str">
        <f>Tables!AC68</f>
        <v/>
      </c>
    </row>
    <row r="41" spans="2:29">
      <c r="B41" s="1053">
        <f>Tables!B69</f>
        <v>120</v>
      </c>
      <c r="C41" s="1053">
        <f>Tables!C69</f>
        <v>400</v>
      </c>
      <c r="D41" s="1053">
        <f>Tables!D69</f>
        <v>0.05</v>
      </c>
      <c r="E41" s="1053">
        <f>Tables!E69</f>
        <v>20</v>
      </c>
      <c r="F41" s="1053" t="str">
        <f>Tables!F69</f>
        <v>100-155</v>
      </c>
      <c r="G41" s="1053">
        <f>Tables!G69</f>
        <v>0</v>
      </c>
      <c r="H41" s="1053" t="str">
        <f>Tables!H69</f>
        <v>none</v>
      </c>
      <c r="I41" s="1053">
        <f>Tables!I69</f>
        <v>100</v>
      </c>
      <c r="J41" s="1053" t="str">
        <f>Tables!J69</f>
        <v>cm</v>
      </c>
      <c r="K41" s="1053">
        <f>Tables!K69</f>
        <v>1</v>
      </c>
      <c r="L41" s="1053" t="str">
        <f>Tables!L69</f>
        <v>Low</v>
      </c>
      <c r="M41" s="1053" t="str">
        <f>Tables!M69</f>
        <v>Internal</v>
      </c>
      <c r="N41" s="1053">
        <f>Tables!N69</f>
        <v>0</v>
      </c>
      <c r="O41" s="1053">
        <f>Tables!O69</f>
        <v>0</v>
      </c>
      <c r="P41" s="1053" t="str">
        <f>Tables!P69</f>
        <v>Large</v>
      </c>
      <c r="Q41" s="1053">
        <f>Tables!Q69</f>
        <v>0</v>
      </c>
      <c r="R41" s="1053">
        <f>Tables!R69</f>
        <v>0</v>
      </c>
      <c r="S41" s="1053">
        <f>Tables!S69</f>
        <v>1</v>
      </c>
      <c r="T41" s="1053">
        <f>Tables!T69</f>
        <v>1</v>
      </c>
      <c r="U41" s="1053">
        <f>Tables!U69</f>
        <v>0</v>
      </c>
      <c r="V41" s="1053">
        <f>Tables!V69</f>
        <v>0</v>
      </c>
      <c r="W41" s="1053">
        <f>Tables!W69</f>
        <v>0</v>
      </c>
      <c r="X41" s="1053">
        <f>Tables!X69</f>
        <v>0</v>
      </c>
      <c r="Y41" s="1053">
        <f>Tables!Y69</f>
        <v>0</v>
      </c>
      <c r="Z41" s="1053" t="str">
        <f>Tables!Z69</f>
        <v/>
      </c>
      <c r="AA41" s="1053" t="str">
        <f>Tables!AA69</f>
        <v/>
      </c>
      <c r="AB41" s="1053" t="str">
        <f>Tables!AB69</f>
        <v/>
      </c>
      <c r="AC41" s="1053" t="str">
        <f>Tables!AC69</f>
        <v/>
      </c>
    </row>
    <row r="42" spans="2:29">
      <c r="B42" s="1053">
        <f>Tables!B70</f>
        <v>140</v>
      </c>
      <c r="C42" s="1053">
        <f>Tables!C70</f>
        <v>400</v>
      </c>
      <c r="D42" s="1053">
        <f>Tables!D70</f>
        <v>0.05</v>
      </c>
      <c r="E42" s="1053">
        <f>Tables!E70</f>
        <v>20</v>
      </c>
      <c r="F42" s="1053" t="str">
        <f>Tables!F70</f>
        <v>100-155</v>
      </c>
      <c r="G42" s="1053">
        <f>Tables!G70</f>
        <v>0</v>
      </c>
      <c r="H42" s="1053" t="str">
        <f>Tables!H70</f>
        <v>none</v>
      </c>
      <c r="I42" s="1053">
        <f>Tables!I70</f>
        <v>100</v>
      </c>
      <c r="J42" s="1053" t="str">
        <f>Tables!J70</f>
        <v>cm</v>
      </c>
      <c r="K42" s="1053">
        <f>Tables!K70</f>
        <v>1</v>
      </c>
      <c r="L42" s="1053" t="str">
        <f>Tables!L70</f>
        <v>Low</v>
      </c>
      <c r="M42" s="1053" t="str">
        <f>Tables!M70</f>
        <v>Internal</v>
      </c>
      <c r="N42" s="1053">
        <f>Tables!N70</f>
        <v>0</v>
      </c>
      <c r="O42" s="1053">
        <f>Tables!O70</f>
        <v>0</v>
      </c>
      <c r="P42" s="1053" t="str">
        <f>Tables!P70</f>
        <v>Large</v>
      </c>
      <c r="Q42" s="1053">
        <f>Tables!Q70</f>
        <v>0</v>
      </c>
      <c r="R42" s="1053">
        <f>Tables!R70</f>
        <v>0</v>
      </c>
      <c r="S42" s="1053">
        <f>Tables!S70</f>
        <v>1</v>
      </c>
      <c r="T42" s="1053">
        <f>Tables!T70</f>
        <v>0</v>
      </c>
      <c r="U42" s="1053">
        <f>Tables!U70</f>
        <v>0</v>
      </c>
      <c r="V42" s="1053">
        <f>Tables!V70</f>
        <v>0</v>
      </c>
      <c r="W42" s="1053">
        <f>Tables!W70</f>
        <v>0</v>
      </c>
      <c r="X42" s="1053">
        <f>Tables!X70</f>
        <v>0</v>
      </c>
      <c r="Y42" s="1053">
        <f>Tables!Y70</f>
        <v>0</v>
      </c>
      <c r="Z42" s="1053" t="str">
        <f>Tables!Z70</f>
        <v/>
      </c>
      <c r="AA42" s="1053" t="str">
        <f>Tables!AA70</f>
        <v/>
      </c>
      <c r="AB42" s="1053" t="str">
        <f>Tables!AB70</f>
        <v/>
      </c>
      <c r="AC42" s="1053" t="str">
        <f>Tables!AC70</f>
        <v/>
      </c>
    </row>
    <row r="43" spans="2:29">
      <c r="B43" s="1053">
        <f>Tables!B71</f>
        <v>50</v>
      </c>
      <c r="C43" s="1053">
        <f>Tables!C71</f>
        <v>100</v>
      </c>
      <c r="D43" s="1053">
        <f>Tables!D71</f>
        <v>0.1</v>
      </c>
      <c r="E43" s="1053">
        <f>Tables!E71</f>
        <v>10</v>
      </c>
      <c r="F43" s="1053" t="str">
        <f>Tables!F71</f>
        <v>35-60</v>
      </c>
      <c r="G43" s="1053">
        <f>Tables!G71</f>
        <v>0</v>
      </c>
      <c r="H43" s="1053" t="str">
        <f>Tables!H71</f>
        <v>none</v>
      </c>
      <c r="I43" s="1053">
        <f>Tables!I71</f>
        <v>100</v>
      </c>
      <c r="J43" s="1053" t="str">
        <f>Tables!J71</f>
        <v>cm</v>
      </c>
      <c r="K43" s="1053">
        <f>Tables!K71</f>
        <v>1</v>
      </c>
      <c r="L43" s="1053" t="str">
        <f>Tables!L71</f>
        <v>Low</v>
      </c>
      <c r="M43" s="1053" t="str">
        <f>Tables!M71</f>
        <v>Internal</v>
      </c>
      <c r="N43" s="1053">
        <f>Tables!N71</f>
        <v>0</v>
      </c>
      <c r="O43" s="1053">
        <f>Tables!O71</f>
        <v>0</v>
      </c>
      <c r="P43" s="1053" t="str">
        <f>Tables!P71</f>
        <v>Small</v>
      </c>
      <c r="Q43" s="1053">
        <f>Tables!Q71</f>
        <v>0</v>
      </c>
      <c r="R43" s="1053">
        <f>Tables!R71</f>
        <v>0</v>
      </c>
      <c r="S43" s="1053">
        <f>Tables!S71</f>
        <v>1</v>
      </c>
      <c r="T43" s="1053">
        <f>Tables!T71</f>
        <v>0</v>
      </c>
      <c r="U43" s="1053">
        <f>Tables!U71</f>
        <v>0</v>
      </c>
      <c r="V43" s="1053">
        <f>Tables!V71</f>
        <v>0</v>
      </c>
      <c r="W43" s="1053">
        <f>Tables!W71</f>
        <v>0</v>
      </c>
      <c r="X43" s="1053">
        <f>Tables!X71</f>
        <v>0</v>
      </c>
      <c r="Y43" s="1053">
        <f>Tables!Y71</f>
        <v>0</v>
      </c>
      <c r="Z43" s="1053" t="str">
        <f>Tables!Z71</f>
        <v/>
      </c>
      <c r="AA43" s="1053" t="str">
        <f>Tables!AA71</f>
        <v/>
      </c>
      <c r="AB43" s="1053" t="str">
        <f>Tables!AB71</f>
        <v/>
      </c>
      <c r="AC43" s="1053" t="str">
        <f>Tables!AC71</f>
        <v/>
      </c>
    </row>
    <row r="44" spans="2:29">
      <c r="B44" s="1053">
        <f>Tables!B72</f>
        <v>70</v>
      </c>
      <c r="C44" s="1053">
        <f>Tables!C72</f>
        <v>100</v>
      </c>
      <c r="D44" s="1053">
        <f>Tables!D72</f>
        <v>0.1</v>
      </c>
      <c r="E44" s="1053">
        <f>Tables!E72</f>
        <v>10</v>
      </c>
      <c r="F44" s="1053" t="str">
        <f>Tables!F72</f>
        <v>50-85</v>
      </c>
      <c r="G44" s="1053">
        <f>Tables!G72</f>
        <v>0</v>
      </c>
      <c r="H44" s="1053" t="str">
        <f>Tables!H72</f>
        <v>none</v>
      </c>
      <c r="I44" s="1053">
        <f>Tables!I72</f>
        <v>100</v>
      </c>
      <c r="J44" s="1053" t="str">
        <f>Tables!J72</f>
        <v>cm</v>
      </c>
      <c r="K44" s="1053">
        <f>Tables!K72</f>
        <v>1</v>
      </c>
      <c r="L44" s="1053" t="str">
        <f>Tables!L72</f>
        <v>Low</v>
      </c>
      <c r="M44" s="1053" t="str">
        <f>Tables!M72</f>
        <v>Internal</v>
      </c>
      <c r="N44" s="1053">
        <f>Tables!N72</f>
        <v>0</v>
      </c>
      <c r="O44" s="1053">
        <f>Tables!O72</f>
        <v>0</v>
      </c>
      <c r="P44" s="1053" t="str">
        <f>Tables!P72</f>
        <v>Small</v>
      </c>
      <c r="Q44" s="1053">
        <f>Tables!Q72</f>
        <v>0</v>
      </c>
      <c r="R44" s="1053">
        <f>Tables!R72</f>
        <v>0</v>
      </c>
      <c r="S44" s="1053">
        <f>Tables!S72</f>
        <v>1</v>
      </c>
      <c r="T44" s="1053">
        <f>Tables!T72</f>
        <v>0</v>
      </c>
      <c r="U44" s="1053">
        <f>Tables!U72</f>
        <v>0</v>
      </c>
      <c r="V44" s="1053">
        <f>Tables!V72</f>
        <v>0</v>
      </c>
      <c r="W44" s="1053">
        <f>Tables!W72</f>
        <v>0</v>
      </c>
      <c r="X44" s="1053">
        <f>Tables!X72</f>
        <v>0</v>
      </c>
      <c r="Y44" s="1053">
        <f>Tables!Y72</f>
        <v>0</v>
      </c>
      <c r="Z44" s="1053" t="str">
        <f>Tables!Z72</f>
        <v/>
      </c>
      <c r="AA44" s="1053" t="str">
        <f>Tables!AA72</f>
        <v/>
      </c>
      <c r="AB44" s="1053" t="str">
        <f>Tables!AB72</f>
        <v/>
      </c>
      <c r="AC44" s="1053" t="str">
        <f>Tables!AC72</f>
        <v/>
      </c>
    </row>
    <row r="45" spans="2:29">
      <c r="B45" s="1053">
        <f>Tables!B73</f>
        <v>90</v>
      </c>
      <c r="C45" s="1053">
        <f>Tables!C73</f>
        <v>100</v>
      </c>
      <c r="D45" s="1053">
        <f>Tables!D73</f>
        <v>0.1</v>
      </c>
      <c r="E45" s="1053">
        <f>Tables!E73</f>
        <v>10</v>
      </c>
      <c r="F45" s="1053" t="str">
        <f>Tables!F73</f>
        <v>70-120</v>
      </c>
      <c r="G45" s="1053">
        <f>Tables!G73</f>
        <v>0</v>
      </c>
      <c r="H45" s="1053" t="str">
        <f>Tables!H73</f>
        <v>none</v>
      </c>
      <c r="I45" s="1053">
        <f>Tables!I73</f>
        <v>100</v>
      </c>
      <c r="J45" s="1053" t="str">
        <f>Tables!J73</f>
        <v>cm</v>
      </c>
      <c r="K45" s="1053">
        <f>Tables!K73</f>
        <v>1</v>
      </c>
      <c r="L45" s="1053" t="str">
        <f>Tables!L73</f>
        <v>Low</v>
      </c>
      <c r="M45" s="1053" t="str">
        <f>Tables!M73</f>
        <v>Internal</v>
      </c>
      <c r="N45" s="1053">
        <f>Tables!N73</f>
        <v>0</v>
      </c>
      <c r="O45" s="1053">
        <f>Tables!O73</f>
        <v>0</v>
      </c>
      <c r="P45" s="1053" t="str">
        <f>Tables!P73</f>
        <v>Small</v>
      </c>
      <c r="Q45" s="1053">
        <f>Tables!Q73</f>
        <v>0</v>
      </c>
      <c r="R45" s="1053">
        <f>Tables!R73</f>
        <v>0</v>
      </c>
      <c r="S45" s="1053">
        <f>Tables!S73</f>
        <v>1</v>
      </c>
      <c r="T45" s="1053">
        <f>Tables!T73</f>
        <v>0</v>
      </c>
      <c r="U45" s="1053">
        <f>Tables!U73</f>
        <v>0</v>
      </c>
      <c r="V45" s="1053">
        <f>Tables!V73</f>
        <v>1</v>
      </c>
      <c r="W45" s="1053">
        <f>Tables!W73</f>
        <v>0</v>
      </c>
      <c r="X45" s="1053">
        <f>Tables!X73</f>
        <v>0</v>
      </c>
      <c r="Y45" s="1053">
        <f>Tables!Y73</f>
        <v>0</v>
      </c>
      <c r="Z45" s="1053" t="str">
        <f>Tables!Z73</f>
        <v/>
      </c>
      <c r="AA45" s="1053" t="str">
        <f>Tables!AA73</f>
        <v/>
      </c>
      <c r="AB45" s="1053" t="str">
        <f>Tables!AB73</f>
        <v/>
      </c>
      <c r="AC45" s="1053" t="str">
        <f>Tables!AC73</f>
        <v/>
      </c>
    </row>
    <row r="46" spans="2:29">
      <c r="B46" s="1053">
        <f>Tables!B74</f>
        <v>90</v>
      </c>
      <c r="C46" s="1053">
        <f>Tables!C74</f>
        <v>100</v>
      </c>
      <c r="D46" s="1053">
        <f>Tables!D74</f>
        <v>0.1</v>
      </c>
      <c r="E46" s="1053">
        <f>Tables!E74</f>
        <v>10</v>
      </c>
      <c r="F46" s="1053" t="str">
        <f>Tables!F74</f>
        <v>70-120</v>
      </c>
      <c r="G46" s="1053">
        <f>Tables!G74</f>
        <v>0</v>
      </c>
      <c r="H46" s="1053" t="str">
        <f>Tables!H74</f>
        <v>none</v>
      </c>
      <c r="I46" s="1053">
        <f>Tables!I74</f>
        <v>100</v>
      </c>
      <c r="J46" s="1053" t="str">
        <f>Tables!J74</f>
        <v>cm</v>
      </c>
      <c r="K46" s="1053">
        <f>Tables!K74</f>
        <v>1</v>
      </c>
      <c r="L46" s="1053" t="str">
        <f>Tables!L74</f>
        <v>Low</v>
      </c>
      <c r="M46" s="1053" t="str">
        <f>Tables!M74</f>
        <v>Internal</v>
      </c>
      <c r="N46" s="1053">
        <f>Tables!N74</f>
        <v>0</v>
      </c>
      <c r="O46" s="1053">
        <f>Tables!O74</f>
        <v>0</v>
      </c>
      <c r="P46" s="1053" t="str">
        <f>Tables!P74</f>
        <v>Small</v>
      </c>
      <c r="Q46" s="1053">
        <f>Tables!Q74</f>
        <v>0</v>
      </c>
      <c r="R46" s="1053">
        <f>Tables!R74</f>
        <v>0</v>
      </c>
      <c r="S46" s="1053">
        <f>Tables!S74</f>
        <v>0</v>
      </c>
      <c r="T46" s="1053">
        <f>Tables!T74</f>
        <v>0</v>
      </c>
      <c r="U46" s="1053">
        <f>Tables!U74</f>
        <v>0</v>
      </c>
      <c r="V46" s="1053">
        <f>Tables!V74</f>
        <v>1</v>
      </c>
      <c r="W46" s="1053">
        <f>Tables!W74</f>
        <v>0</v>
      </c>
      <c r="X46" s="1053">
        <f>Tables!X74</f>
        <v>0</v>
      </c>
      <c r="Y46" s="1053">
        <f>Tables!Y74</f>
        <v>0</v>
      </c>
      <c r="Z46" s="1053" t="str">
        <f>Tables!Z74</f>
        <v/>
      </c>
      <c r="AA46" s="1053" t="str">
        <f>Tables!AA74</f>
        <v/>
      </c>
      <c r="AB46" s="1053" t="str">
        <f>Tables!AB74</f>
        <v/>
      </c>
      <c r="AC46" s="1053" t="str">
        <f>Tables!AC74</f>
        <v/>
      </c>
    </row>
    <row r="47" spans="2:29">
      <c r="B47" s="1053">
        <f>Tables!B75</f>
        <v>90</v>
      </c>
      <c r="C47" s="1053">
        <f>Tables!C75</f>
        <v>100</v>
      </c>
      <c r="D47" s="1053">
        <f>Tables!D75</f>
        <v>0.1</v>
      </c>
      <c r="E47" s="1053">
        <f>Tables!E75</f>
        <v>10</v>
      </c>
      <c r="F47" s="1053" t="str">
        <f>Tables!F75</f>
        <v>70-120</v>
      </c>
      <c r="G47" s="1053">
        <f>Tables!G75</f>
        <v>0</v>
      </c>
      <c r="H47" s="1053" t="str">
        <f>Tables!H75</f>
        <v>none</v>
      </c>
      <c r="I47" s="1053">
        <f>Tables!I75</f>
        <v>100</v>
      </c>
      <c r="J47" s="1053" t="str">
        <f>Tables!J75</f>
        <v>cm</v>
      </c>
      <c r="K47" s="1053">
        <f>Tables!K75</f>
        <v>1</v>
      </c>
      <c r="L47" s="1053" t="str">
        <f>Tables!L75</f>
        <v>Low</v>
      </c>
      <c r="M47" s="1053" t="str">
        <f>Tables!M75</f>
        <v>Internal</v>
      </c>
      <c r="N47" s="1053">
        <f>Tables!N75</f>
        <v>0</v>
      </c>
      <c r="O47" s="1053">
        <f>Tables!O75</f>
        <v>1</v>
      </c>
      <c r="P47" s="1053" t="str">
        <f>Tables!P75</f>
        <v>Small</v>
      </c>
      <c r="Q47" s="1053">
        <f>Tables!Q75</f>
        <v>0</v>
      </c>
      <c r="R47" s="1053">
        <f>Tables!R75</f>
        <v>0</v>
      </c>
      <c r="S47" s="1053">
        <f>Tables!S75</f>
        <v>0</v>
      </c>
      <c r="T47" s="1053">
        <f>Tables!T75</f>
        <v>0</v>
      </c>
      <c r="U47" s="1053">
        <f>Tables!U75</f>
        <v>0</v>
      </c>
      <c r="V47" s="1053">
        <f>Tables!V75</f>
        <v>1</v>
      </c>
      <c r="W47" s="1053">
        <f>Tables!W75</f>
        <v>0</v>
      </c>
      <c r="X47" s="1053">
        <f>Tables!X75</f>
        <v>0</v>
      </c>
      <c r="Y47" s="1053">
        <f>Tables!Y75</f>
        <v>0</v>
      </c>
      <c r="Z47" s="1053" t="str">
        <f>Tables!Z75</f>
        <v/>
      </c>
      <c r="AA47" s="1053" t="str">
        <f>Tables!AA75</f>
        <v/>
      </c>
      <c r="AB47" s="1053" t="str">
        <f>Tables!AB75</f>
        <v/>
      </c>
      <c r="AC47" s="1053" t="str">
        <f>Tables!AC75</f>
        <v/>
      </c>
    </row>
    <row r="48" spans="2:29">
      <c r="B48" s="1053">
        <f>Tables!B76</f>
        <v>90</v>
      </c>
      <c r="C48" s="1053">
        <f>Tables!C76</f>
        <v>100</v>
      </c>
      <c r="D48" s="1053">
        <f>Tables!D76</f>
        <v>0.1</v>
      </c>
      <c r="E48" s="1053">
        <f>Tables!E76</f>
        <v>10</v>
      </c>
      <c r="F48" s="1053" t="str">
        <f>Tables!F76</f>
        <v>70-120</v>
      </c>
      <c r="G48" s="1053">
        <f>Tables!G76</f>
        <v>0</v>
      </c>
      <c r="H48" s="1053" t="str">
        <f>Tables!H76</f>
        <v>none</v>
      </c>
      <c r="I48" s="1053">
        <f>Tables!I76</f>
        <v>100</v>
      </c>
      <c r="J48" s="1053" t="str">
        <f>Tables!J76</f>
        <v>cm</v>
      </c>
      <c r="K48" s="1053">
        <f>Tables!K76</f>
        <v>1</v>
      </c>
      <c r="L48" s="1053" t="str">
        <f>Tables!L76</f>
        <v>Low</v>
      </c>
      <c r="M48" s="1053" t="str">
        <f>Tables!M76</f>
        <v>Internal</v>
      </c>
      <c r="N48" s="1053">
        <f>Tables!N76</f>
        <v>0</v>
      </c>
      <c r="O48" s="1053">
        <f>Tables!O76</f>
        <v>0</v>
      </c>
      <c r="P48" s="1053" t="str">
        <f>Tables!P76</f>
        <v>Small</v>
      </c>
      <c r="Q48" s="1053">
        <f>Tables!Q76</f>
        <v>0</v>
      </c>
      <c r="R48" s="1053">
        <f>Tables!R76</f>
        <v>0</v>
      </c>
      <c r="S48" s="1053">
        <f>Tables!S76</f>
        <v>0</v>
      </c>
      <c r="T48" s="1053">
        <f>Tables!T76</f>
        <v>0</v>
      </c>
      <c r="U48" s="1053">
        <f>Tables!U76</f>
        <v>0</v>
      </c>
      <c r="V48" s="1053">
        <f>Tables!V76</f>
        <v>1</v>
      </c>
      <c r="W48" s="1053">
        <f>Tables!W76</f>
        <v>0</v>
      </c>
      <c r="X48" s="1053">
        <f>Tables!X76</f>
        <v>0</v>
      </c>
      <c r="Y48" s="1053">
        <f>Tables!Y76</f>
        <v>0</v>
      </c>
      <c r="Z48" s="1053" t="str">
        <f>Tables!Z76</f>
        <v/>
      </c>
      <c r="AA48" s="1053" t="str">
        <f>Tables!AA76</f>
        <v/>
      </c>
      <c r="AB48" s="1053" t="str">
        <f>Tables!AB76</f>
        <v/>
      </c>
      <c r="AC48" s="1053" t="str">
        <f>Tables!AC76</f>
        <v/>
      </c>
    </row>
    <row r="49" spans="1:29">
      <c r="B49" s="1053">
        <f>Tables!B77</f>
        <v>90</v>
      </c>
      <c r="C49" s="1053">
        <f>Tables!C77</f>
        <v>100</v>
      </c>
      <c r="D49" s="1053">
        <f>Tables!D77</f>
        <v>0.1</v>
      </c>
      <c r="E49" s="1053">
        <f>Tables!E77</f>
        <v>10</v>
      </c>
      <c r="F49" s="1053" t="str">
        <f>Tables!F77</f>
        <v>70-120</v>
      </c>
      <c r="G49" s="1053">
        <f>Tables!G77</f>
        <v>0</v>
      </c>
      <c r="H49" s="1053" t="str">
        <f>Tables!H77</f>
        <v>none</v>
      </c>
      <c r="I49" s="1053">
        <f>Tables!I77</f>
        <v>100</v>
      </c>
      <c r="J49" s="1053" t="str">
        <f>Tables!J77</f>
        <v>cm</v>
      </c>
      <c r="K49" s="1053">
        <f>Tables!K77</f>
        <v>1</v>
      </c>
      <c r="L49" s="1053" t="str">
        <f>Tables!L77</f>
        <v>Low</v>
      </c>
      <c r="M49" s="1053" t="str">
        <f>Tables!M77</f>
        <v>Internal</v>
      </c>
      <c r="N49" s="1053">
        <f>Tables!N77</f>
        <v>0</v>
      </c>
      <c r="O49" s="1053">
        <f>Tables!O77</f>
        <v>0</v>
      </c>
      <c r="P49" s="1053" t="str">
        <f>Tables!P77</f>
        <v>Small</v>
      </c>
      <c r="Q49" s="1053">
        <f>Tables!Q77</f>
        <v>0</v>
      </c>
      <c r="R49" s="1053">
        <f>Tables!R77</f>
        <v>0</v>
      </c>
      <c r="S49" s="1053">
        <f>Tables!S77</f>
        <v>0</v>
      </c>
      <c r="T49" s="1053">
        <f>Tables!T77</f>
        <v>0</v>
      </c>
      <c r="U49" s="1053">
        <f>Tables!U77</f>
        <v>0</v>
      </c>
      <c r="V49" s="1053">
        <f>Tables!V77</f>
        <v>1</v>
      </c>
      <c r="W49" s="1053">
        <f>Tables!W77</f>
        <v>0</v>
      </c>
      <c r="X49" s="1053">
        <f>Tables!X77</f>
        <v>0</v>
      </c>
      <c r="Y49" s="1053">
        <f>Tables!Y77</f>
        <v>0</v>
      </c>
      <c r="Z49" s="1053" t="str">
        <f>Tables!Z77</f>
        <v/>
      </c>
      <c r="AA49" s="1053" t="str">
        <f>Tables!AA77</f>
        <v/>
      </c>
      <c r="AB49" s="1053" t="str">
        <f>Tables!AB77</f>
        <v/>
      </c>
      <c r="AC49" s="1053" t="str">
        <f>Tables!AC77</f>
        <v/>
      </c>
    </row>
    <row r="50" spans="1:29">
      <c r="B50" s="1053">
        <f>Tables!B78</f>
        <v>80</v>
      </c>
      <c r="C50" s="1053">
        <f>Tables!C78</f>
        <v>100</v>
      </c>
      <c r="D50" s="1053">
        <f>Tables!D78</f>
        <v>0.1</v>
      </c>
      <c r="E50" s="1053">
        <f>Tables!E78</f>
        <v>10</v>
      </c>
      <c r="F50" s="1053" t="str">
        <f>Tables!F78</f>
        <v>70-120</v>
      </c>
      <c r="G50" s="1053">
        <f>Tables!G78</f>
        <v>0</v>
      </c>
      <c r="H50" s="1053" t="str">
        <f>Tables!H78</f>
        <v>none</v>
      </c>
      <c r="I50" s="1053">
        <f>Tables!I78</f>
        <v>100</v>
      </c>
      <c r="J50" s="1053" t="str">
        <f>Tables!J78</f>
        <v>cm</v>
      </c>
      <c r="K50" s="1053">
        <f>Tables!K78</f>
        <v>1</v>
      </c>
      <c r="L50" s="1053" t="str">
        <f>Tables!L78</f>
        <v>Low</v>
      </c>
      <c r="M50" s="1053" t="str">
        <f>Tables!M78</f>
        <v>Internal</v>
      </c>
      <c r="N50" s="1053">
        <f>Tables!N78</f>
        <v>0</v>
      </c>
      <c r="O50" s="1053">
        <f>Tables!O78</f>
        <v>0</v>
      </c>
      <c r="P50" s="1053" t="str">
        <f>Tables!P78</f>
        <v>Small</v>
      </c>
      <c r="Q50" s="1053">
        <f>Tables!Q78</f>
        <v>0</v>
      </c>
      <c r="R50" s="1053">
        <f>Tables!R78</f>
        <v>1</v>
      </c>
      <c r="S50" s="1053">
        <f>Tables!S78</f>
        <v>0</v>
      </c>
      <c r="T50" s="1053">
        <f>Tables!T78</f>
        <v>0</v>
      </c>
      <c r="U50" s="1053">
        <f>Tables!U78</f>
        <v>0</v>
      </c>
      <c r="V50" s="1053">
        <f>Tables!V78</f>
        <v>0</v>
      </c>
      <c r="W50" s="1053">
        <f>Tables!W78</f>
        <v>0</v>
      </c>
      <c r="X50" s="1053">
        <f>Tables!X78</f>
        <v>0</v>
      </c>
      <c r="Y50" s="1053">
        <f>Tables!Y78</f>
        <v>0</v>
      </c>
      <c r="Z50" s="1053" t="str">
        <f>Tables!Z78</f>
        <v/>
      </c>
      <c r="AA50" s="1053" t="str">
        <f>Tables!AA78</f>
        <v/>
      </c>
      <c r="AB50" s="1053" t="str">
        <f>Tables!AB78</f>
        <v/>
      </c>
      <c r="AC50" s="1053" t="str">
        <f>Tables!AC78</f>
        <v/>
      </c>
    </row>
    <row r="51" spans="1:29">
      <c r="B51" s="1053">
        <f>Tables!B79</f>
        <v>80</v>
      </c>
      <c r="C51" s="1053">
        <f>Tables!C79</f>
        <v>110</v>
      </c>
      <c r="D51" s="1053">
        <f>Tables!D79</f>
        <v>0.1</v>
      </c>
      <c r="E51" s="1053">
        <f>Tables!E79</f>
        <v>11</v>
      </c>
      <c r="F51" s="1053" t="str">
        <f>Tables!F79</f>
        <v>70-120</v>
      </c>
      <c r="G51" s="1053">
        <f>Tables!G79</f>
        <v>0</v>
      </c>
      <c r="H51" s="1053" t="str">
        <f>Tables!H79</f>
        <v>none</v>
      </c>
      <c r="I51" s="1053">
        <f>Tables!I79</f>
        <v>100</v>
      </c>
      <c r="J51" s="1053" t="str">
        <f>Tables!J79</f>
        <v>cm</v>
      </c>
      <c r="K51" s="1053">
        <f>Tables!K79</f>
        <v>1</v>
      </c>
      <c r="L51" s="1053" t="str">
        <f>Tables!L79</f>
        <v>Low</v>
      </c>
      <c r="M51" s="1053" t="str">
        <f>Tables!M79</f>
        <v>Internal</v>
      </c>
      <c r="N51" s="1053">
        <f>Tables!N79</f>
        <v>0</v>
      </c>
      <c r="O51" s="1053">
        <f>Tables!O79</f>
        <v>0</v>
      </c>
      <c r="P51" s="1053" t="str">
        <f>Tables!P79</f>
        <v>Small</v>
      </c>
      <c r="Q51" s="1053">
        <f>Tables!Q79</f>
        <v>0</v>
      </c>
      <c r="R51" s="1053">
        <f>Tables!R79</f>
        <v>1</v>
      </c>
      <c r="S51" s="1053">
        <f>Tables!S79</f>
        <v>0</v>
      </c>
      <c r="T51" s="1053">
        <f>Tables!T79</f>
        <v>0</v>
      </c>
      <c r="U51" s="1053">
        <f>Tables!U79</f>
        <v>0</v>
      </c>
      <c r="V51" s="1053">
        <f>Tables!V79</f>
        <v>0</v>
      </c>
      <c r="W51" s="1053">
        <f>Tables!W79</f>
        <v>0</v>
      </c>
      <c r="X51" s="1053">
        <f>Tables!X79</f>
        <v>0</v>
      </c>
      <c r="Y51" s="1053">
        <f>Tables!Y79</f>
        <v>0</v>
      </c>
      <c r="Z51" s="1053" t="str">
        <f>Tables!Z79</f>
        <v/>
      </c>
      <c r="AA51" s="1053" t="str">
        <f>Tables!AA79</f>
        <v/>
      </c>
      <c r="AB51" s="1053" t="str">
        <f>Tables!AB79</f>
        <v/>
      </c>
      <c r="AC51" s="1053" t="str">
        <f>Tables!AC79</f>
        <v/>
      </c>
    </row>
    <row r="52" spans="1:29">
      <c r="B52" s="1053">
        <f>Tables!B80</f>
        <v>80</v>
      </c>
      <c r="C52" s="1053">
        <f>Tables!C80</f>
        <v>250</v>
      </c>
      <c r="D52" s="1053">
        <f>Tables!D80</f>
        <v>0.1</v>
      </c>
      <c r="E52" s="1053">
        <f>Tables!E80</f>
        <v>25</v>
      </c>
      <c r="F52" s="1053" t="str">
        <f>Tables!F80</f>
        <v>70-120</v>
      </c>
      <c r="G52" s="1053">
        <f>Tables!G80</f>
        <v>0</v>
      </c>
      <c r="H52" s="1053" t="str">
        <f>Tables!H80</f>
        <v>none</v>
      </c>
      <c r="I52" s="1053">
        <f>Tables!I80</f>
        <v>100</v>
      </c>
      <c r="J52" s="1053" t="str">
        <f>Tables!J80</f>
        <v>cm</v>
      </c>
      <c r="K52" s="1053">
        <f>Tables!K80</f>
        <v>1</v>
      </c>
      <c r="L52" s="1053" t="str">
        <f>Tables!L80</f>
        <v>High</v>
      </c>
      <c r="M52" s="1053" t="str">
        <f>Tables!M80</f>
        <v>Internal</v>
      </c>
      <c r="N52" s="1053">
        <f>Tables!N80</f>
        <v>0</v>
      </c>
      <c r="O52" s="1053">
        <f>Tables!O80</f>
        <v>0</v>
      </c>
      <c r="P52" s="1053" t="str">
        <f>Tables!P80</f>
        <v>Small</v>
      </c>
      <c r="Q52" s="1053">
        <f>Tables!Q80</f>
        <v>0</v>
      </c>
      <c r="R52" s="1053">
        <f>Tables!R80</f>
        <v>1</v>
      </c>
      <c r="S52" s="1053">
        <f>Tables!S80</f>
        <v>0</v>
      </c>
      <c r="T52" s="1053">
        <f>Tables!T80</f>
        <v>0</v>
      </c>
      <c r="U52" s="1053">
        <f>Tables!U80</f>
        <v>0</v>
      </c>
      <c r="V52" s="1053">
        <f>Tables!V80</f>
        <v>0</v>
      </c>
      <c r="W52" s="1053">
        <f>Tables!W80</f>
        <v>0</v>
      </c>
      <c r="X52" s="1053">
        <f>Tables!X80</f>
        <v>0</v>
      </c>
      <c r="Y52" s="1053">
        <f>Tables!Y80</f>
        <v>0</v>
      </c>
      <c r="Z52" s="1053" t="str">
        <f>Tables!Z80</f>
        <v/>
      </c>
      <c r="AA52" s="1053" t="str">
        <f>Tables!AA80</f>
        <v/>
      </c>
      <c r="AB52" s="1053" t="str">
        <f>Tables!AB80</f>
        <v/>
      </c>
      <c r="AC52" s="1053" t="str">
        <f>Tables!AC80</f>
        <v/>
      </c>
    </row>
    <row r="53" spans="1:29">
      <c r="B53" s="1053">
        <f>Tables!B81</f>
        <v>80</v>
      </c>
      <c r="C53" s="1053">
        <f>Tables!C81</f>
        <v>50</v>
      </c>
      <c r="D53" s="1053">
        <f>Tables!D81</f>
        <v>0.1</v>
      </c>
      <c r="E53" s="1053">
        <f>Tables!E81</f>
        <v>5</v>
      </c>
      <c r="F53" s="1053" t="str">
        <f>Tables!F81</f>
        <v>70-120</v>
      </c>
      <c r="G53" s="1053">
        <f>Tables!G81</f>
        <v>0</v>
      </c>
      <c r="H53" s="1053" t="str">
        <f>Tables!H81</f>
        <v>none</v>
      </c>
      <c r="I53" s="1053">
        <f>Tables!I81</f>
        <v>100</v>
      </c>
      <c r="J53" s="1053" t="str">
        <f>Tables!J81</f>
        <v>cm</v>
      </c>
      <c r="K53" s="1053">
        <f>Tables!K81</f>
        <v>1</v>
      </c>
      <c r="L53" s="1053" t="str">
        <f>Tables!L81</f>
        <v>High</v>
      </c>
      <c r="M53" s="1053" t="str">
        <f>Tables!M81</f>
        <v>Internal</v>
      </c>
      <c r="N53" s="1053">
        <f>Tables!N81</f>
        <v>0</v>
      </c>
      <c r="O53" s="1053">
        <f>Tables!O81</f>
        <v>0</v>
      </c>
      <c r="P53" s="1053" t="str">
        <f>Tables!P81</f>
        <v>Small</v>
      </c>
      <c r="Q53" s="1053">
        <f>Tables!Q81</f>
        <v>0</v>
      </c>
      <c r="R53" s="1053">
        <f>Tables!R81</f>
        <v>1</v>
      </c>
      <c r="S53" s="1053">
        <f>Tables!S81</f>
        <v>0</v>
      </c>
      <c r="T53" s="1053">
        <f>Tables!T81</f>
        <v>0</v>
      </c>
      <c r="U53" s="1053">
        <f>Tables!U81</f>
        <v>0</v>
      </c>
      <c r="V53" s="1053">
        <f>Tables!V81</f>
        <v>0</v>
      </c>
      <c r="W53" s="1053">
        <f>Tables!W81</f>
        <v>0</v>
      </c>
      <c r="X53" s="1053">
        <f>Tables!X81</f>
        <v>0</v>
      </c>
      <c r="Y53" s="1053">
        <f>Tables!Y81</f>
        <v>0</v>
      </c>
      <c r="Z53" s="1053" t="str">
        <f>Tables!Z81</f>
        <v/>
      </c>
      <c r="AA53" s="1053" t="str">
        <f>Tables!AA81</f>
        <v/>
      </c>
      <c r="AB53" s="1053" t="str">
        <f>Tables!AB81</f>
        <v/>
      </c>
      <c r="AC53" s="1053" t="str">
        <f>Tables!AC81</f>
        <v/>
      </c>
    </row>
    <row r="54" spans="1:29">
      <c r="B54" s="1053">
        <f>Tables!B82</f>
        <v>80</v>
      </c>
      <c r="C54" s="1053">
        <f>Tables!C82</f>
        <v>160</v>
      </c>
      <c r="D54" s="1053">
        <f>Tables!D82</f>
        <v>0.1</v>
      </c>
      <c r="E54" s="1053">
        <f>Tables!E82</f>
        <v>16</v>
      </c>
      <c r="F54" s="1053" t="str">
        <f>Tables!F82</f>
        <v>70-120</v>
      </c>
      <c r="G54" s="1053">
        <f>Tables!G82</f>
        <v>0</v>
      </c>
      <c r="H54" s="1053" t="str">
        <f>Tables!H82</f>
        <v>none</v>
      </c>
      <c r="I54" s="1053">
        <f>Tables!I82</f>
        <v>100</v>
      </c>
      <c r="J54" s="1053" t="str">
        <f>Tables!J82</f>
        <v>cm</v>
      </c>
      <c r="K54" s="1053">
        <f>Tables!K82</f>
        <v>1</v>
      </c>
      <c r="L54" s="1053" t="str">
        <f>Tables!L82</f>
        <v>Low</v>
      </c>
      <c r="M54" s="1053" t="str">
        <f>Tables!M82</f>
        <v>Internal</v>
      </c>
      <c r="N54" s="1053">
        <f>Tables!N82</f>
        <v>0</v>
      </c>
      <c r="O54" s="1053">
        <f>Tables!O82</f>
        <v>0</v>
      </c>
      <c r="P54" s="1053" t="str">
        <f>Tables!P82</f>
        <v>Small</v>
      </c>
      <c r="Q54" s="1053">
        <f>Tables!Q82</f>
        <v>0</v>
      </c>
      <c r="R54" s="1053">
        <f>Tables!R82</f>
        <v>1</v>
      </c>
      <c r="S54" s="1053">
        <f>Tables!S82</f>
        <v>0</v>
      </c>
      <c r="T54" s="1053">
        <f>Tables!T82</f>
        <v>0</v>
      </c>
      <c r="U54" s="1053">
        <f>Tables!U82</f>
        <v>0</v>
      </c>
      <c r="V54" s="1053">
        <f>Tables!V82</f>
        <v>0</v>
      </c>
      <c r="W54" s="1053">
        <f>Tables!W82</f>
        <v>0</v>
      </c>
      <c r="X54" s="1053">
        <f>Tables!X82</f>
        <v>0</v>
      </c>
      <c r="Y54" s="1053">
        <f>Tables!Y82</f>
        <v>0</v>
      </c>
      <c r="Z54" s="1053" t="str">
        <f>Tables!Z82</f>
        <v/>
      </c>
      <c r="AA54" s="1053" t="str">
        <f>Tables!AA82</f>
        <v/>
      </c>
      <c r="AB54" s="1053" t="str">
        <f>Tables!AB82</f>
        <v/>
      </c>
      <c r="AC54" s="1053" t="str">
        <f>Tables!AC82</f>
        <v/>
      </c>
    </row>
    <row r="55" spans="1:29">
      <c r="B55" s="1053">
        <f>Tables!B83</f>
        <v>110</v>
      </c>
      <c r="C55" s="1053">
        <f>Tables!C83</f>
        <v>100</v>
      </c>
      <c r="D55" s="1053">
        <f>Tables!D83</f>
        <v>0.1</v>
      </c>
      <c r="E55" s="1053">
        <f>Tables!E83</f>
        <v>10</v>
      </c>
      <c r="F55" s="1053" t="str">
        <f>Tables!F83</f>
        <v>70-120</v>
      </c>
      <c r="G55" s="1053">
        <f>Tables!G83</f>
        <v>0</v>
      </c>
      <c r="H55" s="1053" t="str">
        <f>Tables!H83</f>
        <v>none</v>
      </c>
      <c r="I55" s="1053">
        <f>Tables!I83</f>
        <v>100</v>
      </c>
      <c r="J55" s="1053" t="str">
        <f>Tables!J83</f>
        <v>cm</v>
      </c>
      <c r="K55" s="1053">
        <f>Tables!K83</f>
        <v>1</v>
      </c>
      <c r="L55" s="1053" t="str">
        <f>Tables!L83</f>
        <v>Low</v>
      </c>
      <c r="M55" s="1053" t="str">
        <f>Tables!M83</f>
        <v>Internal</v>
      </c>
      <c r="N55" s="1053">
        <f>Tables!N83</f>
        <v>0</v>
      </c>
      <c r="O55" s="1053">
        <f>Tables!O83</f>
        <v>0</v>
      </c>
      <c r="P55" s="1053" t="str">
        <f>Tables!P83</f>
        <v>Small</v>
      </c>
      <c r="Q55" s="1053">
        <f>Tables!Q83</f>
        <v>0</v>
      </c>
      <c r="R55" s="1053">
        <f>Tables!R83</f>
        <v>0</v>
      </c>
      <c r="S55" s="1053">
        <f>Tables!S83</f>
        <v>1</v>
      </c>
      <c r="T55" s="1053">
        <f>Tables!T83</f>
        <v>0</v>
      </c>
      <c r="U55" s="1053">
        <f>Tables!U83</f>
        <v>0</v>
      </c>
      <c r="V55" s="1053">
        <f>Tables!V83</f>
        <v>0</v>
      </c>
      <c r="W55" s="1053">
        <f>Tables!W83</f>
        <v>0</v>
      </c>
      <c r="X55" s="1053">
        <f>Tables!X83</f>
        <v>0</v>
      </c>
      <c r="Y55" s="1053">
        <f>Tables!Y83</f>
        <v>0</v>
      </c>
      <c r="Z55" s="1053" t="str">
        <f>Tables!Z83</f>
        <v/>
      </c>
      <c r="AA55" s="1053" t="str">
        <f>Tables!AA83</f>
        <v/>
      </c>
      <c r="AB55" s="1053" t="str">
        <f>Tables!AB83</f>
        <v/>
      </c>
      <c r="AC55" s="1053" t="str">
        <f>Tables!AC83</f>
        <v/>
      </c>
    </row>
    <row r="56" spans="1:29">
      <c r="B56" s="1053">
        <f>Tables!B84</f>
        <v>130</v>
      </c>
      <c r="C56" s="1053">
        <f>Tables!C84</f>
        <v>100</v>
      </c>
      <c r="D56" s="1053">
        <f>Tables!D84</f>
        <v>0.1</v>
      </c>
      <c r="E56" s="1053">
        <f>Tables!E84</f>
        <v>10</v>
      </c>
      <c r="F56" s="1053" t="str">
        <f>Tables!F84</f>
        <v>100-155</v>
      </c>
      <c r="G56" s="1053">
        <f>Tables!G84</f>
        <v>0</v>
      </c>
      <c r="H56" s="1053" t="str">
        <f>Tables!H84</f>
        <v>none</v>
      </c>
      <c r="I56" s="1053">
        <f>Tables!I84</f>
        <v>100</v>
      </c>
      <c r="J56" s="1053" t="str">
        <f>Tables!J84</f>
        <v>cm</v>
      </c>
      <c r="K56" s="1053">
        <f>Tables!K84</f>
        <v>1</v>
      </c>
      <c r="L56" s="1053" t="str">
        <f>Tables!L84</f>
        <v>Low</v>
      </c>
      <c r="M56" s="1053" t="str">
        <f>Tables!M84</f>
        <v>Internal</v>
      </c>
      <c r="N56" s="1053">
        <f>Tables!N84</f>
        <v>0</v>
      </c>
      <c r="O56" s="1053">
        <f>Tables!O84</f>
        <v>0</v>
      </c>
      <c r="P56" s="1053" t="str">
        <f>Tables!P84</f>
        <v>Small</v>
      </c>
      <c r="Q56" s="1053">
        <f>Tables!Q84</f>
        <v>0</v>
      </c>
      <c r="R56" s="1053">
        <f>Tables!R84</f>
        <v>0</v>
      </c>
      <c r="S56" s="1053">
        <f>Tables!S84</f>
        <v>1</v>
      </c>
      <c r="T56" s="1053">
        <f>Tables!T84</f>
        <v>0</v>
      </c>
      <c r="U56" s="1053">
        <f>Tables!U84</f>
        <v>0</v>
      </c>
      <c r="V56" s="1053">
        <f>Tables!V84</f>
        <v>0</v>
      </c>
      <c r="W56" s="1053">
        <f>Tables!W84</f>
        <v>0</v>
      </c>
      <c r="X56" s="1053">
        <f>Tables!X84</f>
        <v>0</v>
      </c>
      <c r="Y56" s="1053">
        <f>Tables!Y84</f>
        <v>0</v>
      </c>
      <c r="Z56" s="1053" t="str">
        <f>Tables!Z84</f>
        <v/>
      </c>
      <c r="AA56" s="1053" t="str">
        <f>Tables!AA84</f>
        <v/>
      </c>
      <c r="AB56" s="1053" t="str">
        <f>Tables!AB84</f>
        <v/>
      </c>
      <c r="AC56" s="1053" t="str">
        <f>Tables!AC84</f>
        <v/>
      </c>
    </row>
    <row r="57" spans="1:29">
      <c r="B57" s="1053">
        <f>Tables!B85</f>
        <v>80</v>
      </c>
      <c r="C57" s="1053">
        <f>Tables!C85</f>
        <v>200</v>
      </c>
      <c r="D57" s="1053">
        <f>Tables!D85</f>
        <v>0.01</v>
      </c>
      <c r="E57" s="1053">
        <f>Tables!E85</f>
        <v>2</v>
      </c>
      <c r="F57" s="1053" t="str">
        <f>Tables!F85</f>
        <v>70-120</v>
      </c>
      <c r="G57" s="1053">
        <f>Tables!G85</f>
        <v>0</v>
      </c>
      <c r="H57" s="1053" t="str">
        <f>Tables!H85</f>
        <v>none</v>
      </c>
      <c r="I57" s="1053">
        <f>Tables!I85</f>
        <v>100</v>
      </c>
      <c r="J57" s="1053" t="str">
        <f>Tables!J85</f>
        <v>cm</v>
      </c>
      <c r="K57" s="1053">
        <f>Tables!K85</f>
        <v>1</v>
      </c>
      <c r="L57" s="1053" t="str">
        <f>Tables!L85</f>
        <v>Low</v>
      </c>
      <c r="M57" s="1053" t="str">
        <f>Tables!M85</f>
        <v>Internal</v>
      </c>
      <c r="N57" s="1053">
        <f>Tables!N85</f>
        <v>0</v>
      </c>
      <c r="O57" s="1053">
        <f>Tables!O85</f>
        <v>1</v>
      </c>
      <c r="P57" s="1053" t="str">
        <f>Tables!P85</f>
        <v>Large</v>
      </c>
      <c r="Q57" s="1053">
        <f>Tables!Q85</f>
        <v>0</v>
      </c>
      <c r="R57" s="1053">
        <f>Tables!R85</f>
        <v>0</v>
      </c>
      <c r="S57" s="1053">
        <f>Tables!S85</f>
        <v>1</v>
      </c>
      <c r="T57" s="1053">
        <f>Tables!T85</f>
        <v>0</v>
      </c>
      <c r="U57" s="1053">
        <f>Tables!U85</f>
        <v>0</v>
      </c>
      <c r="V57" s="1053">
        <f>Tables!V85</f>
        <v>0</v>
      </c>
      <c r="W57" s="1053">
        <f>Tables!W85</f>
        <v>0</v>
      </c>
      <c r="X57" s="1053">
        <f>Tables!X85</f>
        <v>0</v>
      </c>
      <c r="Y57" s="1053">
        <f>Tables!Y85</f>
        <v>0</v>
      </c>
      <c r="Z57" s="1053" t="str">
        <f>Tables!Z85</f>
        <v/>
      </c>
      <c r="AA57" s="1053" t="str">
        <f>Tables!AA85</f>
        <v/>
      </c>
      <c r="AB57" s="1053" t="str">
        <f>Tables!AB85</f>
        <v/>
      </c>
      <c r="AC57" s="1053" t="str">
        <f>Tables!AC85</f>
        <v/>
      </c>
    </row>
    <row r="58" spans="1:29">
      <c r="B58" s="1053">
        <f>Tables!B86</f>
        <v>80</v>
      </c>
      <c r="C58" s="1053">
        <f>Tables!C86</f>
        <v>200</v>
      </c>
      <c r="D58" s="1053">
        <f>Tables!D86</f>
        <v>0.02</v>
      </c>
      <c r="E58" s="1053">
        <f>Tables!E86</f>
        <v>4</v>
      </c>
      <c r="F58" s="1053" t="str">
        <f>Tables!F86</f>
        <v>70-120</v>
      </c>
      <c r="G58" s="1053">
        <f>Tables!G86</f>
        <v>0</v>
      </c>
      <c r="H58" s="1053" t="str">
        <f>Tables!H86</f>
        <v>none</v>
      </c>
      <c r="I58" s="1053">
        <f>Tables!I86</f>
        <v>100</v>
      </c>
      <c r="J58" s="1053" t="str">
        <f>Tables!J86</f>
        <v>cm</v>
      </c>
      <c r="K58" s="1053">
        <f>Tables!K86</f>
        <v>1</v>
      </c>
      <c r="L58" s="1053" t="str">
        <f>Tables!L86</f>
        <v>Low</v>
      </c>
      <c r="M58" s="1053" t="str">
        <f>Tables!M86</f>
        <v>Internal</v>
      </c>
      <c r="N58" s="1053">
        <f>Tables!N86</f>
        <v>0</v>
      </c>
      <c r="O58" s="1053">
        <f>Tables!O86</f>
        <v>1</v>
      </c>
      <c r="P58" s="1053" t="str">
        <f>Tables!P86</f>
        <v>Large</v>
      </c>
      <c r="Q58" s="1053">
        <f>Tables!Q86</f>
        <v>0</v>
      </c>
      <c r="R58" s="1053">
        <f>Tables!R86</f>
        <v>0</v>
      </c>
      <c r="S58" s="1053">
        <f>Tables!S86</f>
        <v>1</v>
      </c>
      <c r="T58" s="1053">
        <f>Tables!T86</f>
        <v>0</v>
      </c>
      <c r="U58" s="1053">
        <f>Tables!U86</f>
        <v>0</v>
      </c>
      <c r="V58" s="1053">
        <f>Tables!V86</f>
        <v>0</v>
      </c>
      <c r="W58" s="1053">
        <f>Tables!W86</f>
        <v>0</v>
      </c>
      <c r="X58" s="1053">
        <f>Tables!X86</f>
        <v>0</v>
      </c>
      <c r="Y58" s="1053">
        <f>Tables!Y86</f>
        <v>0</v>
      </c>
      <c r="Z58" s="1053" t="str">
        <f>Tables!Z86</f>
        <v/>
      </c>
      <c r="AA58" s="1053" t="str">
        <f>Tables!AA86</f>
        <v/>
      </c>
      <c r="AB58" s="1053" t="str">
        <f>Tables!AB86</f>
        <v/>
      </c>
      <c r="AC58" s="1053" t="str">
        <f>Tables!AC86</f>
        <v/>
      </c>
    </row>
    <row r="59" spans="1:29">
      <c r="B59" s="1053">
        <f>Tables!B87</f>
        <v>80</v>
      </c>
      <c r="C59" s="1053">
        <f>Tables!C87</f>
        <v>200</v>
      </c>
      <c r="D59" s="1053">
        <f>Tables!D87</f>
        <v>0.04</v>
      </c>
      <c r="E59" s="1053">
        <f>Tables!E87</f>
        <v>8</v>
      </c>
      <c r="F59" s="1053" t="str">
        <f>Tables!F87</f>
        <v>70-120</v>
      </c>
      <c r="G59" s="1053">
        <f>Tables!G87</f>
        <v>0</v>
      </c>
      <c r="H59" s="1053" t="str">
        <f>Tables!H87</f>
        <v>none</v>
      </c>
      <c r="I59" s="1053">
        <f>Tables!I87</f>
        <v>100</v>
      </c>
      <c r="J59" s="1053" t="str">
        <f>Tables!J87</f>
        <v>cm</v>
      </c>
      <c r="K59" s="1053">
        <f>Tables!K87</f>
        <v>1</v>
      </c>
      <c r="L59" s="1053" t="str">
        <f>Tables!L87</f>
        <v>Low</v>
      </c>
      <c r="M59" s="1053" t="str">
        <f>Tables!M87</f>
        <v>Internal</v>
      </c>
      <c r="N59" s="1053">
        <f>Tables!N87</f>
        <v>0</v>
      </c>
      <c r="O59" s="1053">
        <f>Tables!O87</f>
        <v>1</v>
      </c>
      <c r="P59" s="1053" t="str">
        <f>Tables!P87</f>
        <v>Large</v>
      </c>
      <c r="Q59" s="1053">
        <f>Tables!Q87</f>
        <v>0</v>
      </c>
      <c r="R59" s="1053">
        <f>Tables!R87</f>
        <v>0</v>
      </c>
      <c r="S59" s="1053">
        <f>Tables!S87</f>
        <v>1</v>
      </c>
      <c r="T59" s="1053">
        <f>Tables!T87</f>
        <v>0</v>
      </c>
      <c r="U59" s="1053">
        <f>Tables!U87</f>
        <v>0</v>
      </c>
      <c r="V59" s="1053">
        <f>Tables!V87</f>
        <v>0</v>
      </c>
      <c r="W59" s="1053">
        <f>Tables!W87</f>
        <v>0</v>
      </c>
      <c r="X59" s="1053">
        <f>Tables!X87</f>
        <v>0</v>
      </c>
      <c r="Y59" s="1053">
        <f>Tables!Y87</f>
        <v>0</v>
      </c>
      <c r="Z59" s="1053" t="str">
        <f>Tables!Z87</f>
        <v/>
      </c>
      <c r="AA59" s="1053" t="str">
        <f>Tables!AA87</f>
        <v/>
      </c>
      <c r="AB59" s="1053" t="str">
        <f>Tables!AB87</f>
        <v/>
      </c>
      <c r="AC59" s="1053" t="str">
        <f>Tables!AC87</f>
        <v/>
      </c>
    </row>
    <row r="60" spans="1:29">
      <c r="B60" s="1053">
        <f>Tables!B88</f>
        <v>80</v>
      </c>
      <c r="C60" s="1053">
        <f>Tables!C88</f>
        <v>200</v>
      </c>
      <c r="D60" s="1053">
        <f>Tables!D88</f>
        <v>0.1</v>
      </c>
      <c r="E60" s="1053">
        <f>Tables!E88</f>
        <v>20</v>
      </c>
      <c r="F60" s="1053" t="str">
        <f>Tables!F88</f>
        <v>70-120</v>
      </c>
      <c r="G60" s="1053">
        <f>Tables!G88</f>
        <v>0</v>
      </c>
      <c r="H60" s="1053" t="str">
        <f>Tables!H88</f>
        <v>none</v>
      </c>
      <c r="I60" s="1053">
        <f>Tables!I88</f>
        <v>100</v>
      </c>
      <c r="J60" s="1053" t="str">
        <f>Tables!J88</f>
        <v>cm</v>
      </c>
      <c r="K60" s="1053">
        <f>Tables!K88</f>
        <v>1</v>
      </c>
      <c r="L60" s="1053" t="str">
        <f>Tables!L88</f>
        <v>Low</v>
      </c>
      <c r="M60" s="1053" t="str">
        <f>Tables!M88</f>
        <v>Internal</v>
      </c>
      <c r="N60" s="1053">
        <f>Tables!N88</f>
        <v>0</v>
      </c>
      <c r="O60" s="1053">
        <f>Tables!O88</f>
        <v>0</v>
      </c>
      <c r="P60" s="1053" t="str">
        <f>Tables!P88</f>
        <v>Large</v>
      </c>
      <c r="Q60" s="1053">
        <f>Tables!Q88</f>
        <v>0</v>
      </c>
      <c r="R60" s="1053">
        <f>Tables!R88</f>
        <v>0</v>
      </c>
      <c r="S60" s="1053">
        <f>Tables!S88</f>
        <v>1</v>
      </c>
      <c r="T60" s="1053">
        <f>Tables!T88</f>
        <v>0</v>
      </c>
      <c r="U60" s="1053">
        <f>Tables!U88</f>
        <v>0</v>
      </c>
      <c r="V60" s="1053">
        <f>Tables!V88</f>
        <v>0</v>
      </c>
      <c r="W60" s="1053">
        <f>Tables!W88</f>
        <v>0</v>
      </c>
      <c r="X60" s="1053">
        <f>Tables!X88</f>
        <v>0</v>
      </c>
      <c r="Y60" s="1053">
        <f>Tables!Y88</f>
        <v>0</v>
      </c>
      <c r="Z60" s="1053" t="str">
        <f>Tables!Z88</f>
        <v/>
      </c>
      <c r="AA60" s="1053" t="str">
        <f>Tables!AA88</f>
        <v/>
      </c>
      <c r="AB60" s="1053" t="str">
        <f>Tables!AB88</f>
        <v/>
      </c>
      <c r="AC60" s="1053" t="str">
        <f>Tables!AC88</f>
        <v/>
      </c>
    </row>
    <row r="61" spans="1:29">
      <c r="B61" s="1053">
        <f>Tables!B89</f>
        <v>80</v>
      </c>
      <c r="C61" s="1053">
        <f>Tables!C89</f>
        <v>200</v>
      </c>
      <c r="D61" s="1053">
        <f>Tables!D89</f>
        <v>0.25</v>
      </c>
      <c r="E61" s="1053">
        <f>Tables!E89</f>
        <v>50</v>
      </c>
      <c r="F61" s="1053" t="str">
        <f>Tables!F89</f>
        <v>70-120</v>
      </c>
      <c r="G61" s="1053">
        <f>Tables!G89</f>
        <v>0</v>
      </c>
      <c r="H61" s="1053" t="str">
        <f>Tables!H89</f>
        <v>none</v>
      </c>
      <c r="I61" s="1053">
        <f>Tables!I89</f>
        <v>100</v>
      </c>
      <c r="J61" s="1053" t="str">
        <f>Tables!J89</f>
        <v>cm</v>
      </c>
      <c r="K61" s="1053">
        <f>Tables!K89</f>
        <v>1</v>
      </c>
      <c r="L61" s="1053" t="str">
        <f>Tables!L89</f>
        <v>Low</v>
      </c>
      <c r="M61" s="1053" t="str">
        <f>Tables!M89</f>
        <v>Internal</v>
      </c>
      <c r="N61" s="1053">
        <f>Tables!N89</f>
        <v>0</v>
      </c>
      <c r="O61" s="1053">
        <f>Tables!O89</f>
        <v>0</v>
      </c>
      <c r="P61" s="1053" t="str">
        <f>Tables!P89</f>
        <v>Large</v>
      </c>
      <c r="Q61" s="1053">
        <f>Tables!Q89</f>
        <v>0</v>
      </c>
      <c r="R61" s="1053">
        <f>Tables!R89</f>
        <v>0</v>
      </c>
      <c r="S61" s="1053">
        <f>Tables!S89</f>
        <v>1</v>
      </c>
      <c r="T61" s="1053">
        <f>Tables!T89</f>
        <v>0</v>
      </c>
      <c r="U61" s="1053">
        <f>Tables!U89</f>
        <v>0</v>
      </c>
      <c r="V61" s="1053">
        <f>Tables!V89</f>
        <v>0</v>
      </c>
      <c r="W61" s="1053">
        <f>Tables!W89</f>
        <v>0</v>
      </c>
      <c r="X61" s="1053">
        <f>Tables!X89</f>
        <v>0</v>
      </c>
      <c r="Y61" s="1053">
        <f>Tables!Y89</f>
        <v>0</v>
      </c>
      <c r="Z61" s="1053" t="str">
        <f>Tables!Z89</f>
        <v/>
      </c>
      <c r="AA61" s="1053" t="str">
        <f>Tables!AA89</f>
        <v/>
      </c>
      <c r="AB61" s="1053" t="str">
        <f>Tables!AB89</f>
        <v/>
      </c>
      <c r="AC61" s="1053" t="str">
        <f>Tables!AC89</f>
        <v/>
      </c>
    </row>
    <row r="62" spans="1:29">
      <c r="B62" s="1053">
        <f>Tables!B90</f>
        <v>80</v>
      </c>
      <c r="C62" s="1053">
        <f>Tables!C90</f>
        <v>200</v>
      </c>
      <c r="D62" s="1053">
        <f>Tables!D90</f>
        <v>0.4</v>
      </c>
      <c r="E62" s="1053">
        <f>Tables!E90</f>
        <v>80</v>
      </c>
      <c r="F62" s="1053" t="str">
        <f>Tables!F90</f>
        <v>70-120</v>
      </c>
      <c r="G62" s="1053">
        <f>Tables!G90</f>
        <v>0</v>
      </c>
      <c r="H62" s="1053" t="str">
        <f>Tables!H90</f>
        <v>none</v>
      </c>
      <c r="I62" s="1053">
        <f>Tables!I90</f>
        <v>100</v>
      </c>
      <c r="J62" s="1053" t="str">
        <f>Tables!J90</f>
        <v>cm</v>
      </c>
      <c r="K62" s="1053">
        <f>Tables!K90</f>
        <v>1</v>
      </c>
      <c r="L62" s="1053" t="str">
        <f>Tables!L90</f>
        <v>Low</v>
      </c>
      <c r="M62" s="1053" t="str">
        <f>Tables!M90</f>
        <v>Internal</v>
      </c>
      <c r="N62" s="1053">
        <f>Tables!N90</f>
        <v>0</v>
      </c>
      <c r="O62" s="1053">
        <f>Tables!O90</f>
        <v>0</v>
      </c>
      <c r="P62" s="1053" t="str">
        <f>Tables!P90</f>
        <v>Large</v>
      </c>
      <c r="Q62" s="1053">
        <f>Tables!Q90</f>
        <v>0</v>
      </c>
      <c r="R62" s="1053">
        <f>Tables!R90</f>
        <v>0</v>
      </c>
      <c r="S62" s="1053">
        <f>Tables!S90</f>
        <v>1</v>
      </c>
      <c r="T62" s="1053">
        <f>Tables!T90</f>
        <v>0</v>
      </c>
      <c r="U62" s="1053">
        <f>Tables!U90</f>
        <v>0</v>
      </c>
      <c r="V62" s="1053">
        <f>Tables!V90</f>
        <v>0</v>
      </c>
      <c r="W62" s="1053">
        <f>Tables!W90</f>
        <v>0</v>
      </c>
      <c r="X62" s="1053">
        <f>Tables!X90</f>
        <v>0</v>
      </c>
      <c r="Y62" s="1053">
        <f>Tables!Y90</f>
        <v>0</v>
      </c>
      <c r="Z62" s="1053" t="str">
        <f>Tables!Z90</f>
        <v/>
      </c>
      <c r="AA62" s="1053" t="str">
        <f>Tables!AA90</f>
        <v/>
      </c>
      <c r="AB62" s="1053" t="str">
        <f>Tables!AB90</f>
        <v/>
      </c>
      <c r="AC62" s="1053" t="str">
        <f>Tables!AC90</f>
        <v/>
      </c>
    </row>
    <row r="63" spans="1:29">
      <c r="A63" t="s">
        <v>209</v>
      </c>
      <c r="B63" s="1053" t="e">
        <f>Gen_form!#REF!</f>
        <v>#REF!</v>
      </c>
      <c r="C63" s="1053" t="e">
        <f>Gen_form!#REF!</f>
        <v>#REF!</v>
      </c>
    </row>
    <row r="64" spans="1:29">
      <c r="B64" s="1053" t="e">
        <f>Gen_form!#REF!</f>
        <v>#REF!</v>
      </c>
      <c r="C64" s="1053" t="e">
        <f>Gen_form!#REF!</f>
        <v>#REF!</v>
      </c>
    </row>
    <row r="65" spans="2:3">
      <c r="B65" s="1053" t="e">
        <f>Gen_form!#REF!</f>
        <v>#REF!</v>
      </c>
      <c r="C65" s="1053" t="e">
        <f>Gen_form!#REF!</f>
        <v>#REF!</v>
      </c>
    </row>
    <row r="66" spans="2:3">
      <c r="B66" s="1053" t="e">
        <f>Gen_form!#REF!</f>
        <v>#REF!</v>
      </c>
      <c r="C66" s="1053" t="e">
        <f>Gen_form!#REF!</f>
        <v>#REF!</v>
      </c>
    </row>
    <row r="67" spans="2:3">
      <c r="B67" s="1053" t="e">
        <f>Gen_form!#REF!</f>
        <v>#REF!</v>
      </c>
      <c r="C67" s="1053" t="e">
        <f>Gen_form!#REF!</f>
        <v>#REF!</v>
      </c>
    </row>
    <row r="68" spans="2:3">
      <c r="B68" s="1053" t="e">
        <f>Gen_form!#REF!</f>
        <v>#REF!</v>
      </c>
      <c r="C68" s="1053" t="e">
        <f>Gen_form!#REF!</f>
        <v>#REF!</v>
      </c>
    </row>
    <row r="69" spans="2:3">
      <c r="B69" s="1053" t="e">
        <f>Gen_form!#REF!</f>
        <v>#REF!</v>
      </c>
      <c r="C69" s="1053" t="e">
        <f>Gen_form!#REF!</f>
        <v>#REF!</v>
      </c>
    </row>
    <row r="70" spans="2:3">
      <c r="B70" s="1053" t="e">
        <f>Gen_form!#REF!</f>
        <v>#REF!</v>
      </c>
      <c r="C70" s="1053" t="e">
        <f>Gen_form!#REF!</f>
        <v>#REF!</v>
      </c>
    </row>
    <row r="71" spans="2:3">
      <c r="B71" s="1053" t="e">
        <f>Gen_form!#REF!</f>
        <v>#REF!</v>
      </c>
      <c r="C71" s="1053" t="e">
        <f>Gen_form!#REF!</f>
        <v>#REF!</v>
      </c>
    </row>
    <row r="72" spans="2:3">
      <c r="B72" s="1053" t="e">
        <f>Gen_form!#REF!</f>
        <v>#REF!</v>
      </c>
      <c r="C72" s="1053" t="e">
        <f>Gen_form!#REF!</f>
        <v>#REF!</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47</vt:i4>
      </vt:variant>
    </vt:vector>
  </HeadingPairs>
  <TitlesOfParts>
    <vt:vector size="51" baseType="lpstr">
      <vt:lpstr>Gen_form</vt:lpstr>
      <vt:lpstr>Tables</vt:lpstr>
      <vt:lpstr>Sheet1</vt:lpstr>
      <vt:lpstr>DataPage</vt:lpstr>
      <vt:lpstr>ALUM</vt:lpstr>
      <vt:lpstr>ALUM_0</vt:lpstr>
      <vt:lpstr>ALUM_1</vt:lpstr>
      <vt:lpstr>ALUM_2</vt:lpstr>
      <vt:lpstr>ALUM_3</vt:lpstr>
      <vt:lpstr>ALUM_4</vt:lpstr>
      <vt:lpstr>ALUM_5</vt:lpstr>
      <vt:lpstr>ALUMHIGH</vt:lpstr>
      <vt:lpstr>ALUMLOW</vt:lpstr>
      <vt:lpstr>avgkvp</vt:lpstr>
      <vt:lpstr>COMPG1</vt:lpstr>
      <vt:lpstr>COMPG2</vt:lpstr>
      <vt:lpstr>CTPG1</vt:lpstr>
      <vt:lpstr>CTPG2</vt:lpstr>
      <vt:lpstr>DHALF</vt:lpstr>
      <vt:lpstr>EXP_0</vt:lpstr>
      <vt:lpstr>EXP_1</vt:lpstr>
      <vt:lpstr>EXP_2</vt:lpstr>
      <vt:lpstr>EXP_3</vt:lpstr>
      <vt:lpstr>EXP_4</vt:lpstr>
      <vt:lpstr>EXP_5</vt:lpstr>
      <vt:lpstr>EXP_BLD</vt:lpstr>
      <vt:lpstr>EXPHIGH</vt:lpstr>
      <vt:lpstr>EXPLOW</vt:lpstr>
      <vt:lpstr>FIRST</vt:lpstr>
      <vt:lpstr>FS_KV</vt:lpstr>
      <vt:lpstr>HVL</vt:lpstr>
      <vt:lpstr>HVL_IMGQUAL</vt:lpstr>
      <vt:lpstr>LFMAS</vt:lpstr>
      <vt:lpstr>LFSDD</vt:lpstr>
      <vt:lpstr>LIN</vt:lpstr>
      <vt:lpstr>LN_EXP</vt:lpstr>
      <vt:lpstr>MAXAVG</vt:lpstr>
      <vt:lpstr>OUTPUT</vt:lpstr>
      <vt:lpstr>Gen_form!Print_Area</vt:lpstr>
      <vt:lpstr>RadSafe</vt:lpstr>
      <vt:lpstr>REPRO</vt:lpstr>
      <vt:lpstr>SFMAS</vt:lpstr>
      <vt:lpstr>SFSDD</vt:lpstr>
      <vt:lpstr>startend</vt:lpstr>
      <vt:lpstr>TBCM_IN</vt:lpstr>
      <vt:lpstr>TIM</vt:lpstr>
      <vt:lpstr>TO10Group</vt:lpstr>
      <vt:lpstr>TO10kVAdj</vt:lpstr>
      <vt:lpstr>TO10Values</vt:lpstr>
      <vt:lpstr>TO16Group</vt:lpstr>
      <vt:lpstr>TO16Values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2020-09-30T15:11:23Z</cp:lastPrinted>
  <dcterms:created xsi:type="dcterms:W3CDTF">1999-01-06T22:11:36Z</dcterms:created>
  <dcterms:modified xsi:type="dcterms:W3CDTF">2021-10-28T16:16:05Z</dcterms:modified>
</cp:coreProperties>
</file>