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1D2C0D7E-D70A-4933-8A6F-70459A41F59F}" xr6:coauthVersionLast="36" xr6:coauthVersionMax="36" xr10:uidLastSave="{00000000-0000-0000-0000-000000000000}"/>
  <bookViews>
    <workbookView xWindow="0" yWindow="0" windowWidth="23040" windowHeight="9648" xr2:uid="{00000000-000D-0000-FFFF-FFFF0000000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68" i="1"/>
  <c r="P673" i="1"/>
  <c r="Q484" i="1" l="1"/>
  <c r="S484" i="1" s="1"/>
  <c r="T484" i="1" s="1"/>
  <c r="Q483" i="1"/>
  <c r="S483" i="1" s="1"/>
  <c r="T483" i="1" s="1"/>
  <c r="E482" i="1"/>
  <c r="E483" i="1"/>
  <c r="Q482" i="1"/>
  <c r="AD88" i="1" s="1"/>
  <c r="AC88" i="1" s="1"/>
  <c r="AD89" i="1" l="1"/>
  <c r="AC89" i="1" s="1"/>
  <c r="S482" i="1"/>
  <c r="D482" i="1"/>
  <c r="AD90" i="1"/>
  <c r="AC90" i="1" s="1"/>
  <c r="D484" i="1"/>
  <c r="D483" i="1"/>
  <c r="G483" i="1"/>
  <c r="J474" i="1"/>
  <c r="K474" i="1"/>
  <c r="G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6"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A219" i="1" s="1"/>
  <c r="AD188" i="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M420" i="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T1" i="1"/>
  <c r="AD543" i="1" s="1"/>
  <c r="AC543" i="1" s="1"/>
  <c r="T2" i="1"/>
  <c r="AD544" i="1" s="1"/>
  <c r="AC544" i="1" s="1"/>
  <c r="T3" i="1"/>
  <c r="AD545" i="1" s="1"/>
  <c r="AC545" i="1" s="1"/>
  <c r="T4" i="1"/>
  <c r="AD546" i="1" s="1"/>
  <c r="AC546" i="1" s="1"/>
  <c r="T5" i="1"/>
  <c r="AD547" i="1" s="1"/>
  <c r="AC547" i="1" s="1"/>
  <c r="T6" i="1"/>
  <c r="AD548" i="1" s="1"/>
  <c r="AC548"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30"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K154" i="1"/>
  <c r="D1539" i="1"/>
  <c r="D1555" i="1"/>
  <c r="T834" i="1"/>
  <c r="H829" i="1"/>
  <c r="K111" i="1" s="1"/>
  <c r="G1006" i="1"/>
  <c r="T835" i="1"/>
  <c r="W829" i="1"/>
  <c r="Q1066" i="1"/>
  <c r="E1063" i="1" s="1"/>
  <c r="R1130" i="1"/>
  <c r="E1129" i="1" s="1"/>
  <c r="AD183" i="1"/>
  <c r="AC183" i="1" s="1"/>
  <c r="W830" i="1"/>
  <c r="V831" i="1"/>
  <c r="U829" i="1"/>
  <c r="W831" i="1"/>
  <c r="W828" i="1"/>
  <c r="U830" i="1"/>
  <c r="V829" i="1"/>
  <c r="U831" i="1"/>
  <c r="U828" i="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G820" i="1"/>
  <c r="V1146" i="1"/>
  <c r="H482" i="1"/>
  <c r="H484" i="1"/>
  <c r="H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2"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C708" i="1" s="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I75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S716" i="1" s="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S872" i="1"/>
  <c r="D872" i="1" s="1"/>
  <c r="E54" i="2"/>
  <c r="S873" i="1"/>
  <c r="D873" i="1" s="1"/>
  <c r="E55" i="2"/>
  <c r="C263" i="1"/>
  <c r="C1055" i="1"/>
  <c r="C834" i="1"/>
  <c r="C555" i="1"/>
  <c r="C13" i="2" s="1"/>
  <c r="J66" i="1"/>
  <c r="B2" i="2"/>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G822" i="1"/>
  <c r="G823"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8" i="1" s="1"/>
  <c r="P1414" i="1"/>
  <c r="H707" i="1"/>
  <c r="G711" i="1"/>
  <c r="M716"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12" i="1"/>
  <c r="R831" i="1" s="1"/>
  <c r="R812" i="1"/>
  <c r="D817"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7" i="1"/>
  <c r="AC527" i="1" s="1"/>
  <c r="R1129" i="1"/>
  <c r="Q1065" i="1"/>
  <c r="R712" i="1"/>
  <c r="H700" i="1" s="1"/>
  <c r="R809" i="1"/>
  <c r="D814" i="1" s="1"/>
  <c r="R813" i="1"/>
  <c r="D818"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42" i="1"/>
  <c r="R716" i="1"/>
  <c r="S874" i="1"/>
  <c r="D874" i="1" s="1"/>
  <c r="R874" i="1"/>
  <c r="S809" i="1"/>
  <c r="AD525" i="1"/>
  <c r="AC525" i="1" s="1"/>
  <c r="J1162" i="1"/>
  <c r="R1127" i="1"/>
  <c r="J1096" i="1"/>
  <c r="B1003" i="1"/>
  <c r="T934" i="1"/>
  <c r="F935" i="1" s="1"/>
  <c r="E748" i="1"/>
  <c r="F938" i="1"/>
  <c r="N952" i="1"/>
  <c r="Q887" i="1"/>
  <c r="P887" i="1" s="1"/>
  <c r="S887" i="1"/>
  <c r="D887" i="1" s="1"/>
  <c r="I887" i="1" s="1"/>
  <c r="O815" i="1"/>
  <c r="R872" i="1"/>
  <c r="S888" i="1"/>
  <c r="D888" i="1" s="1"/>
  <c r="R888" i="1"/>
  <c r="R810" i="1"/>
  <c r="S810" i="1"/>
  <c r="R814" i="1"/>
  <c r="S814" i="1"/>
  <c r="N815" i="1"/>
  <c r="S886" i="1"/>
  <c r="D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R871" i="1"/>
  <c r="S871" i="1"/>
  <c r="D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K1012" i="1"/>
  <c r="S870" i="1"/>
  <c r="D870" i="1" s="1"/>
  <c r="R740" i="1"/>
  <c r="R695" i="1"/>
  <c r="R870" i="1"/>
  <c r="F738" i="1"/>
  <c r="C1593" i="1" a="1"/>
  <c r="C1659" i="1" a="1"/>
  <c r="R741" i="1"/>
  <c r="C1592" i="1"/>
  <c r="C1658" i="1"/>
  <c r="C1461" i="1" a="1"/>
  <c r="C1460" i="1"/>
  <c r="C1527" i="1" a="1"/>
  <c r="C1526" i="1"/>
  <c r="R759" i="1"/>
  <c r="C1163" i="1"/>
  <c r="R811" i="1"/>
  <c r="S811"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2"/>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152" i="1"/>
  <c r="AC152" i="1" s="1"/>
  <c r="J651" i="1"/>
  <c r="J97" i="1" s="1"/>
  <c r="S640" i="1"/>
  <c r="H638" i="1" s="1"/>
  <c r="J588" i="1"/>
  <c r="J88" i="1" s="1"/>
  <c r="U601" i="1"/>
  <c r="AD139" i="1" s="1"/>
  <c r="AC139" i="1" s="1"/>
  <c r="U423" i="1"/>
  <c r="T554" i="1" s="1"/>
  <c r="P639" i="1"/>
  <c r="W1414" i="1"/>
  <c r="D1407" i="1"/>
  <c r="B28" i="2" s="1"/>
  <c r="D1408" i="1"/>
  <c r="B29" i="2" s="1"/>
  <c r="AD211" i="1"/>
  <c r="AC211" i="1" s="1"/>
  <c r="S1414" i="1" a="1"/>
  <c r="T740" i="1"/>
  <c r="S86" i="1"/>
  <c r="R808" i="1"/>
  <c r="D813" i="1" s="1"/>
  <c r="W939" i="1"/>
  <c r="E939" i="1" s="1"/>
  <c r="E749" i="1"/>
  <c r="K112" i="1"/>
  <c r="W938" i="1"/>
  <c r="J756" i="1"/>
  <c r="J757" i="1"/>
  <c r="H1089" i="1"/>
  <c r="R1069" i="1"/>
  <c r="F1069" i="1" s="1"/>
  <c r="P1089" i="1"/>
  <c r="D1088" i="1" s="1"/>
  <c r="AD531" i="1"/>
  <c r="AC531" i="1" s="1"/>
  <c r="B1063" i="1"/>
  <c r="C774" i="1"/>
  <c r="J330" i="1"/>
  <c r="J1254" i="1"/>
  <c r="J1320" i="1"/>
  <c r="J1386" i="1"/>
  <c r="J594" i="1"/>
  <c r="J1584" i="1"/>
  <c r="J1056" i="1"/>
  <c r="J264" i="1"/>
  <c r="J1188" i="1"/>
  <c r="J1650" i="1"/>
  <c r="J198" i="1"/>
  <c r="J132" i="1"/>
  <c r="J1716" i="1"/>
  <c r="J1122" i="1"/>
  <c r="J462" i="1"/>
  <c r="J396" i="1"/>
  <c r="C637" i="1"/>
  <c r="B18" i="2" s="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N716" i="1" l="1"/>
  <c r="B1666" i="1"/>
  <c r="T938" i="1"/>
  <c r="I889" i="1"/>
  <c r="I886" i="1"/>
  <c r="I757" i="1"/>
  <c r="E709" i="1"/>
  <c r="K826" i="1"/>
  <c r="E711" i="1"/>
  <c r="B637" i="1"/>
  <c r="AD115" i="1"/>
  <c r="AC115" i="1" s="1"/>
  <c r="B1665" i="1"/>
  <c r="B1689" i="1"/>
  <c r="B1659" i="1"/>
  <c r="N887" i="1"/>
  <c r="G575" i="1"/>
  <c r="C885" i="1"/>
  <c r="I885" i="1" s="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R697" i="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P814" i="1"/>
  <c r="W837" i="1" s="1"/>
  <c r="E817" i="1"/>
  <c r="H701" i="1"/>
  <c r="R717" i="1"/>
  <c r="Q812" i="1"/>
  <c r="P885" i="1"/>
  <c r="H881" i="1" s="1"/>
  <c r="O885" i="1"/>
  <c r="R884" i="1" s="1"/>
  <c r="T640" i="1"/>
  <c r="W640" i="1" s="1"/>
  <c r="P811" i="1"/>
  <c r="W834" i="1" s="1"/>
  <c r="P812" i="1"/>
  <c r="U835" i="1" s="1"/>
  <c r="N812" i="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33" i="1"/>
  <c r="AC533"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K149" i="1"/>
  <c r="E1080" i="1"/>
  <c r="Q1081" i="1"/>
  <c r="E1081" i="1" s="1"/>
  <c r="R1081" i="1"/>
  <c r="F1081" i="1" s="1"/>
  <c r="AD539" i="1"/>
  <c r="AC539"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E814" i="1"/>
  <c r="R828" i="1"/>
  <c r="AD537" i="1"/>
  <c r="AC537" i="1" s="1"/>
  <c r="R1135" i="1"/>
  <c r="F1135" i="1" s="1"/>
  <c r="B1129" i="1"/>
  <c r="C874" i="1"/>
  <c r="I874" i="1" s="1"/>
  <c r="N874" i="1"/>
  <c r="Q874" i="1"/>
  <c r="P874" i="1" s="1"/>
  <c r="C872" i="1"/>
  <c r="I872" i="1" s="1"/>
  <c r="N872" i="1"/>
  <c r="Q872" i="1"/>
  <c r="P872" i="1" s="1"/>
  <c r="Q810" i="1"/>
  <c r="C873" i="1"/>
  <c r="I873" i="1" s="1"/>
  <c r="N873" i="1"/>
  <c r="Q873" i="1"/>
  <c r="P873" i="1" s="1"/>
  <c r="E818" i="1"/>
  <c r="R832" i="1"/>
  <c r="N813" i="1"/>
  <c r="E815" i="1"/>
  <c r="R829" i="1"/>
  <c r="D815" i="1"/>
  <c r="P810" i="1"/>
  <c r="N810" i="1"/>
  <c r="G638" i="1"/>
  <c r="Q813" i="1"/>
  <c r="E819" i="1"/>
  <c r="R833" i="1"/>
  <c r="C888" i="1"/>
  <c r="I888" i="1" s="1"/>
  <c r="Q888" i="1"/>
  <c r="N888" i="1"/>
  <c r="P813" i="1"/>
  <c r="N814" i="1"/>
  <c r="D819" i="1"/>
  <c r="Q814" i="1"/>
  <c r="O952" i="1"/>
  <c r="U576" i="1"/>
  <c r="I576" i="1" s="1"/>
  <c r="U1163" i="1"/>
  <c r="I1162" i="1" s="1"/>
  <c r="D1155" i="1"/>
  <c r="O1163" i="1"/>
  <c r="C1162" i="1" s="1"/>
  <c r="N1176" i="1"/>
  <c r="O1097" i="1"/>
  <c r="C1096" i="1" s="1"/>
  <c r="D1089" i="1"/>
  <c r="N1110" i="1"/>
  <c r="N871" i="1"/>
  <c r="C871" i="1"/>
  <c r="I871" i="1" s="1"/>
  <c r="Q871" i="1"/>
  <c r="P871" i="1" s="1"/>
  <c r="S701" i="1"/>
  <c r="S700" i="1"/>
  <c r="S699" i="1"/>
  <c r="S934" i="1"/>
  <c r="C702" i="1"/>
  <c r="Q870" i="1"/>
  <c r="C870" i="1"/>
  <c r="I870" i="1" s="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H821" i="1"/>
  <c r="H823" i="1"/>
  <c r="H822" i="1"/>
  <c r="H820" i="1"/>
  <c r="O951" i="1"/>
  <c r="D651" i="1"/>
  <c r="D97" i="1" s="1"/>
  <c r="K651" i="1"/>
  <c r="K97" i="1" s="1"/>
  <c r="F940" i="1" l="1"/>
  <c r="J871" i="1"/>
  <c r="K871" i="1" s="1"/>
  <c r="E901" i="1"/>
  <c r="G901" i="1" s="1"/>
  <c r="J113" i="1" s="1"/>
  <c r="D900" i="1"/>
  <c r="J874" i="1"/>
  <c r="K874" i="1" s="1"/>
  <c r="D901" i="1"/>
  <c r="J886" i="1"/>
  <c r="K886" i="1" s="1"/>
  <c r="J889" i="1"/>
  <c r="K889" i="1" s="1"/>
  <c r="W774" i="1"/>
  <c r="V721" i="1"/>
  <c r="F758" i="1"/>
  <c r="J155" i="1"/>
  <c r="K155" i="1" s="1"/>
  <c r="J156" i="1"/>
  <c r="V639" i="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E948" i="1"/>
  <c r="E949" i="1"/>
  <c r="S955" i="1"/>
  <c r="F948" i="1" s="1"/>
  <c r="U1101" i="1"/>
  <c r="T1176" i="1"/>
  <c r="V560" i="1"/>
  <c r="J560" i="1" s="1"/>
  <c r="W560" i="1"/>
  <c r="K560" i="1" s="1"/>
  <c r="E1407" i="1"/>
  <c r="G1407" i="1" s="1"/>
  <c r="U1167" i="1"/>
  <c r="S555" i="1"/>
  <c r="S1167" i="1"/>
  <c r="G1166" i="1" s="1"/>
  <c r="AD218" i="1"/>
  <c r="AC218" i="1" s="1"/>
  <c r="J716" i="1"/>
  <c r="Q1397" i="1"/>
  <c r="Q1398" i="1" s="1"/>
  <c r="U575" i="1"/>
  <c r="I575" i="1" s="1"/>
  <c r="J86" i="1" s="1"/>
  <c r="T575" i="1"/>
  <c r="I638" i="1"/>
  <c r="U1097" i="1"/>
  <c r="I1096" i="1" s="1"/>
  <c r="T1110" i="1"/>
  <c r="J1089" i="1"/>
  <c r="O935" i="1"/>
  <c r="Q936" i="1"/>
  <c r="U837" i="1"/>
  <c r="G576" i="1"/>
  <c r="V576" i="1"/>
  <c r="J576" i="1" s="1"/>
  <c r="R701" i="1"/>
  <c r="V895" i="1"/>
  <c r="V837" i="1"/>
  <c r="R700" i="1"/>
  <c r="V880" i="1"/>
  <c r="O886" i="1"/>
  <c r="V835" i="1"/>
  <c r="C701" i="1"/>
  <c r="R934" i="1"/>
  <c r="R935" i="1" s="1"/>
  <c r="R936" i="1" s="1"/>
  <c r="R937" i="1" s="1"/>
  <c r="R938" i="1" s="1"/>
  <c r="R939" i="1" s="1"/>
  <c r="R940" i="1" s="1"/>
  <c r="R941"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K150" i="1"/>
  <c r="P1417" i="1"/>
  <c r="D1409" i="1"/>
  <c r="AD213" i="1"/>
  <c r="AC213" i="1" s="1"/>
  <c r="F1096" i="1"/>
  <c r="S1101" i="1"/>
  <c r="G1100" i="1" s="1"/>
  <c r="T831" i="1"/>
  <c r="G817" i="1"/>
  <c r="H817" i="1" s="1"/>
  <c r="D940" i="1"/>
  <c r="N954" i="1"/>
  <c r="O954" i="1" s="1"/>
  <c r="H1164" i="1"/>
  <c r="G1165" i="1"/>
  <c r="K156" i="1"/>
  <c r="B420" i="1" a="1"/>
  <c r="C420" i="1" s="1"/>
  <c r="H1098" i="1"/>
  <c r="G1099" i="1"/>
  <c r="W1397" i="1"/>
  <c r="AH1397" i="1" s="1"/>
  <c r="D1394" i="1"/>
  <c r="B20" i="2" s="1"/>
  <c r="AD190" i="1"/>
  <c r="AC190" i="1" s="1"/>
  <c r="P1398" i="1"/>
  <c r="F1162" i="1"/>
  <c r="E707" i="1"/>
  <c r="V903" i="1"/>
  <c r="G814" i="1"/>
  <c r="H814" i="1" s="1"/>
  <c r="T828" i="1"/>
  <c r="T829" i="1"/>
  <c r="G815" i="1"/>
  <c r="H815" i="1" s="1"/>
  <c r="W836" i="1"/>
  <c r="V836" i="1"/>
  <c r="U836" i="1"/>
  <c r="G819" i="1"/>
  <c r="T833" i="1"/>
  <c r="W833" i="1"/>
  <c r="V833" i="1"/>
  <c r="U833" i="1"/>
  <c r="O888" i="1"/>
  <c r="P888" i="1"/>
  <c r="T832" i="1"/>
  <c r="G818" i="1"/>
  <c r="H818" i="1" s="1"/>
  <c r="O953" i="1"/>
  <c r="H576" i="1"/>
  <c r="W576" i="1"/>
  <c r="K576" i="1" s="1"/>
  <c r="I935" i="1"/>
  <c r="S935" i="1"/>
  <c r="S936" i="1" s="1"/>
  <c r="S937" i="1" s="1"/>
  <c r="S938" i="1" s="1"/>
  <c r="S939" i="1" s="1"/>
  <c r="S940" i="1" s="1"/>
  <c r="S941" i="1" s="1"/>
  <c r="F866" i="1"/>
  <c r="P870" i="1"/>
  <c r="H866" i="1" s="1"/>
  <c r="O870" i="1"/>
  <c r="T830" i="1"/>
  <c r="G816" i="1"/>
  <c r="H816" i="1" s="1"/>
  <c r="O1416" i="1"/>
  <c r="U1415" i="1"/>
  <c r="U560" i="1"/>
  <c r="I560" i="1" s="1"/>
  <c r="I554" i="1"/>
  <c r="K93" i="1"/>
  <c r="J93" i="1"/>
  <c r="T639" i="1"/>
  <c r="G637" i="1"/>
  <c r="U639" i="1"/>
  <c r="J637" i="1" s="1"/>
  <c r="O640" i="1"/>
  <c r="D638" i="1" s="1"/>
  <c r="C19" i="2" s="1"/>
  <c r="C638" i="1"/>
  <c r="B19" i="2" s="1"/>
  <c r="K94" i="1"/>
  <c r="J94" i="1"/>
  <c r="H554" i="1"/>
  <c r="T560" i="1"/>
  <c r="H560" i="1" s="1"/>
  <c r="K82" i="1"/>
  <c r="J82" i="1"/>
  <c r="I760" i="1"/>
  <c r="V774" i="1"/>
  <c r="E757" i="1"/>
  <c r="E756" i="1"/>
  <c r="K113" i="1" l="1"/>
  <c r="V878" i="1"/>
  <c r="P952" i="1"/>
  <c r="P956" i="1" s="1"/>
  <c r="Q956" i="1" s="1"/>
  <c r="V754" i="1"/>
  <c r="F760" i="1"/>
  <c r="H819" i="1"/>
  <c r="R1397" i="1"/>
  <c r="E1394" i="1" s="1"/>
  <c r="C20" i="2" s="1"/>
  <c r="F1409" i="1"/>
  <c r="B30" i="2"/>
  <c r="J85" i="1"/>
  <c r="AD219" i="1"/>
  <c r="AC219" i="1" s="1"/>
  <c r="E1408" i="1"/>
  <c r="C29" i="2" s="1"/>
  <c r="Y1415" i="1"/>
  <c r="AI1406" i="1" s="1"/>
  <c r="Q1416" i="1"/>
  <c r="R1416" i="1" s="1"/>
  <c r="Y1416" i="1" s="1"/>
  <c r="AI1407" i="1" s="1"/>
  <c r="I933" i="1"/>
  <c r="H1407" i="1"/>
  <c r="C28" i="2"/>
  <c r="G1408" i="1"/>
  <c r="K85" i="1"/>
  <c r="K86" i="1"/>
  <c r="M974" i="1"/>
  <c r="N974" i="1" s="1"/>
  <c r="M973" i="1"/>
  <c r="N973" i="1" s="1"/>
  <c r="M972" i="1"/>
  <c r="N972" i="1" s="1"/>
  <c r="M971" i="1"/>
  <c r="N971" i="1" s="1"/>
  <c r="P951" i="1"/>
  <c r="P955" i="1" s="1"/>
  <c r="Q955" i="1" s="1"/>
  <c r="S951" i="1" s="1"/>
  <c r="Z972" i="1" s="1"/>
  <c r="C97" i="2" s="1"/>
  <c r="H575" i="1"/>
  <c r="W575" i="1"/>
  <c r="K575" i="1" s="1"/>
  <c r="Q937" i="1"/>
  <c r="Q938" i="1" s="1"/>
  <c r="O936" i="1"/>
  <c r="I934" i="1"/>
  <c r="U1401" i="1"/>
  <c r="O1402" i="1"/>
  <c r="B420" i="1"/>
  <c r="E716" i="1"/>
  <c r="V704" i="1"/>
  <c r="E1163" i="1"/>
  <c r="I1166" i="1"/>
  <c r="J157" i="1" s="1"/>
  <c r="E1097" i="1"/>
  <c r="I1100" i="1"/>
  <c r="W1417" i="1"/>
  <c r="AH1408" i="1" s="1"/>
  <c r="AH1407" i="1"/>
  <c r="P1399" i="1"/>
  <c r="W1398" i="1"/>
  <c r="S1397" i="1" a="1"/>
  <c r="D1395" i="1"/>
  <c r="B21" i="2" s="1"/>
  <c r="AD191" i="1"/>
  <c r="AC191" i="1" s="1"/>
  <c r="AD214" i="1"/>
  <c r="AC214" i="1" s="1"/>
  <c r="P1418" i="1"/>
  <c r="D1410" i="1"/>
  <c r="E758" i="1"/>
  <c r="U754" i="1" s="1"/>
  <c r="Y1397" i="1"/>
  <c r="AI1397" i="1" s="1"/>
  <c r="Q1399" i="1"/>
  <c r="R1398" i="1"/>
  <c r="O871" i="1"/>
  <c r="O872" i="1" s="1"/>
  <c r="O873" i="1" s="1"/>
  <c r="O874" i="1" s="1"/>
  <c r="R869" i="1"/>
  <c r="U1416" i="1"/>
  <c r="O1417" i="1"/>
  <c r="H1408" i="1"/>
  <c r="J95" i="1"/>
  <c r="K95" i="1"/>
  <c r="J84" i="1"/>
  <c r="K84" i="1"/>
  <c r="W639" i="1"/>
  <c r="I637" i="1"/>
  <c r="E760" i="1"/>
  <c r="AD199" i="1" l="1"/>
  <c r="AC199" i="1" s="1"/>
  <c r="Q939" i="1"/>
  <c r="J151" i="1"/>
  <c r="K151" i="1" s="1"/>
  <c r="F1410" i="1"/>
  <c r="B31" i="2"/>
  <c r="Q1417" i="1"/>
  <c r="Q1418" i="1" s="1"/>
  <c r="Q1419" i="1" s="1"/>
  <c r="E1409" i="1"/>
  <c r="H1409" i="1" s="1"/>
  <c r="AD220" i="1"/>
  <c r="AC220" i="1" s="1"/>
  <c r="O937" i="1"/>
  <c r="O938" i="1" s="1"/>
  <c r="M982" i="1"/>
  <c r="N982" i="1" s="1"/>
  <c r="Z965" i="1"/>
  <c r="M983" i="1"/>
  <c r="N983" i="1" s="1"/>
  <c r="S1401" i="1"/>
  <c r="S1399" i="1"/>
  <c r="S1403" i="1"/>
  <c r="S1402" i="1"/>
  <c r="S1400" i="1"/>
  <c r="S1398" i="1"/>
  <c r="F1395" i="1" s="1"/>
  <c r="S1397" i="1"/>
  <c r="F1394" i="1" s="1"/>
  <c r="H1394" i="1" s="1"/>
  <c r="S1404" i="1"/>
  <c r="U1402" i="1"/>
  <c r="O1403" i="1"/>
  <c r="K157" i="1"/>
  <c r="W1399" i="1"/>
  <c r="AH1399" i="1" s="1"/>
  <c r="AH1398" i="1"/>
  <c r="D1411" i="1"/>
  <c r="W1418" i="1"/>
  <c r="AH1409" i="1" s="1"/>
  <c r="AD215" i="1"/>
  <c r="AC215" i="1" s="1"/>
  <c r="P1419" i="1"/>
  <c r="AD192" i="1"/>
  <c r="AC192" i="1" s="1"/>
  <c r="P1400" i="1"/>
  <c r="D1396" i="1"/>
  <c r="B22" i="2" s="1"/>
  <c r="K109" i="1"/>
  <c r="J109" i="1"/>
  <c r="Y1398" i="1"/>
  <c r="AI1398" i="1" s="1"/>
  <c r="E1395" i="1"/>
  <c r="C21" i="2" s="1"/>
  <c r="AD200" i="1"/>
  <c r="AC200" i="1" s="1"/>
  <c r="Q1400" i="1"/>
  <c r="R1399" i="1"/>
  <c r="O1418" i="1"/>
  <c r="O1419" i="1" s="1"/>
  <c r="U1417" i="1"/>
  <c r="S959" i="1"/>
  <c r="I939" i="1" s="1"/>
  <c r="S958" i="1"/>
  <c r="I938" i="1"/>
  <c r="AD481" i="1"/>
  <c r="AC481" i="1" s="1"/>
  <c r="M957" i="1"/>
  <c r="N957" i="1" s="1"/>
  <c r="K110" i="1"/>
  <c r="J110" i="1"/>
  <c r="O939" i="1" l="1"/>
  <c r="Q940" i="1"/>
  <c r="M981" i="1"/>
  <c r="N981" i="1" s="1"/>
  <c r="R1417" i="1"/>
  <c r="AD221" i="1" s="1"/>
  <c r="AC221" i="1" s="1"/>
  <c r="F1411" i="1"/>
  <c r="B32" i="2"/>
  <c r="G1409" i="1"/>
  <c r="C30" i="2"/>
  <c r="G1395" i="1"/>
  <c r="U1418" i="1"/>
  <c r="M979" i="1"/>
  <c r="N979" i="1" s="1"/>
  <c r="M978" i="1"/>
  <c r="N978" i="1" s="1"/>
  <c r="H1395" i="1"/>
  <c r="M980" i="1"/>
  <c r="N980" i="1" s="1"/>
  <c r="F1396" i="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O940" i="1" l="1"/>
  <c r="Q941" i="1"/>
  <c r="Y1417" i="1"/>
  <c r="AI1408" i="1" s="1"/>
  <c r="E1410" i="1"/>
  <c r="C31" i="2" s="1"/>
  <c r="R1418" i="1"/>
  <c r="Y1418" i="1" s="1"/>
  <c r="AI1409" i="1" s="1"/>
  <c r="F1397" i="1"/>
  <c r="B23" i="2"/>
  <c r="F1412" i="1"/>
  <c r="B33" i="2"/>
  <c r="G1396" i="1"/>
  <c r="H1396" i="1"/>
  <c r="U1404" i="1"/>
  <c r="P1402" i="1"/>
  <c r="D1398" i="1"/>
  <c r="W1401" i="1"/>
  <c r="AH1401" i="1" s="1"/>
  <c r="AD194" i="1"/>
  <c r="AC194" i="1" s="1"/>
  <c r="R1401" i="1"/>
  <c r="Q1402" i="1"/>
  <c r="E1397" i="1"/>
  <c r="AD202" i="1"/>
  <c r="AC202" i="1" s="1"/>
  <c r="Y1400" i="1"/>
  <c r="AI1400" i="1" s="1"/>
  <c r="G1410" i="1" l="1"/>
  <c r="O941" i="1"/>
  <c r="H1410" i="1"/>
  <c r="R1419" i="1"/>
  <c r="AD223" i="1" s="1"/>
  <c r="AC223" i="1" s="1"/>
  <c r="E1411" i="1"/>
  <c r="C32" i="2" s="1"/>
  <c r="AD222" i="1"/>
  <c r="AC222" i="1" s="1"/>
  <c r="F1398" i="1"/>
  <c r="B24" i="2"/>
  <c r="G1397" i="1"/>
  <c r="C23" i="2"/>
  <c r="H1397" i="1"/>
  <c r="D1399" i="1"/>
  <c r="W1402" i="1"/>
  <c r="AH1402" i="1" s="1"/>
  <c r="AD195" i="1"/>
  <c r="AC195" i="1" s="1"/>
  <c r="P1403" i="1"/>
  <c r="Q1403" i="1"/>
  <c r="R1402" i="1"/>
  <c r="Y1401" i="1"/>
  <c r="AI1401" i="1" s="1"/>
  <c r="AD203" i="1"/>
  <c r="AC203" i="1" s="1"/>
  <c r="E1398" i="1"/>
  <c r="Y1419" i="1" l="1"/>
  <c r="E1412" i="1"/>
  <c r="G1411" i="1"/>
  <c r="H1411" i="1"/>
  <c r="H1412" i="1" s="1"/>
  <c r="V1421" i="1" s="1"/>
  <c r="J1412" i="1" s="1"/>
  <c r="F1399" i="1"/>
  <c r="B25" i="2"/>
  <c r="G1412" i="1"/>
  <c r="C33" i="2"/>
  <c r="G1398" i="1"/>
  <c r="C24" i="2"/>
  <c r="AI1410" i="1"/>
  <c r="G459" i="1"/>
  <c r="H1398" i="1"/>
  <c r="AD196" i="1"/>
  <c r="AC196" i="1" s="1"/>
  <c r="D1400" i="1"/>
  <c r="P1404" i="1"/>
  <c r="S90" i="1" s="1"/>
  <c r="W1403" i="1"/>
  <c r="AH1403" i="1" s="1"/>
  <c r="AD204" i="1"/>
  <c r="AC204" i="1" s="1"/>
  <c r="Y1402" i="1"/>
  <c r="AI1402" i="1" s="1"/>
  <c r="E1399" i="1"/>
  <c r="Q1404" i="1"/>
  <c r="R1403" i="1"/>
  <c r="I1423" i="1" a="1"/>
  <c r="I1429" i="1" s="1"/>
  <c r="Q1421" i="1" l="1"/>
  <c r="AD228" i="1" s="1"/>
  <c r="AC228" i="1" s="1"/>
  <c r="S1421" i="1"/>
  <c r="AD230" i="1" s="1"/>
  <c r="AC230" i="1" s="1"/>
  <c r="R1421" i="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U116" i="1" l="1"/>
  <c r="T116" i="1"/>
  <c r="F1401" i="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W116" i="1"/>
  <c r="J408" i="1"/>
  <c r="AD493" i="1"/>
  <c r="AC493" i="1" s="1"/>
  <c r="H1401" i="1" l="1"/>
  <c r="G1401" i="1"/>
  <c r="Q1406" i="1" s="1"/>
  <c r="AD225" i="1" s="1"/>
  <c r="AC225" i="1" s="1"/>
  <c r="C27" i="2"/>
  <c r="V1406" i="1"/>
  <c r="J1401" i="1" s="1"/>
  <c r="I410" i="1"/>
  <c r="U92" i="1"/>
  <c r="I414" i="1"/>
  <c r="U96" i="1"/>
  <c r="T122" i="1" s="1"/>
  <c r="I411" i="1"/>
  <c r="U93" i="1"/>
  <c r="T119" i="1" s="1"/>
  <c r="I409" i="1"/>
  <c r="U91" i="1"/>
  <c r="I406" i="1"/>
  <c r="U88" i="1"/>
  <c r="I412" i="1"/>
  <c r="U94" i="1"/>
  <c r="T120" i="1" s="1"/>
  <c r="I413" i="1"/>
  <c r="U95" i="1"/>
  <c r="T121" i="1" s="1"/>
  <c r="I405" i="1"/>
  <c r="U87" i="1"/>
  <c r="I407" i="1"/>
  <c r="U89" i="1"/>
  <c r="T115" i="1" s="1"/>
  <c r="D459" i="1"/>
  <c r="AI1404" i="1"/>
  <c r="J459" i="1" s="1"/>
  <c r="D1423" i="1" a="1"/>
  <c r="D1430" i="1" s="1"/>
  <c r="U113" i="1" l="1"/>
  <c r="T113" i="1"/>
  <c r="U117" i="1"/>
  <c r="T117" i="1"/>
  <c r="U114" i="1"/>
  <c r="T114" i="1"/>
  <c r="U118" i="1"/>
  <c r="T118" i="1"/>
  <c r="S1406" i="1"/>
  <c r="AD227" i="1" s="1"/>
  <c r="AC227" i="1" s="1"/>
  <c r="R1406" i="1"/>
  <c r="AD226" i="1" s="1"/>
  <c r="AC226" i="1" s="1"/>
  <c r="K139" i="1"/>
  <c r="J139" i="1"/>
  <c r="AD490" i="1"/>
  <c r="AC490" i="1" s="1"/>
  <c r="J405" i="1"/>
  <c r="W113" i="1"/>
  <c r="V87" i="1"/>
  <c r="K405" i="1" s="1"/>
  <c r="V91" i="1"/>
  <c r="K409" i="1" s="1"/>
  <c r="AD494" i="1"/>
  <c r="AC494" i="1" s="1"/>
  <c r="W117" i="1"/>
  <c r="J409" i="1"/>
  <c r="J414" i="1"/>
  <c r="AD499" i="1"/>
  <c r="AC499" i="1" s="1"/>
  <c r="W122" i="1"/>
  <c r="V96" i="1"/>
  <c r="K414" i="1" s="1"/>
  <c r="AD497" i="1"/>
  <c r="AC497" i="1" s="1"/>
  <c r="V94" i="1"/>
  <c r="K412" i="1" s="1"/>
  <c r="J412" i="1"/>
  <c r="W120" i="1"/>
  <c r="W115" i="1"/>
  <c r="J407" i="1"/>
  <c r="AD492" i="1"/>
  <c r="AC492" i="1" s="1"/>
  <c r="V89" i="1"/>
  <c r="K407" i="1" s="1"/>
  <c r="W114" i="1"/>
  <c r="J406" i="1"/>
  <c r="AD491" i="1"/>
  <c r="AC491" i="1" s="1"/>
  <c r="V88" i="1"/>
  <c r="K406" i="1" s="1"/>
  <c r="W118" i="1"/>
  <c r="AD495" i="1"/>
  <c r="AC495" i="1" s="1"/>
  <c r="J410" i="1"/>
  <c r="V92" i="1"/>
  <c r="K410" i="1" s="1"/>
  <c r="W121" i="1"/>
  <c r="AD498" i="1"/>
  <c r="AC498" i="1" s="1"/>
  <c r="J413" i="1"/>
  <c r="V95" i="1"/>
  <c r="K413" i="1" s="1"/>
  <c r="J411" i="1"/>
  <c r="AD496" i="1"/>
  <c r="AC496" i="1" s="1"/>
  <c r="W119" i="1"/>
  <c r="V93" i="1"/>
  <c r="K411" i="1" s="1"/>
  <c r="D1425" i="1"/>
  <c r="D1424" i="1"/>
  <c r="D1428" i="1"/>
  <c r="D1432" i="1"/>
  <c r="D1423" i="1"/>
  <c r="D1431" i="1"/>
  <c r="D1426" i="1"/>
  <c r="D1427" i="1"/>
  <c r="D1429" i="1"/>
  <c r="U123" i="1" l="1"/>
  <c r="K129" i="1" l="1"/>
  <c r="J1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<sst xmlns="http://schemas.openxmlformats.org/spreadsheetml/2006/main" count="6631" uniqueCount="1285">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</sst>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election activeCell="M2" sqref="M2"/>
    </sheetView>
  </sheetViews>
  <sheetFormatPr defaultColWidth="8.09765625" defaultRowHeight="11.25" customHeight="1"/>
  <cols>
    <col min="1" max="1" width="3.59765625" customWidth="1"/>
    <col min="2" max="2" width="11.59765625" customWidth="1"/>
    <col min="3" max="11" width="8.59765625" customWidth="1"/>
    <col min="12" max="12" width="1.59765625" style="915"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2" customWidth="1"/>
    <col min="31" max="31" width="8.19921875" style="786" customWidth="1"/>
    <col min="32" max="32" width="7.5" style="786" customWidth="1"/>
    <col min="33" max="33" width="6.69921875" style="786" customWidth="1"/>
    <col min="34" max="34" width="7.5" style="786" customWidth="1"/>
    <col min="35" max="35" width="6.09765625" style="786" customWidth="1"/>
    <col min="36" max="36" width="9" customWidth="1"/>
    <col min="37" max="37" width="6.59765625" customWidth="1"/>
    <col min="38" max="55" width="8.09765625" customWidth="1"/>
    <col min="56" max="56" width="14" customWidth="1"/>
  </cols>
  <sheetData>
    <row r="1" spans="1:58" ht="11.25" customHeight="1" thickTop="1">
      <c r="A1" s="857">
        <v>1</v>
      </c>
      <c r="B1" s="854"/>
      <c r="C1" s="95"/>
      <c r="D1" s="95"/>
      <c r="E1" s="95"/>
      <c r="F1" s="95"/>
      <c r="G1" s="95"/>
      <c r="H1" s="95"/>
      <c r="I1" s="95"/>
      <c r="J1" s="95"/>
      <c r="K1" s="101"/>
      <c r="L1" s="957" t="s">
        <v>482</v>
      </c>
      <c r="M1" s="1497" t="s">
        <v>1284</v>
      </c>
      <c r="N1" s="95"/>
      <c r="O1" s="95"/>
      <c r="P1" s="95"/>
      <c r="Q1" s="95"/>
      <c r="R1" s="95"/>
      <c r="S1" s="95"/>
      <c r="T1" s="1305" t="str">
        <f t="shared" ref="T1:T6" si="0">IF(OR(AB543="",AB543=0),"",AB543)</f>
        <v/>
      </c>
      <c r="U1" s="1315"/>
      <c r="V1" s="1315"/>
      <c r="W1" s="1316"/>
      <c r="X1" s="939" t="s">
        <v>482</v>
      </c>
      <c r="Y1" s="607" t="s">
        <v>432</v>
      </c>
      <c r="AC1"/>
      <c r="AD1"/>
      <c r="AE1"/>
    </row>
    <row r="2" spans="1:58" ht="11.25" customHeight="1">
      <c r="A2" s="857">
        <v>2</v>
      </c>
      <c r="B2" s="104"/>
      <c r="C2" s="3"/>
      <c r="D2" s="3"/>
      <c r="E2" s="3"/>
      <c r="F2" s="91" t="s">
        <v>1135</v>
      </c>
      <c r="G2" s="3"/>
      <c r="H2" s="3"/>
      <c r="I2" s="3"/>
      <c r="J2" s="3"/>
      <c r="K2" s="103"/>
      <c r="L2" s="957" t="s">
        <v>482</v>
      </c>
      <c r="M2" s="102"/>
      <c r="N2" s="3"/>
      <c r="O2" s="3"/>
      <c r="P2" s="3"/>
      <c r="Q2" s="153" t="str">
        <f>$F$2</f>
        <v>Medical University of South Carolina</v>
      </c>
      <c r="S2" s="3"/>
      <c r="T2" s="1306" t="str">
        <f t="shared" si="0"/>
        <v/>
      </c>
      <c r="U2" s="1317"/>
      <c r="V2" s="1318"/>
      <c r="W2" s="1319"/>
      <c r="X2" s="939" t="s">
        <v>482</v>
      </c>
      <c r="Y2" s="911" t="s">
        <v>1238</v>
      </c>
      <c r="AC2"/>
      <c r="AD2"/>
      <c r="AE2"/>
    </row>
    <row r="3" spans="1:58" ht="11.25" customHeight="1">
      <c r="A3" s="857">
        <v>3</v>
      </c>
      <c r="B3" s="104"/>
      <c r="C3" s="3"/>
      <c r="D3" s="3"/>
      <c r="E3" s="3"/>
      <c r="F3" s="91" t="s">
        <v>1136</v>
      </c>
      <c r="G3" s="3"/>
      <c r="H3" s="3"/>
      <c r="I3" s="3"/>
      <c r="J3" s="3"/>
      <c r="K3" s="103"/>
      <c r="L3" s="957" t="s">
        <v>482</v>
      </c>
      <c r="M3" s="102"/>
      <c r="N3" s="3"/>
      <c r="O3" s="3"/>
      <c r="P3" s="3"/>
      <c r="Q3" s="91" t="str">
        <f>$F$3</f>
        <v>Charleston, South Carolina</v>
      </c>
      <c r="S3" s="92"/>
      <c r="T3" s="1306" t="str">
        <f t="shared" si="0"/>
        <v/>
      </c>
      <c r="U3" s="1317"/>
      <c r="V3" s="1318"/>
      <c r="W3" s="1319"/>
      <c r="X3" s="939" t="s">
        <v>482</v>
      </c>
      <c r="Y3" s="942" t="s">
        <v>433</v>
      </c>
      <c r="Z3" s="1601" t="s">
        <v>1237</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7">
        <v>4</v>
      </c>
      <c r="B4" s="104"/>
      <c r="C4" s="63"/>
      <c r="D4" s="63"/>
      <c r="E4" s="63"/>
      <c r="F4" s="63"/>
      <c r="G4" s="63"/>
      <c r="H4" s="63"/>
      <c r="I4" s="63"/>
      <c r="J4" s="63"/>
      <c r="K4" s="103"/>
      <c r="L4" s="957" t="s">
        <v>482</v>
      </c>
      <c r="M4" s="102"/>
      <c r="N4" s="63"/>
      <c r="O4" s="63"/>
      <c r="P4" s="63"/>
      <c r="Q4" s="63"/>
      <c r="R4" s="63"/>
      <c r="S4" s="63"/>
      <c r="T4" s="1306" t="str">
        <f t="shared" si="0"/>
        <v/>
      </c>
      <c r="U4" s="1317"/>
      <c r="V4" s="1318"/>
      <c r="W4" s="1319"/>
      <c r="X4" s="939" t="s">
        <v>482</v>
      </c>
      <c r="Y4" s="769"/>
      <c r="AA4" s="785" t="s">
        <v>434</v>
      </c>
      <c r="AB4" s="943" t="s">
        <v>1088</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7">
        <v>5</v>
      </c>
      <c r="B5" s="104"/>
      <c r="C5" s="63"/>
      <c r="D5" s="63"/>
      <c r="E5" s="3"/>
      <c r="F5" s="93" t="s">
        <v>435</v>
      </c>
      <c r="G5" s="63"/>
      <c r="H5" s="63"/>
      <c r="I5" s="3"/>
      <c r="J5" s="3"/>
      <c r="K5" s="105"/>
      <c r="L5" s="957" t="s">
        <v>482</v>
      </c>
      <c r="M5" s="102"/>
      <c r="N5" s="63"/>
      <c r="O5" s="63"/>
      <c r="P5" s="93" t="str">
        <f>$F$5</f>
        <v>Radiographic System Compliance Inspection</v>
      </c>
      <c r="S5" s="63"/>
      <c r="T5" s="1306" t="str">
        <f t="shared" si="0"/>
        <v/>
      </c>
      <c r="U5" s="1317"/>
      <c r="V5" s="1318"/>
      <c r="W5" s="1319"/>
      <c r="X5" s="939" t="s">
        <v>482</v>
      </c>
      <c r="Y5" s="769"/>
      <c r="AA5" s="432"/>
      <c r="AB5" s="943" t="s">
        <v>436</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7">
        <v>6</v>
      </c>
      <c r="B6" s="106"/>
      <c r="C6" s="107"/>
      <c r="D6" s="107"/>
      <c r="E6" s="107"/>
      <c r="F6" s="108"/>
      <c r="G6" s="107"/>
      <c r="H6" s="107"/>
      <c r="I6" s="107"/>
      <c r="J6" s="107"/>
      <c r="K6" s="109"/>
      <c r="L6" s="957" t="s">
        <v>482</v>
      </c>
      <c r="M6" s="110"/>
      <c r="N6" s="108"/>
      <c r="O6" s="108"/>
      <c r="P6" s="108"/>
      <c r="Q6" s="108"/>
      <c r="R6" s="108"/>
      <c r="S6" s="108"/>
      <c r="T6" s="1307" t="str">
        <f t="shared" si="0"/>
        <v/>
      </c>
      <c r="U6" s="1320"/>
      <c r="V6" s="1320"/>
      <c r="W6" s="1321"/>
      <c r="X6" s="939" t="s">
        <v>482</v>
      </c>
      <c r="Y6" s="769"/>
      <c r="Z6" s="769"/>
      <c r="AA6" s="432"/>
      <c r="AB6" s="777" t="s">
        <v>437</v>
      </c>
      <c r="AC6" s="828" t="s">
        <v>1089</v>
      </c>
      <c r="AD6" s="773" t="s">
        <v>438</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7">
        <v>7</v>
      </c>
      <c r="B7" s="111"/>
      <c r="C7" s="63"/>
      <c r="D7" s="63"/>
      <c r="E7" s="63"/>
      <c r="F7" s="63"/>
      <c r="G7" s="56"/>
      <c r="H7" s="56"/>
      <c r="I7" s="56"/>
      <c r="J7" s="56"/>
      <c r="K7" s="56"/>
      <c r="L7" s="957" t="s">
        <v>482</v>
      </c>
      <c r="M7" s="3"/>
      <c r="N7" s="63"/>
      <c r="O7" s="63"/>
      <c r="P7" s="63"/>
      <c r="Q7" s="63"/>
      <c r="R7" s="63"/>
      <c r="S7" s="63"/>
      <c r="T7" s="41"/>
      <c r="U7" s="3"/>
      <c r="V7" s="3"/>
      <c r="W7" s="3"/>
      <c r="X7" s="939" t="s">
        <v>482</v>
      </c>
      <c r="Y7" s="768"/>
      <c r="Z7" s="768"/>
      <c r="AA7" s="775" t="s">
        <v>439</v>
      </c>
      <c r="AB7" s="778" t="s">
        <v>440</v>
      </c>
      <c r="AD7" s="774" t="s">
        <v>440</v>
      </c>
      <c r="AE7" s="787" t="s">
        <v>441</v>
      </c>
      <c r="AF7" s="829" t="s">
        <v>442</v>
      </c>
      <c r="AG7" s="830" t="s">
        <v>1090</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7">
        <v>8</v>
      </c>
      <c r="B8" s="111"/>
      <c r="C8" s="63"/>
      <c r="D8" s="63"/>
      <c r="E8" s="63"/>
      <c r="F8" s="93" t="s">
        <v>443</v>
      </c>
      <c r="G8" s="61"/>
      <c r="H8" s="56"/>
      <c r="I8" s="62"/>
      <c r="J8" s="56"/>
      <c r="K8" s="56"/>
      <c r="L8" s="957" t="s">
        <v>482</v>
      </c>
      <c r="M8" s="3"/>
      <c r="N8" s="41" t="s">
        <v>444</v>
      </c>
      <c r="O8" s="1662"/>
      <c r="P8" s="63"/>
      <c r="Q8" s="63"/>
      <c r="R8" s="93" t="str">
        <f>$F$8</f>
        <v>System Information</v>
      </c>
      <c r="S8" s="63"/>
      <c r="T8" s="63"/>
      <c r="U8" s="41" t="s">
        <v>445</v>
      </c>
      <c r="V8" s="1052" t="s">
        <v>20</v>
      </c>
      <c r="W8" s="3"/>
      <c r="X8" s="939" t="s">
        <v>482</v>
      </c>
      <c r="Y8" s="768"/>
      <c r="Z8" s="768"/>
      <c r="AA8" s="768" t="s">
        <v>446</v>
      </c>
      <c r="AB8" s="1410"/>
      <c r="AC8" s="781" t="str">
        <f>IF(AND(OR(AB8="",AB8=0),OR(AD8="",AD8=0)),"",IF(AB8&lt;&gt;AD8,"Change",""))</f>
        <v>Change</v>
      </c>
      <c r="AD8" s="1428" t="str">
        <f>IF(Y2="","",Y2)</f>
        <v>FIRST,EXP,BLD,TB,WB,FS_KV,REPRO,TIM,LIN,HALFVAL,PT_DEN,PT_TB,PT_WB,KAP_AK,LAST</v>
      </c>
      <c r="AE8" s="786" t="s">
        <v>760</v>
      </c>
      <c r="AG8" s="830" t="s">
        <v>1091</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7">
        <v>9</v>
      </c>
      <c r="B9" s="111"/>
      <c r="C9" s="63"/>
      <c r="D9" s="63"/>
      <c r="E9" s="63"/>
      <c r="F9" s="63"/>
      <c r="G9" s="63"/>
      <c r="H9" s="56"/>
      <c r="I9" s="56"/>
      <c r="J9" s="56"/>
      <c r="K9" s="56"/>
      <c r="L9" s="957" t="s">
        <v>482</v>
      </c>
      <c r="M9" s="3"/>
      <c r="N9" s="1137" t="s">
        <v>447</v>
      </c>
      <c r="O9" s="1663" t="str">
        <f>IF(OR(AB9=0,AB9=""),"",AB9)</f>
        <v/>
      </c>
      <c r="P9" s="3"/>
      <c r="Q9" s="3"/>
      <c r="R9" s="3"/>
      <c r="S9" s="3"/>
      <c r="T9" s="3"/>
      <c r="U9" s="1138" t="s">
        <v>447</v>
      </c>
      <c r="V9" s="1049" t="str">
        <f>IF(OR(AB10=0,AB10=""),"",AB10)</f>
        <v/>
      </c>
      <c r="W9" s="3"/>
      <c r="X9" s="939"/>
      <c r="Y9" s="768"/>
      <c r="Z9" s="432"/>
      <c r="AA9" s="768" t="s">
        <v>444</v>
      </c>
      <c r="AB9" s="1670"/>
      <c r="AC9" s="781" t="str">
        <f t="shared" ref="AC9:AC53" si="1">IF(AND(OR(AB9="",AB9=0),OR(AD9="",AD9=0)),"",IF(AB9&lt;&gt;AD9,"Change",""))</f>
        <v/>
      </c>
      <c r="AD9" s="1671" t="str">
        <f>IF(O8="","",O8)</f>
        <v/>
      </c>
      <c r="AE9" s="786" t="s">
        <v>761</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7">
        <v>10</v>
      </c>
      <c r="B10" s="74"/>
      <c r="C10" s="132" t="s">
        <v>448</v>
      </c>
      <c r="D10" s="72"/>
      <c r="E10" s="72"/>
      <c r="F10" s="72"/>
      <c r="G10" s="72"/>
      <c r="H10" s="133"/>
      <c r="I10" s="133"/>
      <c r="J10" s="133"/>
      <c r="K10" s="75"/>
      <c r="L10" s="957" t="s">
        <v>482</v>
      </c>
      <c r="M10" s="158"/>
      <c r="N10" s="132" t="s">
        <v>448</v>
      </c>
      <c r="O10" s="133"/>
      <c r="P10" s="133"/>
      <c r="Q10" s="1050" t="s">
        <v>348</v>
      </c>
      <c r="R10" s="1051"/>
      <c r="S10" s="133"/>
      <c r="T10" s="133"/>
      <c r="U10" s="1050" t="s">
        <v>348</v>
      </c>
      <c r="V10" s="1051"/>
      <c r="W10" s="75"/>
      <c r="X10" s="939" t="s">
        <v>482</v>
      </c>
      <c r="Y10" s="768"/>
      <c r="Z10" s="768"/>
      <c r="AA10" s="768" t="s">
        <v>445</v>
      </c>
      <c r="AB10" s="1410"/>
      <c r="AC10" s="781" t="str">
        <f t="shared" si="1"/>
        <v>Change</v>
      </c>
      <c r="AD10" s="1428" t="str">
        <f>IF(V8="","",V8)</f>
        <v>Eugene Mah</v>
      </c>
      <c r="AE10" s="786" t="s">
        <v>762</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7">
        <v>11</v>
      </c>
      <c r="B11" s="76"/>
      <c r="C11" s="63"/>
      <c r="D11" s="62" t="s">
        <v>449</v>
      </c>
      <c r="E11" s="66" t="str">
        <f>IF(P11="","",P11)</f>
        <v/>
      </c>
      <c r="F11" s="55"/>
      <c r="G11" s="56"/>
      <c r="H11" s="62" t="s">
        <v>1138</v>
      </c>
      <c r="I11" s="1393" t="str">
        <f>IF(T11="","",T11)</f>
        <v/>
      </c>
      <c r="J11" s="63"/>
      <c r="K11" s="79"/>
      <c r="L11" s="957" t="s">
        <v>482</v>
      </c>
      <c r="M11" s="146"/>
      <c r="N11" s="56"/>
      <c r="O11" s="62" t="s">
        <v>449</v>
      </c>
      <c r="P11" s="972" t="str">
        <f>IF(Q11&lt;&gt;"",Q11,IF(OR(AB11=0,AB11=""),"",AB11))</f>
        <v/>
      </c>
      <c r="Q11" s="1053"/>
      <c r="R11" s="316"/>
      <c r="S11" s="318" t="s">
        <v>30</v>
      </c>
      <c r="T11" s="972" t="str">
        <f>IF(U11&lt;&gt;"",U11,IF(OR(AB48=0,AB48=""),"",AB48))</f>
        <v/>
      </c>
      <c r="U11" s="1055"/>
      <c r="V11" s="58"/>
      <c r="W11" s="79"/>
      <c r="X11" s="939" t="s">
        <v>482</v>
      </c>
      <c r="Y11" s="768"/>
      <c r="Z11" s="768"/>
      <c r="AA11" s="768" t="str">
        <f>IF(O11="","",O11)</f>
        <v>Facility:</v>
      </c>
      <c r="AB11" s="1410"/>
      <c r="AC11" s="781" t="str">
        <f t="shared" si="1"/>
        <v/>
      </c>
      <c r="AD11" s="1390" t="str">
        <f t="shared" ref="AD11:AD25" si="2">IF(P11="","",P11)</f>
        <v/>
      </c>
      <c r="AE11" s="786" t="s">
        <v>763</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7">
        <v>12</v>
      </c>
      <c r="B12" s="76"/>
      <c r="C12" s="63"/>
      <c r="D12" s="62" t="s">
        <v>450</v>
      </c>
      <c r="E12" s="66" t="str">
        <f>IF(P12="","",P12)</f>
        <v/>
      </c>
      <c r="F12" s="67"/>
      <c r="G12" s="63"/>
      <c r="H12" s="62" t="s">
        <v>451</v>
      </c>
      <c r="I12" s="66" t="str">
        <f>IF(T12="","",T12)</f>
        <v/>
      </c>
      <c r="J12" s="55"/>
      <c r="K12" s="80"/>
      <c r="L12" s="957" t="s">
        <v>482</v>
      </c>
      <c r="M12" s="146"/>
      <c r="N12" s="56"/>
      <c r="O12" s="62" t="s">
        <v>450</v>
      </c>
      <c r="P12" s="972" t="str">
        <f>IF(Q12&lt;&gt;"",Q12,IF(OR(AB12=0,AB12=""),"",AB12))</f>
        <v/>
      </c>
      <c r="Q12" s="1054"/>
      <c r="R12" s="315"/>
      <c r="S12" s="318" t="s">
        <v>451</v>
      </c>
      <c r="T12" s="972" t="str">
        <f>IF(U12&lt;&gt;"",U12,IF(OR(AB49=0,AB49=""),"",AB49))</f>
        <v/>
      </c>
      <c r="U12" s="1477"/>
      <c r="V12" s="56"/>
      <c r="W12" s="79"/>
      <c r="X12" s="939" t="s">
        <v>482</v>
      </c>
      <c r="Y12" s="768"/>
      <c r="Z12" s="768"/>
      <c r="AA12" s="768" t="str">
        <f t="shared" ref="AA12:AA27" si="3">IF(O12="","",O12)</f>
        <v>Department:</v>
      </c>
      <c r="AB12" s="1410"/>
      <c r="AC12" s="781" t="str">
        <f t="shared" si="1"/>
        <v/>
      </c>
      <c r="AD12" s="1390" t="str">
        <f t="shared" si="2"/>
        <v/>
      </c>
      <c r="AE12" s="786" t="s">
        <v>764</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7">
        <v>13</v>
      </c>
      <c r="B13" s="76"/>
      <c r="C13" s="63"/>
      <c r="D13" s="62" t="s">
        <v>452</v>
      </c>
      <c r="E13" s="66" t="str">
        <f>IF(P13="","",P13)</f>
        <v/>
      </c>
      <c r="F13" s="55"/>
      <c r="G13" s="56"/>
      <c r="H13" s="62" t="s">
        <v>453</v>
      </c>
      <c r="I13" s="1486" t="str">
        <f>IF(T13="","",T13)</f>
        <v/>
      </c>
      <c r="J13" s="56"/>
      <c r="K13" s="79"/>
      <c r="L13" s="957" t="s">
        <v>482</v>
      </c>
      <c r="M13" s="146"/>
      <c r="N13" s="56"/>
      <c r="O13" s="62" t="s">
        <v>452</v>
      </c>
      <c r="P13" s="972" t="str">
        <f>IF(Q13&lt;&gt;"",Q13,IF(OR(AB13=0,AB13=""),"",AB13))</f>
        <v/>
      </c>
      <c r="Q13" s="1477"/>
      <c r="R13" s="315"/>
      <c r="S13" s="318" t="s">
        <v>453</v>
      </c>
      <c r="T13" s="1481" t="str">
        <f>IF(U13&lt;&gt;"",U13,IF(OR(AB50=0,AB50=""),"",AB50))</f>
        <v/>
      </c>
      <c r="U13" s="1480"/>
      <c r="V13" s="56"/>
      <c r="W13" s="79"/>
      <c r="X13" s="939" t="s">
        <v>482</v>
      </c>
      <c r="Y13" s="768"/>
      <c r="Z13" s="768"/>
      <c r="AA13" s="768" t="str">
        <f t="shared" si="3"/>
        <v>Area/Division:</v>
      </c>
      <c r="AB13" s="1410"/>
      <c r="AC13" s="781" t="str">
        <f t="shared" si="1"/>
        <v/>
      </c>
      <c r="AD13" s="1390" t="str">
        <f t="shared" si="2"/>
        <v/>
      </c>
      <c r="AE13" s="786" t="s">
        <v>765</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7">
        <v>14</v>
      </c>
      <c r="B14" s="76"/>
      <c r="C14" s="56"/>
      <c r="D14" s="62" t="s">
        <v>1137</v>
      </c>
      <c r="E14" s="1393" t="str">
        <f>IF(P14="","",P14)</f>
        <v/>
      </c>
      <c r="F14" s="63"/>
      <c r="G14" s="63"/>
      <c r="H14" s="62" t="s">
        <v>454</v>
      </c>
      <c r="I14" s="71" t="str">
        <f>IF(T14="","",T14)</f>
        <v/>
      </c>
      <c r="J14" s="56"/>
      <c r="K14" s="79"/>
      <c r="L14" s="957" t="s">
        <v>482</v>
      </c>
      <c r="M14" s="146"/>
      <c r="N14" s="56"/>
      <c r="O14" s="62" t="s">
        <v>1137</v>
      </c>
      <c r="P14" s="972" t="str">
        <f>IF(Q14&lt;&gt;"",Q14,IF(OR(AB14=0,AB14=""),"",AB14))</f>
        <v/>
      </c>
      <c r="Q14" s="1054"/>
      <c r="R14" s="315"/>
      <c r="S14" s="318" t="s">
        <v>454</v>
      </c>
      <c r="T14" s="973" t="str">
        <f>IF(U14&lt;&gt;"",U14,IF(OR(AB51=0,AB51=""),"",AB51))</f>
        <v/>
      </c>
      <c r="U14" s="1056"/>
      <c r="V14" s="56"/>
      <c r="W14" s="79"/>
      <c r="X14" s="939" t="s">
        <v>482</v>
      </c>
      <c r="Y14" s="768"/>
      <c r="Z14" s="768"/>
      <c r="AA14" s="768" t="str">
        <f t="shared" si="3"/>
        <v>Survey ID:</v>
      </c>
      <c r="AB14" s="1410"/>
      <c r="AC14" s="781" t="str">
        <f t="shared" si="1"/>
        <v/>
      </c>
      <c r="AD14" s="1390" t="str">
        <f t="shared" si="2"/>
        <v/>
      </c>
      <c r="AE14" s="786" t="s">
        <v>766</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7">
        <v>15</v>
      </c>
      <c r="B15" s="76"/>
      <c r="C15" s="56"/>
      <c r="D15" s="62"/>
      <c r="E15" s="68"/>
      <c r="F15" s="56"/>
      <c r="G15" s="63"/>
      <c r="H15" s="63"/>
      <c r="I15" s="63"/>
      <c r="J15" s="56"/>
      <c r="K15" s="79"/>
      <c r="L15" s="957" t="s">
        <v>482</v>
      </c>
      <c r="M15" s="146"/>
      <c r="N15" s="56"/>
      <c r="O15" s="62" t="s">
        <v>455</v>
      </c>
      <c r="P15" s="972" t="str">
        <f>IF(Q15&lt;&gt;"",Q15,IF(OR(AB15=0,AB15=""),"",AB15))</f>
        <v/>
      </c>
      <c r="Q15" s="1477"/>
      <c r="R15" s="315"/>
      <c r="S15" s="318" t="s">
        <v>29</v>
      </c>
      <c r="T15" s="973" t="str">
        <f>IF(U15&lt;&gt;"",U15,IF(OR(AB52=0,AB52=""),"",AB52))</f>
        <v/>
      </c>
      <c r="U15" s="1056"/>
      <c r="V15" s="58"/>
      <c r="W15" s="79"/>
      <c r="X15" s="939" t="s">
        <v>482</v>
      </c>
      <c r="Y15" s="768"/>
      <c r="Z15" s="768"/>
      <c r="AA15" s="768" t="str">
        <f t="shared" si="3"/>
        <v>Room Number:</v>
      </c>
      <c r="AB15" s="1410"/>
      <c r="AC15" s="781" t="str">
        <f t="shared" si="1"/>
        <v/>
      </c>
      <c r="AD15" s="1390" t="str">
        <f t="shared" si="2"/>
        <v/>
      </c>
      <c r="AE15" s="786" t="s">
        <v>767</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7">
        <v>16</v>
      </c>
      <c r="B16" s="77"/>
      <c r="C16" s="85"/>
      <c r="D16" s="73"/>
      <c r="E16" s="73"/>
      <c r="F16" s="73"/>
      <c r="G16" s="73"/>
      <c r="H16" s="85"/>
      <c r="I16" s="86"/>
      <c r="J16" s="86"/>
      <c r="K16" s="87"/>
      <c r="L16" s="957" t="s">
        <v>482</v>
      </c>
      <c r="M16" s="146"/>
      <c r="N16" s="56"/>
      <c r="O16" s="56"/>
      <c r="P16" s="315"/>
      <c r="Q16" s="315"/>
      <c r="R16" s="315"/>
      <c r="S16" s="315"/>
      <c r="T16" s="56"/>
      <c r="U16" s="56"/>
      <c r="V16" s="56"/>
      <c r="W16" s="79"/>
      <c r="X16" s="939" t="s">
        <v>482</v>
      </c>
      <c r="Y16" s="768"/>
      <c r="Z16" s="432"/>
      <c r="AA16" s="768" t="str">
        <f t="shared" si="3"/>
        <v/>
      </c>
      <c r="AB16" s="768"/>
      <c r="AC16" s="781" t="str">
        <f t="shared" si="1"/>
        <v/>
      </c>
      <c r="AD16" s="697"/>
      <c r="AG16" s="1466"/>
      <c r="AH16" s="1466"/>
      <c r="AI16" s="1466"/>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7">
        <v>17</v>
      </c>
      <c r="B17" s="76"/>
      <c r="C17" s="115" t="s">
        <v>456</v>
      </c>
      <c r="D17" s="113"/>
      <c r="E17" s="63"/>
      <c r="F17" s="63"/>
      <c r="G17" s="63"/>
      <c r="H17" s="56"/>
      <c r="I17" s="62"/>
      <c r="J17" s="58"/>
      <c r="K17" s="80"/>
      <c r="L17" s="957" t="s">
        <v>482</v>
      </c>
      <c r="M17" s="146"/>
      <c r="N17" s="115" t="s">
        <v>456</v>
      </c>
      <c r="O17" s="114"/>
      <c r="P17" s="315"/>
      <c r="Q17" s="315"/>
      <c r="R17" s="315"/>
      <c r="S17" s="315"/>
      <c r="T17" s="56"/>
      <c r="U17" s="56"/>
      <c r="V17" s="56"/>
      <c r="W17" s="79"/>
      <c r="X17" s="939" t="s">
        <v>482</v>
      </c>
      <c r="Y17" s="768"/>
      <c r="Z17" s="768"/>
      <c r="AA17" s="775" t="s">
        <v>456</v>
      </c>
      <c r="AB17" s="768"/>
      <c r="AC17" s="781" t="str">
        <f t="shared" si="1"/>
        <v/>
      </c>
      <c r="AD17" s="827"/>
      <c r="AG17" s="1466"/>
      <c r="AH17" s="1466"/>
      <c r="AI17" s="1466"/>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7">
        <v>18</v>
      </c>
      <c r="B18" s="76"/>
      <c r="C18" s="56"/>
      <c r="D18" s="62" t="s">
        <v>457</v>
      </c>
      <c r="E18" s="66" t="str">
        <f>IF(P18="","",P18)</f>
        <v/>
      </c>
      <c r="F18" s="56"/>
      <c r="G18" s="63"/>
      <c r="H18" s="62" t="s">
        <v>458</v>
      </c>
      <c r="I18" s="1486" t="str">
        <f>IF(T18="","",T18)</f>
        <v/>
      </c>
      <c r="J18" s="58"/>
      <c r="K18" s="79"/>
      <c r="L18" s="957" t="s">
        <v>482</v>
      </c>
      <c r="M18" s="146"/>
      <c r="N18" s="56"/>
      <c r="O18" s="62" t="s">
        <v>457</v>
      </c>
      <c r="P18" s="972" t="str">
        <f>IF(Q18&lt;&gt;"",Q18,IF(OR(AB18=0,AB18=""),"",AB18))</f>
        <v/>
      </c>
      <c r="Q18" s="1392"/>
      <c r="R18" s="315"/>
      <c r="S18" s="318" t="s">
        <v>458</v>
      </c>
      <c r="T18" s="1481" t="str">
        <f>IF(U18&lt;&gt;"",U18,IF(OR(AB54=0,AB54=""),"",AB54))</f>
        <v/>
      </c>
      <c r="U18" s="1482"/>
      <c r="V18" s="56"/>
      <c r="W18" s="79"/>
      <c r="X18" s="939" t="s">
        <v>482</v>
      </c>
      <c r="Y18" s="768"/>
      <c r="Z18" s="768"/>
      <c r="AA18" s="768" t="str">
        <f t="shared" si="3"/>
        <v>Manufacturer:</v>
      </c>
      <c r="AB18" s="1410"/>
      <c r="AC18" s="781" t="str">
        <f t="shared" si="1"/>
        <v/>
      </c>
      <c r="AD18" s="1390" t="str">
        <f t="shared" si="2"/>
        <v/>
      </c>
      <c r="AE18" s="786" t="s">
        <v>768</v>
      </c>
      <c r="AG18" s="1466"/>
      <c r="AH18" s="1466"/>
      <c r="AI18" s="1466"/>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7">
        <v>19</v>
      </c>
      <c r="B19" s="76"/>
      <c r="C19" s="56"/>
      <c r="D19" s="62" t="s">
        <v>459</v>
      </c>
      <c r="E19" s="66" t="str">
        <f>IF(P19="","",P19)</f>
        <v/>
      </c>
      <c r="F19" s="56"/>
      <c r="G19" s="63"/>
      <c r="H19" s="62" t="s">
        <v>460</v>
      </c>
      <c r="I19" s="1393" t="str">
        <f>IF(T19="","",T19)</f>
        <v/>
      </c>
      <c r="J19" s="65"/>
      <c r="K19" s="79"/>
      <c r="L19" s="957" t="s">
        <v>482</v>
      </c>
      <c r="M19" s="146"/>
      <c r="N19" s="56"/>
      <c r="O19" s="62" t="s">
        <v>459</v>
      </c>
      <c r="P19" s="972" t="str">
        <f>IF(Q19&lt;&gt;"",Q19,IF(OR(AB19=0,AB19=""),"",AB19))</f>
        <v/>
      </c>
      <c r="Q19" s="1477"/>
      <c r="R19" s="315"/>
      <c r="S19" s="318" t="s">
        <v>460</v>
      </c>
      <c r="T19" s="1312" t="str">
        <f>IF(U19&lt;&gt;"",U19,IF(OR(AB55=0,AB55=""),"",AB55))</f>
        <v/>
      </c>
      <c r="U19" s="1478"/>
      <c r="V19" s="56"/>
      <c r="W19" s="79"/>
      <c r="X19" s="939" t="s">
        <v>482</v>
      </c>
      <c r="Y19" s="768"/>
      <c r="Z19" s="768"/>
      <c r="AA19" s="768" t="str">
        <f t="shared" si="3"/>
        <v>Model:</v>
      </c>
      <c r="AB19" s="1410"/>
      <c r="AC19" s="781" t="str">
        <f t="shared" si="1"/>
        <v/>
      </c>
      <c r="AD19" s="1390" t="str">
        <f t="shared" si="2"/>
        <v/>
      </c>
      <c r="AE19" s="786" t="s">
        <v>769</v>
      </c>
      <c r="AF19" s="787"/>
      <c r="AG19" s="1466"/>
      <c r="AH19" s="1466"/>
      <c r="AI19" s="1466"/>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7">
        <v>20</v>
      </c>
      <c r="B20" s="76"/>
      <c r="C20" s="56"/>
      <c r="D20" s="62" t="s">
        <v>461</v>
      </c>
      <c r="E20" s="71" t="str">
        <f>IF(P20="","",P20)</f>
        <v/>
      </c>
      <c r="F20" s="119"/>
      <c r="G20" s="56"/>
      <c r="H20" s="62" t="s">
        <v>462</v>
      </c>
      <c r="I20" s="71" t="str">
        <f>IF(T20="","",T20)</f>
        <v/>
      </c>
      <c r="J20" s="56"/>
      <c r="K20" s="79"/>
      <c r="L20" s="957" t="s">
        <v>482</v>
      </c>
      <c r="M20" s="146"/>
      <c r="N20" s="56"/>
      <c r="O20" s="62" t="s">
        <v>461</v>
      </c>
      <c r="P20" s="973" t="str">
        <f>IF(Q20&lt;&gt;"",Q20,IF(OR(AB20=0,AB20=""),"",AB20))</f>
        <v/>
      </c>
      <c r="Q20" s="1056"/>
      <c r="R20" s="315"/>
      <c r="S20" s="318" t="s">
        <v>462</v>
      </c>
      <c r="T20" s="973" t="str">
        <f>IF(U20&lt;&gt;"",U20,IF(OR(AB56=0,AB56=""),"",AB56))</f>
        <v/>
      </c>
      <c r="U20" s="1056"/>
      <c r="V20" s="63"/>
      <c r="W20" s="79"/>
      <c r="X20" s="939" t="s">
        <v>482</v>
      </c>
      <c r="Y20" s="768"/>
      <c r="Z20" s="768"/>
      <c r="AA20" s="768" t="str">
        <f t="shared" si="3"/>
        <v>Max. kVp:</v>
      </c>
      <c r="AB20" s="1410"/>
      <c r="AC20" s="781" t="str">
        <f t="shared" si="1"/>
        <v/>
      </c>
      <c r="AD20" s="1429" t="str">
        <f t="shared" si="2"/>
        <v/>
      </c>
      <c r="AE20" s="786" t="s">
        <v>770</v>
      </c>
      <c r="AG20" s="1466"/>
      <c r="AH20" s="1466"/>
      <c r="AI20" s="1466"/>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7">
        <v>21</v>
      </c>
      <c r="B21" s="76"/>
      <c r="C21" s="56"/>
      <c r="D21" s="62" t="s">
        <v>1188</v>
      </c>
      <c r="E21" s="71" t="str">
        <f>IF(P21="","",P21)</f>
        <v/>
      </c>
      <c r="F21" s="56"/>
      <c r="G21" s="56"/>
      <c r="H21" s="56"/>
      <c r="I21" s="56"/>
      <c r="J21" s="58"/>
      <c r="K21" s="79"/>
      <c r="L21" s="957" t="s">
        <v>482</v>
      </c>
      <c r="M21" s="146"/>
      <c r="N21" s="56"/>
      <c r="O21" s="62" t="s">
        <v>1188</v>
      </c>
      <c r="P21" s="973" t="str">
        <f>IF(Q21&lt;&gt;"",Q21,IF(OR(AB21=0,AB21=""),"",AB21))</f>
        <v/>
      </c>
      <c r="Q21" s="1056"/>
      <c r="R21" s="315"/>
      <c r="S21" s="315"/>
      <c r="T21" s="318"/>
      <c r="U21" s="163"/>
      <c r="V21" s="56"/>
      <c r="W21" s="79"/>
      <c r="X21" s="939" t="s">
        <v>482</v>
      </c>
      <c r="Y21" s="768"/>
      <c r="Z21" s="768"/>
      <c r="AA21" s="768" t="str">
        <f t="shared" si="3"/>
        <v>Software Version:</v>
      </c>
      <c r="AB21" s="1410"/>
      <c r="AC21" s="781" t="str">
        <f t="shared" ref="AC21" si="4">IF(AND(OR(AB21="",AB21=0),OR(AD21="",AD21=0)),"",IF(AB21&lt;&gt;AD21,"Change",""))</f>
        <v/>
      </c>
      <c r="AD21" s="1581" t="str">
        <f t="shared" si="2"/>
        <v/>
      </c>
      <c r="AG21" s="1466"/>
      <c r="AH21" s="1466"/>
      <c r="AI21" s="1466"/>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7">
        <v>22</v>
      </c>
      <c r="B22" s="77"/>
      <c r="C22" s="73"/>
      <c r="D22" s="88"/>
      <c r="E22" s="85"/>
      <c r="F22" s="85"/>
      <c r="G22" s="85"/>
      <c r="H22" s="85"/>
      <c r="I22" s="86"/>
      <c r="J22" s="85"/>
      <c r="K22" s="78"/>
      <c r="L22" s="957" t="s">
        <v>482</v>
      </c>
      <c r="M22" s="146"/>
      <c r="N22" s="56"/>
      <c r="O22" s="62"/>
      <c r="P22" s="315"/>
      <c r="Q22" s="315"/>
      <c r="R22" s="315"/>
      <c r="S22" s="315"/>
      <c r="T22" s="316"/>
      <c r="U22" s="58"/>
      <c r="V22" s="56"/>
      <c r="W22" s="79"/>
      <c r="X22" s="939" t="s">
        <v>482</v>
      </c>
      <c r="Y22" s="768"/>
      <c r="Z22" s="432"/>
      <c r="AA22" s="768" t="str">
        <f t="shared" si="3"/>
        <v/>
      </c>
      <c r="AB22" s="768"/>
      <c r="AC22" s="781" t="str">
        <f t="shared" si="1"/>
        <v/>
      </c>
      <c r="AD22" s="827"/>
      <c r="AG22" s="1466"/>
      <c r="AH22" s="1466"/>
      <c r="AI22" s="1466"/>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7">
        <v>23</v>
      </c>
      <c r="B23" s="76"/>
      <c r="C23" s="115" t="str">
        <f>IF(N23="","",N23)</f>
        <v>X-Ray Tube 1</v>
      </c>
      <c r="D23" s="114"/>
      <c r="E23" s="56"/>
      <c r="F23" s="56"/>
      <c r="G23" s="63"/>
      <c r="H23" s="58"/>
      <c r="I23" s="114" t="s">
        <v>463</v>
      </c>
      <c r="J23" s="58"/>
      <c r="K23" s="79"/>
      <c r="L23" s="957" t="s">
        <v>482</v>
      </c>
      <c r="M23" s="146"/>
      <c r="N23" s="115" t="s">
        <v>464</v>
      </c>
      <c r="O23" s="56"/>
      <c r="P23" s="315"/>
      <c r="Q23" s="315"/>
      <c r="R23" s="315"/>
      <c r="S23" s="315"/>
      <c r="T23" s="779" t="s">
        <v>465</v>
      </c>
      <c r="U23" s="58"/>
      <c r="V23" s="56"/>
      <c r="W23" s="79"/>
      <c r="X23" s="939" t="s">
        <v>482</v>
      </c>
      <c r="Y23" s="768"/>
      <c r="Z23" s="768"/>
      <c r="AA23" s="775" t="s">
        <v>464</v>
      </c>
      <c r="AB23" s="768"/>
      <c r="AC23" s="781" t="str">
        <f t="shared" si="1"/>
        <v/>
      </c>
      <c r="AD23" s="697"/>
      <c r="AG23" s="1466"/>
      <c r="AH23" s="1466"/>
      <c r="AI23" s="1467"/>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7">
        <v>24</v>
      </c>
      <c r="B24" s="76"/>
      <c r="C24" s="56"/>
      <c r="D24" s="62" t="s">
        <v>466</v>
      </c>
      <c r="E24" s="66" t="str">
        <f>IF(P24="","",P24)</f>
        <v/>
      </c>
      <c r="F24" s="56"/>
      <c r="G24" s="63"/>
      <c r="H24" s="62" t="str">
        <f t="shared" ref="H24:I26" si="5">IF(S24="","",S24)</f>
        <v>Large:</v>
      </c>
      <c r="I24" s="474" t="str">
        <f t="shared" si="5"/>
        <v/>
      </c>
      <c r="J24" s="58"/>
      <c r="K24" s="79"/>
      <c r="L24" s="957" t="s">
        <v>482</v>
      </c>
      <c r="M24" s="146"/>
      <c r="N24" s="56"/>
      <c r="O24" s="62" t="s">
        <v>466</v>
      </c>
      <c r="P24" s="972" t="str">
        <f>IF(Q24&lt;&gt;"",Q24,IF(OR(AB24=0,AB24=""),"",AB24))</f>
        <v/>
      </c>
      <c r="Q24" s="1392"/>
      <c r="R24" s="315"/>
      <c r="S24" s="318" t="s">
        <v>467</v>
      </c>
      <c r="T24" s="967" t="str">
        <f>IF(U24&lt;&gt;"",U24,IF(OR(AB59=0,AB59=""),"",AB59))</f>
        <v/>
      </c>
      <c r="U24" s="1057"/>
      <c r="V24" s="56"/>
      <c r="W24" s="79"/>
      <c r="X24" s="939" t="s">
        <v>482</v>
      </c>
      <c r="Y24" s="768"/>
      <c r="Z24" s="768"/>
      <c r="AA24" s="768" t="str">
        <f t="shared" si="3"/>
        <v>Tube Designation/Use:</v>
      </c>
      <c r="AB24" s="1410"/>
      <c r="AC24" s="781" t="str">
        <f t="shared" si="1"/>
        <v/>
      </c>
      <c r="AD24" s="1390" t="str">
        <f t="shared" si="2"/>
        <v/>
      </c>
      <c r="AE24" s="786" t="s">
        <v>771</v>
      </c>
      <c r="AG24" s="1466"/>
      <c r="AH24" s="1466"/>
      <c r="AI24" s="1466"/>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7">
        <v>25</v>
      </c>
      <c r="B25" s="76"/>
      <c r="C25" s="56"/>
      <c r="D25" s="62" t="s">
        <v>458</v>
      </c>
      <c r="E25" s="1486" t="str">
        <f>IF(P25="","",P25)</f>
        <v/>
      </c>
      <c r="F25" s="56"/>
      <c r="G25" s="63"/>
      <c r="H25" s="62" t="str">
        <f t="shared" si="5"/>
        <v>Small:</v>
      </c>
      <c r="I25" s="474" t="str">
        <f t="shared" si="5"/>
        <v/>
      </c>
      <c r="J25" s="58"/>
      <c r="K25" s="79"/>
      <c r="L25" s="957" t="s">
        <v>482</v>
      </c>
      <c r="M25" s="146"/>
      <c r="N25" s="56"/>
      <c r="O25" s="62" t="s">
        <v>458</v>
      </c>
      <c r="P25" s="1481" t="str">
        <f>IF(Q25&lt;&gt;"",Q25,IF(OR(AB25=0,AB25=""),"",AB25))</f>
        <v/>
      </c>
      <c r="Q25" s="1480"/>
      <c r="R25" s="315"/>
      <c r="S25" s="318" t="s">
        <v>468</v>
      </c>
      <c r="T25" s="967" t="str">
        <f>IF(U25&lt;&gt;"",U25,IF(OR(AB60=0,AB60=""),"",AB60))</f>
        <v/>
      </c>
      <c r="U25" s="1058"/>
      <c r="V25" s="56"/>
      <c r="W25" s="79"/>
      <c r="X25" s="939" t="s">
        <v>482</v>
      </c>
      <c r="Y25" s="768"/>
      <c r="Z25" s="768"/>
      <c r="AA25" s="768" t="str">
        <f t="shared" si="3"/>
        <v>Date of Manufacture:</v>
      </c>
      <c r="AB25" s="1313"/>
      <c r="AC25" s="781" t="str">
        <f t="shared" si="1"/>
        <v/>
      </c>
      <c r="AD25" s="1479" t="str">
        <f t="shared" si="2"/>
        <v/>
      </c>
      <c r="AE25" s="786" t="s">
        <v>772</v>
      </c>
      <c r="AG25" s="1466"/>
      <c r="AH25" s="1466"/>
      <c r="AI25" s="1466"/>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7">
        <v>26</v>
      </c>
      <c r="B26" s="76"/>
      <c r="C26" s="56"/>
      <c r="D26" s="62"/>
      <c r="E26" s="63"/>
      <c r="F26" s="63"/>
      <c r="G26" s="63"/>
      <c r="H26" s="62" t="str">
        <f>IF(T26="","",S26)</f>
        <v/>
      </c>
      <c r="I26" s="474" t="str">
        <f t="shared" si="5"/>
        <v/>
      </c>
      <c r="J26" s="58"/>
      <c r="K26" s="79"/>
      <c r="L26" s="957" t="s">
        <v>482</v>
      </c>
      <c r="M26" s="146"/>
      <c r="N26" s="56"/>
      <c r="O26" s="62"/>
      <c r="P26" s="315"/>
      <c r="Q26" s="315"/>
      <c r="R26" s="315"/>
      <c r="S26" s="318" t="s">
        <v>469</v>
      </c>
      <c r="T26" s="967" t="str">
        <f>IF(U26&lt;&gt;"",U26,IF(OR(AB61=0,AB61=""),"",AB61))</f>
        <v/>
      </c>
      <c r="U26" s="1058"/>
      <c r="V26" s="56"/>
      <c r="W26" s="79"/>
      <c r="X26" s="939" t="s">
        <v>482</v>
      </c>
      <c r="Y26" s="768"/>
      <c r="Z26" s="768"/>
      <c r="AA26" s="768" t="str">
        <f t="shared" si="3"/>
        <v/>
      </c>
      <c r="AB26" s="768"/>
      <c r="AC26" s="781" t="str">
        <f t="shared" si="1"/>
        <v/>
      </c>
      <c r="AD26" s="827"/>
      <c r="AG26" s="1466"/>
      <c r="AH26" s="1466"/>
      <c r="AI26" s="1466"/>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7">
        <v>27</v>
      </c>
      <c r="B27" s="76"/>
      <c r="C27" s="56"/>
      <c r="D27" s="62" t="s">
        <v>470</v>
      </c>
      <c r="E27" s="66" t="str">
        <f>IF(P27="","",P27)</f>
        <v/>
      </c>
      <c r="F27" s="56"/>
      <c r="G27" s="63"/>
      <c r="H27" s="63"/>
      <c r="I27" s="114" t="s">
        <v>471</v>
      </c>
      <c r="J27" s="63"/>
      <c r="K27" s="79"/>
      <c r="L27" s="957" t="s">
        <v>482</v>
      </c>
      <c r="M27" s="146"/>
      <c r="N27" s="56"/>
      <c r="O27" s="62" t="s">
        <v>470</v>
      </c>
      <c r="P27" s="972" t="str">
        <f>IF(Q27&lt;&gt;"",Q27,IF(OR(AB27=0,AB27=""),"",AB27))</f>
        <v/>
      </c>
      <c r="Q27" s="1392"/>
      <c r="R27" s="315"/>
      <c r="S27" s="315"/>
      <c r="T27" s="779" t="s">
        <v>471</v>
      </c>
      <c r="U27" s="58"/>
      <c r="V27" s="56"/>
      <c r="W27" s="79"/>
      <c r="X27" s="939" t="s">
        <v>482</v>
      </c>
      <c r="Y27" s="768"/>
      <c r="Z27" s="768"/>
      <c r="AA27" s="768" t="str">
        <f t="shared" si="3"/>
        <v>Insert Manufacturer:</v>
      </c>
      <c r="AB27" s="1410"/>
      <c r="AC27" s="781" t="str">
        <f t="shared" si="1"/>
        <v/>
      </c>
      <c r="AD27" s="1390" t="str">
        <f t="shared" ref="AD27:AD42" si="6">IF(P27="","",P27)</f>
        <v/>
      </c>
      <c r="AE27" s="786" t="s">
        <v>773</v>
      </c>
      <c r="AG27" s="1466"/>
      <c r="AH27" s="1466"/>
      <c r="AI27" s="1466"/>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7">
        <v>28</v>
      </c>
      <c r="B28" s="76"/>
      <c r="C28" s="62"/>
      <c r="D28" s="62" t="s">
        <v>472</v>
      </c>
      <c r="E28" s="70" t="str">
        <f>IF(P28="","",P28)</f>
        <v/>
      </c>
      <c r="F28" s="56"/>
      <c r="G28" s="56"/>
      <c r="H28" s="62" t="s">
        <v>473</v>
      </c>
      <c r="I28" s="1451" t="str">
        <f>IF(T28="","",T28)</f>
        <v/>
      </c>
      <c r="J28" s="63"/>
      <c r="K28" s="79"/>
      <c r="L28" s="957" t="s">
        <v>482</v>
      </c>
      <c r="M28" s="146"/>
      <c r="N28" s="62"/>
      <c r="O28" s="62" t="s">
        <v>472</v>
      </c>
      <c r="P28" s="972" t="str">
        <f>IF(Q28&lt;&gt;"",Q28,IF(OR(AB28=0,AB28=""),"",AB28))</f>
        <v/>
      </c>
      <c r="Q28" s="1054"/>
      <c r="R28" s="315"/>
      <c r="S28" s="318" t="s">
        <v>473</v>
      </c>
      <c r="T28" s="974" t="str">
        <f>IF(U28&lt;&gt;"",U28,IF(OR(AB63=0,AB63=""),"",AB63))</f>
        <v/>
      </c>
      <c r="U28" s="1392"/>
      <c r="V28" s="58"/>
      <c r="W28" s="79"/>
      <c r="X28" s="939" t="s">
        <v>482</v>
      </c>
      <c r="Y28" s="768"/>
      <c r="Z28" s="768"/>
      <c r="AA28" s="768" t="str">
        <f t="shared" ref="AA28:AA43" si="7">IF(O28="","",O28)</f>
        <v>Insert Model:</v>
      </c>
      <c r="AB28" s="1410"/>
      <c r="AC28" s="781" t="str">
        <f t="shared" si="1"/>
        <v/>
      </c>
      <c r="AD28" s="1429" t="str">
        <f t="shared" si="6"/>
        <v/>
      </c>
      <c r="AE28" s="786" t="s">
        <v>774</v>
      </c>
      <c r="AG28" s="1466"/>
      <c r="AH28" s="1466"/>
      <c r="AI28" s="1466"/>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7">
        <v>29</v>
      </c>
      <c r="B29" s="76"/>
      <c r="C29" s="56"/>
      <c r="D29" s="62" t="s">
        <v>474</v>
      </c>
      <c r="E29" s="70" t="str">
        <f>IF(P29="","",P29)</f>
        <v/>
      </c>
      <c r="F29" s="56"/>
      <c r="G29" s="56"/>
      <c r="H29" s="62" t="s">
        <v>475</v>
      </c>
      <c r="I29" s="1451" t="str">
        <f>IF(T29="","",T29)</f>
        <v/>
      </c>
      <c r="J29" s="58"/>
      <c r="K29" s="80"/>
      <c r="L29" s="957" t="s">
        <v>482</v>
      </c>
      <c r="M29" s="146"/>
      <c r="N29" s="56"/>
      <c r="O29" s="62" t="s">
        <v>474</v>
      </c>
      <c r="P29" s="972" t="str">
        <f>IF(Q29&lt;&gt;"",Q29,IF(OR(AB29=0,AB29=""),"",AB29))</f>
        <v/>
      </c>
      <c r="Q29" s="1477"/>
      <c r="R29" s="315"/>
      <c r="S29" s="318" t="s">
        <v>475</v>
      </c>
      <c r="T29" s="974" t="str">
        <f>IF(U29&lt;&gt;"",U29,IF(OR(AB64=0,AB64=""),"",AB64))</f>
        <v/>
      </c>
      <c r="U29" s="1054"/>
      <c r="V29" s="58"/>
      <c r="W29" s="79"/>
      <c r="X29" s="939" t="s">
        <v>482</v>
      </c>
      <c r="Y29" s="768"/>
      <c r="Z29" s="768"/>
      <c r="AA29" s="768" t="str">
        <f t="shared" si="7"/>
        <v>Insert Serial Number:</v>
      </c>
      <c r="AB29" s="1410"/>
      <c r="AC29" s="781" t="str">
        <f t="shared" si="1"/>
        <v/>
      </c>
      <c r="AD29" s="1429" t="str">
        <f t="shared" si="6"/>
        <v/>
      </c>
      <c r="AE29" s="786" t="s">
        <v>775</v>
      </c>
      <c r="AG29" s="1466"/>
      <c r="AH29" s="1466"/>
      <c r="AI29" s="1466"/>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7">
        <v>30</v>
      </c>
      <c r="B30" s="76"/>
      <c r="C30" s="63"/>
      <c r="D30" s="56"/>
      <c r="E30" s="56"/>
      <c r="F30" s="56"/>
      <c r="G30" s="64"/>
      <c r="H30" s="56"/>
      <c r="I30" s="58"/>
      <c r="J30" s="58"/>
      <c r="K30" s="80"/>
      <c r="L30" s="957" t="s">
        <v>482</v>
      </c>
      <c r="M30" s="146"/>
      <c r="N30" s="56"/>
      <c r="O30" s="56"/>
      <c r="P30" s="315"/>
      <c r="Q30" s="315"/>
      <c r="R30" s="315"/>
      <c r="S30" s="318"/>
      <c r="T30" s="315"/>
      <c r="U30" s="56"/>
      <c r="V30" s="56"/>
      <c r="W30" s="79"/>
      <c r="X30" s="939" t="s">
        <v>482</v>
      </c>
      <c r="Y30" s="768"/>
      <c r="Z30" s="768"/>
      <c r="AA30" s="768" t="str">
        <f t="shared" si="7"/>
        <v/>
      </c>
      <c r="AB30" s="768"/>
      <c r="AC30" s="781" t="str">
        <f t="shared" si="1"/>
        <v/>
      </c>
      <c r="AD30" s="697"/>
      <c r="AG30" s="1466"/>
      <c r="AH30" s="1466"/>
      <c r="AI30" s="1466"/>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7">
        <v>31</v>
      </c>
      <c r="B31" s="76"/>
      <c r="C31" s="62"/>
      <c r="D31" s="62" t="s">
        <v>476</v>
      </c>
      <c r="E31" s="66" t="str">
        <f>IF(P31="","",P31)</f>
        <v/>
      </c>
      <c r="F31" s="56"/>
      <c r="G31" s="63"/>
      <c r="H31" s="63"/>
      <c r="I31" s="116" t="s">
        <v>477</v>
      </c>
      <c r="J31" s="61"/>
      <c r="K31" s="79"/>
      <c r="L31" s="957" t="s">
        <v>482</v>
      </c>
      <c r="M31" s="146"/>
      <c r="N31" s="62"/>
      <c r="O31" s="62" t="s">
        <v>476</v>
      </c>
      <c r="P31" s="972" t="str">
        <f>IF(Q31&lt;&gt;"",Q31,IF(OR(AB31=0,AB31=""),"",AB31))</f>
        <v/>
      </c>
      <c r="Q31" s="1392"/>
      <c r="R31" s="780"/>
      <c r="S31" s="315"/>
      <c r="T31" s="779" t="s">
        <v>477</v>
      </c>
      <c r="U31" s="156"/>
      <c r="V31" s="58"/>
      <c r="W31" s="79"/>
      <c r="X31" s="939" t="s">
        <v>482</v>
      </c>
      <c r="Y31" s="768"/>
      <c r="Z31" s="768"/>
      <c r="AA31" s="768" t="str">
        <f t="shared" si="7"/>
        <v>Housing Manufacturer:</v>
      </c>
      <c r="AB31" s="1410"/>
      <c r="AC31" s="781" t="str">
        <f t="shared" si="1"/>
        <v/>
      </c>
      <c r="AD31" s="1390" t="str">
        <f t="shared" si="6"/>
        <v/>
      </c>
      <c r="AE31" s="786" t="s">
        <v>776</v>
      </c>
      <c r="AG31" s="1466"/>
      <c r="AH31" s="1466"/>
      <c r="AI31" s="1466"/>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7">
        <v>32</v>
      </c>
      <c r="B32" s="76"/>
      <c r="C32" s="56"/>
      <c r="D32" s="62" t="s">
        <v>478</v>
      </c>
      <c r="E32" s="70" t="str">
        <f>IF(P32="","",P32)</f>
        <v/>
      </c>
      <c r="F32" s="56"/>
      <c r="G32" s="63"/>
      <c r="H32" s="62" t="s">
        <v>479</v>
      </c>
      <c r="I32" s="66" t="str">
        <f>IF(T32="","",T32)</f>
        <v/>
      </c>
      <c r="J32" s="55"/>
      <c r="K32" s="80"/>
      <c r="L32" s="957" t="s">
        <v>482</v>
      </c>
      <c r="M32" s="146"/>
      <c r="N32" s="56"/>
      <c r="O32" s="62" t="s">
        <v>478</v>
      </c>
      <c r="P32" s="972" t="str">
        <f>IF(Q32&lt;&gt;"",Q32,IF(OR(AB32=0,AB32=""),"",AB32))</f>
        <v/>
      </c>
      <c r="Q32" s="1054"/>
      <c r="R32" s="315"/>
      <c r="S32" s="318" t="s">
        <v>479</v>
      </c>
      <c r="T32" s="974" t="str">
        <f>IF(U32&lt;&gt;"",U32,IF(OR(AB67=0,AB67=""),"",AB67))</f>
        <v/>
      </c>
      <c r="U32" s="1392"/>
      <c r="V32" s="63"/>
      <c r="W32" s="79"/>
      <c r="X32" s="939" t="s">
        <v>482</v>
      </c>
      <c r="Y32" s="768"/>
      <c r="Z32" s="768"/>
      <c r="AA32" s="768" t="str">
        <f t="shared" si="7"/>
        <v>Housing Model:</v>
      </c>
      <c r="AB32" s="1410"/>
      <c r="AC32" s="781" t="str">
        <f t="shared" si="1"/>
        <v/>
      </c>
      <c r="AD32" s="1390" t="str">
        <f t="shared" si="6"/>
        <v/>
      </c>
      <c r="AE32" s="786" t="s">
        <v>777</v>
      </c>
      <c r="AG32" s="1466"/>
      <c r="AH32" s="1466"/>
      <c r="AI32" s="1466"/>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7">
        <v>33</v>
      </c>
      <c r="B33" s="76"/>
      <c r="C33" s="56"/>
      <c r="D33" s="62" t="s">
        <v>480</v>
      </c>
      <c r="E33" s="70" t="str">
        <f>IF(P33="","",P33)</f>
        <v/>
      </c>
      <c r="F33" s="56"/>
      <c r="G33" s="63"/>
      <c r="H33" s="62" t="s">
        <v>481</v>
      </c>
      <c r="I33" s="66" t="str">
        <f>IF(T33="","",T33)</f>
        <v/>
      </c>
      <c r="J33" s="55"/>
      <c r="K33" s="79"/>
      <c r="L33" s="957" t="s">
        <v>482</v>
      </c>
      <c r="M33" s="146"/>
      <c r="N33" s="56"/>
      <c r="O33" s="62" t="s">
        <v>480</v>
      </c>
      <c r="P33" s="972" t="str">
        <f>IF(Q33&lt;&gt;"",Q33,IF(OR(AB33=0,AB33=""),"",AB33))</f>
        <v/>
      </c>
      <c r="Q33" s="1477"/>
      <c r="R33" s="315"/>
      <c r="S33" s="318" t="s">
        <v>481</v>
      </c>
      <c r="T33" s="974" t="str">
        <f>IF(U33&lt;&gt;"",U33,IF(OR(AB68=0,AB68=""),"",AB68))</f>
        <v/>
      </c>
      <c r="U33" s="1054"/>
      <c r="V33" s="63"/>
      <c r="W33" s="79"/>
      <c r="X33" s="939" t="s">
        <v>482</v>
      </c>
      <c r="Y33" s="768"/>
      <c r="Z33" s="768"/>
      <c r="AA33" s="768" t="str">
        <f t="shared" si="7"/>
        <v>Housing Serial Number:</v>
      </c>
      <c r="AB33" s="1410"/>
      <c r="AC33" s="781" t="str">
        <f t="shared" si="1"/>
        <v/>
      </c>
      <c r="AD33" s="1390" t="str">
        <f t="shared" si="6"/>
        <v/>
      </c>
      <c r="AE33" s="786" t="s">
        <v>778</v>
      </c>
      <c r="AG33" s="1466"/>
      <c r="AH33" s="1466"/>
      <c r="AI33" s="1467"/>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7">
        <v>34</v>
      </c>
      <c r="B34" s="76"/>
      <c r="C34" s="56"/>
      <c r="D34" s="62"/>
      <c r="E34" s="62"/>
      <c r="F34" s="56"/>
      <c r="G34" s="56"/>
      <c r="H34" s="62"/>
      <c r="I34" s="56"/>
      <c r="J34" s="63"/>
      <c r="K34" s="79"/>
      <c r="L34" s="957" t="s">
        <v>482</v>
      </c>
      <c r="M34" s="146"/>
      <c r="N34" s="56"/>
      <c r="O34" s="62"/>
      <c r="P34" s="315"/>
      <c r="Q34" s="315"/>
      <c r="R34" s="315"/>
      <c r="S34" s="315"/>
      <c r="T34" s="315" t="s">
        <v>482</v>
      </c>
      <c r="U34" s="56"/>
      <c r="V34" s="56"/>
      <c r="W34" s="79"/>
      <c r="X34" s="939" t="s">
        <v>482</v>
      </c>
      <c r="Y34" s="768"/>
      <c r="Z34" s="768"/>
      <c r="AA34" s="768" t="str">
        <f t="shared" si="7"/>
        <v/>
      </c>
      <c r="AB34" s="768"/>
      <c r="AC34" s="781" t="str">
        <f t="shared" si="1"/>
        <v/>
      </c>
      <c r="AD34" s="827"/>
      <c r="AG34" s="1466"/>
      <c r="AH34" s="1466"/>
      <c r="AI34" s="1467"/>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7">
        <v>35</v>
      </c>
      <c r="B35" s="77"/>
      <c r="C35" s="73"/>
      <c r="D35" s="88"/>
      <c r="E35" s="73"/>
      <c r="F35" s="73"/>
      <c r="G35" s="73"/>
      <c r="H35" s="85"/>
      <c r="I35" s="73"/>
      <c r="J35" s="73"/>
      <c r="K35" s="78"/>
      <c r="L35" s="957" t="s">
        <v>482</v>
      </c>
      <c r="M35" s="146"/>
      <c r="N35" s="56"/>
      <c r="O35" s="62"/>
      <c r="P35" s="315"/>
      <c r="Q35" s="315"/>
      <c r="R35" s="315"/>
      <c r="S35" s="318"/>
      <c r="T35" s="315" t="s">
        <v>482</v>
      </c>
      <c r="U35" s="56"/>
      <c r="V35" s="56"/>
      <c r="W35" s="79"/>
      <c r="X35" s="939" t="s">
        <v>482</v>
      </c>
      <c r="Y35" s="768"/>
      <c r="Z35" s="432"/>
      <c r="AA35" s="768" t="str">
        <f t="shared" si="7"/>
        <v/>
      </c>
      <c r="AB35" s="768"/>
      <c r="AC35" s="781" t="str">
        <f t="shared" si="1"/>
        <v/>
      </c>
      <c r="AD35" s="827"/>
      <c r="AG35" s="1466"/>
      <c r="AH35" s="1466"/>
      <c r="AI35" s="1466"/>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7">
        <v>36</v>
      </c>
      <c r="B36" s="76"/>
      <c r="C36" s="115" t="str">
        <f>IF(N36="","",N36)</f>
        <v>X-Ray Tube 2</v>
      </c>
      <c r="D36" s="182"/>
      <c r="E36" s="198"/>
      <c r="F36" s="198"/>
      <c r="G36" s="198"/>
      <c r="H36" s="118"/>
      <c r="I36" s="117" t="s">
        <v>463</v>
      </c>
      <c r="J36" s="119"/>
      <c r="K36" s="79"/>
      <c r="L36" s="957" t="s">
        <v>482</v>
      </c>
      <c r="M36" s="146"/>
      <c r="N36" s="115" t="s">
        <v>483</v>
      </c>
      <c r="O36" s="62"/>
      <c r="P36" s="315"/>
      <c r="Q36" s="315"/>
      <c r="R36" s="315"/>
      <c r="S36" s="316"/>
      <c r="T36" s="779" t="s">
        <v>465</v>
      </c>
      <c r="U36" s="56"/>
      <c r="V36" s="58"/>
      <c r="W36" s="79"/>
      <c r="X36" s="939" t="s">
        <v>482</v>
      </c>
      <c r="Y36" s="768"/>
      <c r="Z36" s="768"/>
      <c r="AA36" s="775" t="s">
        <v>483</v>
      </c>
      <c r="AB36" s="768"/>
      <c r="AC36" s="781" t="str">
        <f t="shared" si="1"/>
        <v/>
      </c>
      <c r="AD36" s="827"/>
      <c r="AG36" s="1466"/>
      <c r="AH36" s="1466"/>
      <c r="AI36" s="1466"/>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7">
        <v>37</v>
      </c>
      <c r="B37" s="76"/>
      <c r="C37" s="182"/>
      <c r="D37" s="182" t="s">
        <v>466</v>
      </c>
      <c r="E37" s="70" t="str">
        <f>IF(P37="","",P37)</f>
        <v/>
      </c>
      <c r="F37" s="119"/>
      <c r="G37" s="198"/>
      <c r="H37" s="62" t="str">
        <f t="shared" ref="H37:I39" si="8">IF(S37="","",S37)</f>
        <v>Large:</v>
      </c>
      <c r="I37" s="474" t="str">
        <f t="shared" si="8"/>
        <v/>
      </c>
      <c r="J37" s="58"/>
      <c r="K37" s="81"/>
      <c r="L37" s="957" t="s">
        <v>482</v>
      </c>
      <c r="M37" s="146"/>
      <c r="N37" s="62"/>
      <c r="O37" s="62" t="s">
        <v>466</v>
      </c>
      <c r="P37" s="972" t="str">
        <f>IF(Q37&lt;&gt;"",Q37,IF(OR(AB37=0,AB37=""),"",AB37))</f>
        <v/>
      </c>
      <c r="Q37" s="1055"/>
      <c r="R37" s="315"/>
      <c r="S37" s="318" t="s">
        <v>467</v>
      </c>
      <c r="T37" s="967" t="str">
        <f>IF(U37&lt;&gt;"",U37,IF(OR(AB71=0,AB71=""),"",AB71))</f>
        <v/>
      </c>
      <c r="U37" s="1057"/>
      <c r="V37" s="58"/>
      <c r="W37" s="79"/>
      <c r="X37" s="939" t="s">
        <v>482</v>
      </c>
      <c r="Y37" s="768"/>
      <c r="Z37" s="768"/>
      <c r="AA37" s="768" t="str">
        <f t="shared" si="7"/>
        <v>Tube Designation/Use:</v>
      </c>
      <c r="AB37" s="1410"/>
      <c r="AC37" s="781" t="str">
        <f t="shared" si="1"/>
        <v/>
      </c>
      <c r="AD37" s="1390" t="str">
        <f t="shared" si="6"/>
        <v/>
      </c>
      <c r="AE37" s="786" t="s">
        <v>779</v>
      </c>
      <c r="AG37" s="1466"/>
      <c r="AH37" s="1466"/>
      <c r="AI37" s="1467"/>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7">
        <v>38</v>
      </c>
      <c r="B38" s="76"/>
      <c r="C38" s="182"/>
      <c r="D38" s="182" t="s">
        <v>458</v>
      </c>
      <c r="E38" s="1486" t="str">
        <f>IF(P38="","",P38)</f>
        <v/>
      </c>
      <c r="F38" s="119"/>
      <c r="G38" s="198"/>
      <c r="H38" s="62" t="str">
        <f t="shared" si="8"/>
        <v>Small:</v>
      </c>
      <c r="I38" s="474" t="str">
        <f t="shared" si="8"/>
        <v/>
      </c>
      <c r="J38" s="58"/>
      <c r="K38" s="81"/>
      <c r="L38" s="957" t="s">
        <v>482</v>
      </c>
      <c r="M38" s="146"/>
      <c r="N38" s="62"/>
      <c r="O38" s="62" t="s">
        <v>458</v>
      </c>
      <c r="P38" s="1481" t="str">
        <f>IF(Q38&lt;&gt;"",Q38,IF(OR(AB38=0,AB38=""),"",AB38))</f>
        <v/>
      </c>
      <c r="Q38" s="1480"/>
      <c r="R38" s="315"/>
      <c r="S38" s="318" t="s">
        <v>468</v>
      </c>
      <c r="T38" s="967" t="str">
        <f>IF(U38&lt;&gt;"",U38,IF(OR(AB72=0,AB72=""),"",AB72))</f>
        <v/>
      </c>
      <c r="U38" s="1058"/>
      <c r="V38" s="58"/>
      <c r="W38" s="79"/>
      <c r="X38" s="939" t="s">
        <v>482</v>
      </c>
      <c r="Y38" s="768"/>
      <c r="Z38" s="768"/>
      <c r="AA38" s="768" t="str">
        <f t="shared" si="7"/>
        <v>Date of Manufacture:</v>
      </c>
      <c r="AB38" s="1313"/>
      <c r="AC38" s="781" t="str">
        <f t="shared" si="1"/>
        <v/>
      </c>
      <c r="AD38" s="1479" t="str">
        <f t="shared" si="6"/>
        <v/>
      </c>
      <c r="AE38" s="786" t="s">
        <v>780</v>
      </c>
      <c r="AG38" s="1466"/>
      <c r="AH38" s="1466"/>
      <c r="AI38" s="1466"/>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7">
        <v>39</v>
      </c>
      <c r="B39" s="76"/>
      <c r="C39" s="182"/>
      <c r="D39" s="182"/>
      <c r="E39" s="198"/>
      <c r="F39" s="198"/>
      <c r="G39" s="198"/>
      <c r="H39" s="62" t="str">
        <f>IF(T39="","",S39)</f>
        <v/>
      </c>
      <c r="I39" s="474" t="str">
        <f t="shared" si="8"/>
        <v/>
      </c>
      <c r="J39" s="58" t="str">
        <f>IF(T39="","",U39)</f>
        <v/>
      </c>
      <c r="K39" s="81"/>
      <c r="L39" s="957" t="s">
        <v>482</v>
      </c>
      <c r="M39" s="146"/>
      <c r="N39" s="62"/>
      <c r="O39" s="62"/>
      <c r="P39" s="315"/>
      <c r="Q39" s="315"/>
      <c r="R39" s="315"/>
      <c r="S39" s="318" t="s">
        <v>469</v>
      </c>
      <c r="T39" s="967" t="str">
        <f>IF(U39&lt;&gt;"",U39,IF(OR(AB73=0,AB73=""),"",AB73))</f>
        <v/>
      </c>
      <c r="U39" s="1058"/>
      <c r="V39" s="56"/>
      <c r="W39" s="79"/>
      <c r="X39" s="939" t="s">
        <v>482</v>
      </c>
      <c r="Y39" s="768"/>
      <c r="Z39" s="768"/>
      <c r="AA39" s="768" t="str">
        <f t="shared" si="7"/>
        <v/>
      </c>
      <c r="AB39" s="768"/>
      <c r="AC39" s="781" t="str">
        <f t="shared" si="1"/>
        <v/>
      </c>
      <c r="AD39" s="697"/>
      <c r="AG39" s="1466"/>
      <c r="AH39" s="1466"/>
      <c r="AI39" s="1466"/>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7">
        <v>40</v>
      </c>
      <c r="B40" s="76"/>
      <c r="C40" s="182"/>
      <c r="D40" s="182" t="s">
        <v>470</v>
      </c>
      <c r="E40" s="66" t="str">
        <f>IF(P40="","",P40)</f>
        <v/>
      </c>
      <c r="F40" s="119"/>
      <c r="G40" s="198"/>
      <c r="H40" s="198"/>
      <c r="I40" s="117" t="s">
        <v>471</v>
      </c>
      <c r="J40" s="119"/>
      <c r="K40" s="79"/>
      <c r="L40" s="957" t="s">
        <v>482</v>
      </c>
      <c r="M40" s="146"/>
      <c r="N40" s="62"/>
      <c r="O40" s="62" t="s">
        <v>470</v>
      </c>
      <c r="P40" s="972" t="str">
        <f>IF(Q40&lt;&gt;"",Q40,IF(OR(AB40=0,AB40=""),"",AB40))</f>
        <v/>
      </c>
      <c r="Q40" s="1055"/>
      <c r="R40" s="315"/>
      <c r="S40" s="315"/>
      <c r="T40" s="779" t="s">
        <v>471</v>
      </c>
      <c r="U40" s="56"/>
      <c r="V40" s="56"/>
      <c r="W40" s="79"/>
      <c r="X40" s="939" t="s">
        <v>482</v>
      </c>
      <c r="Y40" s="768"/>
      <c r="Z40" s="768"/>
      <c r="AA40" s="768" t="str">
        <f t="shared" si="7"/>
        <v>Insert Manufacturer:</v>
      </c>
      <c r="AB40" s="1410"/>
      <c r="AC40" s="781" t="str">
        <f t="shared" si="1"/>
        <v/>
      </c>
      <c r="AD40" s="1390" t="str">
        <f t="shared" si="6"/>
        <v/>
      </c>
      <c r="AE40" s="786" t="s">
        <v>781</v>
      </c>
      <c r="AG40" s="1466"/>
      <c r="AH40" s="1466"/>
      <c r="AI40" s="1466"/>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7">
        <v>41</v>
      </c>
      <c r="B41" s="76"/>
      <c r="C41" s="182"/>
      <c r="D41" s="182" t="s">
        <v>472</v>
      </c>
      <c r="E41" s="70" t="str">
        <f>IF(P41="","",P41)</f>
        <v/>
      </c>
      <c r="F41" s="119"/>
      <c r="G41" s="198"/>
      <c r="H41" s="182" t="s">
        <v>473</v>
      </c>
      <c r="I41" s="474" t="str">
        <f>IF(T41="","",T41)</f>
        <v/>
      </c>
      <c r="J41" s="119"/>
      <c r="K41" s="79"/>
      <c r="L41" s="957" t="s">
        <v>482</v>
      </c>
      <c r="M41" s="146"/>
      <c r="N41" s="62"/>
      <c r="O41" s="62" t="s">
        <v>472</v>
      </c>
      <c r="P41" s="972" t="str">
        <f>IF(Q41&lt;&gt;"",Q41,IF(OR(AB41=0,AB41=""),"",AB41))</f>
        <v/>
      </c>
      <c r="Q41" s="1054"/>
      <c r="R41" s="315"/>
      <c r="S41" s="318" t="s">
        <v>473</v>
      </c>
      <c r="T41" s="967" t="str">
        <f>IF(U41&lt;&gt;"",U41,IF(OR(AB76=0,AB76=""),"",AB76))</f>
        <v/>
      </c>
      <c r="U41" s="1055"/>
      <c r="V41" s="58"/>
      <c r="W41" s="79"/>
      <c r="X41" s="939" t="s">
        <v>482</v>
      </c>
      <c r="Y41" s="768"/>
      <c r="Z41" s="768"/>
      <c r="AA41" s="768" t="str">
        <f t="shared" si="7"/>
        <v>Insert Model:</v>
      </c>
      <c r="AB41" s="1410"/>
      <c r="AC41" s="781" t="str">
        <f t="shared" si="1"/>
        <v/>
      </c>
      <c r="AD41" s="1390" t="str">
        <f t="shared" si="6"/>
        <v/>
      </c>
      <c r="AE41" s="786" t="s">
        <v>782</v>
      </c>
      <c r="AG41" s="1466"/>
      <c r="AH41" s="1466"/>
      <c r="AI41" s="1466"/>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7">
        <v>42</v>
      </c>
      <c r="B42" s="76"/>
      <c r="C42" s="182"/>
      <c r="D42" s="182" t="s">
        <v>474</v>
      </c>
      <c r="E42" s="70" t="str">
        <f>IF(P42="","",P42)</f>
        <v/>
      </c>
      <c r="F42" s="119"/>
      <c r="G42" s="119"/>
      <c r="H42" s="182" t="s">
        <v>475</v>
      </c>
      <c r="I42" s="474" t="str">
        <f>IF(T42="","",T42)</f>
        <v/>
      </c>
      <c r="J42" s="198"/>
      <c r="K42" s="80"/>
      <c r="L42" s="957" t="s">
        <v>482</v>
      </c>
      <c r="M42" s="146"/>
      <c r="N42" s="62"/>
      <c r="O42" s="62" t="s">
        <v>474</v>
      </c>
      <c r="P42" s="972" t="str">
        <f>IF(Q42&lt;&gt;"",Q42,IF(OR(AB42=0,AB42=""),"",AB42))</f>
        <v/>
      </c>
      <c r="Q42" s="1054"/>
      <c r="R42" s="315"/>
      <c r="S42" s="318" t="s">
        <v>475</v>
      </c>
      <c r="T42" s="967" t="str">
        <f>IF(U42&lt;&gt;"",U42,IF(OR(AB77=0,AB77=""),"",AB77))</f>
        <v/>
      </c>
      <c r="U42" s="1054"/>
      <c r="V42" s="58"/>
      <c r="W42" s="79"/>
      <c r="X42" s="939" t="s">
        <v>482</v>
      </c>
      <c r="Y42" s="768"/>
      <c r="Z42" s="768"/>
      <c r="AA42" s="768" t="str">
        <f t="shared" si="7"/>
        <v>Insert Serial Number:</v>
      </c>
      <c r="AB42" s="1410"/>
      <c r="AC42" s="781" t="str">
        <f t="shared" si="1"/>
        <v/>
      </c>
      <c r="AD42" s="1390" t="str">
        <f t="shared" si="6"/>
        <v/>
      </c>
      <c r="AE42" s="786" t="s">
        <v>783</v>
      </c>
      <c r="AG42" s="1466"/>
      <c r="AH42" s="1466"/>
      <c r="AI42" s="1466"/>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7">
        <v>43</v>
      </c>
      <c r="B43" s="76"/>
      <c r="C43" s="182"/>
      <c r="D43" s="182"/>
      <c r="E43" s="119"/>
      <c r="F43" s="119"/>
      <c r="G43" s="119"/>
      <c r="H43" s="119"/>
      <c r="I43" s="119"/>
      <c r="J43" s="198"/>
      <c r="K43" s="80"/>
      <c r="L43" s="957" t="s">
        <v>482</v>
      </c>
      <c r="M43" s="146"/>
      <c r="N43" s="62"/>
      <c r="O43" s="62"/>
      <c r="P43" s="315"/>
      <c r="Q43" s="315"/>
      <c r="R43" s="315"/>
      <c r="S43" s="315"/>
      <c r="T43" s="315"/>
      <c r="U43" s="56"/>
      <c r="V43" s="58"/>
      <c r="W43" s="79"/>
      <c r="X43" s="939" t="s">
        <v>482</v>
      </c>
      <c r="Y43" s="768"/>
      <c r="Z43" s="768"/>
      <c r="AA43" s="768" t="str">
        <f t="shared" si="7"/>
        <v/>
      </c>
      <c r="AB43" s="768"/>
      <c r="AC43" s="781" t="str">
        <f t="shared" si="1"/>
        <v/>
      </c>
      <c r="AD43" s="697"/>
      <c r="AG43" s="1466"/>
      <c r="AH43" s="1466"/>
      <c r="AI43" s="1466"/>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7">
        <v>44</v>
      </c>
      <c r="B44" s="76"/>
      <c r="C44" s="182"/>
      <c r="D44" s="182" t="s">
        <v>476</v>
      </c>
      <c r="E44" s="66" t="str">
        <f>IF(P44="","",P44)</f>
        <v/>
      </c>
      <c r="F44" s="119"/>
      <c r="G44" s="198"/>
      <c r="H44" s="198"/>
      <c r="I44" s="497" t="s">
        <v>477</v>
      </c>
      <c r="J44" s="498"/>
      <c r="K44" s="80"/>
      <c r="L44" s="957" t="s">
        <v>482</v>
      </c>
      <c r="M44" s="146"/>
      <c r="N44" s="62"/>
      <c r="O44" s="62" t="s">
        <v>476</v>
      </c>
      <c r="P44" s="972" t="str">
        <f>IF(Q44&lt;&gt;"",Q44,IF(OR(AB44=0,AB44=""),"",AB44))</f>
        <v/>
      </c>
      <c r="Q44" s="1055"/>
      <c r="R44" s="315"/>
      <c r="S44" s="315"/>
      <c r="T44" s="779" t="s">
        <v>477</v>
      </c>
      <c r="U44" s="156"/>
      <c r="V44" s="56"/>
      <c r="W44" s="79"/>
      <c r="X44" s="939" t="s">
        <v>482</v>
      </c>
      <c r="Y44" s="768"/>
      <c r="Z44" s="768"/>
      <c r="AA44" s="768" t="str">
        <f>IF(O44="","",O44)</f>
        <v>Housing Manufacturer:</v>
      </c>
      <c r="AB44" s="1410"/>
      <c r="AC44" s="781" t="str">
        <f t="shared" si="1"/>
        <v/>
      </c>
      <c r="AD44" s="1390" t="str">
        <f>IF(P44="","",P44)</f>
        <v/>
      </c>
      <c r="AE44" s="786" t="s">
        <v>784</v>
      </c>
      <c r="AG44" s="1466"/>
      <c r="AH44" s="1466"/>
      <c r="AI44" s="1467"/>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7">
        <v>45</v>
      </c>
      <c r="B45" s="76"/>
      <c r="C45" s="182"/>
      <c r="D45" s="182" t="s">
        <v>478</v>
      </c>
      <c r="E45" s="70" t="str">
        <f>IF(P45="","",P45)</f>
        <v/>
      </c>
      <c r="F45" s="119"/>
      <c r="G45" s="198"/>
      <c r="H45" s="182" t="s">
        <v>479</v>
      </c>
      <c r="I45" s="70" t="str">
        <f>IF(T45="","",T45)</f>
        <v/>
      </c>
      <c r="J45" s="54"/>
      <c r="K45" s="79"/>
      <c r="L45" s="957" t="s">
        <v>482</v>
      </c>
      <c r="M45" s="146"/>
      <c r="N45" s="62"/>
      <c r="O45" s="62" t="s">
        <v>478</v>
      </c>
      <c r="P45" s="972" t="str">
        <f>IF(Q45&lt;&gt;"",Q45,IF(OR(AB45=0,AB45=""),"",AB45))</f>
        <v/>
      </c>
      <c r="Q45" s="1054"/>
      <c r="R45" s="315"/>
      <c r="S45" s="318" t="s">
        <v>479</v>
      </c>
      <c r="T45" s="974" t="str">
        <f>IF(U45&lt;&gt;"",U45,IF(OR(AB80=0,AB80=""),"",AB80))</f>
        <v/>
      </c>
      <c r="U45" s="1392"/>
      <c r="V45" s="56"/>
      <c r="W45" s="79"/>
      <c r="X45" s="939" t="s">
        <v>482</v>
      </c>
      <c r="Y45" s="768"/>
      <c r="Z45" s="768"/>
      <c r="AA45" s="768" t="str">
        <f>IF(O45="","",O45)</f>
        <v>Housing Model:</v>
      </c>
      <c r="AB45" s="1410"/>
      <c r="AC45" s="781" t="str">
        <f t="shared" si="1"/>
        <v/>
      </c>
      <c r="AD45" s="1390" t="str">
        <f>IF(P45="","",P45)</f>
        <v/>
      </c>
      <c r="AE45" s="786" t="s">
        <v>785</v>
      </c>
      <c r="AG45" s="1466"/>
      <c r="AH45" s="1466"/>
      <c r="AI45" s="1467"/>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7">
        <v>46</v>
      </c>
      <c r="B46" s="76"/>
      <c r="C46" s="182"/>
      <c r="D46" s="182" t="s">
        <v>480</v>
      </c>
      <c r="E46" s="70" t="str">
        <f>IF(P46="","",P46)</f>
        <v/>
      </c>
      <c r="F46" s="119"/>
      <c r="G46" s="198"/>
      <c r="H46" s="182" t="s">
        <v>481</v>
      </c>
      <c r="I46" s="70" t="str">
        <f>IF(T46="","",T46)</f>
        <v/>
      </c>
      <c r="J46" s="54"/>
      <c r="K46" s="79"/>
      <c r="L46" s="957" t="s">
        <v>482</v>
      </c>
      <c r="M46" s="146"/>
      <c r="N46" s="62"/>
      <c r="O46" s="62" t="s">
        <v>480</v>
      </c>
      <c r="P46" s="972" t="str">
        <f>IF(Q46&lt;&gt;"",Q46,IF(OR(AB46=0,AB46=""),"",AB46))</f>
        <v/>
      </c>
      <c r="Q46" s="1054"/>
      <c r="R46" s="315"/>
      <c r="S46" s="318" t="s">
        <v>481</v>
      </c>
      <c r="T46" s="974" t="str">
        <f>IF(U46&lt;&gt;"",U46,IF(OR(AB81=0,AB81=""),"",AB81))</f>
        <v/>
      </c>
      <c r="U46" s="1054"/>
      <c r="V46" s="56"/>
      <c r="W46" s="79"/>
      <c r="X46" s="939" t="s">
        <v>482</v>
      </c>
      <c r="Y46" s="768"/>
      <c r="Z46" s="768"/>
      <c r="AA46" s="768" t="str">
        <f>IF(O46="","",O46)</f>
        <v>Housing Serial Number:</v>
      </c>
      <c r="AB46" s="1410"/>
      <c r="AC46" s="781" t="str">
        <f t="shared" si="1"/>
        <v/>
      </c>
      <c r="AD46" s="1390" t="str">
        <f>IF(P46="","",P46)</f>
        <v/>
      </c>
      <c r="AE46" s="786" t="s">
        <v>786</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7">
        <v>47</v>
      </c>
      <c r="B47" s="82"/>
      <c r="C47" s="94"/>
      <c r="D47" s="94"/>
      <c r="E47" s="94"/>
      <c r="F47" s="94"/>
      <c r="G47" s="94"/>
      <c r="H47" s="94"/>
      <c r="I47" s="94"/>
      <c r="J47" s="83"/>
      <c r="K47" s="84"/>
      <c r="L47" s="957" t="s">
        <v>482</v>
      </c>
      <c r="M47" s="164"/>
      <c r="N47" s="165"/>
      <c r="O47" s="83"/>
      <c r="P47" s="83"/>
      <c r="Q47" s="83"/>
      <c r="R47" s="166"/>
      <c r="S47" s="83"/>
      <c r="T47" s="167"/>
      <c r="U47" s="167"/>
      <c r="V47" s="167"/>
      <c r="W47" s="84"/>
      <c r="X47" s="939" t="s">
        <v>482</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7">
        <v>48</v>
      </c>
      <c r="B48" s="98"/>
      <c r="C48" s="98"/>
      <c r="D48" s="98"/>
      <c r="E48" s="98"/>
      <c r="F48" s="98"/>
      <c r="G48" s="98"/>
      <c r="H48" s="98"/>
      <c r="I48" s="98"/>
      <c r="J48" s="98"/>
      <c r="K48" s="63"/>
      <c r="L48" s="957" t="s">
        <v>482</v>
      </c>
      <c r="M48" s="98"/>
      <c r="N48" s="98"/>
      <c r="O48" s="98"/>
      <c r="P48" s="98"/>
      <c r="Q48" s="98"/>
      <c r="R48" s="98"/>
      <c r="S48" s="98"/>
      <c r="T48" s="98"/>
      <c r="U48" s="98"/>
      <c r="V48" s="98"/>
      <c r="W48" s="98"/>
      <c r="X48" s="939" t="s">
        <v>482</v>
      </c>
      <c r="Y48" s="768"/>
      <c r="Z48" s="119"/>
      <c r="AA48" s="768" t="str">
        <f>IF(S11="","",S11)</f>
        <v>Site Number:</v>
      </c>
      <c r="AB48" s="1410"/>
      <c r="AC48" s="781" t="str">
        <f t="shared" si="1"/>
        <v/>
      </c>
      <c r="AD48" s="1390" t="str">
        <f>IF(T11="","",T11)</f>
        <v/>
      </c>
      <c r="AE48" s="786" t="s">
        <v>787</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7">
        <v>49</v>
      </c>
      <c r="B49" s="63"/>
      <c r="C49" s="63"/>
      <c r="D49" s="63"/>
      <c r="E49" s="63"/>
      <c r="F49" s="336" t="s">
        <v>484</v>
      </c>
      <c r="G49" s="63"/>
      <c r="H49" s="63"/>
      <c r="I49" s="63"/>
      <c r="J49" s="63"/>
      <c r="K49" s="63"/>
      <c r="L49" s="957" t="s">
        <v>482</v>
      </c>
      <c r="M49" s="111"/>
      <c r="N49" s="63"/>
      <c r="O49" s="63"/>
      <c r="P49" s="63"/>
      <c r="Q49" s="63"/>
      <c r="R49" s="336" t="str">
        <f>$F$49</f>
        <v>Inspection Results</v>
      </c>
      <c r="S49" s="63"/>
      <c r="T49" s="63"/>
      <c r="U49" s="63"/>
      <c r="V49" s="63"/>
      <c r="W49" s="63"/>
      <c r="X49" s="939" t="s">
        <v>482</v>
      </c>
      <c r="Y49" s="768"/>
      <c r="Z49" s="119"/>
      <c r="AA49" s="768" t="str">
        <f t="shared" ref="AA49:AA53" si="9">IF(S12="","",S12)</f>
        <v>Authorized Use:</v>
      </c>
      <c r="AB49" s="1410"/>
      <c r="AC49" s="781" t="str">
        <f t="shared" si="1"/>
        <v/>
      </c>
      <c r="AD49" s="1390" t="str">
        <f>IF(T12="","",T12)</f>
        <v/>
      </c>
      <c r="AE49" s="786" t="s">
        <v>788</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7">
        <v>50</v>
      </c>
      <c r="B50" s="63"/>
      <c r="C50" s="63"/>
      <c r="D50" s="63"/>
      <c r="E50" s="63"/>
      <c r="F50" s="63"/>
      <c r="G50" s="63"/>
      <c r="H50" s="63"/>
      <c r="I50" s="63"/>
      <c r="J50" s="63"/>
      <c r="K50" s="63"/>
      <c r="L50" s="957" t="s">
        <v>482</v>
      </c>
      <c r="N50" s="100"/>
      <c r="O50" s="100"/>
      <c r="P50" s="3"/>
      <c r="Q50" s="63"/>
      <c r="R50" s="63"/>
      <c r="S50" s="63"/>
      <c r="T50" s="63"/>
      <c r="U50" s="63"/>
      <c r="V50" s="63"/>
      <c r="W50" s="63"/>
      <c r="X50" s="939" t="s">
        <v>482</v>
      </c>
      <c r="Y50" s="768"/>
      <c r="Z50" s="119"/>
      <c r="AA50" s="768" t="str">
        <f t="shared" si="9"/>
        <v>Date of Installation:</v>
      </c>
      <c r="AB50" s="1313"/>
      <c r="AC50" s="781" t="str">
        <f t="shared" si="1"/>
        <v/>
      </c>
      <c r="AD50" s="1430" t="str">
        <f>IF(T13="","",T13)</f>
        <v/>
      </c>
      <c r="AE50" s="786" t="s">
        <v>789</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7">
        <v>51</v>
      </c>
      <c r="B51" s="158"/>
      <c r="C51" s="133"/>
      <c r="D51" s="133"/>
      <c r="E51" s="133"/>
      <c r="F51" s="133"/>
      <c r="G51" s="133"/>
      <c r="H51" s="133"/>
      <c r="I51" s="133"/>
      <c r="J51" s="133"/>
      <c r="K51" s="75"/>
      <c r="L51" s="957" t="s">
        <v>482</v>
      </c>
      <c r="M51" s="160" t="s">
        <v>488</v>
      </c>
      <c r="N51" s="133"/>
      <c r="O51" s="133"/>
      <c r="P51" s="133"/>
      <c r="Q51" s="133"/>
      <c r="R51" s="133"/>
      <c r="S51" s="133"/>
      <c r="T51" s="133"/>
      <c r="U51" s="133"/>
      <c r="V51" s="133"/>
      <c r="W51" s="75"/>
      <c r="X51" s="939" t="s">
        <v>482</v>
      </c>
      <c r="Y51" s="768"/>
      <c r="Z51" s="119"/>
      <c r="AA51" s="768" t="str">
        <f>IF(S14="","",S14)</f>
        <v>Number of X-ray Tubes:</v>
      </c>
      <c r="AB51" s="1411"/>
      <c r="AC51" s="781" t="str">
        <f t="shared" si="1"/>
        <v/>
      </c>
      <c r="AD51" s="1429" t="str">
        <f>IF(T14="","",T14)</f>
        <v/>
      </c>
      <c r="AE51" s="786" t="s">
        <v>790</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7">
        <v>52</v>
      </c>
      <c r="B52" s="128" t="s">
        <v>485</v>
      </c>
      <c r="C52" s="157"/>
      <c r="D52" s="56"/>
      <c r="E52" s="56"/>
      <c r="F52" s="117" t="s">
        <v>486</v>
      </c>
      <c r="G52" s="119"/>
      <c r="H52" s="119"/>
      <c r="I52" s="119"/>
      <c r="J52" s="523" t="s">
        <v>487</v>
      </c>
      <c r="K52" s="503"/>
      <c r="L52" s="957" t="s">
        <v>482</v>
      </c>
      <c r="M52" s="1139">
        <f>IF(N52&lt;&gt;"",N52,IF(OR(AB82=0,AB82=""),"",AB82))</f>
        <v>2</v>
      </c>
      <c r="N52" s="1048">
        <v>2</v>
      </c>
      <c r="O52" s="456" t="s">
        <v>1260</v>
      </c>
      <c r="P52" s="56"/>
      <c r="Q52" s="63"/>
      <c r="R52" s="1014"/>
      <c r="S52" s="1014" t="s">
        <v>383</v>
      </c>
      <c r="T52" s="826" t="s">
        <v>489</v>
      </c>
      <c r="U52" s="1013"/>
      <c r="V52" s="56"/>
      <c r="W52" s="79"/>
      <c r="X52" s="939" t="s">
        <v>482</v>
      </c>
      <c r="Y52" s="768"/>
      <c r="Z52" s="119"/>
      <c r="AA52" s="768" t="str">
        <f t="shared" si="9"/>
        <v>Accession Number:</v>
      </c>
      <c r="AB52" s="1411"/>
      <c r="AC52" s="781" t="str">
        <f t="shared" si="1"/>
        <v/>
      </c>
      <c r="AD52" s="1429"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7">
        <v>53</v>
      </c>
      <c r="B53" s="130"/>
      <c r="C53" s="156"/>
      <c r="D53" s="118"/>
      <c r="E53" s="119"/>
      <c r="F53" s="119"/>
      <c r="G53" s="119"/>
      <c r="H53" s="119"/>
      <c r="I53" s="119"/>
      <c r="J53" s="521"/>
      <c r="K53" s="522" t="str">
        <f>IF($M$53=1,"",IF(M55=2,"NO",""))</f>
        <v/>
      </c>
      <c r="L53" s="957" t="s">
        <v>482</v>
      </c>
      <c r="M53" s="1139" t="str">
        <f>IF(N53&lt;&gt;"",N53,IF(OR(AB83=0,AB83=""),"",AB83))</f>
        <v/>
      </c>
      <c r="N53" s="1048"/>
      <c r="O53" s="58" t="s">
        <v>1159</v>
      </c>
      <c r="P53" s="63"/>
      <c r="Q53" s="63"/>
      <c r="R53" s="63"/>
      <c r="S53" s="63"/>
      <c r="T53" s="63"/>
      <c r="U53" s="63"/>
      <c r="V53" s="63"/>
      <c r="W53" s="81"/>
      <c r="X53" s="939" t="s">
        <v>482</v>
      </c>
      <c r="Y53" s="768"/>
      <c r="Z53" s="119"/>
      <c r="AA53" s="768" t="str">
        <f t="shared" si="9"/>
        <v/>
      </c>
      <c r="AB53" s="769"/>
      <c r="AC53" s="781" t="str">
        <f t="shared" si="1"/>
        <v/>
      </c>
      <c r="AD53" s="1234"/>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7">
        <v>54</v>
      </c>
      <c r="B54" s="130" t="s">
        <v>60</v>
      </c>
      <c r="C54" s="156"/>
      <c r="D54" s="118" t="s">
        <v>61</v>
      </c>
      <c r="E54" s="119"/>
      <c r="F54" s="119"/>
      <c r="G54" s="119"/>
      <c r="H54" s="119"/>
      <c r="I54" s="119"/>
      <c r="J54" s="134" t="str">
        <f>IF($M$53=1,$T$52,IF(M56="","TBD",IF(M56=1,"YES",IF(M56=3,"NA",""))))</f>
        <v>TBD</v>
      </c>
      <c r="K54" s="522" t="str">
        <f>IF($M$53=1,"",IF(M56=2,"NO",""))</f>
        <v/>
      </c>
      <c r="L54" s="957" t="s">
        <v>482</v>
      </c>
      <c r="M54" s="155"/>
      <c r="N54" s="63"/>
      <c r="O54" s="63"/>
      <c r="P54" s="63"/>
      <c r="Q54" s="117" t="s">
        <v>486</v>
      </c>
      <c r="R54" s="63"/>
      <c r="S54" s="63"/>
      <c r="T54" s="1048"/>
      <c r="U54" s="1140" t="str">
        <f>IF(T54&lt;&gt;"",T54,IF(OR(AB84=0,AB84=""),"",AB84))</f>
        <v/>
      </c>
      <c r="V54" s="115" t="s">
        <v>490</v>
      </c>
      <c r="W54" s="81"/>
      <c r="X54" s="939" t="s">
        <v>482</v>
      </c>
      <c r="Y54" s="768"/>
      <c r="Z54" s="119"/>
      <c r="AA54" s="768" t="str">
        <f>IF(S18="","",S18)</f>
        <v>Date of Manufacture:</v>
      </c>
      <c r="AB54" s="1313"/>
      <c r="AC54" s="781" t="str">
        <f t="shared" ref="AC54:AC73" si="10">IF(AND(OR(AB54="",AB54=0),OR(AD54="",AD54=0)),"",IF(AB54&lt;&gt;AD54,"Change",""))</f>
        <v/>
      </c>
      <c r="AD54" s="1430" t="str">
        <f>IF(T18="","",T18)</f>
        <v/>
      </c>
      <c r="AE54" s="786" t="s">
        <v>791</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7">
        <v>55</v>
      </c>
      <c r="B55" s="130" t="s">
        <v>56</v>
      </c>
      <c r="C55" s="156"/>
      <c r="D55" s="118" t="s">
        <v>50</v>
      </c>
      <c r="E55" s="119"/>
      <c r="F55" s="119"/>
      <c r="G55" s="119"/>
      <c r="H55" s="119"/>
      <c r="I55" s="119"/>
      <c r="J55" s="134" t="str">
        <f>IF($M$53=1,$T$52,IF(M57="","TBD",IF(M57=1,"YES",IF(M57=3,"NA",""))))</f>
        <v>TBD</v>
      </c>
      <c r="K55" s="522" t="str">
        <f>IF($M$53=1,"",IF(M57=2,"NO",""))</f>
        <v/>
      </c>
      <c r="L55" s="957" t="s">
        <v>482</v>
      </c>
      <c r="M55" s="864"/>
      <c r="N55" s="58"/>
      <c r="O55" s="118"/>
      <c r="P55" s="56"/>
      <c r="Q55" s="56"/>
      <c r="R55" s="56"/>
      <c r="S55" s="56"/>
      <c r="T55" s="56"/>
      <c r="U55" s="63"/>
      <c r="V55" s="115" t="s">
        <v>491</v>
      </c>
      <c r="W55" s="79"/>
      <c r="X55" s="939" t="s">
        <v>482</v>
      </c>
      <c r="Y55" s="768"/>
      <c r="Z55" s="119"/>
      <c r="AA55" s="768" t="str">
        <f>IF(S19="","",S19)</f>
        <v>Serial Number:</v>
      </c>
      <c r="AB55" s="1411"/>
      <c r="AC55" s="781" t="str">
        <f t="shared" si="10"/>
        <v/>
      </c>
      <c r="AD55" s="1390" t="str">
        <f>IF(T19="","",T19)</f>
        <v/>
      </c>
      <c r="AE55" s="786" t="s">
        <v>792</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7">
        <v>56</v>
      </c>
      <c r="B56" s="130" t="s">
        <v>1203</v>
      </c>
      <c r="C56" s="156"/>
      <c r="D56" s="118" t="s">
        <v>57</v>
      </c>
      <c r="E56" s="119"/>
      <c r="F56" s="119"/>
      <c r="G56" s="119"/>
      <c r="H56" s="119"/>
      <c r="I56" s="119"/>
      <c r="J56" s="134" t="str">
        <f>IF($M$53=1,$T$52,IF(M58="","TBD",IF(M58=1,"YES",IF(M58=3,"NA",""))))</f>
        <v>TBD</v>
      </c>
      <c r="K56" s="522" t="str">
        <f>IF($M$53=1,"",IF(M58=2,"NO",""))</f>
        <v/>
      </c>
      <c r="L56" s="957" t="s">
        <v>482</v>
      </c>
      <c r="M56" s="864"/>
      <c r="N56" s="58"/>
      <c r="O56" s="118" t="str">
        <f>IF(M53=1,"","DHEC registration sticker is present, clearly visible and legible.")</f>
        <v>DHEC registration sticker is present, clearly visible and legible.</v>
      </c>
      <c r="P56" s="56"/>
      <c r="Q56" s="56"/>
      <c r="R56" s="56"/>
      <c r="S56" s="56"/>
      <c r="T56" s="56"/>
      <c r="U56" s="63"/>
      <c r="V56" s="115" t="s">
        <v>492</v>
      </c>
      <c r="W56" s="79"/>
      <c r="X56" s="939" t="s">
        <v>482</v>
      </c>
      <c r="Y56" s="768"/>
      <c r="Z56" s="119"/>
      <c r="AA56" s="768" t="str">
        <f>IF(S20="","",S20)</f>
        <v>Max. mA:</v>
      </c>
      <c r="AB56" s="1411"/>
      <c r="AC56" s="781" t="str">
        <f t="shared" si="10"/>
        <v/>
      </c>
      <c r="AD56" s="1429" t="str">
        <f>IF(T20="","",T20)</f>
        <v/>
      </c>
      <c r="AE56" s="786" t="s">
        <v>793</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7">
        <v>57</v>
      </c>
      <c r="B57" s="130" t="s">
        <v>1139</v>
      </c>
      <c r="C57" s="156"/>
      <c r="D57" s="118" t="s">
        <v>493</v>
      </c>
      <c r="E57" s="119"/>
      <c r="F57" s="119"/>
      <c r="G57" s="119"/>
      <c r="H57" s="119"/>
      <c r="I57" s="119"/>
      <c r="J57" s="134" t="str">
        <f>IF($M$53=1,$T$52,IF(M59="","TBD",IF(M59=1,"YES",IF(M59=3,"NA",""))))</f>
        <v>TBD</v>
      </c>
      <c r="K57" s="522" t="str">
        <f>IF($M$53=1,"",IF(M59=2,"NO",""))</f>
        <v/>
      </c>
      <c r="L57" s="957" t="s">
        <v>482</v>
      </c>
      <c r="M57" s="864"/>
      <c r="N57" s="58"/>
      <c r="O57" s="118" t="str">
        <f>IF(M53=1,"","DHEC form SC-RHA-20 ""Notice to Employees"" posted or referenced.")</f>
        <v>DHEC form SC-RHA-20 "Notice to Employees" posted or referenced.</v>
      </c>
      <c r="P57" s="56"/>
      <c r="Q57" s="56"/>
      <c r="R57" s="56"/>
      <c r="S57" s="56"/>
      <c r="T57" s="56"/>
      <c r="U57" s="58" t="s">
        <v>494</v>
      </c>
      <c r="V57" s="56"/>
      <c r="W57" s="79"/>
      <c r="X57" s="939" t="s">
        <v>482</v>
      </c>
      <c r="Y57" s="768"/>
      <c r="Z57" s="119"/>
      <c r="AA57" s="768" t="str">
        <f>IF(S21="","",S21)</f>
        <v/>
      </c>
      <c r="AB57" s="769"/>
      <c r="AC57" s="781" t="str">
        <f t="shared" si="10"/>
        <v/>
      </c>
      <c r="AD57" s="1431"/>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7">
        <v>58</v>
      </c>
      <c r="B58" s="130" t="s">
        <v>1204</v>
      </c>
      <c r="C58" s="156"/>
      <c r="D58" s="118" t="s">
        <v>495</v>
      </c>
      <c r="E58" s="119"/>
      <c r="F58" s="119"/>
      <c r="G58" s="119"/>
      <c r="H58" s="525" t="s">
        <v>496</v>
      </c>
      <c r="I58" s="1665" t="str">
        <f>IF(O60="","",O60)</f>
        <v/>
      </c>
      <c r="J58" s="134" t="str">
        <f>IF(M60="","TBD",IF(M60=1,"YES",IF(M60=3,"NA","")))</f>
        <v>TBD</v>
      </c>
      <c r="K58" s="522" t="str">
        <f>IF(M60=2,"NO","")</f>
        <v/>
      </c>
      <c r="L58" s="957" t="s">
        <v>482</v>
      </c>
      <c r="M58" s="864"/>
      <c r="N58" s="56"/>
      <c r="O58" s="118" t="s">
        <v>57</v>
      </c>
      <c r="P58" s="56"/>
      <c r="Q58" s="56"/>
      <c r="R58" s="56"/>
      <c r="S58" s="56"/>
      <c r="T58" s="56"/>
      <c r="U58" s="58" t="s">
        <v>497</v>
      </c>
      <c r="V58" s="56"/>
      <c r="W58" s="79"/>
      <c r="X58" s="939" t="s">
        <v>482</v>
      </c>
      <c r="Y58" s="768"/>
      <c r="Z58" s="119"/>
      <c r="AA58" s="775" t="s">
        <v>463</v>
      </c>
      <c r="AB58" s="769"/>
      <c r="AC58" s="781" t="str">
        <f t="shared" si="10"/>
        <v/>
      </c>
      <c r="AD58" s="1432"/>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7">
        <v>59</v>
      </c>
      <c r="B59" s="130" t="s">
        <v>1140</v>
      </c>
      <c r="C59" s="156"/>
      <c r="D59" s="118" t="s">
        <v>498</v>
      </c>
      <c r="E59" s="119"/>
      <c r="F59" s="119"/>
      <c r="G59" s="119"/>
      <c r="H59" s="526" t="s">
        <v>496</v>
      </c>
      <c r="I59" s="1665" t="str">
        <f>IF(O61="","",O61)</f>
        <v/>
      </c>
      <c r="J59" s="134" t="str">
        <f>IF(M61="","TBD",IF(M61=1,"YES",IF(M61=3,"NA","")))</f>
        <v>TBD</v>
      </c>
      <c r="K59" s="522" t="str">
        <f>IF(M61=2,"NO","")</f>
        <v/>
      </c>
      <c r="L59" s="957" t="s">
        <v>482</v>
      </c>
      <c r="M59" s="864"/>
      <c r="N59" s="58"/>
      <c r="O59" s="118" t="str">
        <f>IF(M53=1,"","Radiation warning label present on the generator control panel.")</f>
        <v>Radiation warning label present on the generator control panel.</v>
      </c>
      <c r="P59" s="56"/>
      <c r="Q59" s="56"/>
      <c r="R59" s="56"/>
      <c r="S59" s="56"/>
      <c r="T59" s="56"/>
      <c r="U59" s="1141">
        <f>IF(U68&lt;&gt;"",U68,IF(AB456="",1,AB456))</f>
        <v>1</v>
      </c>
      <c r="V59" s="1142">
        <f>IF(V68&lt;&gt;"",V68,IF(AB464="",2,AB464))</f>
        <v>2</v>
      </c>
      <c r="W59" s="728"/>
      <c r="X59" s="939" t="s">
        <v>482</v>
      </c>
      <c r="Y59" s="768"/>
      <c r="Z59" s="119"/>
      <c r="AA59" s="768" t="str">
        <f>IF(S24="","",S24)</f>
        <v>Large:</v>
      </c>
      <c r="AB59" s="1411"/>
      <c r="AC59" s="781" t="str">
        <f t="shared" si="10"/>
        <v/>
      </c>
      <c r="AD59" s="1429" t="str">
        <f>IF(T24="","",T24)</f>
        <v/>
      </c>
      <c r="AE59" s="786" t="s">
        <v>794</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7">
        <v>60</v>
      </c>
      <c r="B60" s="130"/>
      <c r="C60" s="156"/>
      <c r="D60" s="118" t="s">
        <v>499</v>
      </c>
      <c r="E60" s="119"/>
      <c r="F60" s="119"/>
      <c r="G60" s="119"/>
      <c r="H60" s="119"/>
      <c r="I60" s="119"/>
      <c r="J60" s="134" t="str">
        <f>IF(M62="","TBD",IF(M62=1,"YES",IF(M62=3,"NA","")))</f>
        <v>TBD</v>
      </c>
      <c r="K60" s="522" t="str">
        <f>IF(M62=2,"NO","")</f>
        <v/>
      </c>
      <c r="L60" s="957" t="s">
        <v>482</v>
      </c>
      <c r="M60" s="864"/>
      <c r="N60" s="62" t="s">
        <v>496</v>
      </c>
      <c r="O60" s="1666"/>
      <c r="P60" s="118" t="s">
        <v>500</v>
      </c>
      <c r="Q60" s="56"/>
      <c r="R60" s="56"/>
      <c r="S60" s="56"/>
      <c r="T60" s="56"/>
      <c r="U60" s="1143" t="str">
        <f>IF(U69&lt;&gt;"",U69,IF(AB457="","AP",AB457))</f>
        <v>AP</v>
      </c>
      <c r="V60" s="1144">
        <f>IF(V69&lt;&gt;"",V69,IF(AB465="",3,AB465))</f>
        <v>3</v>
      </c>
      <c r="W60" s="728"/>
      <c r="X60" s="939" t="s">
        <v>482</v>
      </c>
      <c r="Y60" s="768"/>
      <c r="Z60" s="119"/>
      <c r="AA60" s="768" t="str">
        <f>IF(S25="","",S25)</f>
        <v>Small:</v>
      </c>
      <c r="AB60" s="1411"/>
      <c r="AC60" s="781" t="str">
        <f t="shared" si="10"/>
        <v/>
      </c>
      <c r="AD60" s="1429" t="str">
        <f>IF(T25="","",T25)</f>
        <v/>
      </c>
      <c r="AE60" s="786" t="s">
        <v>795</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7">
        <v>61</v>
      </c>
      <c r="B61" s="130"/>
      <c r="C61" s="156"/>
      <c r="D61" s="118" t="s">
        <v>501</v>
      </c>
      <c r="E61" s="56"/>
      <c r="F61" s="56"/>
      <c r="G61" s="56"/>
      <c r="H61" s="56"/>
      <c r="I61" s="56"/>
      <c r="J61" s="134" t="str">
        <f>IF(M63="","TBD",IF(M63=1,"YES",IF(M63=3,"NA","")))</f>
        <v>TBD</v>
      </c>
      <c r="K61" s="522" t="str">
        <f>IF(M63=2,"NO","")</f>
        <v/>
      </c>
      <c r="L61" s="957" t="s">
        <v>482</v>
      </c>
      <c r="M61" s="864"/>
      <c r="N61" s="62" t="s">
        <v>496</v>
      </c>
      <c r="O61" s="1666"/>
      <c r="P61" s="118" t="s">
        <v>502</v>
      </c>
      <c r="Q61" s="56"/>
      <c r="R61" s="56"/>
      <c r="S61" s="56"/>
      <c r="T61" s="56"/>
      <c r="U61" s="1143" t="str">
        <f>IF(U70&lt;&gt;"",U70,IF(AB458="","Front",AB458))</f>
        <v>Front</v>
      </c>
      <c r="V61" s="1144" t="str">
        <f>IF(V70&lt;&gt;"",V70,IF(AB466="","Lat",AB466))</f>
        <v>Lat</v>
      </c>
      <c r="W61" s="728"/>
      <c r="X61" s="939" t="s">
        <v>482</v>
      </c>
      <c r="Y61" s="768"/>
      <c r="Z61" s="119"/>
      <c r="AA61" s="768" t="str">
        <f>IF(S26="","",S26)</f>
        <v>Micro:</v>
      </c>
      <c r="AB61" s="1411"/>
      <c r="AC61" s="781" t="str">
        <f t="shared" si="10"/>
        <v/>
      </c>
      <c r="AD61" s="1429" t="str">
        <f>IF(T26="","",T26)</f>
        <v/>
      </c>
      <c r="AE61" s="786" t="s">
        <v>796</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7">
        <v>62</v>
      </c>
      <c r="B62" s="130"/>
      <c r="C62" s="156"/>
      <c r="D62" s="118" t="s">
        <v>503</v>
      </c>
      <c r="E62" s="119"/>
      <c r="F62" s="119"/>
      <c r="G62" s="119"/>
      <c r="H62" s="119"/>
      <c r="I62" s="119"/>
      <c r="J62" s="134" t="str">
        <f>IF($M$53=1,$T$52,IF(M64="","TBD",IF(M64=1,"YES",IF(M64=3,"NA",""))))</f>
        <v>TBD</v>
      </c>
      <c r="K62" s="522" t="str">
        <f>IF($M$53=1,"",IF(M64=2,"NO",""))</f>
        <v/>
      </c>
      <c r="L62" s="957" t="s">
        <v>482</v>
      </c>
      <c r="M62" s="864"/>
      <c r="N62" s="58"/>
      <c r="O62" s="118" t="s">
        <v>499</v>
      </c>
      <c r="P62" s="56"/>
      <c r="Q62" s="56"/>
      <c r="R62" s="56"/>
      <c r="S62" s="56"/>
      <c r="T62" s="56"/>
      <c r="U62" s="1143" t="str">
        <f>IF(U71&lt;&gt;"",U71,IF(AB459="","Frontal",AB459))</f>
        <v>Frontal</v>
      </c>
      <c r="V62" s="1144" t="str">
        <f>IF(V71&lt;&gt;"",V71,IF(AB467="","Lateral",AB467))</f>
        <v>Lateral</v>
      </c>
      <c r="W62" s="728"/>
      <c r="X62" s="939" t="s">
        <v>482</v>
      </c>
      <c r="Y62" s="768"/>
      <c r="Z62" s="119"/>
      <c r="AA62" s="775" t="s">
        <v>471</v>
      </c>
      <c r="AB62" s="769"/>
      <c r="AC62" s="781" t="str">
        <f t="shared" si="10"/>
        <v/>
      </c>
      <c r="AD62" s="1432"/>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7">
        <v>63</v>
      </c>
      <c r="B63" s="130"/>
      <c r="C63" s="156"/>
      <c r="D63" s="58" t="s">
        <v>504</v>
      </c>
      <c r="E63" s="56"/>
      <c r="F63" s="56"/>
      <c r="G63" s="56"/>
      <c r="H63" s="56"/>
      <c r="I63" s="56"/>
      <c r="J63" s="134" t="str">
        <f>IF($M$53=1,$T$52,IF(M65="","TBD",IF(M65=1,"YES",IF(M65=3,"NA",""))))</f>
        <v>TBD</v>
      </c>
      <c r="K63" s="522" t="str">
        <f>IF($M$53=1,"",IF(M65=2,"NO",""))</f>
        <v/>
      </c>
      <c r="L63" s="957" t="s">
        <v>482</v>
      </c>
      <c r="M63" s="864"/>
      <c r="N63" s="56"/>
      <c r="O63" s="118" t="s">
        <v>501</v>
      </c>
      <c r="P63" s="56"/>
      <c r="Q63" s="56"/>
      <c r="R63" s="56"/>
      <c r="S63" s="56"/>
      <c r="T63" s="56"/>
      <c r="U63" s="1143" t="str">
        <f>IF(U72&lt;&gt;"",U72,IF(AB460="","Ceph",AB460))</f>
        <v>Ceph</v>
      </c>
      <c r="V63" s="1144" t="str">
        <f>IF(V72&lt;&gt;"",V72,IF(AB468="","Pan",AB468))</f>
        <v>Pan</v>
      </c>
      <c r="W63" s="728"/>
      <c r="X63" s="939" t="s">
        <v>482</v>
      </c>
      <c r="Y63" s="768"/>
      <c r="Z63" s="119"/>
      <c r="AA63" s="768" t="str">
        <f>IF(S28="","",S28)</f>
        <v>Inherent:</v>
      </c>
      <c r="AB63" s="1411"/>
      <c r="AC63" s="781" t="str">
        <f t="shared" si="10"/>
        <v/>
      </c>
      <c r="AD63" s="1390" t="str">
        <f>IF(T28="","",T28)</f>
        <v/>
      </c>
      <c r="AE63" s="786" t="s">
        <v>797</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7">
        <v>64</v>
      </c>
      <c r="B64" s="112"/>
      <c r="C64" s="94"/>
      <c r="D64" s="94"/>
      <c r="E64" s="94"/>
      <c r="F64" s="94"/>
      <c r="G64" s="94"/>
      <c r="H64" s="94"/>
      <c r="I64" s="94"/>
      <c r="J64" s="173"/>
      <c r="K64" s="912"/>
      <c r="L64" s="957" t="s">
        <v>482</v>
      </c>
      <c r="M64" s="864"/>
      <c r="N64" s="58"/>
      <c r="O64" s="118" t="str">
        <f>IF(M53=1,"","Operators manuals are available.")</f>
        <v>Operators manuals are available.</v>
      </c>
      <c r="P64" s="56"/>
      <c r="Q64" s="56"/>
      <c r="R64" s="56"/>
      <c r="S64" s="56"/>
      <c r="T64" s="56"/>
      <c r="U64" s="1143" t="str">
        <f>IF(U73&lt;&gt;"",U73,IF(AB461="","Mobile",AB461))</f>
        <v>Mobile</v>
      </c>
      <c r="V64" s="1144" t="str">
        <f>IF(V73&lt;&gt;"",V73,IF(AB469="","BCM",AB469))</f>
        <v>BCM</v>
      </c>
      <c r="W64" s="728"/>
      <c r="X64" s="939" t="s">
        <v>482</v>
      </c>
      <c r="Y64" s="768"/>
      <c r="Z64" s="119"/>
      <c r="AA64" s="768" t="str">
        <f>IF(S29="","",S29)</f>
        <v>Added:</v>
      </c>
      <c r="AB64" s="1411"/>
      <c r="AC64" s="781" t="str">
        <f t="shared" si="10"/>
        <v/>
      </c>
      <c r="AD64" s="1390" t="str">
        <f>IF(T29="","",T29)</f>
        <v/>
      </c>
      <c r="AE64" s="786" t="s">
        <v>798</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7">
        <v>65</v>
      </c>
      <c r="B65" s="60" t="s">
        <v>444</v>
      </c>
      <c r="C65" s="1664" t="str">
        <f>IF($O$8="","",$O$8)</f>
        <v/>
      </c>
      <c r="D65" s="51"/>
      <c r="E65" s="51"/>
      <c r="F65" s="51"/>
      <c r="G65" s="51" t="str">
        <f>""</f>
        <v/>
      </c>
      <c r="H65" s="51" t="str">
        <f>""</f>
        <v/>
      </c>
      <c r="I65" s="60" t="s">
        <v>445</v>
      </c>
      <c r="J65" s="554" t="str">
        <f>IF($V$8="","",$V$8)</f>
        <v>Eugene Mah</v>
      </c>
      <c r="L65" s="957" t="s">
        <v>482</v>
      </c>
      <c r="M65" s="864"/>
      <c r="N65" s="56"/>
      <c r="O65" s="58" t="str">
        <f>IF(M53=1,"","Monthly radiation monitoring reports are posted.")</f>
        <v>Monthly radiation monitoring reports are posted.</v>
      </c>
      <c r="P65" s="56"/>
      <c r="Q65" s="56"/>
      <c r="R65" s="56"/>
      <c r="S65" s="56"/>
      <c r="T65" s="56"/>
      <c r="U65" s="1145" t="str">
        <f>IF(U74&lt;&gt;"",U74,IF(AB462="","",AB462))</f>
        <v/>
      </c>
      <c r="V65" s="1146" t="str">
        <f>IF(V74&lt;&gt;"",V74,IF(AB470="","",AB470))</f>
        <v/>
      </c>
      <c r="W65" s="728"/>
      <c r="X65" s="939" t="s">
        <v>482</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7">
        <v>66</v>
      </c>
      <c r="B66" s="60" t="s">
        <v>455</v>
      </c>
      <c r="C66" s="499" t="str">
        <f>IF($P$15="","",$P$15&amp;IF(U54="",""," - Tube "&amp;U54))</f>
        <v/>
      </c>
      <c r="D66" s="51"/>
      <c r="E66" s="51"/>
      <c r="F66" s="51"/>
      <c r="G66" s="51"/>
      <c r="H66" s="51"/>
      <c r="I66" s="60" t="s">
        <v>1137</v>
      </c>
      <c r="J66" s="1404" t="str">
        <f>IF($E$14="","",$E$14)</f>
        <v/>
      </c>
      <c r="L66" s="957" t="s">
        <v>482</v>
      </c>
      <c r="M66" s="164"/>
      <c r="N66" s="94"/>
      <c r="O66" s="94"/>
      <c r="P66" s="94"/>
      <c r="Q66" s="94"/>
      <c r="R66" s="94"/>
      <c r="S66" s="94"/>
      <c r="T66" s="94"/>
      <c r="U66" s="729"/>
      <c r="V66" s="729"/>
      <c r="W66" s="730"/>
      <c r="X66" s="939" t="s">
        <v>482</v>
      </c>
      <c r="Y66" s="768"/>
      <c r="Z66" s="119"/>
      <c r="AA66" s="775" t="s">
        <v>477</v>
      </c>
      <c r="AB66" s="769"/>
      <c r="AC66" s="781" t="str">
        <f t="shared" si="10"/>
        <v/>
      </c>
      <c r="AD66" s="1432"/>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7">
        <v>1</v>
      </c>
      <c r="B67" s="63"/>
      <c r="C67" s="63"/>
      <c r="D67" s="63"/>
      <c r="E67" s="63"/>
      <c r="G67" s="63"/>
      <c r="H67" s="63"/>
      <c r="I67" s="63"/>
      <c r="J67" s="63"/>
      <c r="K67" s="161" t="str">
        <f>$F$2</f>
        <v>Medical University of South Carolina</v>
      </c>
      <c r="L67" s="957" t="s">
        <v>482</v>
      </c>
      <c r="U67" s="1762" t="s">
        <v>355</v>
      </c>
      <c r="V67" s="1763"/>
      <c r="X67" s="939" t="s">
        <v>482</v>
      </c>
      <c r="Y67" s="768"/>
      <c r="Z67" s="776"/>
      <c r="AA67" s="768" t="str">
        <f>IF(S32="","",S32)</f>
        <v>Film:</v>
      </c>
      <c r="AB67" s="1410"/>
      <c r="AC67" s="781" t="str">
        <f t="shared" si="10"/>
        <v/>
      </c>
      <c r="AD67" s="1390" t="str">
        <f>IF(T32="","",T32)</f>
        <v/>
      </c>
      <c r="AE67" s="786" t="s">
        <v>799</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7">
        <v>2</v>
      </c>
      <c r="B68" s="63"/>
      <c r="C68" s="63"/>
      <c r="D68" s="63"/>
      <c r="E68" s="63"/>
      <c r="F68" s="336" t="str">
        <f>$F$49</f>
        <v>Inspection Results</v>
      </c>
      <c r="G68" s="63"/>
      <c r="H68" s="63"/>
      <c r="I68" s="63"/>
      <c r="J68" s="63"/>
      <c r="K68" s="162" t="str">
        <f>$F$5</f>
        <v>Radiographic System Compliance Inspection</v>
      </c>
      <c r="L68" s="957" t="s">
        <v>482</v>
      </c>
      <c r="U68" s="991"/>
      <c r="V68" s="992"/>
      <c r="X68" s="939" t="s">
        <v>482</v>
      </c>
      <c r="Y68" s="768"/>
      <c r="Z68" s="119"/>
      <c r="AA68" s="768" t="str">
        <f>IF(S33="","",S33)</f>
        <v>Screen:</v>
      </c>
      <c r="AB68" s="1410"/>
      <c r="AC68" s="781" t="str">
        <f t="shared" si="10"/>
        <v/>
      </c>
      <c r="AD68" s="1390" t="str">
        <f>IF(T33="","",T33)</f>
        <v/>
      </c>
      <c r="AE68" s="786" t="s">
        <v>800</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7">
        <v>3</v>
      </c>
      <c r="K69" s="241"/>
      <c r="L69" s="957" t="s">
        <v>482</v>
      </c>
      <c r="P69" s="1357"/>
      <c r="U69" s="987"/>
      <c r="V69" s="988"/>
      <c r="X69" s="939" t="s">
        <v>482</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7">
        <v>4</v>
      </c>
      <c r="B70" s="89"/>
      <c r="C70" s="72"/>
      <c r="D70" s="72"/>
      <c r="E70" s="72"/>
      <c r="F70" s="72"/>
      <c r="G70" s="72"/>
      <c r="H70" s="72"/>
      <c r="I70" s="72"/>
      <c r="J70" s="72"/>
      <c r="K70" s="90"/>
      <c r="L70" s="957" t="s">
        <v>482</v>
      </c>
      <c r="U70" s="987"/>
      <c r="V70" s="988"/>
      <c r="X70" s="939" t="s">
        <v>482</v>
      </c>
      <c r="Y70" s="768"/>
      <c r="Z70" s="119"/>
      <c r="AA70" s="775" t="s">
        <v>463</v>
      </c>
      <c r="AB70" s="769"/>
      <c r="AC70" s="781" t="str">
        <f t="shared" si="10"/>
        <v/>
      </c>
      <c r="AD70" s="1432"/>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7">
        <v>5</v>
      </c>
      <c r="B71" s="128" t="s">
        <v>485</v>
      </c>
      <c r="C71" s="129"/>
      <c r="D71" s="63"/>
      <c r="E71" s="63"/>
      <c r="F71" s="117" t="s">
        <v>505</v>
      </c>
      <c r="G71" s="45"/>
      <c r="H71" s="45"/>
      <c r="I71" s="45"/>
      <c r="J71" s="523" t="s">
        <v>487</v>
      </c>
      <c r="K71" s="524"/>
      <c r="L71" s="957" t="s">
        <v>482</v>
      </c>
      <c r="U71" s="987"/>
      <c r="V71" s="988"/>
      <c r="X71" s="939" t="s">
        <v>482</v>
      </c>
      <c r="Y71" s="768"/>
      <c r="Z71" s="119"/>
      <c r="AA71" s="768" t="str">
        <f>IF(S37="","",S37)</f>
        <v>Large:</v>
      </c>
      <c r="AB71" s="1411"/>
      <c r="AC71" s="781" t="str">
        <f t="shared" si="10"/>
        <v/>
      </c>
      <c r="AD71" s="1429" t="str">
        <f>IF(T37="","",T37)</f>
        <v/>
      </c>
      <c r="AE71" s="786" t="s">
        <v>801</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7">
        <v>6</v>
      </c>
      <c r="B72" s="130" t="s">
        <v>58</v>
      </c>
      <c r="C72" s="131"/>
      <c r="D72" s="58" t="s">
        <v>506</v>
      </c>
      <c r="E72" s="63"/>
      <c r="F72" s="63"/>
      <c r="G72" s="63"/>
      <c r="H72" s="63"/>
      <c r="I72" s="63"/>
      <c r="J72" s="154" t="str">
        <f t="shared" ref="J72:K75" si="11">J468</f>
        <v>TBD</v>
      </c>
      <c r="K72" s="522" t="str">
        <f t="shared" si="11"/>
        <v/>
      </c>
      <c r="L72" s="957" t="s">
        <v>482</v>
      </c>
      <c r="U72" s="987"/>
      <c r="V72" s="988"/>
      <c r="X72" s="939" t="s">
        <v>482</v>
      </c>
      <c r="Y72" s="768"/>
      <c r="Z72" s="119"/>
      <c r="AA72" s="768" t="str">
        <f>IF(S38="","",S38)</f>
        <v>Small:</v>
      </c>
      <c r="AB72" s="1411"/>
      <c r="AC72" s="781" t="str">
        <f t="shared" si="10"/>
        <v/>
      </c>
      <c r="AD72" s="1429" t="str">
        <f>IF(T38="","",T38)</f>
        <v/>
      </c>
      <c r="AE72" s="786" t="s">
        <v>802</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7">
        <v>7</v>
      </c>
      <c r="B73" s="130"/>
      <c r="C73" s="156"/>
      <c r="D73" s="58" t="s">
        <v>507</v>
      </c>
      <c r="E73" s="63"/>
      <c r="F73" s="63"/>
      <c r="G73" s="63"/>
      <c r="H73" s="63"/>
      <c r="I73" s="63"/>
      <c r="J73" s="154" t="str">
        <f t="shared" si="11"/>
        <v>NA</v>
      </c>
      <c r="K73" s="522" t="str">
        <f t="shared" si="11"/>
        <v/>
      </c>
      <c r="L73" s="957" t="s">
        <v>482</v>
      </c>
      <c r="U73" s="987"/>
      <c r="V73" s="988"/>
      <c r="X73" s="939" t="s">
        <v>482</v>
      </c>
      <c r="Y73" s="768"/>
      <c r="Z73" s="119"/>
      <c r="AA73" s="768" t="str">
        <f>IF(S39="","",S39)</f>
        <v>Micro:</v>
      </c>
      <c r="AB73" s="1411"/>
      <c r="AC73" s="781" t="str">
        <f t="shared" si="10"/>
        <v/>
      </c>
      <c r="AD73" s="1429" t="str">
        <f>IF(T39="","",T39)</f>
        <v/>
      </c>
      <c r="AE73" s="786" t="s">
        <v>803</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7">
        <v>8</v>
      </c>
      <c r="B74" s="130" t="s">
        <v>59</v>
      </c>
      <c r="C74" s="131"/>
      <c r="D74" s="58" t="s">
        <v>508</v>
      </c>
      <c r="E74" s="58"/>
      <c r="F74" s="58"/>
      <c r="G74" s="58"/>
      <c r="H74" s="58"/>
      <c r="I74" s="58"/>
      <c r="J74" s="154" t="str">
        <f t="shared" si="11"/>
        <v>TBD</v>
      </c>
      <c r="K74" s="522" t="str">
        <f t="shared" si="11"/>
        <v/>
      </c>
      <c r="L74" s="957" t="s">
        <v>482</v>
      </c>
      <c r="U74" s="989"/>
      <c r="V74" s="990"/>
      <c r="X74" s="939" t="s">
        <v>482</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7">
        <v>9</v>
      </c>
      <c r="B75" s="130" t="s">
        <v>1143</v>
      </c>
      <c r="C75" s="131"/>
      <c r="D75" s="118" t="s">
        <v>509</v>
      </c>
      <c r="E75" s="119"/>
      <c r="F75" s="119"/>
      <c r="G75" s="119"/>
      <c r="H75" s="119"/>
      <c r="I75" s="119"/>
      <c r="J75" s="154" t="str">
        <f t="shared" si="11"/>
        <v>TBD</v>
      </c>
      <c r="K75" s="522" t="str">
        <f t="shared" si="11"/>
        <v/>
      </c>
      <c r="L75" s="957" t="s">
        <v>482</v>
      </c>
      <c r="X75" s="939" t="s">
        <v>482</v>
      </c>
      <c r="Y75" s="768"/>
      <c r="Z75" s="119"/>
      <c r="AA75" s="775" t="s">
        <v>471</v>
      </c>
      <c r="AB75" s="769"/>
      <c r="AC75" s="781" t="str">
        <f t="shared" ref="AC75:AC86" si="12">IF(AND(OR(AB75="",AB75=0),OR(AD75="",AD75=0)),"",IF(AB75&lt;&gt;AD75,"Change",""))</f>
        <v/>
      </c>
      <c r="AD75" s="1432"/>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7">
        <v>10</v>
      </c>
      <c r="B76" s="130" t="s">
        <v>1145</v>
      </c>
      <c r="C76" s="131"/>
      <c r="D76" s="118" t="s">
        <v>510</v>
      </c>
      <c r="E76" s="119"/>
      <c r="F76" s="119"/>
      <c r="G76" s="119"/>
      <c r="H76" s="119"/>
      <c r="I76" s="119"/>
      <c r="J76" s="154" t="str">
        <f>IF(OR(K472="NO",H482="NO"),"",H482)</f>
        <v/>
      </c>
      <c r="K76" s="522" t="str">
        <f>IF(OR(K472="NO",H482="NO"),"NO","")</f>
        <v/>
      </c>
      <c r="L76" s="957" t="s">
        <v>482</v>
      </c>
      <c r="M76" s="1"/>
      <c r="N76" s="1"/>
      <c r="O76" s="1"/>
      <c r="P76" s="1"/>
      <c r="Q76" s="1"/>
      <c r="R76" s="1"/>
      <c r="S76" s="1"/>
      <c r="T76" s="1"/>
      <c r="U76" s="1"/>
      <c r="V76" s="1"/>
      <c r="W76" s="161" t="str">
        <f>$F$2</f>
        <v>Medical University of South Carolina</v>
      </c>
      <c r="X76" s="939" t="s">
        <v>482</v>
      </c>
      <c r="Y76" s="768"/>
      <c r="Z76" s="119"/>
      <c r="AA76" s="768" t="str">
        <f>IF(S41="","",S41)</f>
        <v>Inherent:</v>
      </c>
      <c r="AB76" s="1411"/>
      <c r="AC76" s="781" t="str">
        <f t="shared" si="12"/>
        <v/>
      </c>
      <c r="AD76" s="1390" t="str">
        <f>IF(T41="","",T41)</f>
        <v/>
      </c>
      <c r="AE76" s="786" t="s">
        <v>804</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7">
        <v>11</v>
      </c>
      <c r="B77" s="130" t="s">
        <v>511</v>
      </c>
      <c r="C77" s="131"/>
      <c r="D77" s="58" t="s">
        <v>512</v>
      </c>
      <c r="E77" s="63"/>
      <c r="F77" s="63"/>
      <c r="G77" s="63"/>
      <c r="H77" s="63"/>
      <c r="I77" s="63"/>
      <c r="J77" s="154" t="str">
        <f>IF(J494="NO","",J494)</f>
        <v>TBD</v>
      </c>
      <c r="K77" s="522" t="str">
        <f>IF(J494="NO","NO","")</f>
        <v/>
      </c>
      <c r="L77" s="957" t="s">
        <v>482</v>
      </c>
      <c r="M77" s="1"/>
      <c r="N77" s="1"/>
      <c r="O77" s="1"/>
      <c r="P77" s="1"/>
      <c r="Q77" s="1"/>
      <c r="R77" s="1"/>
      <c r="S77" s="1"/>
      <c r="T77" s="1"/>
      <c r="U77" s="1"/>
      <c r="V77" s="1"/>
      <c r="W77" s="162" t="str">
        <f>$F$5</f>
        <v>Radiographic System Compliance Inspection</v>
      </c>
      <c r="X77" s="939" t="s">
        <v>482</v>
      </c>
      <c r="Y77" s="768"/>
      <c r="Z77" s="119"/>
      <c r="AA77" s="768" t="str">
        <f>IF(S42="","",S42)</f>
        <v>Added:</v>
      </c>
      <c r="AB77" s="1411"/>
      <c r="AC77" s="781" t="str">
        <f t="shared" si="12"/>
        <v/>
      </c>
      <c r="AD77" s="1390" t="str">
        <f>IF(T42="","",T42)</f>
        <v/>
      </c>
      <c r="AE77" s="786" t="s">
        <v>805</v>
      </c>
      <c r="AF77" s="944"/>
      <c r="AG77" s="944"/>
      <c r="AH77" s="944"/>
      <c r="AI77" s="944"/>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7">
        <v>12</v>
      </c>
      <c r="B78" s="130" t="s">
        <v>513</v>
      </c>
      <c r="C78" s="131"/>
      <c r="D78" s="118" t="s">
        <v>514</v>
      </c>
      <c r="E78" s="119"/>
      <c r="F78" s="119"/>
      <c r="G78" s="119"/>
      <c r="H78" s="119"/>
      <c r="I78" s="119"/>
      <c r="J78" s="154" t="str">
        <f>IF(J506="NO","",J506)</f>
        <v>TBD</v>
      </c>
      <c r="K78" s="522" t="str">
        <f>IF(J506="NO","NO","")</f>
        <v/>
      </c>
      <c r="L78" s="957" t="s">
        <v>482</v>
      </c>
      <c r="M78" s="1"/>
      <c r="N78" s="940" t="s">
        <v>379</v>
      </c>
      <c r="O78" s="1"/>
      <c r="P78" s="1"/>
      <c r="Q78" s="1"/>
      <c r="R78" s="1"/>
      <c r="S78" s="1"/>
      <c r="T78" s="1"/>
      <c r="U78" s="1"/>
      <c r="V78" s="1"/>
      <c r="W78" s="1"/>
      <c r="X78" s="939" t="s">
        <v>482</v>
      </c>
      <c r="Y78" s="768"/>
      <c r="Z78" s="119"/>
      <c r="AA78" s="768" t="str">
        <f>IF(S43="","",S43)</f>
        <v/>
      </c>
      <c r="AB78" s="769"/>
      <c r="AC78" s="781" t="str">
        <f t="shared" si="12"/>
        <v/>
      </c>
      <c r="AD78" s="697"/>
      <c r="AF78" s="944"/>
      <c r="AG78" s="944"/>
      <c r="AH78" s="944"/>
      <c r="AI78" s="944"/>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7">
        <v>13</v>
      </c>
      <c r="B79" s="130" t="s">
        <v>1144</v>
      </c>
      <c r="C79" s="131"/>
      <c r="D79" s="118" t="s">
        <v>37</v>
      </c>
      <c r="E79" s="119"/>
      <c r="F79" s="119"/>
      <c r="G79" s="119"/>
      <c r="H79" s="119"/>
      <c r="I79" s="119"/>
      <c r="J79" s="154" t="str">
        <f>IF($I$939="NO","",$I$939)</f>
        <v>TBD</v>
      </c>
      <c r="K79" s="522" t="str">
        <f>IF($I$939="NO","NO","")</f>
        <v/>
      </c>
      <c r="L79" s="957" t="s">
        <v>482</v>
      </c>
      <c r="M79" s="1135">
        <f>IF(N79&lt;&gt;"",N79,IF($M$409=1,$M$421,IF(OR(AB233=0,AB233=""),10,AB233)))</f>
        <v>10</v>
      </c>
      <c r="N79" s="981" t="str">
        <f>M421</f>
        <v/>
      </c>
      <c r="O79" s="573" t="s">
        <v>333</v>
      </c>
      <c r="P79" s="388"/>
      <c r="Q79" s="388"/>
      <c r="R79" s="388"/>
      <c r="S79" s="388"/>
      <c r="T79" s="388"/>
      <c r="U79" s="388"/>
      <c r="V79" s="388"/>
      <c r="W79" s="389"/>
      <c r="X79" s="939" t="s">
        <v>482</v>
      </c>
      <c r="Y79" s="768"/>
      <c r="Z79" s="119"/>
      <c r="AA79" s="775" t="s">
        <v>477</v>
      </c>
      <c r="AB79" s="769"/>
      <c r="AC79" s="781" t="str">
        <f t="shared" si="12"/>
        <v/>
      </c>
      <c r="AD79" s="1432"/>
      <c r="AF79" s="944"/>
      <c r="AG79" s="945"/>
      <c r="AH79" s="944"/>
      <c r="AI79" s="945"/>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7">
        <v>14</v>
      </c>
      <c r="B80" s="155"/>
      <c r="C80" s="63"/>
      <c r="D80" s="63"/>
      <c r="E80" s="63"/>
      <c r="F80" s="63"/>
      <c r="G80" s="63"/>
      <c r="H80" s="63"/>
      <c r="I80" s="63"/>
      <c r="J80" s="159"/>
      <c r="K80" s="528"/>
      <c r="L80" s="957" t="s">
        <v>482</v>
      </c>
      <c r="M80" s="1136">
        <f>IF(N80&lt;&gt;"",N80,IF(OR(AB234=0,AB234=""),200,AB234))</f>
        <v>400</v>
      </c>
      <c r="N80" s="982">
        <v>400</v>
      </c>
      <c r="O80" s="58" t="s">
        <v>334</v>
      </c>
      <c r="P80" s="3"/>
      <c r="Q80" s="3"/>
      <c r="R80" s="3"/>
      <c r="S80" s="3"/>
      <c r="T80" s="3"/>
      <c r="U80" s="3"/>
      <c r="V80" s="3"/>
      <c r="W80" s="43"/>
      <c r="X80" s="939" t="s">
        <v>482</v>
      </c>
      <c r="Y80" s="768"/>
      <c r="Z80" s="119"/>
      <c r="AA80" s="768" t="str">
        <f>IF(S45="","",S45)</f>
        <v>Film:</v>
      </c>
      <c r="AB80" s="1411"/>
      <c r="AC80" s="781" t="str">
        <f t="shared" si="12"/>
        <v/>
      </c>
      <c r="AD80" s="1390" t="str">
        <f>IF(T45="","",T45)</f>
        <v/>
      </c>
      <c r="AE80" s="786" t="s">
        <v>806</v>
      </c>
      <c r="AF80" s="944"/>
      <c r="AG80" s="945"/>
      <c r="AH80" s="944"/>
      <c r="AI80" s="945"/>
      <c r="AJ80" s="946"/>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7">
        <v>15</v>
      </c>
      <c r="B81" s="155"/>
      <c r="C81" s="63"/>
      <c r="D81" s="63"/>
      <c r="E81" s="63"/>
      <c r="F81" s="117" t="s">
        <v>515</v>
      </c>
      <c r="G81" s="63"/>
      <c r="H81" s="63"/>
      <c r="I81" s="63"/>
      <c r="J81" s="172"/>
      <c r="K81" s="529"/>
      <c r="L81" s="957" t="s">
        <v>482</v>
      </c>
      <c r="M81" s="1136">
        <f>IF(N81&lt;&gt;"",N81,IF(OR(AB235=0,AB235=""),100,AB235))</f>
        <v>200</v>
      </c>
      <c r="N81" s="982">
        <v>200</v>
      </c>
      <c r="O81" s="58" t="s">
        <v>335</v>
      </c>
      <c r="P81" s="111"/>
      <c r="Q81" s="111"/>
      <c r="R81" s="127" t="s">
        <v>616</v>
      </c>
      <c r="S81" s="111"/>
      <c r="T81" s="111"/>
      <c r="U81" s="111"/>
      <c r="V81" s="111"/>
      <c r="W81" s="96"/>
      <c r="X81" s="939" t="s">
        <v>482</v>
      </c>
      <c r="Y81" s="769"/>
      <c r="Z81" s="119"/>
      <c r="AA81" s="768" t="str">
        <f>IF(S46="","",S46)</f>
        <v>Screen:</v>
      </c>
      <c r="AB81" s="1411"/>
      <c r="AC81" s="781" t="str">
        <f t="shared" si="12"/>
        <v/>
      </c>
      <c r="AD81" s="1390" t="str">
        <f>IF(T46="","",T46)</f>
        <v/>
      </c>
      <c r="AE81" s="786" t="s">
        <v>807</v>
      </c>
      <c r="AF81" s="944"/>
      <c r="AG81" s="944"/>
      <c r="AH81" s="944"/>
      <c r="AI81" s="944"/>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7">
        <v>16</v>
      </c>
      <c r="B82" s="130"/>
      <c r="C82" s="156"/>
      <c r="D82" s="58" t="s">
        <v>516</v>
      </c>
      <c r="E82" s="58"/>
      <c r="F82" s="58"/>
      <c r="G82" s="58"/>
      <c r="H82" s="58"/>
      <c r="I82" s="58"/>
      <c r="J82" s="154" t="str">
        <f>IF($J$537="NO","",$J$537)</f>
        <v>NA</v>
      </c>
      <c r="K82" s="522" t="str">
        <f>IF($J$537="NO","NO","")</f>
        <v/>
      </c>
      <c r="L82" s="957" t="s">
        <v>482</v>
      </c>
      <c r="M82" s="155"/>
      <c r="N82" s="111"/>
      <c r="O82" s="111"/>
      <c r="P82" s="111"/>
      <c r="Q82" s="111"/>
      <c r="R82" s="111"/>
      <c r="S82" s="111"/>
      <c r="T82" s="111"/>
      <c r="U82" s="111"/>
      <c r="V82" s="111"/>
      <c r="W82" s="96"/>
      <c r="X82" s="939" t="s">
        <v>482</v>
      </c>
      <c r="Y82" s="769"/>
      <c r="Z82" s="119"/>
      <c r="AA82" s="1701" t="s">
        <v>1261</v>
      </c>
      <c r="AB82" s="1411"/>
      <c r="AC82" s="781" t="str">
        <f t="shared" ref="AC82" si="13">IF(AND(OR(AB82="",AB82=0),OR(AD82="",AD82=0)),"",IF(AB82&lt;&gt;AD82,"Change",""))</f>
        <v>Change</v>
      </c>
      <c r="AD82" s="1429">
        <f>IF(M52="","",M52)</f>
        <v>2</v>
      </c>
      <c r="AE82" s="786" t="s">
        <v>1262</v>
      </c>
      <c r="AF82" s="944"/>
      <c r="AG82" s="944"/>
      <c r="AH82" s="944"/>
      <c r="AI82" s="944"/>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7">
        <v>17</v>
      </c>
      <c r="B83" s="130" t="s">
        <v>1147</v>
      </c>
      <c r="C83" s="131"/>
      <c r="D83" s="118" t="s">
        <v>1148</v>
      </c>
      <c r="E83" s="119"/>
      <c r="F83" s="119"/>
      <c r="G83" s="119"/>
      <c r="H83" s="119"/>
      <c r="I83" s="119"/>
      <c r="J83" s="154" t="str">
        <f>IF($J$547="NO","",$J$547)</f>
        <v>TBD</v>
      </c>
      <c r="K83" s="522" t="str">
        <f>IF($J$547="NO","NO","")</f>
        <v/>
      </c>
      <c r="L83" s="957" t="s">
        <v>482</v>
      </c>
      <c r="M83" s="594" t="s">
        <v>617</v>
      </c>
      <c r="N83" s="591" t="str">
        <f>IF(AND($T$32="",$T$45=""),"??",IF(OR($T$32="",$U$54=2,$U$54="LAT",$U$54="LATERAL"),$T$45,$T$32))&amp;IF(AND(T33="",T46=""),""," / ")&amp;IF(OR($T$33="",$U$54=2,$U$54="LAT",$U$54="LATERAL"),$T$46,$T$33)</f>
        <v>??</v>
      </c>
      <c r="O83" s="595"/>
      <c r="P83" s="133"/>
      <c r="Q83" s="133"/>
      <c r="R83" s="133"/>
      <c r="S83" s="145"/>
      <c r="T83" s="593" t="s">
        <v>444</v>
      </c>
      <c r="U83" s="1502" t="str">
        <f>IF($O$8="","",$O$8)</f>
        <v/>
      </c>
      <c r="V83" s="90"/>
      <c r="W83" s="79"/>
      <c r="X83" s="939" t="s">
        <v>482</v>
      </c>
      <c r="Y83" s="769"/>
      <c r="Z83" s="769"/>
      <c r="AA83" s="768" t="s">
        <v>519</v>
      </c>
      <c r="AB83" s="1411"/>
      <c r="AC83" s="781" t="str">
        <f t="shared" si="12"/>
        <v/>
      </c>
      <c r="AD83" s="1429" t="str">
        <f>IF(M53="","",M53)</f>
        <v/>
      </c>
      <c r="AE83" s="786" t="s">
        <v>808</v>
      </c>
      <c r="AG83" s="944"/>
      <c r="AH83" s="944"/>
      <c r="AI83" s="944"/>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7">
        <v>18</v>
      </c>
      <c r="B84" s="130" t="s">
        <v>1142</v>
      </c>
      <c r="C84" s="131"/>
      <c r="D84" s="118" t="s">
        <v>518</v>
      </c>
      <c r="E84" s="119"/>
      <c r="F84" s="119"/>
      <c r="G84" s="119"/>
      <c r="H84" s="119"/>
      <c r="I84" s="119"/>
      <c r="J84" s="154" t="str">
        <f>IF(OR($H$560="NO",$I$560="NO",$H$561="NO",$I$561="NO"),"",IF(OR($H$560="NA",$I$560="NA"),"NA",IF(OR($H$560="TBD",$I$560="TBD",$H$561="TBD",$I$561="TBD"),"TBD","YES")))</f>
        <v>NA</v>
      </c>
      <c r="K84" s="522" t="str">
        <f>IF(OR($H$560="NO",$I$560="NO",$H$561="NO",$I$561="NO"),"NO","")</f>
        <v/>
      </c>
      <c r="L84" s="957" t="s">
        <v>482</v>
      </c>
      <c r="M84" s="146"/>
      <c r="N84" s="56"/>
      <c r="O84" s="56"/>
      <c r="P84" s="141" t="s">
        <v>618</v>
      </c>
      <c r="Q84" s="56"/>
      <c r="R84" s="56"/>
      <c r="S84" s="56"/>
      <c r="T84" s="56"/>
      <c r="U84" s="1503" t="s">
        <v>619</v>
      </c>
      <c r="V84" s="81"/>
      <c r="W84" s="79"/>
      <c r="X84" s="939" t="s">
        <v>482</v>
      </c>
      <c r="Y84" s="769"/>
      <c r="Z84" s="769"/>
      <c r="AA84" s="182" t="s">
        <v>521</v>
      </c>
      <c r="AB84" s="1411"/>
      <c r="AC84" s="781" t="str">
        <f t="shared" si="12"/>
        <v/>
      </c>
      <c r="AD84" s="1429" t="str">
        <f>IF(U54="","",U54)</f>
        <v/>
      </c>
      <c r="AE84" s="786" t="s">
        <v>809</v>
      </c>
      <c r="AF84" s="944"/>
      <c r="AG84" s="945"/>
      <c r="AH84" s="944"/>
      <c r="AI84" s="945"/>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7">
        <v>19</v>
      </c>
      <c r="B85" s="130" t="s">
        <v>1146</v>
      </c>
      <c r="C85" s="131"/>
      <c r="D85" s="58" t="s">
        <v>520</v>
      </c>
      <c r="E85" s="63"/>
      <c r="F85" s="63"/>
      <c r="G85" s="63"/>
      <c r="H85" s="63"/>
      <c r="I85" s="63"/>
      <c r="J85" s="154" t="str">
        <f>IF(OR($J$560="NO",$K$560="NO",$J$561="NO",$K$561="NO"),"",IF(OR($J$560="NA",$K$560="NA"),"NA",IF(OR($J$560="TBD",$K$560="TBD",$J$561="TBD",$K$561="TBD"),"TBD","YES")))</f>
        <v>NA</v>
      </c>
      <c r="K85" s="522" t="str">
        <f>IF(OR($J$560="NO",$K$560="NO",$J$561="NO",$K$561="NO"),"NO","")</f>
        <v/>
      </c>
      <c r="L85" s="957" t="s">
        <v>482</v>
      </c>
      <c r="M85" s="148"/>
      <c r="N85" s="141"/>
      <c r="O85" s="141" t="s">
        <v>589</v>
      </c>
      <c r="P85" s="141" t="s">
        <v>620</v>
      </c>
      <c r="Q85" s="141" t="s">
        <v>621</v>
      </c>
      <c r="R85" s="141"/>
      <c r="S85" s="141"/>
      <c r="T85" s="141"/>
      <c r="U85" s="141" t="s">
        <v>622</v>
      </c>
      <c r="V85" s="96" t="s">
        <v>1177</v>
      </c>
      <c r="W85" s="79"/>
      <c r="X85" s="939" t="s">
        <v>482</v>
      </c>
      <c r="Y85" s="769"/>
      <c r="Z85" s="769"/>
      <c r="AA85" s="182"/>
      <c r="AB85" s="769"/>
      <c r="AC85" s="781" t="str">
        <f t="shared" si="12"/>
        <v/>
      </c>
      <c r="AD85" s="1234"/>
      <c r="AF85" s="947"/>
      <c r="AH85" s="944"/>
      <c r="AI85" s="945"/>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7">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7" t="s">
        <v>482</v>
      </c>
      <c r="M86" s="149" t="s">
        <v>624</v>
      </c>
      <c r="N86" s="142" t="s">
        <v>625</v>
      </c>
      <c r="O86" s="142" t="s">
        <v>626</v>
      </c>
      <c r="P86" s="142" t="s">
        <v>627</v>
      </c>
      <c r="Q86" s="142" t="s">
        <v>626</v>
      </c>
      <c r="R86" s="142" t="s">
        <v>539</v>
      </c>
      <c r="S86" s="9" t="str">
        <f>IF(MIN($T$694:$T$701)&gt;0,LFMAS,IF(MIN($T$712:$T$717)&gt;0,SFMAS,"mA/mAs"))</f>
        <v>mA/mAs</v>
      </c>
      <c r="T86" s="142" t="s">
        <v>628</v>
      </c>
      <c r="U86" s="142" t="s">
        <v>1170</v>
      </c>
      <c r="V86" s="96" t="s">
        <v>1178</v>
      </c>
      <c r="W86" s="79" t="s">
        <v>652</v>
      </c>
      <c r="X86" s="939" t="s">
        <v>482</v>
      </c>
      <c r="Y86" s="769"/>
      <c r="Z86" s="769"/>
      <c r="AA86" s="182" t="s">
        <v>524</v>
      </c>
      <c r="AB86" s="1411"/>
      <c r="AC86" s="781" t="str">
        <f t="shared" si="12"/>
        <v>Change</v>
      </c>
      <c r="AD86" s="1433">
        <f>IF(M469="","",M469)</f>
        <v>3</v>
      </c>
      <c r="AE86" s="786" t="s">
        <v>810</v>
      </c>
      <c r="AF86" s="948"/>
      <c r="AG86" s="944"/>
      <c r="AH86" s="944"/>
      <c r="AI86" s="944"/>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7">
        <v>21</v>
      </c>
      <c r="B87" s="130"/>
      <c r="C87" s="131"/>
      <c r="D87" s="118" t="s">
        <v>523</v>
      </c>
      <c r="E87" s="119"/>
      <c r="F87" s="119"/>
      <c r="G87" s="119"/>
      <c r="H87" s="119"/>
      <c r="I87" s="119"/>
      <c r="J87" s="154" t="str">
        <f>J586</f>
        <v>TBD</v>
      </c>
      <c r="K87" s="529" t="str">
        <f>K586</f>
        <v/>
      </c>
      <c r="L87" s="957" t="s">
        <v>482</v>
      </c>
      <c r="M87" s="1722" t="str">
        <f t="shared" ref="M87:M96" si="14">IF(M113&lt;&gt;"",M113,IF(OR(AB237=0,AB237=""),"",AB237))</f>
        <v>CXR</v>
      </c>
      <c r="N87" s="1723" t="str">
        <f t="shared" ref="N87:N96" si="15">IF(N113&lt;&gt;"",N113,IF(OR(AB248=0,AB248=""),"",AB248))</f>
        <v>Yes</v>
      </c>
      <c r="O87" s="1723">
        <f t="shared" ref="O87:O96" si="16">IF(O113&lt;&gt;"",O113,IF(OR(AB259=0,AB259=""),"",AB259))</f>
        <v>72</v>
      </c>
      <c r="P87" s="1724">
        <f t="shared" ref="P87:P96" si="17">IF(P113&lt;&gt;"",P113,IF(OR(AB270=0,AB270=""),"",AB270))</f>
        <v>23</v>
      </c>
      <c r="Q87" s="1723" t="str">
        <f t="shared" ref="Q87:Q96" si="18">IF(Q113&lt;&gt;"",Q113,IF(OR(AB281=0,AB281=""),"",AB281))</f>
        <v>14x17</v>
      </c>
      <c r="R87" s="1723">
        <f t="shared" ref="R87:R96" si="19">IF(R113&lt;&gt;"",R113,IF(OR(AB292=0,AB292=""),"",AB292))</f>
        <v>120</v>
      </c>
      <c r="S87" s="1718" t="str">
        <f t="shared" ref="S87:S96" si="20">IF(M87="","",IF(MIN($P$1397:$P$1404)&gt;0,IF(LFMAS="mAs",W87,$M$80),IF(MIN($P$1414:$P$1419)&gt;0,IF(SFMAS="mAs",W87,$M$81),"")))</f>
        <v/>
      </c>
      <c r="T87" s="305" t="str">
        <f t="shared" ref="T87:T96" si="21">IF(M87="","",IF(OR($S$86="mAs",$S$86="mA/mAs"),"",ROUND(W87/S87,4)))</f>
        <v/>
      </c>
      <c r="U87" s="1719" t="str">
        <f t="shared" ref="U87:U96" si="22">IF(MIN($Q$1397:$Q$1404)&lt;&gt;0,IF(M87="","",((IF(LFSDD="cm",$N$694,$N$694*2.54)/(O87*2.54-(P87+$M$79)))^2)*(EXP(TREND(LN($Q$1397:$Q$1404),LN($P$1397:$P$1404),LN(R87)))*(IF(LFMAS="mAs",S87,S87*T87)))),IF(MIN($Q$1414:$Q$1419)&lt;&gt;0,IF(M87="","",((IF(SFSDD="cm",$N$712,$N$712*2.54)/(O87*2.54-(P87+$M$79)))^2)*(EXP(TREND(LN($Q$1414:$Q$1419),LN($P$1414:$P$1419),LN(R87)))*(IF(SFMAS="mAs",S87,S87*T87)))),""))</f>
        <v/>
      </c>
      <c r="V87" s="1720" t="str">
        <f>IF(U87="","",(U87/1000)*(LEFT(Q87,FIND("x",Q87)-1)*2.54)*(RIGHT(Q87,LEN(Q87)-FIND("x",Q87))*2.54))</f>
        <v/>
      </c>
      <c r="W87" s="1725">
        <f t="shared" ref="W87:W96" si="23">IF(S113&lt;&gt;"",S113,IF(OR(AB303=0,AB303=""),"",AB303))</f>
        <v>2</v>
      </c>
      <c r="X87" s="939" t="s">
        <v>482</v>
      </c>
      <c r="Y87" s="769"/>
      <c r="Z87" s="769"/>
      <c r="AF87" s="948"/>
      <c r="AG87" s="944"/>
      <c r="AI87" s="944"/>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7">
        <v>22</v>
      </c>
      <c r="B88" s="121"/>
      <c r="C88" s="58"/>
      <c r="D88" s="58" t="str">
        <f>D588</f>
        <v>Radiographic image is free of grid lines.</v>
      </c>
      <c r="E88" s="58"/>
      <c r="F88" s="58"/>
      <c r="G88" s="58"/>
      <c r="H88" s="58"/>
      <c r="I88" s="58"/>
      <c r="J88" s="154" t="str">
        <f>J588</f>
        <v>TBD</v>
      </c>
      <c r="K88" s="522" t="str">
        <f>K588</f>
        <v/>
      </c>
      <c r="L88" s="957" t="s">
        <v>482</v>
      </c>
      <c r="M88" s="1722" t="str">
        <f t="shared" si="14"/>
        <v>Abdomen AP</v>
      </c>
      <c r="N88" s="1723" t="str">
        <f t="shared" si="15"/>
        <v>Yes</v>
      </c>
      <c r="O88" s="1723">
        <f t="shared" si="16"/>
        <v>40</v>
      </c>
      <c r="P88" s="1724">
        <f t="shared" si="17"/>
        <v>23</v>
      </c>
      <c r="Q88" s="1723" t="str">
        <f t="shared" si="18"/>
        <v>14x17</v>
      </c>
      <c r="R88" s="1723">
        <f t="shared" si="19"/>
        <v>76</v>
      </c>
      <c r="S88" s="1718" t="str">
        <f t="shared" si="20"/>
        <v/>
      </c>
      <c r="T88" s="305" t="str">
        <f t="shared" si="21"/>
        <v/>
      </c>
      <c r="U88" s="1719" t="str">
        <f t="shared" si="22"/>
        <v/>
      </c>
      <c r="V88" s="1720" t="str">
        <f t="shared" ref="V88:V96" si="24">IF(U88="","",(U88/1000)*(LEFT(Q88,FIND("x",Q88)-1)*2.54)*(RIGHT(Q88,LEN(Q88)-FIND("x",Q88))*2.54))</f>
        <v/>
      </c>
      <c r="W88" s="1725">
        <f t="shared" si="23"/>
        <v>30</v>
      </c>
      <c r="X88" s="939" t="s">
        <v>482</v>
      </c>
      <c r="Y88" s="769"/>
      <c r="Z88" s="769"/>
      <c r="AA88" s="1686" t="s">
        <v>1253</v>
      </c>
      <c r="AB88" s="1411"/>
      <c r="AC88" s="781" t="str">
        <f t="shared" ref="AC88:AC90" si="25">IF(AND(OR(AB88="",AB88=0),OR(AD88="",AD88=0)),"",IF(AB88&lt;&gt;AD88,"Change",""))</f>
        <v/>
      </c>
      <c r="AD88" s="1433" t="str">
        <f>IF(Q482="","",Q482)</f>
        <v/>
      </c>
      <c r="AE88" s="786" t="s">
        <v>1254</v>
      </c>
      <c r="AG88" s="949"/>
      <c r="AH88" s="945"/>
      <c r="AI88" s="944"/>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7">
        <v>23</v>
      </c>
      <c r="B89" s="155"/>
      <c r="C89" s="63"/>
      <c r="D89" s="63"/>
      <c r="E89" s="63"/>
      <c r="F89" s="63"/>
      <c r="G89" s="63"/>
      <c r="H89" s="63"/>
      <c r="I89" s="63"/>
      <c r="J89" s="562"/>
      <c r="K89" s="522"/>
      <c r="L89" s="957" t="s">
        <v>482</v>
      </c>
      <c r="M89" s="1722" t="str">
        <f t="shared" si="14"/>
        <v>Ribs</v>
      </c>
      <c r="N89" s="1723" t="str">
        <f t="shared" si="15"/>
        <v>Yes</v>
      </c>
      <c r="O89" s="1723">
        <f t="shared" si="16"/>
        <v>40</v>
      </c>
      <c r="P89" s="1724">
        <f t="shared" si="17"/>
        <v>20</v>
      </c>
      <c r="Q89" s="1723" t="str">
        <f t="shared" si="18"/>
        <v>14x17</v>
      </c>
      <c r="R89" s="1723">
        <f t="shared" si="19"/>
        <v>66</v>
      </c>
      <c r="S89" s="1718" t="str">
        <f t="shared" si="20"/>
        <v/>
      </c>
      <c r="T89" s="305" t="str">
        <f t="shared" si="21"/>
        <v/>
      </c>
      <c r="U89" s="1719" t="str">
        <f t="shared" si="22"/>
        <v/>
      </c>
      <c r="V89" s="1720" t="str">
        <f t="shared" si="24"/>
        <v/>
      </c>
      <c r="W89" s="1725">
        <f t="shared" si="23"/>
        <v>12</v>
      </c>
      <c r="X89" s="939" t="s">
        <v>482</v>
      </c>
      <c r="Y89" s="769"/>
      <c r="Z89" s="769"/>
      <c r="AA89" s="827"/>
      <c r="AB89" s="1411"/>
      <c r="AC89" s="781" t="str">
        <f t="shared" si="25"/>
        <v/>
      </c>
      <c r="AD89" s="1433" t="str">
        <f>IF(Q483="","",Q483)</f>
        <v/>
      </c>
      <c r="AE89" s="194" t="s">
        <v>1255</v>
      </c>
      <c r="AF89" s="944"/>
      <c r="AG89" s="788"/>
      <c r="AH89" s="945"/>
      <c r="AI89" s="945"/>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7">
        <v>24</v>
      </c>
      <c r="B90" s="155"/>
      <c r="C90" s="63"/>
      <c r="D90" s="63"/>
      <c r="E90" s="63"/>
      <c r="F90" s="63"/>
      <c r="G90" s="63"/>
      <c r="H90" s="63"/>
      <c r="I90" s="63"/>
      <c r="J90" s="159"/>
      <c r="K90" s="528"/>
      <c r="L90" s="957" t="s">
        <v>482</v>
      </c>
      <c r="M90" s="1722" t="str">
        <f t="shared" si="14"/>
        <v>C-Spine AP</v>
      </c>
      <c r="N90" s="1723" t="str">
        <f t="shared" si="15"/>
        <v>Yes</v>
      </c>
      <c r="O90" s="1723">
        <f t="shared" si="16"/>
        <v>40</v>
      </c>
      <c r="P90" s="1724">
        <f t="shared" si="17"/>
        <v>13</v>
      </c>
      <c r="Q90" s="1723" t="str">
        <f t="shared" si="18"/>
        <v>10x12</v>
      </c>
      <c r="R90" s="1723">
        <f t="shared" si="19"/>
        <v>72</v>
      </c>
      <c r="S90" s="1718" t="str">
        <f t="shared" si="20"/>
        <v/>
      </c>
      <c r="T90" s="305" t="str">
        <f t="shared" si="21"/>
        <v/>
      </c>
      <c r="U90" s="1719" t="str">
        <f t="shared" si="22"/>
        <v/>
      </c>
      <c r="V90" s="1720" t="str">
        <f t="shared" si="24"/>
        <v/>
      </c>
      <c r="W90" s="1725">
        <f t="shared" si="23"/>
        <v>10</v>
      </c>
      <c r="X90" s="939" t="s">
        <v>482</v>
      </c>
      <c r="Y90" s="769"/>
      <c r="Z90" s="769"/>
      <c r="AB90" s="1411"/>
      <c r="AC90" s="781" t="str">
        <f t="shared" si="25"/>
        <v/>
      </c>
      <c r="AD90" s="1433" t="str">
        <f>IF(Q484="","",Q484)</f>
        <v/>
      </c>
      <c r="AE90" s="786" t="s">
        <v>1256</v>
      </c>
      <c r="AF90" s="944"/>
      <c r="AG90" s="945"/>
      <c r="AH90" s="944"/>
      <c r="AI90" s="945"/>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7">
        <v>25</v>
      </c>
      <c r="B91" s="155"/>
      <c r="C91" s="63"/>
      <c r="D91" s="63"/>
      <c r="E91" s="63"/>
      <c r="F91" s="117" t="s">
        <v>527</v>
      </c>
      <c r="G91" s="63"/>
      <c r="H91" s="63"/>
      <c r="I91" s="63"/>
      <c r="J91" s="172"/>
      <c r="K91" s="529"/>
      <c r="L91" s="957" t="s">
        <v>482</v>
      </c>
      <c r="M91" s="1722" t="str">
        <f t="shared" si="14"/>
        <v>Skull</v>
      </c>
      <c r="N91" s="1723" t="str">
        <f t="shared" si="15"/>
        <v>Yes</v>
      </c>
      <c r="O91" s="1723">
        <f t="shared" si="16"/>
        <v>40</v>
      </c>
      <c r="P91" s="1724">
        <f t="shared" si="17"/>
        <v>15</v>
      </c>
      <c r="Q91" s="1723" t="str">
        <f t="shared" si="18"/>
        <v>8x10</v>
      </c>
      <c r="R91" s="1723">
        <f t="shared" si="19"/>
        <v>72</v>
      </c>
      <c r="S91" s="1718" t="str">
        <f t="shared" si="20"/>
        <v/>
      </c>
      <c r="T91" s="305" t="str">
        <f t="shared" si="21"/>
        <v/>
      </c>
      <c r="U91" s="1719" t="str">
        <f t="shared" si="22"/>
        <v/>
      </c>
      <c r="V91" s="1720" t="str">
        <f t="shared" si="24"/>
        <v/>
      </c>
      <c r="W91" s="1725">
        <f t="shared" si="23"/>
        <v>10</v>
      </c>
      <c r="X91" s="939" t="s">
        <v>482</v>
      </c>
      <c r="Y91" s="769"/>
      <c r="Z91" s="769"/>
      <c r="AF91" s="944"/>
      <c r="AG91" s="944"/>
      <c r="AH91" s="944"/>
      <c r="AI91" s="944"/>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7">
        <v>26</v>
      </c>
      <c r="B92" s="130"/>
      <c r="C92" s="131"/>
      <c r="D92" s="118" t="s">
        <v>517</v>
      </c>
      <c r="E92" s="119"/>
      <c r="F92" s="119"/>
      <c r="G92" s="119"/>
      <c r="H92" s="119"/>
      <c r="I92" s="119"/>
      <c r="J92" s="154" t="str">
        <f>IF($J$608="NO","",$J$608)</f>
        <v>TBD</v>
      </c>
      <c r="K92" s="522" t="str">
        <f>IF($J$608="NO","NO","")</f>
        <v/>
      </c>
      <c r="L92" s="957" t="s">
        <v>482</v>
      </c>
      <c r="M92" s="1722" t="str">
        <f t="shared" si="14"/>
        <v>Foot</v>
      </c>
      <c r="N92" s="1723" t="str">
        <f t="shared" si="15"/>
        <v>No</v>
      </c>
      <c r="O92" s="1723">
        <f t="shared" si="16"/>
        <v>40</v>
      </c>
      <c r="P92" s="1724">
        <f t="shared" si="17"/>
        <v>8</v>
      </c>
      <c r="Q92" s="1723" t="str">
        <f t="shared" si="18"/>
        <v>8x10</v>
      </c>
      <c r="R92" s="1723">
        <f t="shared" si="19"/>
        <v>60</v>
      </c>
      <c r="S92" s="1718" t="str">
        <f t="shared" si="20"/>
        <v/>
      </c>
      <c r="T92" s="305" t="str">
        <f t="shared" si="21"/>
        <v/>
      </c>
      <c r="U92" s="1719" t="str">
        <f t="shared" si="22"/>
        <v/>
      </c>
      <c r="V92" s="1720" t="str">
        <f t="shared" si="24"/>
        <v/>
      </c>
      <c r="W92" s="1725">
        <f t="shared" si="23"/>
        <v>2.5</v>
      </c>
      <c r="X92" s="939" t="s">
        <v>482</v>
      </c>
      <c r="Y92" s="769"/>
      <c r="Z92" s="769"/>
      <c r="AA92" s="182" t="s">
        <v>525</v>
      </c>
      <c r="AB92" s="1412"/>
      <c r="AC92" s="781" t="str">
        <f t="shared" ref="AC92:AC124" si="26">IF(AND(OR(AB92="",AB92=0),OR(AD92="",AD92=0)),"",IF(AB92&lt;&gt;AD92,"Change",""))</f>
        <v/>
      </c>
      <c r="AD92" s="1434" t="str">
        <f>IF(Q494="","",Q494)</f>
        <v/>
      </c>
      <c r="AE92" s="786" t="s">
        <v>811</v>
      </c>
      <c r="AF92" s="944"/>
      <c r="AG92" s="944"/>
      <c r="AH92" s="944"/>
      <c r="AI92" s="944"/>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7">
        <v>27</v>
      </c>
      <c r="B93" s="130" t="s">
        <v>1142</v>
      </c>
      <c r="C93" s="131"/>
      <c r="D93" s="118" t="s">
        <v>518</v>
      </c>
      <c r="E93" s="119"/>
      <c r="F93" s="119"/>
      <c r="G93" s="119"/>
      <c r="H93" s="119"/>
      <c r="I93" s="119"/>
      <c r="J93" s="154" t="str">
        <f>IF(OR($H$622="NO",$I$622="NO",$H$623="NO",$I$623="NO"),"",IF(OR($H$622="NA",$I$622="NA"),"NA",IF(OR($H$622="TBD",$I$622="TBD",$H$623="TBD",$I$623="TBD"),"TBD","YES")))</f>
        <v>NA</v>
      </c>
      <c r="K93" s="522" t="str">
        <f>IF(OR($H$622="NO",$I$622="NO",$H$623="NO",$I$623="NO"),"NO","")</f>
        <v/>
      </c>
      <c r="L93" s="957" t="s">
        <v>482</v>
      </c>
      <c r="M93" s="1722" t="str">
        <f t="shared" si="14"/>
        <v>Knee</v>
      </c>
      <c r="N93" s="1723" t="str">
        <f t="shared" si="15"/>
        <v>No</v>
      </c>
      <c r="O93" s="1723">
        <f t="shared" si="16"/>
        <v>40</v>
      </c>
      <c r="P93" s="1724">
        <f t="shared" si="17"/>
        <v>12</v>
      </c>
      <c r="Q93" s="1723" t="str">
        <f t="shared" si="18"/>
        <v>10x12</v>
      </c>
      <c r="R93" s="1723">
        <f t="shared" si="19"/>
        <v>66</v>
      </c>
      <c r="S93" s="1718" t="str">
        <f t="shared" si="20"/>
        <v/>
      </c>
      <c r="T93" s="305" t="str">
        <f t="shared" si="21"/>
        <v/>
      </c>
      <c r="U93" s="1719" t="str">
        <f t="shared" si="22"/>
        <v/>
      </c>
      <c r="V93" s="1720" t="str">
        <f t="shared" si="24"/>
        <v/>
      </c>
      <c r="W93" s="1725">
        <f t="shared" si="23"/>
        <v>8</v>
      </c>
      <c r="X93" s="939" t="s">
        <v>482</v>
      </c>
      <c r="Y93" s="769"/>
      <c r="Z93" s="769"/>
      <c r="AA93" s="182" t="s">
        <v>526</v>
      </c>
      <c r="AB93" s="1412"/>
      <c r="AC93" s="781" t="str">
        <f t="shared" si="26"/>
        <v/>
      </c>
      <c r="AD93" s="1434" t="str">
        <f>IF(R494="","",R494)</f>
        <v/>
      </c>
      <c r="AE93" s="786" t="s">
        <v>812</v>
      </c>
      <c r="AF93" s="944"/>
      <c r="AG93" s="945"/>
      <c r="AH93" s="944"/>
      <c r="AI93" s="944"/>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7">
        <v>28</v>
      </c>
      <c r="B94" s="130" t="s">
        <v>1146</v>
      </c>
      <c r="C94" s="131"/>
      <c r="D94" s="58" t="s">
        <v>520</v>
      </c>
      <c r="E94" s="63"/>
      <c r="F94" s="63"/>
      <c r="G94" s="63"/>
      <c r="H94" s="63"/>
      <c r="I94" s="63"/>
      <c r="J94" s="154" t="str">
        <f>IF(OR($J$622="NO",$K$622="NO",$J$623="NO",$K$623="NO"),"",IF(OR($J$622="NA",$K$622="NA"),"NA",IF(OR($J$622="TBD",$K$622="TBD",$J$623="TBD",$K$623="TBD"),"TBD","YES")))</f>
        <v>NA</v>
      </c>
      <c r="K94" s="522" t="str">
        <f>IF(OR($J$622="NO",$K$622="NO",$J$623="NO",$K$623="NO"),"NO","")</f>
        <v/>
      </c>
      <c r="L94" s="957" t="s">
        <v>482</v>
      </c>
      <c r="M94" s="1722" t="str">
        <f t="shared" si="14"/>
        <v>Pelvis AP</v>
      </c>
      <c r="N94" s="1723" t="str">
        <f t="shared" si="15"/>
        <v>Yes</v>
      </c>
      <c r="O94" s="1723">
        <f t="shared" si="16"/>
        <v>40</v>
      </c>
      <c r="P94" s="1724">
        <f t="shared" si="17"/>
        <v>20</v>
      </c>
      <c r="Q94" s="1723" t="str">
        <f t="shared" si="18"/>
        <v>14x17</v>
      </c>
      <c r="R94" s="1723">
        <f t="shared" si="19"/>
        <v>78</v>
      </c>
      <c r="S94" s="1718" t="str">
        <f t="shared" si="20"/>
        <v/>
      </c>
      <c r="T94" s="305" t="str">
        <f t="shared" si="21"/>
        <v/>
      </c>
      <c r="U94" s="1719" t="str">
        <f t="shared" si="22"/>
        <v/>
      </c>
      <c r="V94" s="1720" t="str">
        <f t="shared" si="24"/>
        <v/>
      </c>
      <c r="W94" s="1725">
        <f t="shared" si="23"/>
        <v>30</v>
      </c>
      <c r="X94" s="939" t="s">
        <v>482</v>
      </c>
      <c r="Y94" s="769"/>
      <c r="Z94" s="769"/>
      <c r="AA94" s="769"/>
      <c r="AB94" s="769"/>
      <c r="AC94" s="781" t="str">
        <f t="shared" si="26"/>
        <v/>
      </c>
      <c r="AD94" s="769"/>
      <c r="AE94" s="769"/>
      <c r="AF94" s="944"/>
      <c r="AG94" s="945"/>
      <c r="AH94" s="944"/>
      <c r="AI94" s="945"/>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7">
        <v>29</v>
      </c>
      <c r="B95" s="130" t="s">
        <v>1</v>
      </c>
      <c r="C95" s="131"/>
      <c r="D95" s="118" t="s">
        <v>522</v>
      </c>
      <c r="E95" s="119"/>
      <c r="F95" s="119"/>
      <c r="G95" s="119"/>
      <c r="H95" s="119"/>
      <c r="I95" s="119"/>
      <c r="J95" s="154" t="str">
        <f>IF(AND($J$637="NA",$K$637="NA"),"NA",IF(OR($J$637="TBD",$K$637="TBD",$J$638="TBD",$K$638="TBD"),"TBD",IF(OR($J$637="NO",$K$637="NO",$J$638="NO",$K$638="NO"),"","YES")))</f>
        <v>NA</v>
      </c>
      <c r="K95" s="522" t="str">
        <f>IF(OR($J$637="NO",$K$637="NO",$J$638="NO",$K$638="NO"),"NO","")</f>
        <v/>
      </c>
      <c r="L95" s="957" t="s">
        <v>482</v>
      </c>
      <c r="M95" s="1722" t="str">
        <f t="shared" si="14"/>
        <v>Shoulder</v>
      </c>
      <c r="N95" s="1723" t="str">
        <f t="shared" si="15"/>
        <v>Yes</v>
      </c>
      <c r="O95" s="1723">
        <f t="shared" si="16"/>
        <v>40</v>
      </c>
      <c r="P95" s="1724">
        <f t="shared" si="17"/>
        <v>15</v>
      </c>
      <c r="Q95" s="1723" t="str">
        <f t="shared" si="18"/>
        <v>10x12</v>
      </c>
      <c r="R95" s="1723">
        <f t="shared" si="19"/>
        <v>74</v>
      </c>
      <c r="S95" s="1718" t="str">
        <f t="shared" si="20"/>
        <v/>
      </c>
      <c r="T95" s="305" t="str">
        <f t="shared" si="21"/>
        <v/>
      </c>
      <c r="U95" s="1719" t="str">
        <f t="shared" si="22"/>
        <v/>
      </c>
      <c r="V95" s="1720" t="str">
        <f t="shared" si="24"/>
        <v/>
      </c>
      <c r="W95" s="1725">
        <f t="shared" si="23"/>
        <v>14</v>
      </c>
      <c r="X95" s="939" t="s">
        <v>482</v>
      </c>
      <c r="Y95" s="769"/>
      <c r="Z95" s="769"/>
      <c r="AA95" s="689" t="s">
        <v>515</v>
      </c>
      <c r="AB95" s="769"/>
      <c r="AC95" s="781" t="str">
        <f t="shared" si="26"/>
        <v/>
      </c>
      <c r="AD95" s="1234"/>
      <c r="AF95" s="944"/>
      <c r="AG95" s="944"/>
      <c r="AH95" s="944"/>
      <c r="AI95" s="945"/>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7">
        <v>30</v>
      </c>
      <c r="B96" s="130"/>
      <c r="C96" s="131"/>
      <c r="D96" s="118" t="s">
        <v>523</v>
      </c>
      <c r="E96" s="119"/>
      <c r="F96" s="119"/>
      <c r="G96" s="119"/>
      <c r="H96" s="119"/>
      <c r="I96" s="119"/>
      <c r="J96" s="154" t="str">
        <f>J649</f>
        <v>TBD</v>
      </c>
      <c r="K96" s="522" t="str">
        <f>K649</f>
        <v/>
      </c>
      <c r="L96" s="957" t="s">
        <v>482</v>
      </c>
      <c r="M96" s="1722" t="str">
        <f t="shared" si="14"/>
        <v>LS Spine AP</v>
      </c>
      <c r="N96" s="1723" t="str">
        <f t="shared" si="15"/>
        <v>Yes</v>
      </c>
      <c r="O96" s="1723">
        <f t="shared" si="16"/>
        <v>40</v>
      </c>
      <c r="P96" s="1724">
        <f t="shared" si="17"/>
        <v>23</v>
      </c>
      <c r="Q96" s="1723" t="str">
        <f t="shared" si="18"/>
        <v>10x12</v>
      </c>
      <c r="R96" s="1723">
        <f t="shared" si="19"/>
        <v>78</v>
      </c>
      <c r="S96" s="1718" t="str">
        <f t="shared" si="20"/>
        <v/>
      </c>
      <c r="T96" s="305" t="str">
        <f t="shared" si="21"/>
        <v/>
      </c>
      <c r="U96" s="1719" t="str">
        <f t="shared" si="22"/>
        <v/>
      </c>
      <c r="V96" s="1720" t="str">
        <f t="shared" si="24"/>
        <v/>
      </c>
      <c r="W96" s="1725">
        <f t="shared" si="23"/>
        <v>25</v>
      </c>
      <c r="X96" s="939" t="s">
        <v>482</v>
      </c>
      <c r="Y96" s="769"/>
      <c r="Z96" s="768"/>
      <c r="AA96" s="119" t="s">
        <v>528</v>
      </c>
      <c r="AB96" s="1411"/>
      <c r="AC96" s="781" t="str">
        <f t="shared" si="26"/>
        <v/>
      </c>
      <c r="AD96" s="1433" t="str">
        <f>M409</f>
        <v/>
      </c>
      <c r="AE96" s="788" t="s">
        <v>401</v>
      </c>
      <c r="AF96" s="944"/>
      <c r="AG96" s="944"/>
      <c r="AH96" s="944"/>
      <c r="AI96" s="944"/>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7">
        <v>31</v>
      </c>
      <c r="B97" s="121"/>
      <c r="C97" s="58"/>
      <c r="D97" s="58" t="str">
        <f>D651</f>
        <v>Radiographic image is free of grid lines.</v>
      </c>
      <c r="E97" s="58"/>
      <c r="F97" s="58"/>
      <c r="G97" s="58"/>
      <c r="H97" s="58"/>
      <c r="I97" s="58"/>
      <c r="J97" s="154" t="str">
        <f>J651</f>
        <v>TBD</v>
      </c>
      <c r="K97" s="522" t="str">
        <f>K651</f>
        <v/>
      </c>
      <c r="L97" s="957" t="s">
        <v>482</v>
      </c>
      <c r="M97" s="146"/>
      <c r="N97" s="56"/>
      <c r="P97" s="56"/>
      <c r="Q97" s="56"/>
      <c r="R97" s="56"/>
      <c r="S97" s="56"/>
      <c r="T97" s="56"/>
      <c r="U97" s="1500"/>
      <c r="V97" s="81"/>
      <c r="W97" s="79"/>
      <c r="X97" s="939" t="s">
        <v>482</v>
      </c>
      <c r="Y97" s="769"/>
      <c r="Z97" s="768"/>
      <c r="AA97" s="182" t="s">
        <v>529</v>
      </c>
      <c r="AB97" s="1411"/>
      <c r="AC97" s="781" t="str">
        <f t="shared" si="26"/>
        <v/>
      </c>
      <c r="AD97" s="1433" t="str">
        <f>M410</f>
        <v/>
      </c>
      <c r="AE97" s="788" t="s">
        <v>402</v>
      </c>
      <c r="AF97" s="944"/>
      <c r="AG97" s="944"/>
      <c r="AH97" s="944"/>
      <c r="AI97" s="944"/>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7">
        <v>32</v>
      </c>
      <c r="B98" s="155"/>
      <c r="C98" s="63"/>
      <c r="D98" s="63"/>
      <c r="E98" s="63"/>
      <c r="F98" s="63"/>
      <c r="G98" s="63"/>
      <c r="H98" s="63"/>
      <c r="I98" s="63"/>
      <c r="J98" s="562"/>
      <c r="K98" s="481"/>
      <c r="L98" s="957" t="s">
        <v>482</v>
      </c>
      <c r="M98" s="155"/>
      <c r="N98" s="814" t="s">
        <v>629</v>
      </c>
      <c r="O98" s="994" t="str">
        <f>IF(O100&lt;&gt;"",O100,IF(OR(AB452=0,AB452=""),"",AB452))</f>
        <v/>
      </c>
      <c r="P98" s="55"/>
      <c r="Q98" s="55"/>
      <c r="R98" s="55"/>
      <c r="S98" s="55"/>
      <c r="T98" s="55"/>
      <c r="U98" s="55"/>
      <c r="V98" s="81"/>
      <c r="W98" s="79"/>
      <c r="X98" s="939" t="s">
        <v>482</v>
      </c>
      <c r="Y98" s="769"/>
      <c r="Z98" s="768"/>
      <c r="AA98" s="768"/>
      <c r="AB98" s="769"/>
      <c r="AC98" s="781" t="str">
        <f t="shared" si="26"/>
        <v/>
      </c>
      <c r="AD98" s="1234"/>
      <c r="AF98" s="944"/>
      <c r="AG98" s="945"/>
      <c r="AH98" s="944"/>
      <c r="AI98" s="944"/>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7">
        <v>33</v>
      </c>
      <c r="B99" s="155"/>
      <c r="C99" s="63"/>
      <c r="D99" s="63"/>
      <c r="E99" s="63"/>
      <c r="F99" s="63"/>
      <c r="G99" s="63"/>
      <c r="H99" s="63"/>
      <c r="I99" s="63"/>
      <c r="J99" s="159"/>
      <c r="K99" s="528"/>
      <c r="L99" s="957" t="s">
        <v>482</v>
      </c>
      <c r="M99" s="121"/>
      <c r="N99" s="855" t="s">
        <v>347</v>
      </c>
      <c r="O99" s="124"/>
      <c r="P99" s="1237">
        <f>LEN(O98)</f>
        <v>0</v>
      </c>
      <c r="Q99" s="124"/>
      <c r="R99" s="124"/>
      <c r="S99" s="124"/>
      <c r="T99" s="124"/>
      <c r="U99" s="124"/>
      <c r="V99" s="81"/>
      <c r="W99" s="80"/>
      <c r="X99" s="939" t="s">
        <v>482</v>
      </c>
      <c r="Y99" s="769"/>
      <c r="Z99" s="768"/>
      <c r="AA99" s="775" t="s">
        <v>530</v>
      </c>
      <c r="AB99" s="769"/>
      <c r="AC99" s="781" t="str">
        <f t="shared" si="26"/>
        <v/>
      </c>
      <c r="AD99" s="1234"/>
      <c r="AF99" s="944"/>
      <c r="AG99" s="945"/>
      <c r="AH99" s="944"/>
      <c r="AI99" s="945"/>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7">
        <v>34</v>
      </c>
      <c r="B100" s="155"/>
      <c r="C100" s="63"/>
      <c r="D100" s="63"/>
      <c r="E100" s="63"/>
      <c r="F100" s="117" t="s">
        <v>534</v>
      </c>
      <c r="G100" s="63"/>
      <c r="H100" s="63"/>
      <c r="I100" s="63"/>
      <c r="J100" s="172"/>
      <c r="K100" s="529"/>
      <c r="L100" s="957" t="s">
        <v>482</v>
      </c>
      <c r="M100" s="146"/>
      <c r="N100" s="1378" t="s">
        <v>696</v>
      </c>
      <c r="O100" s="1380"/>
      <c r="P100" s="55"/>
      <c r="Q100" s="55"/>
      <c r="R100" s="55"/>
      <c r="S100" s="55"/>
      <c r="T100" s="55"/>
      <c r="U100" s="55"/>
      <c r="V100" s="81"/>
      <c r="W100" s="79"/>
      <c r="X100" s="939" t="s">
        <v>482</v>
      </c>
      <c r="Y100" s="769"/>
      <c r="Z100" s="768"/>
      <c r="AA100" s="768" t="s">
        <v>531</v>
      </c>
      <c r="AB100" s="1411"/>
      <c r="AC100" s="781" t="str">
        <f t="shared" si="26"/>
        <v/>
      </c>
      <c r="AD100" s="1435" t="str">
        <f>P414</f>
        <v/>
      </c>
      <c r="AE100" s="788" t="s">
        <v>403</v>
      </c>
      <c r="AF100" s="944"/>
      <c r="AG100" s="944"/>
      <c r="AH100" s="944"/>
      <c r="AI100" s="945"/>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7">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9" t="str">
        <f t="shared" ref="K101:K107" si="29">IF($M$53=1,"",K913)</f>
        <v/>
      </c>
      <c r="L101" s="957" t="s">
        <v>482</v>
      </c>
      <c r="M101" s="82"/>
      <c r="N101" s="151"/>
      <c r="O101" s="151"/>
      <c r="P101" s="151"/>
      <c r="Q101" s="151"/>
      <c r="R101" s="151"/>
      <c r="S101" s="151"/>
      <c r="T101" s="151"/>
      <c r="U101" s="151"/>
      <c r="V101" s="99"/>
      <c r="W101" s="96"/>
      <c r="X101" s="939" t="s">
        <v>482</v>
      </c>
      <c r="Y101" s="769"/>
      <c r="Z101" s="768"/>
      <c r="AA101" s="768" t="s">
        <v>532</v>
      </c>
      <c r="AB101" s="1411"/>
      <c r="AC101" s="781" t="str">
        <f t="shared" si="26"/>
        <v/>
      </c>
      <c r="AD101" s="1435" t="str">
        <f>Q414</f>
        <v/>
      </c>
      <c r="AE101" s="786" t="s">
        <v>404</v>
      </c>
      <c r="AH101" s="944"/>
      <c r="AI101" s="944"/>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7">
        <v>36</v>
      </c>
      <c r="B102" s="390"/>
      <c r="C102" s="61"/>
      <c r="D102" s="58" t="str">
        <f t="shared" si="27"/>
        <v>All technique indicators functional and are free of excessive wear.</v>
      </c>
      <c r="E102" s="63"/>
      <c r="F102" s="56"/>
      <c r="G102" s="56"/>
      <c r="H102" s="56"/>
      <c r="I102" s="56"/>
      <c r="J102" s="172" t="str">
        <f t="shared" si="28"/>
        <v>TBD</v>
      </c>
      <c r="K102" s="529" t="str">
        <f t="shared" si="29"/>
        <v/>
      </c>
      <c r="L102" s="957" t="s">
        <v>482</v>
      </c>
      <c r="M102" s="76"/>
      <c r="N102" s="111"/>
      <c r="O102" s="111"/>
      <c r="P102" s="111"/>
      <c r="Q102" s="111"/>
      <c r="R102" s="111"/>
      <c r="S102" s="111"/>
      <c r="T102" s="111"/>
      <c r="U102" s="111"/>
      <c r="V102" s="111"/>
      <c r="W102" s="96"/>
      <c r="X102" s="939" t="s">
        <v>482</v>
      </c>
      <c r="Y102" s="769"/>
      <c r="Z102" s="768"/>
      <c r="AA102" s="775" t="s">
        <v>533</v>
      </c>
      <c r="AB102" s="769"/>
      <c r="AC102" s="781" t="str">
        <f t="shared" si="26"/>
        <v/>
      </c>
      <c r="AD102" s="1436"/>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7">
        <v>37</v>
      </c>
      <c r="B103" s="390"/>
      <c r="C103" s="61"/>
      <c r="D103" s="58" t="str">
        <f t="shared" si="27"/>
        <v>Technique overload circuits function to block excessive technique.</v>
      </c>
      <c r="E103" s="63"/>
      <c r="F103" s="56"/>
      <c r="G103" s="56"/>
      <c r="H103" s="56"/>
      <c r="I103" s="56"/>
      <c r="J103" s="172" t="str">
        <f t="shared" si="28"/>
        <v>TBD</v>
      </c>
      <c r="K103" s="529" t="str">
        <f t="shared" si="29"/>
        <v/>
      </c>
      <c r="L103" s="957" t="s">
        <v>482</v>
      </c>
      <c r="M103" s="270"/>
      <c r="N103" s="41" t="str">
        <f>"Note:  "&amp;$M$79</f>
        <v>Note:  10</v>
      </c>
      <c r="O103" s="4" t="s">
        <v>336</v>
      </c>
      <c r="P103" s="63"/>
      <c r="Q103" s="3"/>
      <c r="R103" s="3"/>
      <c r="S103" s="3"/>
      <c r="T103" s="3"/>
      <c r="U103" s="3"/>
      <c r="V103" s="3"/>
      <c r="W103" s="43"/>
      <c r="X103" s="939" t="s">
        <v>482</v>
      </c>
      <c r="Y103" s="769"/>
      <c r="Z103" s="768"/>
      <c r="AA103" s="768" t="s">
        <v>531</v>
      </c>
      <c r="AB103" s="1411"/>
      <c r="AC103" s="781" t="str">
        <f t="shared" si="26"/>
        <v/>
      </c>
      <c r="AD103" s="1435" t="str">
        <f>P415</f>
        <v/>
      </c>
      <c r="AE103" s="788" t="s">
        <v>405</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7">
        <v>38</v>
      </c>
      <c r="B104" s="390"/>
      <c r="C104" s="61"/>
      <c r="D104" s="58" t="str">
        <f t="shared" si="27"/>
        <v>Anode heat calculator/indicator is functioning properly.</v>
      </c>
      <c r="E104" s="63"/>
      <c r="F104" s="56"/>
      <c r="G104" s="56"/>
      <c r="H104" s="56"/>
      <c r="I104" s="56"/>
      <c r="J104" s="172" t="str">
        <f t="shared" si="28"/>
        <v>TBD</v>
      </c>
      <c r="K104" s="529" t="str">
        <f t="shared" si="29"/>
        <v/>
      </c>
      <c r="L104" s="957" t="s">
        <v>482</v>
      </c>
      <c r="M104" s="52"/>
      <c r="N104" s="3"/>
      <c r="O104" s="3"/>
      <c r="P104" s="3"/>
      <c r="Q104" s="3"/>
      <c r="R104" s="3"/>
      <c r="S104" s="3"/>
      <c r="T104" s="3"/>
      <c r="U104" s="3"/>
      <c r="V104" s="3"/>
      <c r="W104" s="43"/>
      <c r="X104" s="939" t="s">
        <v>482</v>
      </c>
      <c r="Y104" s="769"/>
      <c r="Z104" s="432"/>
      <c r="AA104" s="768" t="s">
        <v>532</v>
      </c>
      <c r="AB104" s="1411"/>
      <c r="AC104" s="781" t="str">
        <f t="shared" si="26"/>
        <v/>
      </c>
      <c r="AD104" s="1435" t="str">
        <f>Q415</f>
        <v/>
      </c>
      <c r="AE104" s="786" t="s">
        <v>406</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7">
        <v>39</v>
      </c>
      <c r="B105" s="390" t="s">
        <v>4</v>
      </c>
      <c r="C105" s="61"/>
      <c r="D105" s="58" t="str">
        <f t="shared" si="27"/>
        <v xml:space="preserve">Indicator of the individual x-ray tube selected present and operational. </v>
      </c>
      <c r="E105" s="63"/>
      <c r="F105" s="56"/>
      <c r="G105" s="56"/>
      <c r="H105" s="56"/>
      <c r="I105" s="56"/>
      <c r="J105" s="172" t="str">
        <f t="shared" si="28"/>
        <v>TBD</v>
      </c>
      <c r="K105" s="529" t="str">
        <f t="shared" si="29"/>
        <v/>
      </c>
      <c r="L105" s="957" t="s">
        <v>482</v>
      </c>
      <c r="M105" s="38"/>
      <c r="N105" s="375"/>
      <c r="O105" s="375"/>
      <c r="P105" s="375"/>
      <c r="Q105" s="375"/>
      <c r="R105" s="375"/>
      <c r="S105" s="375"/>
      <c r="T105" s="375"/>
      <c r="U105" s="375"/>
      <c r="V105" s="375"/>
      <c r="W105" s="376"/>
      <c r="X105" s="939" t="s">
        <v>482</v>
      </c>
      <c r="Y105" s="769"/>
      <c r="Z105" s="769"/>
      <c r="AA105" s="432"/>
      <c r="AB105" s="769"/>
      <c r="AC105" s="781" t="str">
        <f t="shared" si="26"/>
        <v/>
      </c>
      <c r="AD105" s="1234"/>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7">
        <v>40</v>
      </c>
      <c r="B106" s="390" t="s">
        <v>3</v>
      </c>
      <c r="C106" s="61"/>
      <c r="D106" s="58" t="str">
        <f t="shared" si="27"/>
        <v>Visible "beam on" indicator present and operational.</v>
      </c>
      <c r="E106" s="63"/>
      <c r="F106" s="56"/>
      <c r="G106" s="56"/>
      <c r="H106" s="56"/>
      <c r="I106" s="56"/>
      <c r="J106" s="172" t="str">
        <f t="shared" si="28"/>
        <v>TBD</v>
      </c>
      <c r="K106" s="529" t="str">
        <f t="shared" si="29"/>
        <v/>
      </c>
      <c r="L106" s="957" t="s">
        <v>482</v>
      </c>
      <c r="M106" s="3"/>
      <c r="N106" s="3"/>
      <c r="O106" s="3"/>
      <c r="P106" s="3"/>
      <c r="Q106" s="3"/>
      <c r="R106" s="3"/>
      <c r="S106" s="3"/>
      <c r="T106" s="3"/>
      <c r="U106" s="3"/>
      <c r="V106" s="3"/>
      <c r="W106" s="3"/>
      <c r="X106" s="939" t="s">
        <v>482</v>
      </c>
      <c r="Y106" s="769"/>
      <c r="Z106" s="769"/>
      <c r="AA106" s="182" t="s">
        <v>535</v>
      </c>
      <c r="AB106" s="1412"/>
      <c r="AC106" s="781" t="str">
        <f t="shared" si="26"/>
        <v>Change</v>
      </c>
      <c r="AD106" s="1437">
        <f>M420</f>
        <v>100</v>
      </c>
      <c r="AE106" s="786" t="s">
        <v>407</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7">
        <v>41</v>
      </c>
      <c r="B107" s="390" t="s">
        <v>9</v>
      </c>
      <c r="C107" s="61"/>
      <c r="D107" s="58" t="str">
        <f t="shared" si="27"/>
        <v>Audible exposure end indicator present and operational.</v>
      </c>
      <c r="E107" s="63"/>
      <c r="F107" s="56"/>
      <c r="G107" s="56"/>
      <c r="H107" s="56"/>
      <c r="I107" s="56"/>
      <c r="J107" s="172" t="str">
        <f t="shared" si="28"/>
        <v>TBD</v>
      </c>
      <c r="K107" s="529" t="str">
        <f t="shared" si="29"/>
        <v/>
      </c>
      <c r="L107" s="957" t="s">
        <v>482</v>
      </c>
      <c r="M107" s="3"/>
      <c r="X107" s="939" t="s">
        <v>482</v>
      </c>
      <c r="Y107" s="769"/>
      <c r="Z107" s="769"/>
      <c r="AA107" s="182" t="s">
        <v>536</v>
      </c>
      <c r="AB107" s="1412"/>
      <c r="AC107" s="781" t="str">
        <f t="shared" si="26"/>
        <v/>
      </c>
      <c r="AD107" s="1437" t="str">
        <f>M421</f>
        <v/>
      </c>
      <c r="AE107" s="786" t="s">
        <v>408</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7">
        <v>42</v>
      </c>
      <c r="B108" s="390"/>
      <c r="C108" s="61"/>
      <c r="D108" s="58" t="str">
        <f>$D$920</f>
        <v>Exposure delay time is not excessive.</v>
      </c>
      <c r="E108" s="63"/>
      <c r="F108" s="56"/>
      <c r="G108" s="56"/>
      <c r="H108" s="56"/>
      <c r="I108" s="56"/>
      <c r="J108" s="154" t="str">
        <f>$J$920</f>
        <v>TBD</v>
      </c>
      <c r="K108" s="522" t="str">
        <f>$K$920</f>
        <v/>
      </c>
      <c r="L108" s="957" t="s">
        <v>482</v>
      </c>
      <c r="V108" s="968" t="s">
        <v>437</v>
      </c>
      <c r="X108" s="939" t="s">
        <v>482</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7">
        <v>43</v>
      </c>
      <c r="B109" s="130" t="s">
        <v>11</v>
      </c>
      <c r="C109" s="131"/>
      <c r="D109" s="118" t="s">
        <v>540</v>
      </c>
      <c r="E109" s="119"/>
      <c r="F109" s="119"/>
      <c r="G109" s="119"/>
      <c r="H109" s="119"/>
      <c r="I109" s="119"/>
      <c r="J109" s="1578" t="str">
        <f>IF(AND($E$716="TBD",$J$716="TBD"),"TBD",IF(OR($E$716="NO",$J$716="NO"),"","YES"))</f>
        <v>TBD</v>
      </c>
      <c r="K109" s="530" t="str">
        <f>IF(AND($E$716="TBD",$J$716="TBD"),"",IF(OR($E$716="NO",$J$716="NO"),"NO",""))</f>
        <v/>
      </c>
      <c r="L109" s="957" t="s">
        <v>482</v>
      </c>
      <c r="M109" s="89"/>
      <c r="N109" s="72"/>
      <c r="O109" s="72"/>
      <c r="P109" s="1684" t="s">
        <v>709</v>
      </c>
      <c r="Q109" s="1685"/>
      <c r="R109" s="72"/>
      <c r="S109" s="72"/>
      <c r="V109" s="969" t="s">
        <v>440</v>
      </c>
      <c r="X109" s="939" t="s">
        <v>482</v>
      </c>
      <c r="Y109" s="769"/>
      <c r="Z109" s="769"/>
      <c r="AA109" s="768" t="s">
        <v>537</v>
      </c>
      <c r="AB109" s="1411"/>
      <c r="AC109" s="781" t="str">
        <f t="shared" si="26"/>
        <v>Change</v>
      </c>
      <c r="AD109" s="1429" t="str">
        <f>V423</f>
        <v>cm</v>
      </c>
      <c r="AE109" s="786" t="s">
        <v>813</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7">
        <v>44</v>
      </c>
      <c r="B110" s="130" t="s">
        <v>10</v>
      </c>
      <c r="C110" s="131"/>
      <c r="D110" s="118" t="s">
        <v>1243</v>
      </c>
      <c r="E110" s="119"/>
      <c r="F110" s="119"/>
      <c r="G110" s="119"/>
      <c r="H110" s="119"/>
      <c r="I110" s="119"/>
      <c r="J110" s="1578" t="str">
        <f>IF(AND($E$760="NA",$F$760="NA",$I$760="NA",$J$760="NA"),"NA",IF(OR($E$760="NO",$F$760="NO",$I$760="NO",$J$760="NO"),"","YES"))</f>
        <v>NA</v>
      </c>
      <c r="K110" s="530" t="str">
        <f>IF(AND($E$760="TBD",$F$760="TBD",$I$760="TBD",$J$760="TBD"),"",IF(OR($E$760="NO",$F$760="NO",$I$760="NO",$J$760="NO"),"NO",""))</f>
        <v/>
      </c>
      <c r="L110" s="957" t="s">
        <v>482</v>
      </c>
      <c r="M110" s="146"/>
      <c r="N110" s="1683"/>
      <c r="O110" s="1683"/>
      <c r="P110" s="141" t="s">
        <v>618</v>
      </c>
      <c r="Q110" s="1683"/>
      <c r="R110" s="1683"/>
      <c r="S110" s="3"/>
      <c r="T110" s="1503" t="s">
        <v>619</v>
      </c>
      <c r="U110" s="138" t="s">
        <v>1278</v>
      </c>
      <c r="V110" s="970" t="s">
        <v>619</v>
      </c>
      <c r="X110" s="939" t="s">
        <v>482</v>
      </c>
      <c r="Y110" s="769"/>
      <c r="Z110" s="769"/>
      <c r="AA110" s="768" t="s">
        <v>538</v>
      </c>
      <c r="AB110" s="1412"/>
      <c r="AC110" s="781" t="str">
        <f t="shared" si="26"/>
        <v/>
      </c>
      <c r="AD110" s="1437" t="str">
        <f>U423</f>
        <v/>
      </c>
      <c r="AE110" s="786" t="s">
        <v>814</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7">
        <v>45</v>
      </c>
      <c r="B111" s="130" t="s">
        <v>11</v>
      </c>
      <c r="C111" s="131"/>
      <c r="D111" s="118" t="s">
        <v>14</v>
      </c>
      <c r="E111" s="119"/>
      <c r="F111" s="119"/>
      <c r="G111" s="119"/>
      <c r="H111" s="119"/>
      <c r="I111" s="119"/>
      <c r="J111" s="1578" t="str">
        <f>IF(M53=1,$T$52,IF($H$829="NA","NA",IF(OR($H$829="",$H$829="TBD"),"TBD",IF($H$829="YES","YES",""))))</f>
        <v>NA</v>
      </c>
      <c r="K111" s="530" t="str">
        <f>IF($M$53=1,"",IF(OR($H$829="",$H$829="TBD",$H$829="NA"),"",IF($H$829="YES","","NO")))</f>
        <v/>
      </c>
      <c r="L111" s="957" t="s">
        <v>482</v>
      </c>
      <c r="M111" s="148"/>
      <c r="N111" s="141"/>
      <c r="O111" s="141" t="s">
        <v>589</v>
      </c>
      <c r="P111" s="141" t="s">
        <v>620</v>
      </c>
      <c r="Q111" s="141" t="s">
        <v>621</v>
      </c>
      <c r="R111" s="141"/>
      <c r="S111" s="3"/>
      <c r="T111" s="141" t="s">
        <v>622</v>
      </c>
      <c r="U111" s="1709" t="s">
        <v>1279</v>
      </c>
      <c r="V111" s="970" t="s">
        <v>622</v>
      </c>
      <c r="W111" s="1310" t="s">
        <v>641</v>
      </c>
      <c r="X111" s="939" t="s">
        <v>482</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7">
        <v>46</v>
      </c>
      <c r="B112" s="130" t="s">
        <v>13</v>
      </c>
      <c r="C112" s="131"/>
      <c r="D112" s="118" t="s">
        <v>544</v>
      </c>
      <c r="E112" s="119"/>
      <c r="F112" s="119"/>
      <c r="G112" s="119"/>
      <c r="H112" s="119"/>
      <c r="I112" s="119"/>
      <c r="J112" s="1578" t="str">
        <f>IF(M53=1,$T$52,IF($K$829="NA","NA",IF(OR($K$829="",$K$829="TBD"),"TBD",IF($K$829="YES","YES",""))))</f>
        <v>NA</v>
      </c>
      <c r="K112" s="530" t="str">
        <f>IF($M$53=1,"",IF(OR($K$829="",$K$829="TBD", $K$829="NA"),"",IF($K$829="YES","","NO")))</f>
        <v/>
      </c>
      <c r="L112" s="957" t="s">
        <v>482</v>
      </c>
      <c r="M112" s="149" t="s">
        <v>624</v>
      </c>
      <c r="N112" s="142" t="s">
        <v>625</v>
      </c>
      <c r="O112" s="142" t="s">
        <v>626</v>
      </c>
      <c r="P112" s="142" t="s">
        <v>627</v>
      </c>
      <c r="Q112" s="142" t="s">
        <v>626</v>
      </c>
      <c r="R112" s="142" t="s">
        <v>539</v>
      </c>
      <c r="S112" s="141" t="s">
        <v>652</v>
      </c>
      <c r="T112" s="141" t="s">
        <v>1170</v>
      </c>
      <c r="U112" s="1710" t="s">
        <v>1280</v>
      </c>
      <c r="V112" s="971" t="s">
        <v>1170</v>
      </c>
      <c r="W112" s="1311" t="s">
        <v>324</v>
      </c>
      <c r="X112" s="939" t="s">
        <v>482</v>
      </c>
      <c r="Y112" s="769"/>
      <c r="Z112" s="769"/>
      <c r="AA112" s="768" t="s">
        <v>539</v>
      </c>
      <c r="AB112" s="1411"/>
      <c r="AC112" s="781" t="str">
        <f t="shared" si="26"/>
        <v>Change</v>
      </c>
      <c r="AD112" s="1438">
        <f>O542</f>
        <v>80</v>
      </c>
      <c r="AE112" s="786" t="s">
        <v>815</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7">
        <v>47</v>
      </c>
      <c r="B113" s="130" t="s">
        <v>12</v>
      </c>
      <c r="C113" s="131"/>
      <c r="D113" s="118" t="s">
        <v>545</v>
      </c>
      <c r="E113" s="119"/>
      <c r="F113" s="119"/>
      <c r="G113" s="119"/>
      <c r="H113" s="119"/>
      <c r="I113" s="119"/>
      <c r="J113" s="1578" t="str">
        <f>IF(AND($K$871="TBD",$K$874="TBD",$K$886="TBD",$K$889="TBD"),"TBD",IF(OR($K$871="NO",$K$874="NO",$K$886="NO",$K$889="NO",$G$901="NO"),"","YES"))</f>
        <v>TBD</v>
      </c>
      <c r="K113" s="530" t="str">
        <f>IF(AND($K$871="TBD",$K$874="TBD",$K$886="TBD",$K$889="TBD"),"",IF(OR($K$871="NO",$K$874="NO",$K$886="NO",$K$889="NO",$G$901="NO"),"NO",""))</f>
        <v/>
      </c>
      <c r="L113" s="957" t="s">
        <v>482</v>
      </c>
      <c r="M113" s="1711" t="s">
        <v>27</v>
      </c>
      <c r="N113" s="1696" t="s">
        <v>26</v>
      </c>
      <c r="O113" s="1696">
        <v>72</v>
      </c>
      <c r="P113" s="1712">
        <v>23</v>
      </c>
      <c r="Q113" s="1696" t="s">
        <v>28</v>
      </c>
      <c r="R113" s="1696">
        <v>120</v>
      </c>
      <c r="S113" s="1713">
        <v>2</v>
      </c>
      <c r="T113" s="1591" t="str">
        <f>IF(U87="","",U87)</f>
        <v/>
      </c>
      <c r="U113" s="1591" t="str">
        <f>IF(U87="","",IF(U87&lt;=R127,"Pass","Fail"))</f>
        <v/>
      </c>
      <c r="V113" s="1726" t="str">
        <f t="shared" ref="V113:V122" si="30">IF(OR(AB490="",AB490=0),"",AB490)</f>
        <v/>
      </c>
      <c r="W113" s="1727" t="str">
        <f t="shared" ref="W113:W122" si="31">IF(OR(U87="",V113=""),"",(U87-V113)/V113)</f>
        <v/>
      </c>
      <c r="X113" s="939" t="s">
        <v>482</v>
      </c>
      <c r="Y113" s="769"/>
      <c r="Z113" s="769"/>
      <c r="AA113" s="768" t="s">
        <v>541</v>
      </c>
      <c r="AB113" s="1411"/>
      <c r="AC113" s="781" t="str">
        <f t="shared" si="26"/>
        <v/>
      </c>
      <c r="AD113" s="1439" t="str">
        <f>Q542</f>
        <v/>
      </c>
      <c r="AE113" s="786" t="s">
        <v>816</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7">
        <v>48</v>
      </c>
      <c r="B114" s="155"/>
      <c r="C114" s="63"/>
      <c r="D114" s="63"/>
      <c r="E114" s="63"/>
      <c r="F114" s="63"/>
      <c r="G114" s="63"/>
      <c r="H114" s="63"/>
      <c r="I114" s="63"/>
      <c r="J114" s="159"/>
      <c r="K114" s="528"/>
      <c r="L114" s="957" t="s">
        <v>482</v>
      </c>
      <c r="M114" s="1711" t="s">
        <v>43</v>
      </c>
      <c r="N114" s="1696" t="s">
        <v>26</v>
      </c>
      <c r="O114" s="1696">
        <v>40</v>
      </c>
      <c r="P114" s="1712">
        <v>23</v>
      </c>
      <c r="Q114" s="1696" t="s">
        <v>28</v>
      </c>
      <c r="R114" s="1696">
        <v>76</v>
      </c>
      <c r="S114" s="1713">
        <v>30</v>
      </c>
      <c r="T114" s="1591" t="str">
        <f t="shared" ref="T114:T122" si="32">IF(U88="","",U88)</f>
        <v/>
      </c>
      <c r="U114" s="1591" t="str">
        <f>IF(U88="","",IF(U88&lt;=R129,"Pass","Fail"))</f>
        <v/>
      </c>
      <c r="V114" s="1726" t="str">
        <f t="shared" si="30"/>
        <v/>
      </c>
      <c r="W114" s="1727" t="str">
        <f t="shared" si="31"/>
        <v/>
      </c>
      <c r="X114" s="939" t="s">
        <v>482</v>
      </c>
      <c r="Y114" s="769"/>
      <c r="Z114" s="769"/>
      <c r="AA114" s="768" t="s">
        <v>542</v>
      </c>
      <c r="AB114" s="1413"/>
      <c r="AC114" s="781" t="str">
        <f t="shared" si="26"/>
        <v/>
      </c>
      <c r="AD114" s="1440" t="str">
        <f>S542</f>
        <v/>
      </c>
      <c r="AE114" s="786" t="s">
        <v>817</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7">
        <v>49</v>
      </c>
      <c r="B115" s="155"/>
      <c r="C115" s="63"/>
      <c r="D115" s="63"/>
      <c r="E115" s="63"/>
      <c r="F115" s="117" t="s">
        <v>549</v>
      </c>
      <c r="G115" s="63"/>
      <c r="H115" s="63"/>
      <c r="I115" s="63"/>
      <c r="J115" s="172"/>
      <c r="K115" s="529"/>
      <c r="L115" s="957" t="s">
        <v>482</v>
      </c>
      <c r="M115" s="1711" t="s">
        <v>31</v>
      </c>
      <c r="N115" s="1696" t="s">
        <v>26</v>
      </c>
      <c r="O115" s="1696">
        <v>40</v>
      </c>
      <c r="P115" s="1712">
        <v>20</v>
      </c>
      <c r="Q115" s="1696" t="s">
        <v>28</v>
      </c>
      <c r="R115" s="1696">
        <v>66</v>
      </c>
      <c r="S115" s="1713">
        <v>12</v>
      </c>
      <c r="T115" s="1591" t="str">
        <f t="shared" si="32"/>
        <v/>
      </c>
      <c r="U115" s="1591"/>
      <c r="V115" s="1726" t="str">
        <f t="shared" si="30"/>
        <v/>
      </c>
      <c r="W115" s="1727" t="str">
        <f t="shared" si="31"/>
        <v/>
      </c>
      <c r="X115" s="939" t="s">
        <v>482</v>
      </c>
      <c r="Y115" s="769"/>
      <c r="Z115" s="769"/>
      <c r="AA115" s="768" t="s">
        <v>543</v>
      </c>
      <c r="AB115" s="1411"/>
      <c r="AC115" s="781" t="str">
        <f t="shared" si="26"/>
        <v>Change</v>
      </c>
      <c r="AD115" s="1439">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7">
        <v>50</v>
      </c>
      <c r="B116" s="130" t="s">
        <v>5</v>
      </c>
      <c r="C116" s="131"/>
      <c r="D116" s="118" t="s">
        <v>551</v>
      </c>
      <c r="E116" s="118"/>
      <c r="F116" s="118"/>
      <c r="G116" s="118"/>
      <c r="H116" s="118"/>
      <c r="I116" s="118"/>
      <c r="J116" s="154" t="str">
        <f t="shared" ref="J116:J121" si="33">IF(M1426="","TBD",IF(M1426=1,"YES",IF(M1426=3,"NA","")))</f>
        <v>TBD</v>
      </c>
      <c r="K116" s="522" t="str">
        <f t="shared" ref="K116:K121" si="34">IF(M1426=2,"NO","")</f>
        <v/>
      </c>
      <c r="L116" s="957" t="s">
        <v>482</v>
      </c>
      <c r="M116" s="1711" t="s">
        <v>42</v>
      </c>
      <c r="N116" s="1696" t="s">
        <v>26</v>
      </c>
      <c r="O116" s="1696">
        <v>40</v>
      </c>
      <c r="P116" s="1712">
        <v>13</v>
      </c>
      <c r="Q116" s="1696" t="s">
        <v>32</v>
      </c>
      <c r="R116" s="1696">
        <v>72</v>
      </c>
      <c r="S116" s="1713">
        <v>10</v>
      </c>
      <c r="T116" s="1591" t="str">
        <f t="shared" si="32"/>
        <v/>
      </c>
      <c r="U116" s="1591" t="str">
        <f>IF(U90="","",IF(U90&lt;=R132,"Pass","Fail"))</f>
        <v/>
      </c>
      <c r="V116" s="1726" t="str">
        <f t="shared" si="30"/>
        <v/>
      </c>
      <c r="W116" s="1727" t="str">
        <f t="shared" si="31"/>
        <v/>
      </c>
      <c r="X116" s="939" t="s">
        <v>482</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7">
        <v>51</v>
      </c>
      <c r="B117" s="130"/>
      <c r="C117" s="1391"/>
      <c r="D117" s="118" t="s">
        <v>1131</v>
      </c>
      <c r="J117" s="154" t="str">
        <f t="shared" si="33"/>
        <v>NA</v>
      </c>
      <c r="K117" s="522" t="str">
        <f t="shared" si="34"/>
        <v/>
      </c>
      <c r="L117" s="957" t="s">
        <v>482</v>
      </c>
      <c r="M117" s="1711" t="s">
        <v>52</v>
      </c>
      <c r="N117" s="1696" t="s">
        <v>26</v>
      </c>
      <c r="O117" s="1696">
        <v>40</v>
      </c>
      <c r="P117" s="1712">
        <v>15</v>
      </c>
      <c r="Q117" s="1696" t="s">
        <v>47</v>
      </c>
      <c r="R117" s="1696">
        <v>72</v>
      </c>
      <c r="S117" s="1713">
        <v>10</v>
      </c>
      <c r="T117" s="1591" t="str">
        <f t="shared" si="32"/>
        <v/>
      </c>
      <c r="U117" s="1591" t="str">
        <f>IF(U91="","",IF(U91&lt;=R133,"Pass","Fail"))</f>
        <v/>
      </c>
      <c r="V117" s="1726" t="str">
        <f t="shared" si="30"/>
        <v/>
      </c>
      <c r="W117" s="1727" t="str">
        <f t="shared" si="31"/>
        <v/>
      </c>
      <c r="X117" s="939" t="s">
        <v>482</v>
      </c>
      <c r="Y117" s="769"/>
      <c r="Z117" s="769"/>
      <c r="AA117" s="775" t="s">
        <v>546</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7">
        <v>52</v>
      </c>
      <c r="B118" s="130"/>
      <c r="C118" s="1391"/>
      <c r="D118" s="118" t="s">
        <v>1132</v>
      </c>
      <c r="J118" s="154" t="str">
        <f t="shared" si="33"/>
        <v>NA</v>
      </c>
      <c r="K118" s="522" t="str">
        <f t="shared" si="34"/>
        <v/>
      </c>
      <c r="L118" s="957" t="s">
        <v>482</v>
      </c>
      <c r="M118" s="1711" t="s">
        <v>38</v>
      </c>
      <c r="N118" s="1696" t="s">
        <v>33</v>
      </c>
      <c r="O118" s="1696">
        <v>40</v>
      </c>
      <c r="P118" s="1712">
        <v>8</v>
      </c>
      <c r="Q118" s="1696" t="s">
        <v>47</v>
      </c>
      <c r="R118" s="1696">
        <v>60</v>
      </c>
      <c r="S118" s="1713">
        <v>2.5</v>
      </c>
      <c r="T118" s="1591" t="str">
        <f t="shared" si="32"/>
        <v/>
      </c>
      <c r="U118" s="1591" t="str">
        <f>IF(U92="","",IF(U92&lt;=R136,"Pass","Fail"))</f>
        <v/>
      </c>
      <c r="V118" s="1726" t="str">
        <f t="shared" si="30"/>
        <v/>
      </c>
      <c r="W118" s="1727" t="str">
        <f t="shared" si="31"/>
        <v/>
      </c>
      <c r="X118" s="939" t="s">
        <v>482</v>
      </c>
      <c r="Y118" s="769"/>
      <c r="Z118" s="769"/>
      <c r="AA118" s="768" t="s">
        <v>547</v>
      </c>
      <c r="AB118" s="1411"/>
      <c r="AC118" s="781" t="str">
        <f t="shared" si="26"/>
        <v/>
      </c>
      <c r="AD118" s="1439" t="str">
        <f>M554</f>
        <v/>
      </c>
      <c r="AE118" s="786" t="s">
        <v>818</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7">
        <v>53</v>
      </c>
      <c r="B119" s="130" t="s">
        <v>1134</v>
      </c>
      <c r="C119" s="1391"/>
      <c r="D119" s="118" t="s">
        <v>1133</v>
      </c>
      <c r="J119" s="154" t="str">
        <f t="shared" si="33"/>
        <v>NA</v>
      </c>
      <c r="K119" s="522" t="str">
        <f t="shared" si="34"/>
        <v/>
      </c>
      <c r="L119" s="957" t="s">
        <v>482</v>
      </c>
      <c r="M119" s="1711" t="s">
        <v>39</v>
      </c>
      <c r="N119" s="1696" t="s">
        <v>33</v>
      </c>
      <c r="O119" s="1696">
        <v>40</v>
      </c>
      <c r="P119" s="1712">
        <v>12</v>
      </c>
      <c r="Q119" s="1696" t="s">
        <v>32</v>
      </c>
      <c r="R119" s="1696">
        <v>66</v>
      </c>
      <c r="S119" s="1713">
        <v>8</v>
      </c>
      <c r="T119" s="1591" t="str">
        <f t="shared" si="32"/>
        <v/>
      </c>
      <c r="U119" s="1591"/>
      <c r="V119" s="1726" t="str">
        <f t="shared" si="30"/>
        <v/>
      </c>
      <c r="W119" s="1727" t="str">
        <f t="shared" si="31"/>
        <v/>
      </c>
      <c r="X119" s="939" t="s">
        <v>482</v>
      </c>
      <c r="Y119" s="769"/>
      <c r="Z119" s="769"/>
      <c r="AA119" s="768" t="s">
        <v>548</v>
      </c>
      <c r="AB119" s="1411"/>
      <c r="AC119" s="781" t="str">
        <f t="shared" si="26"/>
        <v/>
      </c>
      <c r="AD119" s="1439" t="str">
        <f>N554</f>
        <v/>
      </c>
      <c r="AE119" s="786" t="s">
        <v>819</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7">
        <v>54</v>
      </c>
      <c r="B120" s="130" t="s">
        <v>6</v>
      </c>
      <c r="C120" s="131"/>
      <c r="D120" s="118" t="s">
        <v>553</v>
      </c>
      <c r="E120" s="119"/>
      <c r="F120" s="119"/>
      <c r="G120" s="119"/>
      <c r="H120" s="119"/>
      <c r="I120" s="119"/>
      <c r="J120" s="154" t="str">
        <f t="shared" si="33"/>
        <v>TBD</v>
      </c>
      <c r="K120" s="522" t="str">
        <f t="shared" si="34"/>
        <v/>
      </c>
      <c r="L120" s="957" t="s">
        <v>482</v>
      </c>
      <c r="M120" s="1711" t="s">
        <v>44</v>
      </c>
      <c r="N120" s="1696" t="s">
        <v>26</v>
      </c>
      <c r="O120" s="1696">
        <v>40</v>
      </c>
      <c r="P120" s="1712">
        <v>20</v>
      </c>
      <c r="Q120" s="1696" t="s">
        <v>28</v>
      </c>
      <c r="R120" s="1696">
        <v>78</v>
      </c>
      <c r="S120" s="1713">
        <v>30</v>
      </c>
      <c r="T120" s="1591" t="str">
        <f t="shared" si="32"/>
        <v/>
      </c>
      <c r="U120" s="1591"/>
      <c r="V120" s="1726" t="str">
        <f t="shared" si="30"/>
        <v/>
      </c>
      <c r="W120" s="1727" t="str">
        <f t="shared" si="31"/>
        <v/>
      </c>
      <c r="X120" s="939" t="s">
        <v>482</v>
      </c>
      <c r="Y120" s="769"/>
      <c r="Z120" s="769"/>
      <c r="AA120" s="768" t="s">
        <v>550</v>
      </c>
      <c r="AB120" s="1411"/>
      <c r="AC120" s="781" t="str">
        <f t="shared" si="26"/>
        <v/>
      </c>
      <c r="AD120" s="1439" t="str">
        <f>M555</f>
        <v/>
      </c>
      <c r="AE120" s="786" t="s">
        <v>735</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7">
        <v>55</v>
      </c>
      <c r="B121" s="130" t="s">
        <v>8</v>
      </c>
      <c r="C121" s="131"/>
      <c r="D121" s="58" t="s">
        <v>554</v>
      </c>
      <c r="E121" s="63"/>
      <c r="F121" s="63"/>
      <c r="G121" s="63"/>
      <c r="H121" s="63"/>
      <c r="I121" s="63"/>
      <c r="J121" s="154" t="str">
        <f t="shared" si="33"/>
        <v>TBD</v>
      </c>
      <c r="K121" s="522" t="str">
        <f t="shared" si="34"/>
        <v/>
      </c>
      <c r="L121" s="957" t="s">
        <v>482</v>
      </c>
      <c r="M121" s="1711" t="s">
        <v>45</v>
      </c>
      <c r="N121" s="1696" t="s">
        <v>26</v>
      </c>
      <c r="O121" s="1696">
        <v>40</v>
      </c>
      <c r="P121" s="1712">
        <v>15</v>
      </c>
      <c r="Q121" s="1696" t="s">
        <v>32</v>
      </c>
      <c r="R121" s="1696">
        <v>74</v>
      </c>
      <c r="S121" s="1713">
        <v>14</v>
      </c>
      <c r="T121" s="1591" t="str">
        <f t="shared" si="32"/>
        <v/>
      </c>
      <c r="U121" s="1591"/>
      <c r="V121" s="1726" t="str">
        <f t="shared" si="30"/>
        <v/>
      </c>
      <c r="W121" s="1727" t="str">
        <f t="shared" si="31"/>
        <v/>
      </c>
      <c r="X121" s="939" t="s">
        <v>482</v>
      </c>
      <c r="Y121" s="769"/>
      <c r="Z121" s="769"/>
      <c r="AA121" s="768" t="s">
        <v>552</v>
      </c>
      <c r="AB121" s="1411"/>
      <c r="AC121" s="781" t="str">
        <f t="shared" si="26"/>
        <v/>
      </c>
      <c r="AD121" s="1439" t="str">
        <f>N555</f>
        <v/>
      </c>
      <c r="AE121" s="786" t="s">
        <v>820</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7">
        <v>56</v>
      </c>
      <c r="B122" s="130" t="s">
        <v>7</v>
      </c>
      <c r="C122" s="131"/>
      <c r="D122" s="58" t="s">
        <v>556</v>
      </c>
      <c r="E122" s="58"/>
      <c r="F122" s="124" t="str">
        <f>IF(R1432="","Half:  ","Half:  "&amp;R1432)</f>
        <v>Half:  0</v>
      </c>
      <c r="G122" s="62"/>
      <c r="H122" s="124" t="str">
        <f>IF(T1432="","Full:  ","Full:  "&amp;T1432)</f>
        <v>Full:  0</v>
      </c>
      <c r="I122" s="63"/>
      <c r="J122" s="154" t="str">
        <f t="shared" ref="J122:J127" si="35">IF($M$53=1,$T$52,IF(M1432="","TBD",IF(M1432=1,"YES",IF(M1432=3,"NA",""))))</f>
        <v>TBD</v>
      </c>
      <c r="K122" s="522" t="str">
        <f t="shared" ref="K122:K127" si="36">IF($M$53=1,"",IF(M1432=2,"NO",""))</f>
        <v/>
      </c>
      <c r="L122" s="957" t="s">
        <v>482</v>
      </c>
      <c r="M122" s="1714" t="s">
        <v>46</v>
      </c>
      <c r="N122" s="1715" t="s">
        <v>26</v>
      </c>
      <c r="O122" s="1715">
        <v>40</v>
      </c>
      <c r="P122" s="1716">
        <v>23</v>
      </c>
      <c r="Q122" s="1715" t="s">
        <v>32</v>
      </c>
      <c r="R122" s="1715">
        <v>78</v>
      </c>
      <c r="S122" s="1717">
        <v>25</v>
      </c>
      <c r="T122" s="1626" t="str">
        <f t="shared" si="32"/>
        <v/>
      </c>
      <c r="U122" s="1626"/>
      <c r="V122" s="1728" t="str">
        <f t="shared" si="30"/>
        <v/>
      </c>
      <c r="W122" s="1729" t="str">
        <f t="shared" si="31"/>
        <v/>
      </c>
      <c r="X122" s="939" t="s">
        <v>482</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7">
        <v>57</v>
      </c>
      <c r="B123" s="130" t="s">
        <v>7</v>
      </c>
      <c r="C123" s="131"/>
      <c r="D123" s="58" t="s">
        <v>558</v>
      </c>
      <c r="E123" s="58"/>
      <c r="F123" s="58"/>
      <c r="G123" s="62" t="s">
        <v>559</v>
      </c>
      <c r="H123" s="71">
        <f>IF(R1433="","",R1433)</f>
        <v>0</v>
      </c>
      <c r="I123" s="63"/>
      <c r="J123" s="154" t="str">
        <f t="shared" si="35"/>
        <v>TBD</v>
      </c>
      <c r="K123" s="522" t="str">
        <f t="shared" si="36"/>
        <v/>
      </c>
      <c r="L123" s="957" t="s">
        <v>482</v>
      </c>
      <c r="T123" s="1506" t="s">
        <v>1263</v>
      </c>
      <c r="U123" s="1721" t="str">
        <f>IF(ISNA(MATCH("Fail",U113:U122,0)),"Pass","Fail")</f>
        <v>Pass</v>
      </c>
      <c r="X123" s="939" t="s">
        <v>482</v>
      </c>
      <c r="Y123" s="769"/>
      <c r="Z123" s="769"/>
      <c r="AA123" s="768" t="s">
        <v>555</v>
      </c>
      <c r="AB123" s="1411"/>
      <c r="AC123" s="781" t="str">
        <f t="shared" si="26"/>
        <v/>
      </c>
      <c r="AD123" s="1438" t="str">
        <f>M572</f>
        <v/>
      </c>
      <c r="AE123" s="786" t="s">
        <v>821</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7">
        <v>58</v>
      </c>
      <c r="B124" s="130"/>
      <c r="C124" s="131"/>
      <c r="D124" s="58" t="s">
        <v>560</v>
      </c>
      <c r="E124" s="111"/>
      <c r="F124" s="111"/>
      <c r="G124" s="111"/>
      <c r="H124" s="111"/>
      <c r="I124" s="111"/>
      <c r="J124" s="154" t="str">
        <f t="shared" si="35"/>
        <v>TBD</v>
      </c>
      <c r="K124" s="522" t="str">
        <f t="shared" si="36"/>
        <v/>
      </c>
      <c r="L124" s="957" t="s">
        <v>482</v>
      </c>
      <c r="M124" s="1707" t="s">
        <v>1275</v>
      </c>
      <c r="N124" s="138"/>
      <c r="O124" s="138"/>
      <c r="P124" s="1731" t="s">
        <v>1277</v>
      </c>
      <c r="Q124" s="1731"/>
      <c r="R124" s="1731" t="s">
        <v>1277</v>
      </c>
      <c r="S124" s="1731"/>
      <c r="V124" s="1187"/>
      <c r="W124" s="1187"/>
      <c r="X124" s="939" t="s">
        <v>482</v>
      </c>
      <c r="Y124" s="769"/>
      <c r="Z124" s="432"/>
      <c r="AA124" s="768" t="s">
        <v>557</v>
      </c>
      <c r="AB124" s="1411"/>
      <c r="AC124" s="781" t="str">
        <f t="shared" si="26"/>
        <v/>
      </c>
      <c r="AD124" s="1438" t="str">
        <f>M589</f>
        <v/>
      </c>
      <c r="AE124" s="786" t="s">
        <v>822</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7">
        <v>59</v>
      </c>
      <c r="B125" s="130" t="s">
        <v>7</v>
      </c>
      <c r="C125" s="131"/>
      <c r="D125" s="58" t="s">
        <v>561</v>
      </c>
      <c r="E125" s="63"/>
      <c r="F125" s="63"/>
      <c r="G125" s="63"/>
      <c r="H125" s="63"/>
      <c r="I125" s="63"/>
      <c r="J125" s="154" t="str">
        <f t="shared" si="35"/>
        <v>TBD</v>
      </c>
      <c r="K125" s="522" t="str">
        <f t="shared" si="36"/>
        <v/>
      </c>
      <c r="L125" s="957" t="s">
        <v>482</v>
      </c>
      <c r="O125" s="138" t="s">
        <v>266</v>
      </c>
      <c r="P125" s="138" t="s">
        <v>1276</v>
      </c>
      <c r="Q125" s="1708">
        <v>400</v>
      </c>
      <c r="R125" s="138" t="s">
        <v>1276</v>
      </c>
      <c r="S125" s="1708">
        <v>400</v>
      </c>
      <c r="U125" s="1187"/>
      <c r="V125" s="1187"/>
      <c r="W125" s="1187"/>
      <c r="X125" s="939" t="s">
        <v>482</v>
      </c>
      <c r="Y125" s="769"/>
      <c r="Z125" s="432"/>
      <c r="AA125" s="432"/>
      <c r="AB125" s="769"/>
      <c r="AC125" s="781" t="str">
        <f t="shared" ref="AC125:AC136" si="37">IF(AND(OR(AB125="",AB125=0),OR(AD125="",AD125=0)),"",IF(AB125&lt;&gt;AD125,"Change",""))</f>
        <v/>
      </c>
      <c r="AD125" s="1234"/>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7">
        <v>60</v>
      </c>
      <c r="B126" s="130"/>
      <c r="C126" s="131"/>
      <c r="D126" s="118" t="s">
        <v>562</v>
      </c>
      <c r="E126" s="119"/>
      <c r="F126" s="119"/>
      <c r="G126" s="119"/>
      <c r="H126" s="182"/>
      <c r="I126" s="119"/>
      <c r="J126" s="154" t="str">
        <f t="shared" si="35"/>
        <v>TBD</v>
      </c>
      <c r="K126" s="522" t="str">
        <f t="shared" si="36"/>
        <v/>
      </c>
      <c r="L126" s="957" t="s">
        <v>482</v>
      </c>
      <c r="M126" s="1731" t="s">
        <v>51</v>
      </c>
      <c r="N126" s="1731"/>
      <c r="O126" s="138" t="s">
        <v>627</v>
      </c>
      <c r="P126" s="1731" t="s">
        <v>1281</v>
      </c>
      <c r="Q126" s="1731"/>
      <c r="R126" s="1731" t="s">
        <v>1167</v>
      </c>
      <c r="S126" s="1731"/>
      <c r="U126" s="1187"/>
      <c r="V126" s="1187"/>
      <c r="W126" s="1187"/>
      <c r="X126" s="939" t="s">
        <v>482</v>
      </c>
      <c r="Y126" s="769"/>
      <c r="Z126" s="769"/>
      <c r="AA126" s="689" t="s">
        <v>527</v>
      </c>
      <c r="AB126" s="769"/>
      <c r="AC126" s="781" t="str">
        <f t="shared" si="37"/>
        <v/>
      </c>
      <c r="AD126" s="1234"/>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7">
        <v>61</v>
      </c>
      <c r="B127" s="130" t="s">
        <v>15</v>
      </c>
      <c r="C127" s="131"/>
      <c r="D127" s="118" t="s">
        <v>564</v>
      </c>
      <c r="E127" s="119"/>
      <c r="F127" s="119"/>
      <c r="G127" s="119"/>
      <c r="H127" s="119"/>
      <c r="I127" s="119"/>
      <c r="J127" s="154" t="str">
        <f t="shared" si="35"/>
        <v>TBD</v>
      </c>
      <c r="K127" s="522" t="str">
        <f t="shared" si="36"/>
        <v/>
      </c>
      <c r="L127" s="957" t="s">
        <v>482</v>
      </c>
      <c r="M127" s="1730" t="s">
        <v>1264</v>
      </c>
      <c r="N127" s="1730"/>
      <c r="O127" s="1700">
        <v>23</v>
      </c>
      <c r="P127" s="1708">
        <v>38</v>
      </c>
      <c r="Q127" s="1708">
        <v>23</v>
      </c>
      <c r="R127" s="138">
        <f>P127*0.00876</f>
        <v>0.33288000000000001</v>
      </c>
      <c r="S127" s="138">
        <f>Q127*0.00876</f>
        <v>0.20148000000000002</v>
      </c>
      <c r="U127" s="1187"/>
      <c r="V127" s="1187"/>
      <c r="W127" s="1187"/>
      <c r="X127" s="939" t="s">
        <v>482</v>
      </c>
      <c r="Y127" s="769"/>
      <c r="Z127" s="769"/>
      <c r="AA127" s="119" t="s">
        <v>563</v>
      </c>
      <c r="AB127" s="1411"/>
      <c r="AC127" s="781" t="str">
        <f t="shared" si="37"/>
        <v/>
      </c>
      <c r="AD127" s="1438" t="str">
        <f>M434</f>
        <v/>
      </c>
      <c r="AE127" s="786" t="s">
        <v>823</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7">
        <v>62</v>
      </c>
      <c r="B128" s="130"/>
      <c r="C128" s="131"/>
      <c r="D128" s="118" t="s">
        <v>565</v>
      </c>
      <c r="E128" s="119"/>
      <c r="F128" s="119"/>
      <c r="G128" s="119"/>
      <c r="H128" s="119"/>
      <c r="I128" s="119"/>
      <c r="J128" s="154" t="str">
        <f>IF(M1438="","TBD",IF(M1438=1,"YES",IF(M1438=3,"NA","")))</f>
        <v>TBD</v>
      </c>
      <c r="K128" s="522" t="str">
        <f>IF(M1438=2,"NO","")</f>
        <v/>
      </c>
      <c r="L128" s="957" t="s">
        <v>482</v>
      </c>
      <c r="M128" s="1730" t="s">
        <v>1265</v>
      </c>
      <c r="N128" s="1730"/>
      <c r="O128" s="1700">
        <v>23</v>
      </c>
      <c r="P128" s="1708">
        <v>23</v>
      </c>
      <c r="Q128" s="1708">
        <v>8</v>
      </c>
      <c r="R128" s="138">
        <f t="shared" ref="R128:S137" si="38">P128*0.00876</f>
        <v>0.20148000000000002</v>
      </c>
      <c r="S128" s="138">
        <f t="shared" si="38"/>
        <v>7.0080000000000003E-2</v>
      </c>
      <c r="U128" s="1187"/>
      <c r="V128" s="1187"/>
      <c r="W128" s="1187"/>
      <c r="X128" s="939" t="s">
        <v>482</v>
      </c>
      <c r="Y128" s="769"/>
      <c r="Z128" s="768"/>
      <c r="AA128" s="768"/>
      <c r="AB128" s="769"/>
      <c r="AC128" s="781" t="str">
        <f t="shared" si="37"/>
        <v/>
      </c>
      <c r="AD128" s="1234"/>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7">
        <v>63</v>
      </c>
      <c r="B129" s="390" t="s">
        <v>1282</v>
      </c>
      <c r="C129" s="1391"/>
      <c r="D129" s="316" t="s">
        <v>1283</v>
      </c>
      <c r="J129" s="154" t="str">
        <f>IF(U123="","TBD",IF(U123="Pass","YES",""))</f>
        <v>YES</v>
      </c>
      <c r="K129" s="522" t="str">
        <f>IF(U123="Fail","NO","")</f>
        <v/>
      </c>
      <c r="L129" s="957" t="s">
        <v>482</v>
      </c>
      <c r="M129" s="1730" t="s">
        <v>1266</v>
      </c>
      <c r="N129" s="1730"/>
      <c r="O129" s="1700">
        <v>23</v>
      </c>
      <c r="P129" s="1708">
        <v>735</v>
      </c>
      <c r="Q129" s="1708">
        <v>450</v>
      </c>
      <c r="R129" s="138">
        <f t="shared" si="38"/>
        <v>6.4386000000000001</v>
      </c>
      <c r="S129" s="138">
        <f t="shared" si="38"/>
        <v>3.9420000000000002</v>
      </c>
      <c r="U129" s="1187"/>
      <c r="V129" s="1187"/>
      <c r="W129" s="1187"/>
      <c r="X129" s="939" t="s">
        <v>482</v>
      </c>
      <c r="Y129" s="769"/>
      <c r="Z129" s="768"/>
      <c r="AA129" s="775" t="s">
        <v>530</v>
      </c>
      <c r="AB129" s="769"/>
      <c r="AC129" s="781" t="str">
        <f t="shared" si="37"/>
        <v/>
      </c>
      <c r="AD129" s="1234"/>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7">
        <v>64</v>
      </c>
      <c r="B130" s="112"/>
      <c r="C130" s="94"/>
      <c r="D130" s="94"/>
      <c r="E130" s="94"/>
      <c r="F130" s="94"/>
      <c r="G130" s="94"/>
      <c r="H130" s="94"/>
      <c r="I130" s="94"/>
      <c r="J130" s="527"/>
      <c r="K130" s="531"/>
      <c r="L130" s="957" t="s">
        <v>482</v>
      </c>
      <c r="M130" s="1730" t="s">
        <v>1267</v>
      </c>
      <c r="N130" s="1730"/>
      <c r="O130" s="1700">
        <v>23</v>
      </c>
      <c r="P130" s="1708">
        <v>675</v>
      </c>
      <c r="Q130" s="1708">
        <v>525</v>
      </c>
      <c r="R130" s="138">
        <f t="shared" si="38"/>
        <v>5.9130000000000003</v>
      </c>
      <c r="S130" s="138">
        <f t="shared" si="38"/>
        <v>4.5990000000000002</v>
      </c>
      <c r="U130" s="1187"/>
      <c r="V130" s="1187"/>
      <c r="W130" s="1187"/>
      <c r="X130" s="939" t="s">
        <v>482</v>
      </c>
      <c r="Y130" s="769"/>
      <c r="Z130" s="768"/>
      <c r="AA130" s="768" t="s">
        <v>531</v>
      </c>
      <c r="AB130" s="1411"/>
      <c r="AC130" s="781" t="str">
        <f t="shared" si="37"/>
        <v/>
      </c>
      <c r="AD130" s="1435" t="str">
        <f>P438</f>
        <v/>
      </c>
      <c r="AE130" s="786" t="s">
        <v>824</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7">
        <v>65</v>
      </c>
      <c r="B131" s="60" t="str">
        <f t="array" ref="B131:C132">$B$65:$C$66</f>
        <v>Date:</v>
      </c>
      <c r="C131" s="1664" t="str">
        <v/>
      </c>
      <c r="D131" s="136"/>
      <c r="E131" s="59"/>
      <c r="F131" s="59"/>
      <c r="G131" s="59"/>
      <c r="H131" s="59"/>
      <c r="I131" s="60" t="str">
        <f t="array" ref="I131:J132">$I$65:$J$66</f>
        <v>Inspector:</v>
      </c>
      <c r="J131" s="554" t="str">
        <v>Eugene Mah</v>
      </c>
      <c r="L131" s="957" t="s">
        <v>482</v>
      </c>
      <c r="M131" s="1730" t="s">
        <v>1268</v>
      </c>
      <c r="N131" s="1730"/>
      <c r="O131" s="1700">
        <v>23</v>
      </c>
      <c r="P131" s="1708">
        <v>390</v>
      </c>
      <c r="Q131" s="1708">
        <v>218</v>
      </c>
      <c r="R131" s="138">
        <f t="shared" si="38"/>
        <v>3.4164000000000003</v>
      </c>
      <c r="S131" s="138">
        <f t="shared" si="38"/>
        <v>1.90968</v>
      </c>
      <c r="U131" s="1187"/>
      <c r="V131" s="1187"/>
      <c r="W131" s="1187"/>
      <c r="X131" s="939" t="s">
        <v>482</v>
      </c>
      <c r="Y131" s="769"/>
      <c r="Z131" s="768"/>
      <c r="AA131" s="768" t="s">
        <v>532</v>
      </c>
      <c r="AB131" s="1411"/>
      <c r="AC131" s="781" t="str">
        <f t="shared" si="37"/>
        <v/>
      </c>
      <c r="AD131" s="1435" t="str">
        <f>Q438</f>
        <v/>
      </c>
      <c r="AE131" s="786" t="s">
        <v>825</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7">
        <v>66</v>
      </c>
      <c r="B132" s="60" t="str">
        <v>Room Number:</v>
      </c>
      <c r="C132" s="499" t="str">
        <v/>
      </c>
      <c r="D132" s="63"/>
      <c r="E132" s="59"/>
      <c r="F132" s="59"/>
      <c r="G132" s="59"/>
      <c r="H132" s="59"/>
      <c r="I132" s="60" t="str">
        <v>Survey ID:</v>
      </c>
      <c r="J132" s="1404" t="str">
        <v/>
      </c>
      <c r="L132" s="957" t="s">
        <v>482</v>
      </c>
      <c r="M132" s="1730" t="s">
        <v>1269</v>
      </c>
      <c r="N132" s="1730"/>
      <c r="O132" s="1700">
        <v>13</v>
      </c>
      <c r="P132" s="1708">
        <v>203</v>
      </c>
      <c r="Q132" s="1708">
        <v>142</v>
      </c>
      <c r="R132" s="138">
        <f t="shared" si="38"/>
        <v>1.7782800000000001</v>
      </c>
      <c r="S132" s="138">
        <f t="shared" si="38"/>
        <v>1.2439200000000001</v>
      </c>
      <c r="X132" s="939" t="s">
        <v>482</v>
      </c>
      <c r="Y132" s="769"/>
      <c r="Z132" s="768"/>
      <c r="AA132" s="775" t="s">
        <v>533</v>
      </c>
      <c r="AB132" s="769"/>
      <c r="AC132" s="781" t="str">
        <f t="shared" si="37"/>
        <v/>
      </c>
      <c r="AD132" s="1234"/>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7">
        <v>1</v>
      </c>
      <c r="K133" s="161" t="str">
        <f>$F$2</f>
        <v>Medical University of South Carolina</v>
      </c>
      <c r="L133" s="957" t="s">
        <v>482</v>
      </c>
      <c r="M133" s="1730" t="s">
        <v>1270</v>
      </c>
      <c r="N133" s="1730"/>
      <c r="O133" s="1700">
        <v>15</v>
      </c>
      <c r="P133" s="1708">
        <v>218</v>
      </c>
      <c r="Q133" s="1708">
        <v>105</v>
      </c>
      <c r="R133" s="138">
        <f t="shared" si="38"/>
        <v>1.90968</v>
      </c>
      <c r="S133" s="138">
        <f t="shared" si="38"/>
        <v>0.91980000000000006</v>
      </c>
      <c r="X133" s="939" t="s">
        <v>482</v>
      </c>
      <c r="Y133" s="769"/>
      <c r="Z133" s="768"/>
      <c r="AA133" s="768" t="s">
        <v>531</v>
      </c>
      <c r="AB133" s="1411"/>
      <c r="AC133" s="781" t="str">
        <f t="shared" si="37"/>
        <v/>
      </c>
      <c r="AD133" s="1435" t="str">
        <f>P439</f>
        <v/>
      </c>
      <c r="AE133" s="786" t="s">
        <v>826</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7">
        <v>2</v>
      </c>
      <c r="F134" s="336" t="str">
        <f>$F$49</f>
        <v>Inspection Results</v>
      </c>
      <c r="K134" s="162" t="str">
        <f>$F$5</f>
        <v>Radiographic System Compliance Inspection</v>
      </c>
      <c r="L134" s="957" t="s">
        <v>482</v>
      </c>
      <c r="M134" s="1730" t="s">
        <v>1271</v>
      </c>
      <c r="N134" s="1730"/>
      <c r="O134" s="1700">
        <v>23</v>
      </c>
      <c r="P134" s="1708">
        <v>893</v>
      </c>
      <c r="Q134" s="1708">
        <v>893</v>
      </c>
      <c r="R134" s="138">
        <f t="shared" si="38"/>
        <v>7.8226800000000001</v>
      </c>
      <c r="S134" s="138">
        <f t="shared" si="38"/>
        <v>7.8226800000000001</v>
      </c>
      <c r="X134" s="939" t="s">
        <v>482</v>
      </c>
      <c r="Y134" s="769"/>
      <c r="Z134" s="768"/>
      <c r="AA134" s="768" t="s">
        <v>532</v>
      </c>
      <c r="AB134" s="1411"/>
      <c r="AC134" s="781" t="str">
        <f t="shared" si="37"/>
        <v/>
      </c>
      <c r="AD134" s="1435" t="str">
        <f>Q439</f>
        <v/>
      </c>
      <c r="AE134" s="786" t="s">
        <v>827</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7">
        <v>3</v>
      </c>
      <c r="L135" s="957" t="s">
        <v>482</v>
      </c>
      <c r="M135" s="1730" t="s">
        <v>1272</v>
      </c>
      <c r="N135" s="1730"/>
      <c r="O135" s="1700">
        <v>23</v>
      </c>
      <c r="P135" s="1708">
        <v>612</v>
      </c>
      <c r="Q135" s="1708">
        <v>612</v>
      </c>
      <c r="R135" s="138">
        <f t="shared" si="38"/>
        <v>5.3611200000000006</v>
      </c>
      <c r="S135" s="138">
        <f t="shared" si="38"/>
        <v>5.3611200000000006</v>
      </c>
      <c r="X135" s="939" t="s">
        <v>482</v>
      </c>
      <c r="Y135" s="769"/>
      <c r="Z135" s="768"/>
      <c r="AA135" s="768"/>
      <c r="AB135" s="769"/>
      <c r="AC135" s="781" t="str">
        <f t="shared" si="37"/>
        <v/>
      </c>
      <c r="AD135" s="1234"/>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7">
        <v>4</v>
      </c>
      <c r="B136" s="89"/>
      <c r="C136" s="72"/>
      <c r="D136" s="72"/>
      <c r="E136" s="72"/>
      <c r="F136" s="72"/>
      <c r="G136" s="72"/>
      <c r="H136" s="72"/>
      <c r="I136" s="72"/>
      <c r="J136" s="72"/>
      <c r="K136" s="90"/>
      <c r="L136" s="957" t="s">
        <v>482</v>
      </c>
      <c r="M136" s="1730" t="s">
        <v>1273</v>
      </c>
      <c r="N136" s="1730"/>
      <c r="O136" s="1700">
        <v>8</v>
      </c>
      <c r="P136" s="1708">
        <v>111</v>
      </c>
      <c r="Q136" s="1708">
        <v>111</v>
      </c>
      <c r="R136" s="138">
        <f t="shared" si="38"/>
        <v>0.97236</v>
      </c>
      <c r="S136" s="138">
        <f t="shared" si="38"/>
        <v>0.97236</v>
      </c>
      <c r="X136" s="939" t="s">
        <v>482</v>
      </c>
      <c r="Y136" s="769"/>
      <c r="Z136" s="768"/>
      <c r="AA136" s="768" t="s">
        <v>539</v>
      </c>
      <c r="AB136" s="1411"/>
      <c r="AC136" s="781" t="str">
        <f t="shared" si="37"/>
        <v>Change</v>
      </c>
      <c r="AD136" s="1438">
        <f>O601</f>
        <v>80</v>
      </c>
      <c r="AE136" s="786" t="s">
        <v>828</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7">
        <v>5</v>
      </c>
      <c r="B137" s="155"/>
      <c r="C137" s="63"/>
      <c r="D137" s="63"/>
      <c r="E137" s="63"/>
      <c r="F137" s="117" t="s">
        <v>566</v>
      </c>
      <c r="G137" s="63"/>
      <c r="H137" s="63"/>
      <c r="I137" s="63"/>
      <c r="J137" s="523" t="s">
        <v>487</v>
      </c>
      <c r="K137" s="524"/>
      <c r="L137" s="957" t="s">
        <v>482</v>
      </c>
      <c r="M137" s="1730" t="s">
        <v>1274</v>
      </c>
      <c r="N137" s="1730"/>
      <c r="O137" s="1700">
        <v>15</v>
      </c>
      <c r="P137" s="1708">
        <v>45</v>
      </c>
      <c r="Q137" s="1708">
        <v>45</v>
      </c>
      <c r="R137" s="138">
        <f t="shared" si="38"/>
        <v>0.39419999999999999</v>
      </c>
      <c r="S137" s="138">
        <f t="shared" si="38"/>
        <v>0.39419999999999999</v>
      </c>
      <c r="X137" s="939" t="s">
        <v>482</v>
      </c>
      <c r="Y137" s="769"/>
      <c r="Z137" s="768"/>
      <c r="AA137" s="768" t="s">
        <v>541</v>
      </c>
      <c r="AB137" s="1411"/>
      <c r="AC137" s="781" t="str">
        <f t="shared" ref="AC137:AC200" si="39">IF(AND(OR(AB137="",AB137=0),OR(AD137="",AD137=0)),"",IF(AB137&lt;&gt;AD137,"Change",""))</f>
        <v/>
      </c>
      <c r="AD137" s="1439" t="str">
        <f>Q601</f>
        <v/>
      </c>
      <c r="AE137" s="786" t="s">
        <v>829</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7">
        <v>6</v>
      </c>
      <c r="B138" s="155"/>
      <c r="C138" s="63"/>
      <c r="D138" s="58" t="s">
        <v>567</v>
      </c>
      <c r="E138" s="63"/>
      <c r="F138" s="63"/>
      <c r="G138" s="63"/>
      <c r="H138" s="63"/>
      <c r="I138" s="63"/>
      <c r="J138" s="154" t="str">
        <f>IF($J$679="NO","",$J$679)</f>
        <v>NA</v>
      </c>
      <c r="K138" s="522" t="str">
        <f>IF($J$679="NO","NO","")</f>
        <v/>
      </c>
      <c r="L138" s="957" t="s">
        <v>482</v>
      </c>
      <c r="M138" s="138"/>
      <c r="N138" s="138"/>
      <c r="O138" s="138"/>
      <c r="P138" s="138"/>
      <c r="Q138" s="138"/>
      <c r="R138" s="138"/>
      <c r="S138" s="138"/>
      <c r="X138" s="939" t="s">
        <v>482</v>
      </c>
      <c r="Y138" s="769"/>
      <c r="Z138" s="769"/>
      <c r="AA138" s="768" t="s">
        <v>542</v>
      </c>
      <c r="AB138" s="1411"/>
      <c r="AC138" s="781" t="str">
        <f t="shared" si="39"/>
        <v/>
      </c>
      <c r="AD138" s="1440" t="str">
        <f>S601</f>
        <v/>
      </c>
      <c r="AE138" s="786" t="s">
        <v>830</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7">
        <v>7</v>
      </c>
      <c r="B139" s="130"/>
      <c r="C139" s="131"/>
      <c r="D139" s="118" t="s">
        <v>568</v>
      </c>
      <c r="E139" s="119"/>
      <c r="F139" s="119"/>
      <c r="G139" s="119"/>
      <c r="H139" s="119"/>
      <c r="I139" s="119"/>
      <c r="J139" s="154" t="str">
        <f>IF(OR(J1401="NO",J1412="NO"),"",IF(AND(J1401="NA",J1412="NA"),"NA",IF(OR(J1401="YES",J1412="YES"),"YES","TBD")))</f>
        <v>NA</v>
      </c>
      <c r="K139" s="462" t="str">
        <f>IF(OR(J1401="NO",J1412="NO"),"NO","")</f>
        <v/>
      </c>
      <c r="L139" s="957" t="s">
        <v>482</v>
      </c>
      <c r="M139" s="138"/>
      <c r="N139" s="138"/>
      <c r="O139" s="138"/>
      <c r="P139" s="138"/>
      <c r="Q139" s="138"/>
      <c r="R139" s="138"/>
      <c r="S139" s="138"/>
      <c r="X139" s="939" t="s">
        <v>482</v>
      </c>
      <c r="Y139" s="432"/>
      <c r="Z139" s="769"/>
      <c r="AA139" s="768" t="s">
        <v>543</v>
      </c>
      <c r="AB139" s="1414"/>
      <c r="AC139" s="781" t="str">
        <f t="shared" si="39"/>
        <v>Change</v>
      </c>
      <c r="AD139" s="1435">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7">
        <v>8</v>
      </c>
      <c r="B140" s="155"/>
      <c r="C140" s="63"/>
      <c r="D140" s="63"/>
      <c r="E140" s="63"/>
      <c r="F140" s="63"/>
      <c r="G140" s="63"/>
      <c r="H140" s="63"/>
      <c r="I140" s="63"/>
      <c r="J140" s="562"/>
      <c r="K140" s="481"/>
      <c r="L140" s="957" t="s">
        <v>482</v>
      </c>
      <c r="M140" s="138"/>
      <c r="N140" s="138"/>
      <c r="O140" s="138"/>
      <c r="P140" s="138"/>
      <c r="Q140" s="138"/>
      <c r="R140" s="138"/>
      <c r="S140" s="138"/>
      <c r="X140" s="939" t="s">
        <v>482</v>
      </c>
      <c r="Y140" s="432"/>
      <c r="Z140" s="769"/>
      <c r="AA140" s="432"/>
      <c r="AB140" s="769"/>
      <c r="AC140" s="781" t="str">
        <f t="shared" si="39"/>
        <v/>
      </c>
      <c r="AD140" s="1234"/>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7">
        <v>9</v>
      </c>
      <c r="B141" s="155"/>
      <c r="C141" s="63"/>
      <c r="D141" s="63"/>
      <c r="E141" s="63"/>
      <c r="F141" s="117" t="s">
        <v>569</v>
      </c>
      <c r="G141" s="63"/>
      <c r="H141" s="63"/>
      <c r="I141" s="63"/>
      <c r="J141" s="159"/>
      <c r="K141" s="528"/>
      <c r="L141" s="957" t="s">
        <v>482</v>
      </c>
      <c r="M141" s="138"/>
      <c r="N141" s="138"/>
      <c r="O141" s="138"/>
      <c r="P141" s="138"/>
      <c r="Q141" s="138"/>
      <c r="R141" s="138"/>
      <c r="S141" s="138"/>
      <c r="X141" s="939" t="s">
        <v>482</v>
      </c>
      <c r="Y141" s="432"/>
      <c r="Z141" s="769"/>
      <c r="AA141" s="768" t="s">
        <v>570</v>
      </c>
      <c r="AB141" s="1411"/>
      <c r="AC141" s="781" t="str">
        <f t="shared" si="39"/>
        <v>Change</v>
      </c>
      <c r="AD141" s="1429" t="str">
        <f>V448</f>
        <v>cm</v>
      </c>
      <c r="AE141" s="786" t="s">
        <v>831</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7">
        <v>10</v>
      </c>
      <c r="B142" s="390" t="s">
        <v>571</v>
      </c>
      <c r="C142" s="61"/>
      <c r="D142" s="58" t="s">
        <v>572</v>
      </c>
      <c r="E142" s="63"/>
      <c r="F142" s="56"/>
      <c r="G142" s="56"/>
      <c r="H142" s="56"/>
      <c r="I142" s="56"/>
      <c r="J142" s="172" t="str">
        <f>IF(OR(J1026="TBD",J1026="NA"),"NA",IF(J1026&lt;&gt;"",J1026,""))</f>
        <v>NA</v>
      </c>
      <c r="K142" s="529" t="str">
        <f>IF(K1224&lt;&gt;"",K1224,K1026)</f>
        <v/>
      </c>
      <c r="L142" s="957" t="s">
        <v>482</v>
      </c>
      <c r="X142" s="939" t="s">
        <v>482</v>
      </c>
      <c r="Y142" s="432"/>
      <c r="Z142" s="769"/>
      <c r="AA142" s="768" t="s">
        <v>573</v>
      </c>
      <c r="AB142" s="1411"/>
      <c r="AC142" s="781" t="str">
        <f t="shared" si="39"/>
        <v/>
      </c>
      <c r="AD142" s="1439" t="str">
        <f>M616</f>
        <v/>
      </c>
      <c r="AE142" s="786" t="s">
        <v>832</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7">
        <v>11</v>
      </c>
      <c r="B143" s="390" t="s">
        <v>574</v>
      </c>
      <c r="C143" s="61"/>
      <c r="D143" s="58" t="s">
        <v>575</v>
      </c>
      <c r="E143" s="63"/>
      <c r="F143" s="56"/>
      <c r="G143" s="56"/>
      <c r="H143" s="56" t="s">
        <v>576</v>
      </c>
      <c r="I143" s="55" t="str">
        <f>IF(AND($I$1027="",$I$1225=""),"",IF($I$1225&lt;&gt;"",$I$1225,$I$1027))</f>
        <v/>
      </c>
      <c r="J143" s="172" t="str">
        <f>IF(OR(J1027="TBD",J1027="NA"),"NA",IF(J1027&lt;&gt;"",J1027,""))</f>
        <v>NA</v>
      </c>
      <c r="K143" s="529" t="str">
        <f>IF(K1225&lt;&gt;"",K1225,K1027)</f>
        <v/>
      </c>
      <c r="L143" s="957" t="s">
        <v>482</v>
      </c>
      <c r="X143" s="939" t="s">
        <v>482</v>
      </c>
      <c r="Y143" s="432"/>
      <c r="Z143" s="769"/>
      <c r="AA143" s="768" t="s">
        <v>577</v>
      </c>
      <c r="AB143" s="1411"/>
      <c r="AC143" s="781" t="str">
        <f t="shared" si="39"/>
        <v/>
      </c>
      <c r="AD143" s="1439" t="str">
        <f>M617</f>
        <v/>
      </c>
      <c r="AE143" s="786" t="s">
        <v>833</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7">
        <v>12</v>
      </c>
      <c r="B144" s="390" t="s">
        <v>578</v>
      </c>
      <c r="C144" s="61"/>
      <c r="D144" s="58" t="s">
        <v>579</v>
      </c>
      <c r="E144" s="63"/>
      <c r="F144" s="56"/>
      <c r="G144" s="56"/>
      <c r="H144" s="56"/>
      <c r="I144" s="56"/>
      <c r="J144" s="172" t="str">
        <f>IF(OR(J1028="TBD",J1028="NA"),"NA",IF(J1028&lt;&gt;"",J1028,""))</f>
        <v>NA</v>
      </c>
      <c r="K144" s="529" t="str">
        <f>IF(K1226&lt;&gt;"",K1226,K1028)</f>
        <v/>
      </c>
      <c r="L144" s="957" t="s">
        <v>482</v>
      </c>
      <c r="X144" s="939" t="s">
        <v>482</v>
      </c>
      <c r="Y144" s="432"/>
      <c r="Z144" s="769"/>
      <c r="AA144" s="769"/>
      <c r="AB144" s="769"/>
      <c r="AC144" s="781" t="str">
        <f t="shared" si="39"/>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7">
        <v>13</v>
      </c>
      <c r="B145" s="130"/>
      <c r="C145" s="156"/>
      <c r="D145" s="58" t="s">
        <v>16</v>
      </c>
      <c r="E145" s="63"/>
      <c r="F145" s="63"/>
      <c r="G145" s="63"/>
      <c r="H145" s="63"/>
      <c r="I145" s="63"/>
      <c r="J145" s="154" t="str">
        <f>IF(K1012="TBD","NA",IF(K1012="NO","",K1012))</f>
        <v>NA</v>
      </c>
      <c r="K145" s="522" t="str">
        <f>IF($K$1012="NO","NO","")</f>
        <v/>
      </c>
      <c r="L145" s="957" t="s">
        <v>482</v>
      </c>
      <c r="X145" s="939" t="s">
        <v>482</v>
      </c>
      <c r="Y145" s="432"/>
      <c r="Z145" s="769"/>
      <c r="AA145" s="775" t="s">
        <v>546</v>
      </c>
      <c r="AB145" s="769"/>
      <c r="AC145" s="781" t="str">
        <f t="shared" si="39"/>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7">
        <v>14</v>
      </c>
      <c r="B146" s="155"/>
      <c r="C146" s="63"/>
      <c r="D146" s="63"/>
      <c r="E146" s="63"/>
      <c r="F146" s="63"/>
      <c r="G146" s="63"/>
      <c r="H146" s="63"/>
      <c r="I146" s="63"/>
      <c r="J146" s="562"/>
      <c r="K146" s="481"/>
      <c r="L146" s="957" t="s">
        <v>482</v>
      </c>
      <c r="X146" s="939" t="s">
        <v>482</v>
      </c>
      <c r="Y146" s="432"/>
      <c r="Z146" s="769"/>
      <c r="AA146" s="768" t="s">
        <v>547</v>
      </c>
      <c r="AB146" s="1411"/>
      <c r="AC146" s="781" t="str">
        <f t="shared" si="39"/>
        <v/>
      </c>
      <c r="AD146" s="1439" t="str">
        <f>N616</f>
        <v/>
      </c>
      <c r="AE146" s="786" t="s">
        <v>834</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7">
        <v>15</v>
      </c>
      <c r="B147" s="155"/>
      <c r="C147" s="63"/>
      <c r="D147" s="63"/>
      <c r="E147" s="63"/>
      <c r="F147" s="117" t="s">
        <v>580</v>
      </c>
      <c r="G147" s="63"/>
      <c r="H147" s="63"/>
      <c r="I147" s="63"/>
      <c r="J147" s="562"/>
      <c r="K147" s="481"/>
      <c r="L147" s="957" t="s">
        <v>482</v>
      </c>
      <c r="X147" s="939" t="s">
        <v>482</v>
      </c>
      <c r="Y147" s="432"/>
      <c r="Z147" s="769"/>
      <c r="AA147" s="768" t="s">
        <v>581</v>
      </c>
      <c r="AB147" s="1411"/>
      <c r="AC147" s="781" t="str">
        <f t="shared" si="39"/>
        <v/>
      </c>
      <c r="AD147" s="1439" t="str">
        <f>O616</f>
        <v/>
      </c>
      <c r="AE147" s="786" t="s">
        <v>835</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7">
        <v>16</v>
      </c>
      <c r="B148" s="130"/>
      <c r="C148" s="156"/>
      <c r="D148" s="58" t="s">
        <v>17</v>
      </c>
      <c r="E148" s="63"/>
      <c r="F148" s="63"/>
      <c r="G148" s="63"/>
      <c r="H148" s="62"/>
      <c r="I148" s="178" t="str">
        <f>IF(W1261&lt;&gt;"",H1262,H1063)</f>
        <v>O.D.:_____</v>
      </c>
      <c r="J148" s="154" t="str">
        <f>IF(J1063="TBD","NA",IF(J1063="NO","",J1063))</f>
        <v>NA</v>
      </c>
      <c r="K148" s="462" t="str">
        <f>IF(J148="","NO","")</f>
        <v/>
      </c>
      <c r="L148" s="957" t="s">
        <v>482</v>
      </c>
      <c r="X148" s="939" t="s">
        <v>482</v>
      </c>
      <c r="Y148" s="432"/>
      <c r="Z148" s="769"/>
      <c r="AA148" s="768" t="s">
        <v>550</v>
      </c>
      <c r="AB148" s="1411"/>
      <c r="AC148" s="781" t="str">
        <f t="shared" si="39"/>
        <v/>
      </c>
      <c r="AD148" s="1439" t="str">
        <f>N617</f>
        <v/>
      </c>
      <c r="AE148" s="786" t="s">
        <v>836</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7">
        <v>17</v>
      </c>
      <c r="B149" s="130"/>
      <c r="C149" s="156"/>
      <c r="D149" s="58" t="s">
        <v>18</v>
      </c>
      <c r="E149" s="58"/>
      <c r="F149" s="58"/>
      <c r="G149" s="58"/>
      <c r="H149" s="58"/>
      <c r="I149" s="58"/>
      <c r="J149" s="154" t="str">
        <f>IF(J1081="TBD","NA",IF(J1081="NO","",J1081))</f>
        <v>NA</v>
      </c>
      <c r="K149" s="462" t="str">
        <f>IF(J149="","NO","")</f>
        <v/>
      </c>
      <c r="L149" s="957" t="s">
        <v>482</v>
      </c>
      <c r="X149" s="939" t="s">
        <v>482</v>
      </c>
      <c r="Y149" s="432"/>
      <c r="Z149" s="769"/>
      <c r="AA149" s="768" t="s">
        <v>582</v>
      </c>
      <c r="AB149" s="1411"/>
      <c r="AC149" s="781" t="str">
        <f t="shared" si="39"/>
        <v/>
      </c>
      <c r="AD149" s="1439" t="str">
        <f>O617</f>
        <v/>
      </c>
      <c r="AE149" s="786" t="s">
        <v>837</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7">
        <v>18</v>
      </c>
      <c r="B150" s="130"/>
      <c r="C150" s="156"/>
      <c r="D150" s="58" t="s">
        <v>583</v>
      </c>
      <c r="E150" s="58"/>
      <c r="F150" s="58"/>
      <c r="G150" s="58"/>
      <c r="H150" s="58"/>
      <c r="I150" s="58"/>
      <c r="J150" s="1697" t="str">
        <f>IF(  AND(C1081="TBD",D1081="TBD",E1081="TBD",F1081="TBD",G1081="TBD",H1081="TBD"),"NA",IF(AND(OR(AND(C1081="TBD",D1081="TBD"),OR(C1081="YES",D1081="YES")),OR(AND(E1081="TBD",F1081="TBD"),OR(E1081="YES",F1081="YES")),OR(AND(G1081="TBD",H1081="TBD"),OR(G1081="YES",H1081="YES"))),"YES",""))</f>
        <v>NA</v>
      </c>
      <c r="K150" s="462" t="str">
        <f>IF(J150="","NO","")</f>
        <v/>
      </c>
      <c r="L150" s="957" t="s">
        <v>482</v>
      </c>
      <c r="X150" s="939" t="s">
        <v>482</v>
      </c>
      <c r="Y150" s="432"/>
      <c r="Z150" s="769"/>
      <c r="AA150" s="769"/>
      <c r="AB150" s="769"/>
      <c r="AC150" s="781" t="str">
        <f t="shared" si="39"/>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7">
        <v>19</v>
      </c>
      <c r="B151" s="130"/>
      <c r="C151" s="156"/>
      <c r="D151" s="58" t="s">
        <v>19</v>
      </c>
      <c r="E151" s="58"/>
      <c r="F151" s="58"/>
      <c r="G151" s="58"/>
      <c r="H151" s="58"/>
      <c r="I151" s="58"/>
      <c r="J151" s="154" t="str">
        <f>IF(I1100="TBD","NA",IF(OR(I1100="NO",C1097="NO",E1097="NO",G1097="NO",I1097="NO",C1099="NO",E1099="NO",G1099="NO",I1099="NO"),"",I1100))</f>
        <v>NA</v>
      </c>
      <c r="K151" s="462" t="str">
        <f>IF(J151="","NO","")</f>
        <v/>
      </c>
      <c r="L151" s="957" t="s">
        <v>482</v>
      </c>
      <c r="X151" s="939" t="s">
        <v>482</v>
      </c>
      <c r="Y151" s="768"/>
      <c r="Z151" s="769"/>
      <c r="AA151" s="768" t="s">
        <v>555</v>
      </c>
      <c r="AB151" s="1411"/>
      <c r="AC151" s="781" t="str">
        <f t="shared" si="39"/>
        <v/>
      </c>
      <c r="AD151" s="1438" t="str">
        <f>M635</f>
        <v/>
      </c>
      <c r="AE151" s="786" t="s">
        <v>838</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7">
        <v>20</v>
      </c>
      <c r="B152" s="155"/>
      <c r="C152" s="63"/>
      <c r="D152" s="63"/>
      <c r="E152" s="63"/>
      <c r="F152" s="63"/>
      <c r="G152" s="63"/>
      <c r="H152" s="63"/>
      <c r="I152" s="63"/>
      <c r="J152" s="562"/>
      <c r="K152" s="528"/>
      <c r="L152" s="957" t="s">
        <v>482</v>
      </c>
      <c r="X152" s="939" t="s">
        <v>482</v>
      </c>
      <c r="Y152" s="768"/>
      <c r="Z152" s="432"/>
      <c r="AA152" s="768" t="s">
        <v>557</v>
      </c>
      <c r="AB152" s="1411"/>
      <c r="AC152" s="781" t="str">
        <f t="shared" si="39"/>
        <v/>
      </c>
      <c r="AD152" s="1438" t="str">
        <f>M653</f>
        <v/>
      </c>
      <c r="AE152" s="786" t="s">
        <v>839</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7">
        <v>21</v>
      </c>
      <c r="B153" s="155"/>
      <c r="C153" s="63"/>
      <c r="D153" s="63"/>
      <c r="E153" s="63"/>
      <c r="F153" s="117" t="s">
        <v>584</v>
      </c>
      <c r="G153" s="63"/>
      <c r="H153" s="63"/>
      <c r="I153" s="63"/>
      <c r="J153" s="172"/>
      <c r="K153" s="529"/>
      <c r="L153" s="957" t="s">
        <v>482</v>
      </c>
      <c r="X153" s="939" t="s">
        <v>482</v>
      </c>
      <c r="Y153" s="768"/>
      <c r="Z153" s="768"/>
      <c r="AA153" s="768"/>
      <c r="AB153" s="769"/>
      <c r="AC153" s="781" t="str">
        <f t="shared" si="39"/>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7">
        <v>22</v>
      </c>
      <c r="B154" s="130"/>
      <c r="C154" s="156"/>
      <c r="D154" s="58" t="s">
        <v>17</v>
      </c>
      <c r="E154" s="63"/>
      <c r="F154" s="63"/>
      <c r="G154" s="63"/>
      <c r="H154" s="62"/>
      <c r="I154" s="178" t="str">
        <f>IF(W1327&lt;&gt;"",H1328,H1129)</f>
        <v>O.D.:_____</v>
      </c>
      <c r="J154" s="154" t="str">
        <f>IF(J1129="TBD","NA",IF(J1129="NO","",J1129))</f>
        <v>NA</v>
      </c>
      <c r="K154" s="462" t="str">
        <f>IF(J154="","NO","")</f>
        <v/>
      </c>
      <c r="L154" s="957" t="s">
        <v>482</v>
      </c>
      <c r="X154" s="939" t="s">
        <v>482</v>
      </c>
      <c r="Y154" s="768"/>
      <c r="Z154" s="768"/>
      <c r="AA154" s="775" t="s">
        <v>585</v>
      </c>
      <c r="AB154" s="769"/>
      <c r="AC154" s="781" t="str">
        <f t="shared" si="39"/>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7">
        <v>23</v>
      </c>
      <c r="B155" s="130"/>
      <c r="C155" s="156"/>
      <c r="D155" s="58" t="s">
        <v>18</v>
      </c>
      <c r="E155" s="58"/>
      <c r="F155" s="58"/>
      <c r="G155" s="58"/>
      <c r="H155" s="58"/>
      <c r="I155" s="58"/>
      <c r="J155" s="154" t="str">
        <f>IF(J1147="TBD","NA",IF(J1147="NO","",J1147))</f>
        <v>NA</v>
      </c>
      <c r="K155" s="462" t="str">
        <f>IF(J155="","NO","")</f>
        <v/>
      </c>
      <c r="L155" s="957" t="s">
        <v>482</v>
      </c>
      <c r="X155" s="939" t="s">
        <v>482</v>
      </c>
      <c r="Y155" s="768"/>
      <c r="Z155" s="768" t="s">
        <v>586</v>
      </c>
      <c r="AA155" s="768" t="s">
        <v>587</v>
      </c>
      <c r="AB155" s="1411"/>
      <c r="AC155" s="781" t="str">
        <f t="shared" si="39"/>
        <v>Change</v>
      </c>
      <c r="AD155" s="1429" t="str">
        <f>P667</f>
        <v>mA</v>
      </c>
      <c r="AE155" s="786" t="s">
        <v>840</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7">
        <v>24</v>
      </c>
      <c r="B156" s="130"/>
      <c r="C156" s="156"/>
      <c r="D156" s="58" t="s">
        <v>583</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7" t="s">
        <v>482</v>
      </c>
      <c r="X156" s="939" t="s">
        <v>482</v>
      </c>
      <c r="Y156" s="768"/>
      <c r="Z156" s="768"/>
      <c r="AA156" s="768" t="s">
        <v>539</v>
      </c>
      <c r="AB156" s="1411"/>
      <c r="AC156" s="781" t="str">
        <f t="shared" si="39"/>
        <v/>
      </c>
      <c r="AD156" s="1433" t="str">
        <f>O669</f>
        <v/>
      </c>
      <c r="AE156" s="786" t="s">
        <v>841</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7">
        <v>25</v>
      </c>
      <c r="B157" s="130"/>
      <c r="C157" s="156"/>
      <c r="D157" s="58" t="s">
        <v>19</v>
      </c>
      <c r="E157" s="58"/>
      <c r="F157" s="58"/>
      <c r="G157" s="58"/>
      <c r="H157" s="58"/>
      <c r="I157" s="58"/>
      <c r="J157" s="154" t="str">
        <f>IF(I1166="TBD","NA",IF(OR(I1166="NO",C1163="NO",E1163="NO",G1163="NO",I1163="NO",C1165="NO",E1165="NO",G1165="NO",I1165="NO"),"",I1166))</f>
        <v>NA</v>
      </c>
      <c r="K157" s="462" t="str">
        <f>IF(J157="","NO","")</f>
        <v/>
      </c>
      <c r="L157" s="957" t="s">
        <v>482</v>
      </c>
      <c r="X157" s="939" t="s">
        <v>482</v>
      </c>
      <c r="Y157" s="768"/>
      <c r="Z157" s="768"/>
      <c r="AA157" s="768" t="s">
        <v>541</v>
      </c>
      <c r="AB157" s="1411"/>
      <c r="AC157" s="781" t="str">
        <f t="shared" si="39"/>
        <v/>
      </c>
      <c r="AD157" s="1433" t="str">
        <f>P669</f>
        <v/>
      </c>
      <c r="AE157" s="786" t="s">
        <v>842</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7">
        <v>26</v>
      </c>
      <c r="B158" s="155"/>
      <c r="C158" s="63"/>
      <c r="D158" s="63"/>
      <c r="E158" s="63"/>
      <c r="F158" s="63"/>
      <c r="G158" s="63"/>
      <c r="H158" s="63"/>
      <c r="I158" s="63"/>
      <c r="J158" s="562"/>
      <c r="K158" s="528"/>
      <c r="L158" s="957" t="s">
        <v>482</v>
      </c>
      <c r="X158" s="939" t="s">
        <v>482</v>
      </c>
      <c r="Y158" s="768"/>
      <c r="Z158" s="768"/>
      <c r="AA158" s="768" t="s">
        <v>542</v>
      </c>
      <c r="AB158" s="1413"/>
      <c r="AC158" s="781" t="str">
        <f t="shared" si="39"/>
        <v/>
      </c>
      <c r="AD158" s="1440" t="str">
        <f>Q669</f>
        <v/>
      </c>
      <c r="AE158" s="786" t="s">
        <v>843</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7">
        <v>27</v>
      </c>
      <c r="B159" s="155"/>
      <c r="C159" s="63"/>
      <c r="D159" s="63"/>
      <c r="E159" s="63"/>
      <c r="F159" s="117" t="s">
        <v>588</v>
      </c>
      <c r="G159" s="63"/>
      <c r="H159" s="63"/>
      <c r="I159" s="63"/>
      <c r="J159" s="154"/>
      <c r="K159" s="522"/>
      <c r="L159" s="957" t="s">
        <v>482</v>
      </c>
      <c r="X159" s="939" t="s">
        <v>482</v>
      </c>
      <c r="Y159" s="768"/>
      <c r="Z159" s="768"/>
      <c r="AA159" s="768" t="s">
        <v>589</v>
      </c>
      <c r="AB159" s="1412"/>
      <c r="AC159" s="781" t="str">
        <f t="shared" si="39"/>
        <v/>
      </c>
      <c r="AD159" s="1437" t="str">
        <f>R669</f>
        <v/>
      </c>
      <c r="AE159" s="786" t="s">
        <v>844</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7">
        <v>28</v>
      </c>
      <c r="B160" s="130"/>
      <c r="C160" s="131"/>
      <c r="D160" s="118" t="s">
        <v>590</v>
      </c>
      <c r="E160" s="119"/>
      <c r="F160" s="119"/>
      <c r="G160" s="119"/>
      <c r="H160" s="119"/>
      <c r="I160" s="119"/>
      <c r="J160" s="154" t="str">
        <f t="shared" ref="J160:J167" si="40">IF(M1441="","TBD",IF(M1441=1,"YES",IF(M1441=3,"NA","")))</f>
        <v>TBD</v>
      </c>
      <c r="K160" s="522" t="str">
        <f t="shared" ref="K160:K168" si="41">IF(M1441=2,"NO","")</f>
        <v/>
      </c>
      <c r="L160" s="957" t="s">
        <v>482</v>
      </c>
      <c r="X160" s="939" t="s">
        <v>482</v>
      </c>
      <c r="Y160" s="768"/>
      <c r="Z160" s="768"/>
      <c r="AA160" s="768" t="s">
        <v>591</v>
      </c>
      <c r="AB160" s="1412"/>
      <c r="AC160" s="781" t="str">
        <f t="shared" si="39"/>
        <v/>
      </c>
      <c r="AD160" s="1437" t="str">
        <f>S669</f>
        <v/>
      </c>
      <c r="AE160" s="786" t="s">
        <v>845</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7">
        <v>29</v>
      </c>
      <c r="B161" s="130"/>
      <c r="C161" s="131"/>
      <c r="D161" s="118" t="s">
        <v>592</v>
      </c>
      <c r="E161" s="119"/>
      <c r="F161" s="119"/>
      <c r="G161" s="119"/>
      <c r="H161" s="119"/>
      <c r="I161" s="119"/>
      <c r="J161" s="154" t="str">
        <f t="shared" si="40"/>
        <v>TBD</v>
      </c>
      <c r="K161" s="522" t="str">
        <f t="shared" si="41"/>
        <v/>
      </c>
      <c r="L161" s="957" t="s">
        <v>482</v>
      </c>
      <c r="X161" s="939" t="s">
        <v>482</v>
      </c>
      <c r="Y161" s="768"/>
      <c r="Z161" s="768"/>
      <c r="AA161" s="768"/>
      <c r="AB161" s="769"/>
      <c r="AC161" s="781" t="str">
        <f t="shared" si="39"/>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7">
        <v>30</v>
      </c>
      <c r="B162" s="130"/>
      <c r="C162" s="131"/>
      <c r="D162" s="118" t="s">
        <v>593</v>
      </c>
      <c r="E162" s="119"/>
      <c r="F162" s="119"/>
      <c r="G162" s="119"/>
      <c r="H162" s="119"/>
      <c r="I162" s="119"/>
      <c r="J162" s="154" t="str">
        <f t="shared" si="40"/>
        <v>TBD</v>
      </c>
      <c r="K162" s="522" t="str">
        <f t="shared" si="41"/>
        <v/>
      </c>
      <c r="L162" s="957" t="s">
        <v>482</v>
      </c>
      <c r="X162" s="939" t="s">
        <v>482</v>
      </c>
      <c r="Y162" s="768"/>
      <c r="Z162" s="768"/>
      <c r="AA162" s="768" t="s">
        <v>594</v>
      </c>
      <c r="AB162" s="1414"/>
      <c r="AC162" s="781" t="str">
        <f t="shared" si="39"/>
        <v/>
      </c>
      <c r="AD162" s="1435" t="str">
        <f>IF(U669="","",U669)</f>
        <v/>
      </c>
      <c r="AE162" s="786" t="s">
        <v>846</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7">
        <v>31</v>
      </c>
      <c r="B163" s="130"/>
      <c r="C163" s="131"/>
      <c r="D163" s="58" t="s">
        <v>595</v>
      </c>
      <c r="E163" s="58"/>
      <c r="F163" s="58"/>
      <c r="G163" s="58"/>
      <c r="H163" s="58"/>
      <c r="I163" s="58"/>
      <c r="J163" s="154" t="str">
        <f t="shared" si="40"/>
        <v>TBD</v>
      </c>
      <c r="K163" s="522" t="str">
        <f t="shared" si="41"/>
        <v/>
      </c>
      <c r="L163" s="957" t="s">
        <v>482</v>
      </c>
      <c r="X163" s="939" t="s">
        <v>482</v>
      </c>
      <c r="Y163" s="768"/>
      <c r="Z163" s="768"/>
      <c r="AA163" s="768" t="s">
        <v>596</v>
      </c>
      <c r="AB163" s="1414"/>
      <c r="AC163" s="781" t="str">
        <f t="shared" si="39"/>
        <v/>
      </c>
      <c r="AD163" s="1435" t="str">
        <f>IF(V669="","",V669)</f>
        <v/>
      </c>
      <c r="AE163" s="786" t="s">
        <v>847</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7">
        <v>32</v>
      </c>
      <c r="B164" s="130"/>
      <c r="C164" s="131"/>
      <c r="D164" s="58" t="s">
        <v>597</v>
      </c>
      <c r="E164" s="58"/>
      <c r="F164" s="58"/>
      <c r="G164" s="58"/>
      <c r="H164" s="58"/>
      <c r="I164" s="58"/>
      <c r="J164" s="154" t="str">
        <f t="shared" si="40"/>
        <v>TBD</v>
      </c>
      <c r="K164" s="522" t="str">
        <f t="shared" si="41"/>
        <v/>
      </c>
      <c r="L164" s="957" t="s">
        <v>482</v>
      </c>
      <c r="X164" s="939" t="s">
        <v>482</v>
      </c>
      <c r="Y164" s="768"/>
      <c r="Z164" s="768"/>
      <c r="AA164" s="768"/>
      <c r="AB164" s="769"/>
      <c r="AC164" s="781" t="str">
        <f t="shared" si="39"/>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7">
        <v>33</v>
      </c>
      <c r="B165" s="130"/>
      <c r="C165" s="131"/>
      <c r="D165" s="58" t="s">
        <v>598</v>
      </c>
      <c r="E165" s="58"/>
      <c r="F165" s="58"/>
      <c r="G165" s="58"/>
      <c r="H165" s="58"/>
      <c r="I165" s="58"/>
      <c r="J165" s="154" t="str">
        <f t="shared" si="40"/>
        <v>TBD</v>
      </c>
      <c r="K165" s="522" t="str">
        <f t="shared" si="41"/>
        <v/>
      </c>
      <c r="L165" s="957" t="s">
        <v>482</v>
      </c>
      <c r="X165" s="939" t="s">
        <v>482</v>
      </c>
      <c r="Y165" s="768"/>
      <c r="Z165" s="768" t="s">
        <v>599</v>
      </c>
      <c r="AA165" s="768" t="s">
        <v>587</v>
      </c>
      <c r="AB165" s="1411"/>
      <c r="AC165" s="781" t="str">
        <f t="shared" si="39"/>
        <v>Change</v>
      </c>
      <c r="AD165" s="1429" t="str">
        <f>P672</f>
        <v>mA</v>
      </c>
      <c r="AE165" s="786" t="s">
        <v>848</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7">
        <v>34</v>
      </c>
      <c r="B166" s="130"/>
      <c r="C166" s="131"/>
      <c r="D166" s="58" t="s">
        <v>600</v>
      </c>
      <c r="E166" s="58"/>
      <c r="F166" s="58"/>
      <c r="G166" s="58"/>
      <c r="H166" s="58"/>
      <c r="I166" s="58"/>
      <c r="J166" s="154" t="str">
        <f t="shared" si="40"/>
        <v>TBD</v>
      </c>
      <c r="K166" s="522" t="str">
        <f t="shared" si="41"/>
        <v/>
      </c>
      <c r="L166" s="957" t="s">
        <v>482</v>
      </c>
      <c r="X166" s="939" t="s">
        <v>482</v>
      </c>
      <c r="Y166" s="768"/>
      <c r="Z166" s="768"/>
      <c r="AA166" s="768" t="s">
        <v>539</v>
      </c>
      <c r="AB166" s="1411"/>
      <c r="AC166" s="781" t="str">
        <f t="shared" si="39"/>
        <v/>
      </c>
      <c r="AD166" s="1433" t="str">
        <f>O674</f>
        <v/>
      </c>
      <c r="AE166" s="786" t="s">
        <v>849</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7">
        <v>35</v>
      </c>
      <c r="B167" s="130"/>
      <c r="C167" s="131"/>
      <c r="D167" s="58" t="s">
        <v>601</v>
      </c>
      <c r="E167" s="58"/>
      <c r="F167" s="58"/>
      <c r="G167" s="58"/>
      <c r="H167" s="58"/>
      <c r="I167" s="58"/>
      <c r="J167" s="154" t="str">
        <f t="shared" si="40"/>
        <v>TBD</v>
      </c>
      <c r="K167" s="522" t="str">
        <f t="shared" si="41"/>
        <v/>
      </c>
      <c r="L167" s="957" t="s">
        <v>482</v>
      </c>
      <c r="M167" s="198"/>
      <c r="N167" s="198"/>
      <c r="O167" s="198"/>
      <c r="P167" s="198"/>
      <c r="Q167" s="198"/>
      <c r="R167" s="240" t="s">
        <v>723</v>
      </c>
      <c r="S167" s="198"/>
      <c r="T167" s="198"/>
      <c r="U167" s="198"/>
      <c r="V167" s="198"/>
      <c r="W167" s="198"/>
      <c r="X167" s="939" t="s">
        <v>482</v>
      </c>
      <c r="Y167" s="768"/>
      <c r="Z167" s="768"/>
      <c r="AA167" s="768" t="s">
        <v>541</v>
      </c>
      <c r="AB167" s="1411"/>
      <c r="AC167" s="781" t="str">
        <f t="shared" si="39"/>
        <v/>
      </c>
      <c r="AD167" s="1433" t="str">
        <f>P674</f>
        <v/>
      </c>
      <c r="AE167" s="786" t="s">
        <v>850</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7">
        <v>36</v>
      </c>
      <c r="B168" s="130"/>
      <c r="C168" s="131"/>
      <c r="D168" s="118" t="s">
        <v>602</v>
      </c>
      <c r="E168" s="119"/>
      <c r="F168" s="119"/>
      <c r="G168" s="119"/>
      <c r="H168" s="119"/>
      <c r="I168" s="119"/>
      <c r="J168" s="154" t="str">
        <f>IF(M1449="","TBD",IF(M1449=1,"YES",IF(M1449=3,"NA","")))</f>
        <v>TBD</v>
      </c>
      <c r="K168" s="522" t="str">
        <f t="shared" si="41"/>
        <v/>
      </c>
      <c r="L168" s="957" t="s">
        <v>482</v>
      </c>
      <c r="M168" s="198"/>
      <c r="N168" s="167" t="s">
        <v>346</v>
      </c>
      <c r="O168" s="198"/>
      <c r="P168" s="198"/>
      <c r="Q168" s="198"/>
      <c r="R168" s="198"/>
      <c r="S168" s="198"/>
      <c r="T168" s="198"/>
      <c r="U168" s="198"/>
      <c r="V168" s="198"/>
      <c r="W168" s="198"/>
      <c r="X168" s="939" t="s">
        <v>482</v>
      </c>
      <c r="Y168" s="768"/>
      <c r="Z168" s="768"/>
      <c r="AA168" s="768" t="s">
        <v>542</v>
      </c>
      <c r="AB168" s="1413"/>
      <c r="AC168" s="781" t="str">
        <f t="shared" si="39"/>
        <v/>
      </c>
      <c r="AD168" s="1440" t="str">
        <f>Q674</f>
        <v/>
      </c>
      <c r="AE168" s="786" t="s">
        <v>851</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7">
        <v>37</v>
      </c>
      <c r="B169" s="155"/>
      <c r="C169" s="63"/>
      <c r="D169" s="456" t="str">
        <f>O1450</f>
        <v/>
      </c>
      <c r="E169" s="63"/>
      <c r="F169" s="63"/>
      <c r="G169" s="63"/>
      <c r="H169" s="63"/>
      <c r="I169" s="63"/>
      <c r="J169" s="154" t="str">
        <f>IF(M52=2,"",IF(OR(M52="",M1450=""),"TBD",IF(AND(M52=1,M1450=1),"YES",IF(OR(M52=2,M1450=3),"NA",""))))</f>
        <v/>
      </c>
      <c r="K169" s="522" t="str">
        <f>IF(AND(M52=1,M1450=2),"NO","")</f>
        <v/>
      </c>
      <c r="L169" s="957" t="s">
        <v>482</v>
      </c>
      <c r="M169" s="427"/>
      <c r="N169" s="428"/>
      <c r="O169" s="428"/>
      <c r="P169" s="574"/>
      <c r="Q169" s="964" t="s">
        <v>431</v>
      </c>
      <c r="R169" s="428"/>
      <c r="S169" s="428"/>
      <c r="T169" s="428"/>
      <c r="U169" s="428"/>
      <c r="V169" s="428"/>
      <c r="W169" s="429"/>
      <c r="X169" s="939" t="s">
        <v>482</v>
      </c>
      <c r="Y169" s="950"/>
      <c r="Z169" s="768"/>
      <c r="AA169" s="768" t="s">
        <v>589</v>
      </c>
      <c r="AB169" s="1412"/>
      <c r="AC169" s="781" t="str">
        <f t="shared" si="39"/>
        <v/>
      </c>
      <c r="AD169" s="1437" t="str">
        <f>R674</f>
        <v/>
      </c>
      <c r="AE169" s="786" t="s">
        <v>852</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7">
        <v>38</v>
      </c>
      <c r="B170" s="120" t="s">
        <v>629</v>
      </c>
      <c r="C170" s="860" t="str">
        <f>IF(O170="","",IF(LEN(O170)&lt;=135,O170,IF(LEN(O170)&lt;=260,LEFT(O170,SEARCH(" ",O170,125)),LEFT(O170,SEARCH(" ",O170,130)))))</f>
        <v/>
      </c>
      <c r="D170" s="505"/>
      <c r="E170" s="505"/>
      <c r="F170" s="505"/>
      <c r="G170" s="505"/>
      <c r="H170" s="505"/>
      <c r="I170" s="505"/>
      <c r="J170" s="505"/>
      <c r="K170" s="96"/>
      <c r="L170" s="957" t="s">
        <v>482</v>
      </c>
      <c r="M170" s="913"/>
      <c r="N170" s="182" t="s">
        <v>629</v>
      </c>
      <c r="O170" s="1490"/>
      <c r="P170" s="575"/>
      <c r="Q170" s="958" t="str">
        <f>IF(OR(AB501=0,AB501=""),"",AB501)</f>
        <v/>
      </c>
      <c r="R170" s="57"/>
      <c r="S170" s="57"/>
      <c r="T170" s="57"/>
      <c r="U170" s="57"/>
      <c r="V170" s="57"/>
      <c r="W170" s="435"/>
      <c r="X170" s="939" t="s">
        <v>482</v>
      </c>
      <c r="Y170" s="950"/>
      <c r="Z170" s="768"/>
      <c r="AA170" s="768" t="s">
        <v>591</v>
      </c>
      <c r="AB170" s="1412"/>
      <c r="AC170" s="781" t="str">
        <f t="shared" si="39"/>
        <v/>
      </c>
      <c r="AD170" s="1437" t="str">
        <f>S674</f>
        <v/>
      </c>
      <c r="AE170" s="786" t="s">
        <v>853</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7">
        <v>39</v>
      </c>
      <c r="B171" s="97"/>
      <c r="C171" s="860" t="str">
        <f>IF(LEN(O170)&lt;=135,"",IF(LEN(O170)&lt;=260,RIGHT(O170,LEN(O170)-SEARCH(" ",O170,125)),MID(O170,SEARCH(" ",O170,130),IF(LEN(O170)&lt;=265,LEN(O170),SEARCH(" ",O170,255)-SEARCH(" ",O170,130)))))</f>
        <v/>
      </c>
      <c r="D171" s="505"/>
      <c r="E171" s="505"/>
      <c r="F171" s="505"/>
      <c r="G171" s="505"/>
      <c r="H171" s="505"/>
      <c r="I171" s="505"/>
      <c r="J171" s="505"/>
      <c r="K171" s="96"/>
      <c r="L171" s="957" t="s">
        <v>482</v>
      </c>
      <c r="M171" s="97"/>
      <c r="N171" s="855" t="s">
        <v>347</v>
      </c>
      <c r="O171" s="1491"/>
      <c r="P171" s="856">
        <f>LEN(O170)</f>
        <v>0</v>
      </c>
      <c r="Q171" s="960"/>
      <c r="R171" s="963">
        <f>LEN(Q170)</f>
        <v>0</v>
      </c>
      <c r="S171" s="961" t="s">
        <v>62</v>
      </c>
      <c r="T171" s="69"/>
      <c r="U171" s="69"/>
      <c r="V171" s="69"/>
      <c r="W171" s="438"/>
      <c r="X171" s="939" t="s">
        <v>482</v>
      </c>
      <c r="Y171" s="950"/>
      <c r="Z171" s="768"/>
      <c r="AA171" s="768"/>
      <c r="AB171" s="769"/>
      <c r="AC171" s="781" t="str">
        <f t="shared" si="39"/>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7">
        <v>40</v>
      </c>
      <c r="B172" s="97"/>
      <c r="C172" s="860" t="str">
        <f>IF(LEN(O170)&lt;=265,"",RIGHT(O170,LEN(O170)-SEARCH(" ",O170,255)))</f>
        <v/>
      </c>
      <c r="D172" s="505"/>
      <c r="E172" s="505"/>
      <c r="F172" s="505"/>
      <c r="G172" s="505"/>
      <c r="H172" s="505"/>
      <c r="I172" s="505"/>
      <c r="J172" s="505"/>
      <c r="K172" s="96"/>
      <c r="L172" s="957" t="s">
        <v>482</v>
      </c>
      <c r="M172" s="97"/>
      <c r="N172" s="182" t="s">
        <v>143</v>
      </c>
      <c r="O172" s="1490"/>
      <c r="P172" s="575"/>
      <c r="Q172" s="958" t="str">
        <f>IF(OR(AB503=0,AB503=""),"",AB503)</f>
        <v/>
      </c>
      <c r="R172" s="57"/>
      <c r="S172" s="57"/>
      <c r="T172" s="57"/>
      <c r="U172" s="57"/>
      <c r="V172" s="57"/>
      <c r="W172" s="435"/>
      <c r="X172" s="939" t="s">
        <v>482</v>
      </c>
      <c r="Y172" s="950"/>
      <c r="Z172" s="768"/>
      <c r="AA172" s="768" t="s">
        <v>603</v>
      </c>
      <c r="AB172" s="1414"/>
      <c r="AC172" s="781" t="str">
        <f t="shared" si="39"/>
        <v/>
      </c>
      <c r="AD172" s="1435">
        <f>U674</f>
        <v>0</v>
      </c>
      <c r="AE172" s="786" t="s">
        <v>854</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7">
        <v>41</v>
      </c>
      <c r="B173" s="858"/>
      <c r="C173" s="860" t="str">
        <f>IF(O172="","",IF(LEN(O172)&lt;=135,O172,IF(LEN(O172)&lt;=260,LEFT(O172,SEARCH(" ",O172,125)),LEFT(O172,SEARCH(" ",O172,130)))))</f>
        <v/>
      </c>
      <c r="D173" s="505"/>
      <c r="E173" s="505"/>
      <c r="F173" s="505"/>
      <c r="G173" s="505"/>
      <c r="H173" s="505"/>
      <c r="I173" s="505"/>
      <c r="J173" s="505"/>
      <c r="K173" s="96"/>
      <c r="L173" s="957" t="s">
        <v>482</v>
      </c>
      <c r="M173" s="97"/>
      <c r="N173" s="855" t="s">
        <v>347</v>
      </c>
      <c r="O173" s="1491"/>
      <c r="P173" s="856">
        <f>LEN(O172)</f>
        <v>0</v>
      </c>
      <c r="Q173" s="960"/>
      <c r="R173" s="963">
        <f>LEN(Q172)</f>
        <v>0</v>
      </c>
      <c r="S173" s="961" t="s">
        <v>36</v>
      </c>
      <c r="T173" s="57"/>
      <c r="U173" s="57"/>
      <c r="V173" s="57"/>
      <c r="W173" s="435"/>
      <c r="X173" s="939" t="s">
        <v>482</v>
      </c>
      <c r="Y173" s="950"/>
      <c r="Z173" s="768"/>
      <c r="AA173" s="768" t="s">
        <v>604</v>
      </c>
      <c r="AB173" s="1414"/>
      <c r="AC173" s="781" t="str">
        <f t="shared" si="39"/>
        <v/>
      </c>
      <c r="AD173" s="1435" t="str">
        <f>V674</f>
        <v/>
      </c>
      <c r="AE173" s="786" t="s">
        <v>855</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7">
        <v>42</v>
      </c>
      <c r="B174" s="858"/>
      <c r="C174" s="860" t="str">
        <f>IF(LEN(O172)&lt;=135,"",IF(LEN(O172)&lt;=260,RIGHT(O172,LEN(O172)-SEARCH(" ",O172,125)),MID(O172,SEARCH(" ",O172,130),IF(LEN(O172)&lt;=265,LEN(O172),SEARCH(" ",O172,255)-SEARCH(" ",O172,130)))))</f>
        <v/>
      </c>
      <c r="D174" s="505"/>
      <c r="E174" s="505"/>
      <c r="F174" s="505"/>
      <c r="G174" s="505"/>
      <c r="H174" s="505"/>
      <c r="I174" s="505"/>
      <c r="J174" s="505"/>
      <c r="K174" s="96"/>
      <c r="L174" s="957" t="s">
        <v>482</v>
      </c>
      <c r="M174" s="914"/>
      <c r="N174" s="182" t="s">
        <v>143</v>
      </c>
      <c r="O174" s="1490"/>
      <c r="P174" s="575"/>
      <c r="Q174" s="958" t="str">
        <f>IF(OR(AB505=0,AB505=""),"",AB505)</f>
        <v/>
      </c>
      <c r="R174" s="69"/>
      <c r="S174" s="69"/>
      <c r="T174" s="69"/>
      <c r="U174" s="69"/>
      <c r="V174" s="69"/>
      <c r="W174" s="438"/>
      <c r="X174" s="939" t="s">
        <v>482</v>
      </c>
      <c r="Y174" s="950"/>
      <c r="Z174" s="768"/>
      <c r="AA174" s="768"/>
      <c r="AB174" s="769"/>
      <c r="AC174" s="781" t="str">
        <f t="shared" si="39"/>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7">
        <v>43</v>
      </c>
      <c r="B175" s="858"/>
      <c r="C175" s="860" t="str">
        <f>IF(LEN(O172)&lt;=265,"",RIGHT(O172,LEN(O172)-SEARCH(" ",O172,255)))</f>
        <v/>
      </c>
      <c r="D175" s="505"/>
      <c r="E175" s="505"/>
      <c r="F175" s="505"/>
      <c r="G175" s="505"/>
      <c r="H175" s="505"/>
      <c r="I175" s="505"/>
      <c r="J175" s="505"/>
      <c r="K175" s="96"/>
      <c r="L175" s="957" t="s">
        <v>482</v>
      </c>
      <c r="M175" s="97"/>
      <c r="N175" s="855" t="s">
        <v>347</v>
      </c>
      <c r="O175" s="1491"/>
      <c r="P175" s="856">
        <f>LEN(O174)</f>
        <v>0</v>
      </c>
      <c r="Q175" s="960"/>
      <c r="R175" s="963">
        <f>LEN(Q174)</f>
        <v>0</v>
      </c>
      <c r="S175" s="961" t="s">
        <v>337</v>
      </c>
      <c r="T175" s="57"/>
      <c r="U175" s="57"/>
      <c r="V175" s="57"/>
      <c r="W175" s="435"/>
      <c r="X175" s="939" t="s">
        <v>482</v>
      </c>
      <c r="Y175" s="950"/>
      <c r="Z175" s="768"/>
      <c r="AA175" s="775" t="s">
        <v>605</v>
      </c>
      <c r="AB175" s="1410"/>
      <c r="AC175" s="781" t="str">
        <f t="shared" si="39"/>
        <v>Change</v>
      </c>
      <c r="AD175" s="1390" t="str">
        <f>O687</f>
        <v>Piranha CB2-17090320</v>
      </c>
      <c r="AE175" s="786" t="s">
        <v>856</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7">
        <v>44</v>
      </c>
      <c r="B176" s="859"/>
      <c r="C176" s="860" t="str">
        <f>IF(O174="","",IF(LEN(O174)&lt;=135,O174,IF(LEN(O174)&lt;=260,LEFT(O174,SEARCH(" ",O174,125)),LEFT(O174,SEARCH(" ",O174,130)))))</f>
        <v/>
      </c>
      <c r="D176" s="505"/>
      <c r="E176" s="505"/>
      <c r="F176" s="505"/>
      <c r="G176" s="505"/>
      <c r="H176" s="505"/>
      <c r="I176" s="505"/>
      <c r="J176" s="505"/>
      <c r="K176" s="96"/>
      <c r="L176" s="957" t="s">
        <v>482</v>
      </c>
      <c r="M176" s="97"/>
      <c r="N176" s="182" t="s">
        <v>143</v>
      </c>
      <c r="O176" s="1490"/>
      <c r="P176" s="575"/>
      <c r="Q176" s="958" t="str">
        <f>IF(OR(AB507=0,AB507=""),"",AB507)</f>
        <v/>
      </c>
      <c r="R176" s="57"/>
      <c r="S176" s="57"/>
      <c r="T176" s="57"/>
      <c r="U176" s="57"/>
      <c r="V176" s="57"/>
      <c r="W176" s="435"/>
      <c r="X176" s="939" t="s">
        <v>482</v>
      </c>
      <c r="Y176" s="938"/>
      <c r="Z176" s="784"/>
      <c r="AA176" s="951" t="s">
        <v>1208</v>
      </c>
      <c r="AB176" s="769"/>
      <c r="AC176" s="781" t="str">
        <f t="shared" si="39"/>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7">
        <v>45</v>
      </c>
      <c r="B177" s="859"/>
      <c r="C177" s="860" t="str">
        <f>IF(LEN(O174)&lt;=135,"",IF(LEN(O174)&lt;=260,RIGHT(O174,LEN(O174)-SEARCH(" ",O174,125)),MID(O174,SEARCH(" ",O174,130),IF(LEN(O174)&lt;=265,LEN(O174),SEARCH(" ",O174,255)-SEARCH(" ",O174,130)))))</f>
        <v/>
      </c>
      <c r="D177" s="505"/>
      <c r="E177" s="505"/>
      <c r="F177" s="505"/>
      <c r="G177" s="505"/>
      <c r="H177" s="505"/>
      <c r="I177" s="505"/>
      <c r="J177" s="505"/>
      <c r="K177" s="96"/>
      <c r="L177" s="957" t="s">
        <v>482</v>
      </c>
      <c r="M177" s="914"/>
      <c r="N177" s="855" t="s">
        <v>347</v>
      </c>
      <c r="O177" s="1491"/>
      <c r="P177" s="856">
        <f>LEN(O176)</f>
        <v>0</v>
      </c>
      <c r="Q177" s="960"/>
      <c r="R177" s="963">
        <f>LEN(Q176)</f>
        <v>0</v>
      </c>
      <c r="S177" s="961" t="s">
        <v>338</v>
      </c>
      <c r="T177" s="69"/>
      <c r="U177" s="69"/>
      <c r="V177" s="69"/>
      <c r="W177" s="438"/>
      <c r="X177" s="939" t="s">
        <v>482</v>
      </c>
      <c r="Y177" s="950"/>
      <c r="Z177" s="768"/>
      <c r="AA177" s="768"/>
      <c r="AB177" s="769"/>
      <c r="AC177" s="781" t="str">
        <f t="shared" si="39"/>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7">
        <v>46</v>
      </c>
      <c r="B178" s="859"/>
      <c r="C178" s="860" t="str">
        <f>IF(LEN(O174)&lt;=265,"",RIGHT(O174,LEN(O174)-SEARCH(" ",O174,255)))</f>
        <v/>
      </c>
      <c r="D178" s="505"/>
      <c r="E178" s="505"/>
      <c r="F178" s="505"/>
      <c r="G178" s="505"/>
      <c r="H178" s="505"/>
      <c r="I178" s="505"/>
      <c r="J178" s="505"/>
      <c r="K178" s="96"/>
      <c r="L178" s="957" t="s">
        <v>482</v>
      </c>
      <c r="M178" s="97"/>
      <c r="N178" s="182" t="s">
        <v>143</v>
      </c>
      <c r="O178" s="1490"/>
      <c r="P178" s="575"/>
      <c r="Q178" s="958" t="str">
        <f>IF(OR(AB509=0,AB509=""),"",AB509)</f>
        <v/>
      </c>
      <c r="R178" s="57"/>
      <c r="S178" s="57"/>
      <c r="T178" s="57"/>
      <c r="U178" s="57"/>
      <c r="V178" s="57"/>
      <c r="W178" s="435"/>
      <c r="X178" s="939" t="s">
        <v>482</v>
      </c>
      <c r="Y178" s="950"/>
      <c r="Z178" s="768"/>
      <c r="AA178" s="775" t="s">
        <v>606</v>
      </c>
      <c r="AB178" s="1411"/>
      <c r="AC178" s="781" t="str">
        <f t="shared" si="39"/>
        <v>Change</v>
      </c>
      <c r="AD178" s="1429" t="str">
        <f>N693</f>
        <v>cm</v>
      </c>
      <c r="AE178" s="786" t="s">
        <v>857</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7">
        <v>47</v>
      </c>
      <c r="B179" s="120"/>
      <c r="C179" s="860" t="str">
        <f>IF(O176="","",IF(LEN(O176)&lt;=135,O176,IF(LEN(O176)&lt;=260,LEFT(O176,SEARCH(" ",O176,125)),LEFT(O176,SEARCH(" ",O176,130)))))</f>
        <v/>
      </c>
      <c r="D179" s="505"/>
      <c r="E179" s="505"/>
      <c r="F179" s="505"/>
      <c r="G179" s="505"/>
      <c r="H179" s="505"/>
      <c r="I179" s="505"/>
      <c r="J179" s="505"/>
      <c r="K179" s="96"/>
      <c r="L179" s="957" t="s">
        <v>482</v>
      </c>
      <c r="M179" s="97"/>
      <c r="N179" s="855" t="s">
        <v>347</v>
      </c>
      <c r="O179" s="1491"/>
      <c r="P179" s="856">
        <f>LEN(O178)</f>
        <v>0</v>
      </c>
      <c r="Q179" s="960"/>
      <c r="R179" s="963">
        <f>LEN(Q178)</f>
        <v>0</v>
      </c>
      <c r="S179" s="961" t="s">
        <v>339</v>
      </c>
      <c r="T179" s="57"/>
      <c r="U179" s="57"/>
      <c r="V179" s="57"/>
      <c r="W179" s="435"/>
      <c r="X179" s="939" t="s">
        <v>482</v>
      </c>
      <c r="Y179" s="950"/>
      <c r="Z179" s="768"/>
      <c r="AA179" s="775" t="s">
        <v>607</v>
      </c>
      <c r="AB179" s="1411"/>
      <c r="AC179" s="781" t="str">
        <f t="shared" si="39"/>
        <v>Change</v>
      </c>
      <c r="AD179" s="1429" t="str">
        <f>N711</f>
        <v>cm</v>
      </c>
      <c r="AE179" s="786" t="s">
        <v>858</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7">
        <v>48</v>
      </c>
      <c r="B180" s="97"/>
      <c r="C180" s="860" t="str">
        <f>IF(LEN(O176)&lt;=135,"",IF(LEN(O176)&lt;=260,RIGHT(O176,LEN(O176)-SEARCH(" ",O176,125)),MID(O176,SEARCH(" ",O176,130),IF(LEN(O176)&lt;=265,LEN(O176),SEARCH(" ",O176,255)-SEARCH(" ",O176,130)))))</f>
        <v/>
      </c>
      <c r="D180" s="505"/>
      <c r="E180" s="505"/>
      <c r="F180" s="505"/>
      <c r="G180" s="505"/>
      <c r="H180" s="505"/>
      <c r="I180" s="505"/>
      <c r="J180" s="505"/>
      <c r="K180" s="96"/>
      <c r="L180" s="957" t="s">
        <v>482</v>
      </c>
      <c r="M180" s="914"/>
      <c r="N180" s="182" t="s">
        <v>143</v>
      </c>
      <c r="O180" s="1490"/>
      <c r="P180" s="575"/>
      <c r="Q180" s="958" t="str">
        <f>IF(OR(AB511=0,AB511=""),"",AB511)</f>
        <v/>
      </c>
      <c r="R180" s="69"/>
      <c r="S180" s="69"/>
      <c r="T180" s="69"/>
      <c r="U180" s="69"/>
      <c r="V180" s="69"/>
      <c r="W180" s="438"/>
      <c r="X180" s="939" t="s">
        <v>482</v>
      </c>
      <c r="Y180" s="950"/>
      <c r="Z180" s="769"/>
      <c r="AA180" s="769"/>
      <c r="AB180" s="769"/>
      <c r="AC180" s="781" t="str">
        <f t="shared" si="39"/>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7">
        <v>49</v>
      </c>
      <c r="B181" s="97"/>
      <c r="C181" s="860" t="str">
        <f>IF(LEN(O176)&lt;=265,"",RIGHT(O176,LEN(O176)-SEARCH(" ",O176,255)))</f>
        <v/>
      </c>
      <c r="D181" s="505"/>
      <c r="E181" s="505"/>
      <c r="F181" s="505"/>
      <c r="G181" s="505"/>
      <c r="H181" s="505"/>
      <c r="I181" s="505"/>
      <c r="J181" s="505"/>
      <c r="K181" s="96"/>
      <c r="L181" s="957" t="s">
        <v>482</v>
      </c>
      <c r="M181" s="97"/>
      <c r="N181" s="855" t="s">
        <v>347</v>
      </c>
      <c r="O181" s="1491"/>
      <c r="P181" s="856">
        <f>LEN(O180)</f>
        <v>0</v>
      </c>
      <c r="Q181" s="960"/>
      <c r="R181" s="963">
        <f>LEN(Q180)</f>
        <v>0</v>
      </c>
      <c r="S181" s="961" t="s">
        <v>340</v>
      </c>
      <c r="T181" s="57"/>
      <c r="U181" s="57"/>
      <c r="V181" s="57"/>
      <c r="W181" s="435"/>
      <c r="X181" s="939" t="s">
        <v>482</v>
      </c>
      <c r="Y181" s="950"/>
      <c r="Z181" s="769"/>
      <c r="AA181" s="775" t="s">
        <v>608</v>
      </c>
      <c r="AB181" s="769"/>
      <c r="AC181" s="781" t="str">
        <f t="shared" si="39"/>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7">
        <v>50</v>
      </c>
      <c r="B182" s="120"/>
      <c r="C182" s="860" t="str">
        <f>IF(O178="","",IF(LEN(O178)&lt;=135,O178,IF(LEN(O178)&lt;=260,LEFT(O178,SEARCH(" ",O178,125)),LEFT(O178,SEARCH(" ",O178,130)))))</f>
        <v/>
      </c>
      <c r="D182" s="505"/>
      <c r="E182" s="505"/>
      <c r="F182" s="505"/>
      <c r="G182" s="505"/>
      <c r="H182" s="505"/>
      <c r="I182" s="505"/>
      <c r="J182" s="505"/>
      <c r="K182" s="96"/>
      <c r="L182" s="957" t="s">
        <v>482</v>
      </c>
      <c r="M182" s="97"/>
      <c r="N182" s="182" t="s">
        <v>143</v>
      </c>
      <c r="O182" s="1490"/>
      <c r="P182" s="575"/>
      <c r="Q182" s="958" t="str">
        <f>IF(OR(AB513=0,AB513=""),"",AB513)</f>
        <v/>
      </c>
      <c r="R182" s="57"/>
      <c r="S182" s="57"/>
      <c r="T182" s="57"/>
      <c r="U182" s="57"/>
      <c r="V182" s="57"/>
      <c r="W182" s="435"/>
      <c r="X182" s="939" t="s">
        <v>482</v>
      </c>
      <c r="Y182" s="950"/>
      <c r="Z182" s="769"/>
      <c r="AA182" s="768" t="s">
        <v>609</v>
      </c>
      <c r="AB182" s="1411"/>
      <c r="AC182" s="781" t="str">
        <f t="shared" si="39"/>
        <v>Change</v>
      </c>
      <c r="AD182" s="1429" t="str">
        <f>O805</f>
        <v>HF</v>
      </c>
      <c r="AE182" s="786" t="s">
        <v>859</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7">
        <v>51</v>
      </c>
      <c r="B183" s="97"/>
      <c r="C183" s="860" t="str">
        <f>IF(LEN(O178)&lt;=135,"",IF(LEN(O178)&lt;=260,RIGHT(O178,LEN(O178)-SEARCH(" ",O178,125)),MID(O178,SEARCH(" ",O178,130),IF(LEN(O178)&lt;=265,LEN(O178),SEARCH(" ",O178,255)-SEARCH(" ",O178,130)))))</f>
        <v/>
      </c>
      <c r="D183" s="505"/>
      <c r="E183" s="505"/>
      <c r="F183" s="505"/>
      <c r="G183" s="505"/>
      <c r="H183" s="505"/>
      <c r="I183" s="505"/>
      <c r="J183" s="505"/>
      <c r="K183" s="96"/>
      <c r="L183" s="957" t="s">
        <v>482</v>
      </c>
      <c r="M183" s="914"/>
      <c r="N183" s="855" t="s">
        <v>347</v>
      </c>
      <c r="O183" s="1491"/>
      <c r="P183" s="856">
        <f>LEN(O182)</f>
        <v>0</v>
      </c>
      <c r="Q183" s="960"/>
      <c r="R183" s="963">
        <f>LEN(Q182)</f>
        <v>0</v>
      </c>
      <c r="S183" s="961" t="s">
        <v>66</v>
      </c>
      <c r="T183" s="69"/>
      <c r="U183" s="69"/>
      <c r="V183" s="69"/>
      <c r="W183" s="438"/>
      <c r="X183" s="939" t="s">
        <v>482</v>
      </c>
      <c r="Y183" s="950"/>
      <c r="Z183" s="769"/>
      <c r="AA183" s="768" t="s">
        <v>610</v>
      </c>
      <c r="AB183" s="1411"/>
      <c r="AC183" s="781" t="str">
        <f t="shared" si="39"/>
        <v/>
      </c>
      <c r="AD183" s="1433" t="str">
        <f>M806</f>
        <v/>
      </c>
      <c r="AE183" s="769" t="s">
        <v>860</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7">
        <v>52</v>
      </c>
      <c r="B184" s="97"/>
      <c r="C184" s="860" t="str">
        <f>IF(LEN(O178)&lt;=265,"",RIGHT(O178,LEN(O178)-SEARCH(" ",O178,255)))</f>
        <v/>
      </c>
      <c r="D184" s="505"/>
      <c r="E184" s="505"/>
      <c r="F184" s="505"/>
      <c r="G184" s="505"/>
      <c r="H184" s="505"/>
      <c r="I184" s="505"/>
      <c r="J184" s="505"/>
      <c r="K184" s="96"/>
      <c r="L184" s="957" t="s">
        <v>482</v>
      </c>
      <c r="M184" s="97"/>
      <c r="N184" s="182" t="s">
        <v>143</v>
      </c>
      <c r="O184" s="1490"/>
      <c r="P184" s="575"/>
      <c r="Q184" s="958" t="str">
        <f>IF(OR(AB515=0,AB515=""),"",AB515)</f>
        <v/>
      </c>
      <c r="R184" s="57"/>
      <c r="S184" s="57"/>
      <c r="T184" s="57"/>
      <c r="U184" s="57"/>
      <c r="V184" s="57"/>
      <c r="W184" s="435"/>
      <c r="X184" s="939" t="s">
        <v>482</v>
      </c>
      <c r="Y184" s="950"/>
      <c r="Z184" s="769"/>
      <c r="AA184" s="769"/>
      <c r="AB184" s="769"/>
      <c r="AC184" s="781" t="str">
        <f t="shared" si="39"/>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7">
        <v>53</v>
      </c>
      <c r="B185" s="120"/>
      <c r="C185" s="860" t="str">
        <f>IF(O180="","",IF(LEN(O180)&lt;=135,O180,IF(LEN(O180)&lt;=260,LEFT(O180,SEARCH(" ",O180,125)),LEFT(O180,SEARCH(" ",O180,130)))))</f>
        <v/>
      </c>
      <c r="D185" s="505"/>
      <c r="E185" s="505"/>
      <c r="F185" s="505"/>
      <c r="G185" s="505"/>
      <c r="H185" s="505"/>
      <c r="I185" s="505"/>
      <c r="J185" s="505"/>
      <c r="K185" s="96"/>
      <c r="L185" s="957" t="s">
        <v>482</v>
      </c>
      <c r="M185" s="97"/>
      <c r="N185" s="855" t="s">
        <v>347</v>
      </c>
      <c r="O185" s="1491"/>
      <c r="P185" s="856">
        <f>LEN(O184)</f>
        <v>0</v>
      </c>
      <c r="Q185" s="960"/>
      <c r="R185" s="963">
        <f>LEN(Q184)</f>
        <v>0</v>
      </c>
      <c r="S185" s="962"/>
      <c r="T185" s="57"/>
      <c r="U185" s="57"/>
      <c r="V185" s="57"/>
      <c r="W185" s="435"/>
      <c r="X185" s="939" t="s">
        <v>482</v>
      </c>
      <c r="Y185" s="950"/>
      <c r="Z185" s="769"/>
      <c r="AA185" s="775" t="s">
        <v>611</v>
      </c>
      <c r="AB185" s="1415"/>
      <c r="AC185" s="781" t="str">
        <f t="shared" si="39"/>
        <v/>
      </c>
      <c r="AD185" s="1433" t="str">
        <f>IF(O1027="","",O1027)</f>
        <v/>
      </c>
      <c r="AE185" s="769" t="s">
        <v>861</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7">
        <v>54</v>
      </c>
      <c r="B186" s="97"/>
      <c r="C186" s="860" t="str">
        <f>IF(LEN(O180)&lt;=135,"",IF(LEN(O180)&lt;=260,RIGHT(O180,LEN(O180)-SEARCH(" ",O180,125)),MID(O180,SEARCH(" ",O180,130),IF(LEN(O180)&lt;=265,LEN(O180),SEARCH(" ",O180,255)-SEARCH(" ",O180,130)))))</f>
        <v/>
      </c>
      <c r="D186" s="505"/>
      <c r="E186" s="505"/>
      <c r="F186" s="505"/>
      <c r="G186" s="505"/>
      <c r="H186" s="505"/>
      <c r="I186" s="505"/>
      <c r="J186" s="505"/>
      <c r="K186" s="96"/>
      <c r="L186" s="957" t="s">
        <v>482</v>
      </c>
      <c r="M186" s="914"/>
      <c r="N186" s="182" t="s">
        <v>143</v>
      </c>
      <c r="O186" s="1490"/>
      <c r="P186" s="575"/>
      <c r="Q186" s="958" t="str">
        <f>IF(OR(AB517=0,AB517=""),"",AB517)</f>
        <v/>
      </c>
      <c r="R186" s="69"/>
      <c r="S186" s="69"/>
      <c r="T186" s="69"/>
      <c r="U186" s="69"/>
      <c r="V186" s="69"/>
      <c r="W186" s="438"/>
      <c r="X186" s="939" t="s">
        <v>482</v>
      </c>
      <c r="Y186" s="950"/>
      <c r="Z186" s="432"/>
      <c r="AA186" s="432"/>
      <c r="AB186" s="769"/>
      <c r="AC186" s="781" t="str">
        <f t="shared" si="39"/>
        <v/>
      </c>
      <c r="AD186" s="1234"/>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7">
        <v>55</v>
      </c>
      <c r="B187" s="97"/>
      <c r="C187" s="860" t="str">
        <f>IF(LEN(O180)&lt;=265,"",RIGHT(O180,LEN(O180)-SEARCH(" ",O180,255)))</f>
        <v/>
      </c>
      <c r="D187" s="505"/>
      <c r="E187" s="505"/>
      <c r="F187" s="505"/>
      <c r="G187" s="505"/>
      <c r="H187" s="505"/>
      <c r="I187" s="505"/>
      <c r="J187" s="505"/>
      <c r="K187" s="96"/>
      <c r="L187" s="957" t="s">
        <v>482</v>
      </c>
      <c r="M187" s="97"/>
      <c r="N187" s="855" t="s">
        <v>347</v>
      </c>
      <c r="O187" s="1491"/>
      <c r="P187" s="856">
        <f>LEN(O186)</f>
        <v>0</v>
      </c>
      <c r="Q187" s="960"/>
      <c r="R187" s="963">
        <f>LEN(Q186)</f>
        <v>0</v>
      </c>
      <c r="S187" s="962"/>
      <c r="T187" s="57"/>
      <c r="U187" s="57"/>
      <c r="V187" s="57"/>
      <c r="W187" s="435"/>
      <c r="X187" s="939" t="s">
        <v>482</v>
      </c>
      <c r="Y187" s="950"/>
      <c r="Z187" s="769"/>
      <c r="AA187" s="775" t="s">
        <v>612</v>
      </c>
      <c r="AB187" s="769"/>
      <c r="AC187" s="781" t="str">
        <f t="shared" si="39"/>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7">
        <v>56</v>
      </c>
      <c r="B188" s="120"/>
      <c r="C188" s="860" t="str">
        <f>IF(O182="","",IF(LEN(O182)&lt;=135,O182,IF(LEN(O182)&lt;=260,LEFT(O182,SEARCH(" ",O182,125)),LEFT(O182,SEARCH(" ",O182,130)))))</f>
        <v/>
      </c>
      <c r="D188" s="505"/>
      <c r="E188" s="505"/>
      <c r="F188" s="505"/>
      <c r="G188" s="505"/>
      <c r="H188" s="505"/>
      <c r="I188" s="505"/>
      <c r="J188" s="505"/>
      <c r="K188" s="96"/>
      <c r="L188" s="957" t="s">
        <v>482</v>
      </c>
      <c r="M188" s="97"/>
      <c r="N188" s="58"/>
      <c r="O188" s="816"/>
      <c r="P188" s="575"/>
      <c r="Q188" s="958"/>
      <c r="R188" s="119"/>
      <c r="S188" s="119"/>
      <c r="T188" s="119"/>
      <c r="U188" s="119"/>
      <c r="V188" s="119"/>
      <c r="W188" s="435"/>
      <c r="X188" s="939" t="s">
        <v>482</v>
      </c>
      <c r="Y188" s="950"/>
      <c r="Z188" s="769"/>
      <c r="AA188" s="768" t="s">
        <v>613</v>
      </c>
      <c r="AB188" s="1411"/>
      <c r="AC188" s="781" t="str">
        <f t="shared" si="39"/>
        <v>Change</v>
      </c>
      <c r="AD188" s="1439">
        <f>IF(AH688="",AB188,AH688/2.54)</f>
        <v>23.622047244094489</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7">
        <v>57</v>
      </c>
      <c r="B189" s="97"/>
      <c r="C189" s="860" t="str">
        <f>IF(LEN(O182)&lt;=135,"",IF(LEN(O182)&lt;=260,RIGHT(O182,LEN(O182)-SEARCH(" ",O182,125)),MID(O182,SEARCH(" ",O182,130),IF(LEN(O182)&lt;=265,LEN(O182),SEARCH(" ",O182,255)-SEARCH(" ",O182,130)))))</f>
        <v/>
      </c>
      <c r="D189" s="505"/>
      <c r="E189" s="505"/>
      <c r="F189" s="505"/>
      <c r="G189" s="505"/>
      <c r="H189" s="505"/>
      <c r="I189" s="505"/>
      <c r="J189" s="505"/>
      <c r="K189" s="96"/>
      <c r="L189" s="957" t="s">
        <v>482</v>
      </c>
      <c r="M189" s="914"/>
      <c r="N189" s="817"/>
      <c r="O189" s="817"/>
      <c r="P189" s="721"/>
      <c r="Q189" s="718"/>
      <c r="R189" s="718"/>
      <c r="S189" s="718"/>
      <c r="T189" s="718"/>
      <c r="U189" s="718"/>
      <c r="V189" s="718"/>
      <c r="W189" s="438"/>
      <c r="X189" s="939" t="s">
        <v>482</v>
      </c>
      <c r="Y189" s="950"/>
      <c r="Z189" s="769"/>
      <c r="AA189" s="769"/>
      <c r="AB189" s="769"/>
      <c r="AC189" s="781" t="str">
        <f t="shared" si="39"/>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7">
        <v>58</v>
      </c>
      <c r="B190" s="97"/>
      <c r="C190" s="860" t="str">
        <f>IF(LEN(O182)&lt;=265,"",RIGHT(O182,LEN(O182)-SEARCH(" ",O182,255)))</f>
        <v/>
      </c>
      <c r="D190" s="505"/>
      <c r="E190" s="505"/>
      <c r="F190" s="505"/>
      <c r="G190" s="505"/>
      <c r="H190" s="505"/>
      <c r="I190" s="505"/>
      <c r="J190" s="505"/>
      <c r="K190" s="96"/>
      <c r="L190" s="957" t="s">
        <v>482</v>
      </c>
      <c r="M190" s="97"/>
      <c r="N190" s="818"/>
      <c r="O190" s="818"/>
      <c r="P190" s="716"/>
      <c r="Q190" s="717"/>
      <c r="R190" s="717"/>
      <c r="S190" s="717"/>
      <c r="T190" s="717"/>
      <c r="U190" s="717"/>
      <c r="V190" s="717"/>
      <c r="W190" s="435"/>
      <c r="X190" s="939" t="s">
        <v>482</v>
      </c>
      <c r="Y190" s="950"/>
      <c r="Z190" s="769"/>
      <c r="AA190" s="773" t="s">
        <v>539</v>
      </c>
      <c r="AB190" s="1412"/>
      <c r="AC190" s="781" t="str">
        <f t="shared" si="39"/>
        <v/>
      </c>
      <c r="AD190" s="1437" t="str">
        <f>IF(P1397="","",P1397)</f>
        <v/>
      </c>
      <c r="AE190" s="769" t="s">
        <v>862</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7">
        <v>59</v>
      </c>
      <c r="B191" s="120"/>
      <c r="C191" s="860" t="str">
        <f>IF(O184="","",IF(LEN(O184)&lt;=135,O184,IF(LEN(O184)&lt;=260,LEFT(O184,SEARCH(" ",O184,125)),LEFT(O184,SEARCH(" ",O184,130)))))</f>
        <v/>
      </c>
      <c r="D191" s="505"/>
      <c r="E191" s="505"/>
      <c r="F191" s="505"/>
      <c r="G191" s="505"/>
      <c r="H191" s="505"/>
      <c r="I191" s="505"/>
      <c r="J191" s="505"/>
      <c r="K191" s="96"/>
      <c r="L191" s="957" t="s">
        <v>482</v>
      </c>
      <c r="M191" s="97"/>
      <c r="N191" s="818"/>
      <c r="O191" s="818"/>
      <c r="P191" s="716"/>
      <c r="Q191" s="717"/>
      <c r="R191" s="717"/>
      <c r="S191" s="717"/>
      <c r="T191" s="717"/>
      <c r="U191" s="717"/>
      <c r="V191" s="717"/>
      <c r="W191" s="435"/>
      <c r="X191" s="939" t="s">
        <v>482</v>
      </c>
      <c r="Y191" s="950"/>
      <c r="Z191" s="769"/>
      <c r="AA191" s="769"/>
      <c r="AB191" s="1412"/>
      <c r="AC191" s="781" t="str">
        <f t="shared" si="39"/>
        <v/>
      </c>
      <c r="AD191" s="1437" t="str">
        <f t="shared" ref="AD191:AD197" si="42">IF(P1398="","",P1398)</f>
        <v/>
      </c>
      <c r="AE191" s="769" t="s">
        <v>863</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7">
        <v>60</v>
      </c>
      <c r="B192" s="97"/>
      <c r="C192" s="860" t="str">
        <f>IF(LEN(O184)&lt;=135,"",IF(LEN(O184)&lt;=260,RIGHT(O184,LEN(O184)-SEARCH(" ",O184,125)),MID(O184,SEARCH(" ",O184,130),IF(LEN(O184)&lt;=265,LEN(O184),SEARCH(" ",O184,255)-SEARCH(" ",O184,130)))))</f>
        <v/>
      </c>
      <c r="D192" s="505"/>
      <c r="E192" s="505"/>
      <c r="F192" s="505"/>
      <c r="G192" s="505"/>
      <c r="H192" s="505"/>
      <c r="I192" s="505"/>
      <c r="J192" s="505"/>
      <c r="K192" s="96"/>
      <c r="L192" s="957" t="s">
        <v>482</v>
      </c>
      <c r="M192" s="914"/>
      <c r="N192" s="818"/>
      <c r="O192" s="818"/>
      <c r="P192" s="716"/>
      <c r="Q192" s="715" t="s">
        <v>341</v>
      </c>
      <c r="R192" s="118"/>
      <c r="S192" s="118"/>
      <c r="T192" s="717"/>
      <c r="U192" s="717"/>
      <c r="V192" s="717"/>
      <c r="W192" s="438"/>
      <c r="X192" s="939" t="s">
        <v>482</v>
      </c>
      <c r="Y192" s="950"/>
      <c r="Z192" s="769"/>
      <c r="AA192" s="769"/>
      <c r="AB192" s="1412"/>
      <c r="AC192" s="781" t="str">
        <f t="shared" si="39"/>
        <v/>
      </c>
      <c r="AD192" s="1437" t="str">
        <f t="shared" si="42"/>
        <v/>
      </c>
      <c r="AE192" s="769" t="s">
        <v>864</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7">
        <v>61</v>
      </c>
      <c r="B193" s="97"/>
      <c r="C193" s="860" t="str">
        <f>IF(LEN(O184)&lt;=265,"",RIGHT(O184,LEN(O184)-SEARCH(" ",O184,255)))</f>
        <v/>
      </c>
      <c r="D193" s="505"/>
      <c r="E193" s="505"/>
      <c r="F193" s="505"/>
      <c r="G193" s="505"/>
      <c r="H193" s="505"/>
      <c r="I193" s="505"/>
      <c r="J193" s="505"/>
      <c r="K193" s="96"/>
      <c r="L193" s="957" t="s">
        <v>482</v>
      </c>
      <c r="M193" s="97"/>
      <c r="N193" s="818"/>
      <c r="O193" s="818"/>
      <c r="P193" s="716"/>
      <c r="Q193" s="717"/>
      <c r="R193" s="716"/>
      <c r="S193" s="717"/>
      <c r="T193" s="716"/>
      <c r="U193" s="717"/>
      <c r="V193" s="717"/>
      <c r="W193" s="435"/>
      <c r="X193" s="939" t="s">
        <v>482</v>
      </c>
      <c r="Y193" s="950"/>
      <c r="Z193" s="769"/>
      <c r="AA193" s="769"/>
      <c r="AB193" s="1412"/>
      <c r="AC193" s="781" t="str">
        <f t="shared" si="39"/>
        <v/>
      </c>
      <c r="AD193" s="1437" t="str">
        <f t="shared" si="42"/>
        <v/>
      </c>
      <c r="AE193" s="769" t="s">
        <v>865</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7">
        <v>62</v>
      </c>
      <c r="B194" s="120"/>
      <c r="C194" s="860" t="str">
        <f>IF(O186="","",IF(LEN(O186)&lt;=135,O186,IF(LEN(O186)&lt;=260,LEFT(O186,SEARCH(" ",O186,125)),LEFT(O186,SEARCH(" ",O186,130)))))</f>
        <v/>
      </c>
      <c r="D194" s="505"/>
      <c r="E194" s="505"/>
      <c r="F194" s="505"/>
      <c r="G194" s="505"/>
      <c r="H194" s="505"/>
      <c r="I194" s="505"/>
      <c r="J194" s="505"/>
      <c r="K194" s="96"/>
      <c r="L194" s="957" t="s">
        <v>482</v>
      </c>
      <c r="M194" s="97"/>
      <c r="N194" s="818"/>
      <c r="O194" s="818"/>
      <c r="P194" s="716"/>
      <c r="Q194" s="717"/>
      <c r="R194" s="716"/>
      <c r="S194" s="717"/>
      <c r="T194" s="716"/>
      <c r="U194" s="717"/>
      <c r="V194" s="717"/>
      <c r="W194" s="435"/>
      <c r="X194" s="939" t="s">
        <v>482</v>
      </c>
      <c r="Y194" s="950"/>
      <c r="Z194" s="769"/>
      <c r="AA194" s="769"/>
      <c r="AB194" s="1412"/>
      <c r="AC194" s="781" t="str">
        <f t="shared" si="39"/>
        <v/>
      </c>
      <c r="AD194" s="1437" t="str">
        <f t="shared" si="42"/>
        <v/>
      </c>
      <c r="AE194" s="769" t="s">
        <v>866</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7">
        <v>63</v>
      </c>
      <c r="B195" s="97"/>
      <c r="C195" s="860" t="str">
        <f>IF(LEN(O186)&lt;=135,"",IF(LEN(O186)&lt;=260,RIGHT(O186,LEN(O186)-SEARCH(" ",O186,125)),MID(O186,SEARCH(" ",O186,130),IF(LEN(O186)&lt;=265,LEN(O186),SEARCH(" ",O186,255)-SEARCH(" ",O186,130)))))</f>
        <v/>
      </c>
      <c r="D195" s="505"/>
      <c r="E195" s="505"/>
      <c r="F195" s="505"/>
      <c r="G195" s="505"/>
      <c r="H195" s="505"/>
      <c r="I195" s="505"/>
      <c r="J195" s="505"/>
      <c r="K195" s="96"/>
      <c r="L195" s="957" t="s">
        <v>482</v>
      </c>
      <c r="M195" s="914"/>
      <c r="N195" s="819"/>
      <c r="O195" s="819"/>
      <c r="P195" s="720"/>
      <c r="Q195" s="719"/>
      <c r="R195" s="720"/>
      <c r="S195" s="719"/>
      <c r="T195" s="720"/>
      <c r="U195" s="719"/>
      <c r="V195" s="719"/>
      <c r="W195" s="438"/>
      <c r="X195" s="939" t="s">
        <v>482</v>
      </c>
      <c r="Y195" s="950"/>
      <c r="Z195" s="769"/>
      <c r="AA195" s="769"/>
      <c r="AB195" s="1412"/>
      <c r="AC195" s="781" t="str">
        <f t="shared" si="39"/>
        <v/>
      </c>
      <c r="AD195" s="1437" t="str">
        <f t="shared" si="42"/>
        <v/>
      </c>
      <c r="AE195" s="769" t="s">
        <v>867</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7">
        <v>64</v>
      </c>
      <c r="B196" s="179"/>
      <c r="C196" s="861" t="str">
        <f>IF(LEN(O186)&lt;=265,"",RIGHT(O186,LEN(O186)-SEARCH(" ",O186,255)))</f>
        <v/>
      </c>
      <c r="D196" s="181"/>
      <c r="E196" s="181"/>
      <c r="F196" s="181"/>
      <c r="G196" s="181"/>
      <c r="H196" s="181"/>
      <c r="I196" s="181"/>
      <c r="J196" s="181"/>
      <c r="K196" s="152"/>
      <c r="L196" s="957" t="s">
        <v>482</v>
      </c>
      <c r="M196" s="179"/>
      <c r="N196" s="181"/>
      <c r="O196" s="820"/>
      <c r="P196" s="576"/>
      <c r="Q196" s="181"/>
      <c r="R196" s="181"/>
      <c r="S196" s="181"/>
      <c r="T196" s="181"/>
      <c r="U196" s="181"/>
      <c r="V196" s="181"/>
      <c r="W196" s="439"/>
      <c r="X196" s="939" t="s">
        <v>482</v>
      </c>
      <c r="Y196" s="950"/>
      <c r="Z196" s="769"/>
      <c r="AA196" s="769"/>
      <c r="AB196" s="1412"/>
      <c r="AC196" s="781" t="str">
        <f t="shared" si="39"/>
        <v/>
      </c>
      <c r="AD196" s="1437" t="str">
        <f t="shared" si="42"/>
        <v/>
      </c>
      <c r="AE196" s="769" t="s">
        <v>868</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7">
        <v>65</v>
      </c>
      <c r="B197" s="60" t="str">
        <f t="array" ref="B197:C198">$B$65:$C$66</f>
        <v>Date:</v>
      </c>
      <c r="C197" s="1664" t="str">
        <v/>
      </c>
      <c r="D197" s="136"/>
      <c r="E197" s="59"/>
      <c r="F197" s="59"/>
      <c r="G197" s="59"/>
      <c r="H197" s="59"/>
      <c r="I197" s="60" t="str">
        <f t="array" ref="I197:J198">$I$65:$J$66</f>
        <v>Inspector:</v>
      </c>
      <c r="J197" s="554" t="str">
        <v>Eugene Mah</v>
      </c>
      <c r="L197" s="957" t="s">
        <v>482</v>
      </c>
      <c r="O197" s="815"/>
      <c r="P197" s="577"/>
      <c r="X197" s="939" t="s">
        <v>482</v>
      </c>
      <c r="Y197" s="950"/>
      <c r="Z197" s="769"/>
      <c r="AA197" s="769"/>
      <c r="AB197" s="1412"/>
      <c r="AC197" s="781" t="str">
        <f t="shared" si="39"/>
        <v/>
      </c>
      <c r="AD197" s="1437" t="str">
        <f t="shared" si="42"/>
        <v/>
      </c>
      <c r="AE197" s="769" t="s">
        <v>869</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7">
        <v>66</v>
      </c>
      <c r="B198" s="60" t="str">
        <v>Room Number:</v>
      </c>
      <c r="C198" s="499" t="str">
        <v/>
      </c>
      <c r="D198" s="63"/>
      <c r="E198" s="59"/>
      <c r="F198" s="59"/>
      <c r="G198" s="59"/>
      <c r="H198" s="59"/>
      <c r="I198" s="60" t="str">
        <v>Survey ID:</v>
      </c>
      <c r="J198" s="1404" t="str">
        <v/>
      </c>
      <c r="L198" s="957" t="s">
        <v>482</v>
      </c>
      <c r="O198" s="815"/>
      <c r="P198" s="577"/>
      <c r="X198" s="939" t="s">
        <v>482</v>
      </c>
      <c r="Y198" s="950"/>
      <c r="Z198" s="769"/>
      <c r="AA198" s="769"/>
      <c r="AB198" s="769"/>
      <c r="AC198" s="781" t="str">
        <f t="shared" si="39"/>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7">
        <v>1</v>
      </c>
      <c r="B199" s="1"/>
      <c r="C199" s="1"/>
      <c r="D199" s="1"/>
      <c r="E199" s="1"/>
      <c r="F199" s="1"/>
      <c r="G199" s="1"/>
      <c r="H199" s="1"/>
      <c r="I199" s="1"/>
      <c r="J199" s="1"/>
      <c r="K199" s="161" t="str">
        <f>$F$2</f>
        <v>Medical University of South Carolina</v>
      </c>
      <c r="L199" s="957" t="s">
        <v>482</v>
      </c>
      <c r="M199" s="1"/>
      <c r="N199" s="1"/>
      <c r="O199" s="821"/>
      <c r="P199" s="577"/>
      <c r="Q199" s="1"/>
      <c r="R199" s="1"/>
      <c r="S199" s="1"/>
      <c r="T199" s="1"/>
      <c r="U199" s="1"/>
      <c r="V199" s="1"/>
      <c r="W199" s="161" t="str">
        <f>$F$2</f>
        <v>Medical University of South Carolina</v>
      </c>
      <c r="X199" s="939" t="s">
        <v>482</v>
      </c>
      <c r="Y199" s="950"/>
      <c r="Z199" s="769"/>
      <c r="AA199" s="773" t="s">
        <v>1168</v>
      </c>
      <c r="AB199" s="1413"/>
      <c r="AC199" s="781" t="str">
        <f t="shared" si="39"/>
        <v/>
      </c>
      <c r="AD199" s="1553" t="str">
        <f t="shared" ref="AD199:AD206" si="43">IF(R1397="","",R1397)</f>
        <v/>
      </c>
      <c r="AE199" s="769" t="s">
        <v>870</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7">
        <v>2</v>
      </c>
      <c r="B200" s="1"/>
      <c r="C200" s="1"/>
      <c r="D200" s="1"/>
      <c r="E200" s="1"/>
      <c r="F200" s="336" t="str">
        <f>$F$464</f>
        <v>Measurement Data</v>
      </c>
      <c r="G200" s="1"/>
      <c r="H200" s="1"/>
      <c r="I200" s="1"/>
      <c r="J200" s="1"/>
      <c r="K200" s="162" t="str">
        <f>$F$5</f>
        <v>Radiographic System Compliance Inspection</v>
      </c>
      <c r="L200" s="957" t="s">
        <v>482</v>
      </c>
      <c r="M200" s="1"/>
      <c r="N200" s="1"/>
      <c r="O200" s="821"/>
      <c r="P200" s="577"/>
      <c r="Q200" s="1"/>
      <c r="R200" s="1"/>
      <c r="S200" s="1"/>
      <c r="T200" s="1"/>
      <c r="U200" s="1"/>
      <c r="V200" s="1"/>
      <c r="W200" s="162" t="str">
        <f>$F$5</f>
        <v>Radiographic System Compliance Inspection</v>
      </c>
      <c r="X200" s="939" t="s">
        <v>482</v>
      </c>
      <c r="Y200" s="950"/>
      <c r="Z200" s="769"/>
      <c r="AA200" s="773" t="str">
        <f>"@ "&amp;ROUND(AD188,1)&amp;" in."</f>
        <v>@ 23.6 in.</v>
      </c>
      <c r="AB200" s="1413"/>
      <c r="AC200" s="781" t="str">
        <f t="shared" si="39"/>
        <v/>
      </c>
      <c r="AD200" s="1553" t="str">
        <f t="shared" si="43"/>
        <v/>
      </c>
      <c r="AE200" s="769" t="s">
        <v>871</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7">
        <v>3</v>
      </c>
      <c r="L201" s="957" t="s">
        <v>482</v>
      </c>
      <c r="M201" s="1"/>
      <c r="N201" s="1"/>
      <c r="O201" s="821"/>
      <c r="P201" s="577"/>
      <c r="Q201" s="1"/>
      <c r="R201" s="1"/>
      <c r="S201" s="1"/>
      <c r="T201" s="1"/>
      <c r="U201" s="1"/>
      <c r="V201" s="1"/>
      <c r="W201" s="1"/>
      <c r="X201" s="939" t="s">
        <v>482</v>
      </c>
      <c r="Y201" s="950"/>
      <c r="Z201" s="769"/>
      <c r="AA201" s="769"/>
      <c r="AB201" s="1413"/>
      <c r="AC201" s="781" t="str">
        <f t="shared" ref="AC201:AC224" si="44">IF(AND(OR(AB201="",AB201=0),OR(AD201="",AD201=0)),"",IF(AB201&lt;&gt;AD201,"Change",""))</f>
        <v/>
      </c>
      <c r="AD201" s="1553" t="str">
        <f t="shared" si="43"/>
        <v/>
      </c>
      <c r="AE201" s="769" t="s">
        <v>872</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7">
        <v>4</v>
      </c>
      <c r="F202" s="240" t="str">
        <f>$R$202</f>
        <v>COMMENTS PAGE 2</v>
      </c>
      <c r="L202" s="957" t="s">
        <v>482</v>
      </c>
      <c r="M202" s="198"/>
      <c r="N202" s="198"/>
      <c r="O202" s="822"/>
      <c r="P202" s="578"/>
      <c r="Q202" s="198"/>
      <c r="R202" s="240" t="s">
        <v>342</v>
      </c>
      <c r="S202" s="198"/>
      <c r="T202" s="198"/>
      <c r="U202" s="198"/>
      <c r="V202" s="198"/>
      <c r="W202" s="198"/>
      <c r="X202" s="939" t="s">
        <v>482</v>
      </c>
      <c r="Y202" s="950"/>
      <c r="Z202" s="769"/>
      <c r="AA202" s="769"/>
      <c r="AB202" s="1413"/>
      <c r="AC202" s="781" t="str">
        <f t="shared" si="44"/>
        <v/>
      </c>
      <c r="AD202" s="1553" t="str">
        <f t="shared" si="43"/>
        <v/>
      </c>
      <c r="AE202" s="769" t="s">
        <v>873</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7">
        <v>5</v>
      </c>
      <c r="L203" s="957" t="s">
        <v>482</v>
      </c>
      <c r="M203" s="198"/>
      <c r="N203" s="198"/>
      <c r="O203" s="822"/>
      <c r="P203" s="578"/>
      <c r="Q203" s="198"/>
      <c r="R203" s="198"/>
      <c r="S203" s="198"/>
      <c r="T203" s="198"/>
      <c r="U203" s="198"/>
      <c r="V203" s="198"/>
      <c r="W203" s="198"/>
      <c r="X203" s="939" t="s">
        <v>482</v>
      </c>
      <c r="Y203" s="950"/>
      <c r="Z203" s="769"/>
      <c r="AA203" s="769"/>
      <c r="AB203" s="1413"/>
      <c r="AC203" s="781" t="str">
        <f t="shared" si="44"/>
        <v/>
      </c>
      <c r="AD203" s="1553" t="str">
        <f t="shared" si="43"/>
        <v/>
      </c>
      <c r="AE203" s="769" t="s">
        <v>874</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7">
        <v>6</v>
      </c>
      <c r="B204" s="89"/>
      <c r="C204" s="72"/>
      <c r="D204" s="72"/>
      <c r="E204" s="72"/>
      <c r="F204" s="72"/>
      <c r="G204" s="72"/>
      <c r="H204" s="72"/>
      <c r="I204" s="72"/>
      <c r="J204" s="72"/>
      <c r="K204" s="90"/>
      <c r="L204" s="957" t="s">
        <v>482</v>
      </c>
      <c r="M204" s="427"/>
      <c r="N204" s="428"/>
      <c r="O204" s="823"/>
      <c r="P204" s="574"/>
      <c r="Q204" s="964" t="s">
        <v>431</v>
      </c>
      <c r="R204" s="428"/>
      <c r="S204" s="428"/>
      <c r="T204" s="428"/>
      <c r="U204" s="428"/>
      <c r="V204" s="428"/>
      <c r="W204" s="429"/>
      <c r="X204" s="939" t="s">
        <v>482</v>
      </c>
      <c r="Y204" s="950"/>
      <c r="Z204" s="769"/>
      <c r="AA204" s="769"/>
      <c r="AB204" s="1413"/>
      <c r="AC204" s="781" t="str">
        <f t="shared" si="44"/>
        <v/>
      </c>
      <c r="AD204" s="1553" t="str">
        <f t="shared" si="43"/>
        <v/>
      </c>
      <c r="AE204" s="769" t="s">
        <v>875</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7">
        <v>7</v>
      </c>
      <c r="B205" s="120" t="s">
        <v>629</v>
      </c>
      <c r="C205" s="860" t="str">
        <f>IF(O205="","",IF(LEN(O205)&lt;=135,O205,IF(LEN(O205)&lt;=260,LEFT(O205,SEARCH(" ",O205,125)),LEFT(O205,SEARCH(" ",O205,130)))))</f>
        <v/>
      </c>
      <c r="D205" s="504"/>
      <c r="E205" s="504"/>
      <c r="F205" s="504"/>
      <c r="G205" s="504"/>
      <c r="H205" s="504"/>
      <c r="I205" s="504"/>
      <c r="J205" s="504"/>
      <c r="K205" s="81"/>
      <c r="L205" s="957" t="s">
        <v>482</v>
      </c>
      <c r="M205" s="433"/>
      <c r="N205" s="182" t="s">
        <v>629</v>
      </c>
      <c r="O205" s="1490"/>
      <c r="P205" s="575"/>
      <c r="Q205" s="958" t="str">
        <f>IF(OR(AB314=0,AB314=""),"",AB314)</f>
        <v/>
      </c>
      <c r="R205" s="57"/>
      <c r="S205" s="57"/>
      <c r="T205" s="57"/>
      <c r="U205" s="57"/>
      <c r="V205" s="57"/>
      <c r="W205" s="435"/>
      <c r="X205" s="939" t="s">
        <v>482</v>
      </c>
      <c r="Y205" s="950"/>
      <c r="Z205" s="769"/>
      <c r="AA205" s="769"/>
      <c r="AB205" s="1413"/>
      <c r="AC205" s="781" t="str">
        <f t="shared" si="44"/>
        <v/>
      </c>
      <c r="AD205" s="1553" t="str">
        <f t="shared" si="43"/>
        <v/>
      </c>
      <c r="AE205" s="769" t="s">
        <v>876</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7">
        <v>8</v>
      </c>
      <c r="B206" s="97"/>
      <c r="C206" s="860" t="str">
        <f>IF(LEN(O205)&lt;=135,"",IF(LEN(O205)&lt;=260,RIGHT(O205,LEN(O205)-SEARCH(" ",O205,125)),MID(O205,SEARCH(" ",O205,130),IF(LEN(O205)&lt;=265,LEN(O205),SEARCH(" ",O205,255)-SEARCH(" ",O205,130)))))</f>
        <v/>
      </c>
      <c r="D206" s="504"/>
      <c r="E206" s="504"/>
      <c r="F206" s="504"/>
      <c r="G206" s="504"/>
      <c r="H206" s="504"/>
      <c r="I206" s="504"/>
      <c r="J206" s="504"/>
      <c r="K206" s="81"/>
      <c r="L206" s="957" t="s">
        <v>482</v>
      </c>
      <c r="M206" s="97"/>
      <c r="N206" s="855" t="s">
        <v>347</v>
      </c>
      <c r="O206" s="1491"/>
      <c r="P206" s="856">
        <f>LEN(O205)</f>
        <v>0</v>
      </c>
      <c r="Q206" s="960"/>
      <c r="R206" s="963">
        <f>LEN(Q205)</f>
        <v>0</v>
      </c>
      <c r="S206" s="69"/>
      <c r="T206" s="69"/>
      <c r="U206" s="69"/>
      <c r="V206" s="69"/>
      <c r="W206" s="438"/>
      <c r="X206" s="939" t="s">
        <v>482</v>
      </c>
      <c r="Y206" s="950"/>
      <c r="Z206" s="769"/>
      <c r="AA206" s="769"/>
      <c r="AB206" s="1413"/>
      <c r="AC206" s="781" t="str">
        <f t="shared" si="44"/>
        <v/>
      </c>
      <c r="AD206" s="1553" t="str">
        <f t="shared" si="43"/>
        <v/>
      </c>
      <c r="AE206" s="769" t="s">
        <v>877</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7">
        <v>9</v>
      </c>
      <c r="B207" s="97"/>
      <c r="C207" s="860" t="str">
        <f>IF(LEN(O205)&lt;=265,"",RIGHT(O205,LEN(O205)-SEARCH(" ",O205,255)))</f>
        <v/>
      </c>
      <c r="D207" s="504"/>
      <c r="E207" s="504"/>
      <c r="F207" s="504"/>
      <c r="G207" s="504"/>
      <c r="H207" s="504"/>
      <c r="I207" s="504"/>
      <c r="J207" s="504"/>
      <c r="K207" s="81"/>
      <c r="L207" s="957" t="s">
        <v>482</v>
      </c>
      <c r="M207" s="139"/>
      <c r="N207" s="182" t="s">
        <v>143</v>
      </c>
      <c r="O207" s="1490"/>
      <c r="P207" s="575"/>
      <c r="Q207" s="958" t="str">
        <f>IF(OR(AB316=0,AB316=""),"",AB316)</f>
        <v/>
      </c>
      <c r="R207" s="57"/>
      <c r="S207" s="57"/>
      <c r="T207" s="57"/>
      <c r="U207" s="57"/>
      <c r="V207" s="57"/>
      <c r="W207" s="435"/>
      <c r="X207" s="939" t="s">
        <v>482</v>
      </c>
      <c r="Y207" s="950"/>
      <c r="Z207" s="769"/>
      <c r="AA207" s="769"/>
      <c r="AB207" s="769"/>
      <c r="AC207" s="781" t="str">
        <f t="shared" si="44"/>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7">
        <v>10</v>
      </c>
      <c r="B208" s="155"/>
      <c r="C208" s="860" t="str">
        <f>IF(O207="","",IF(LEN(O207)&lt;=135,O207,IF(LEN(O207)&lt;=260,LEFT(O207,SEARCH(" ",O207,125)),LEFT(O207,SEARCH(" ",O207,130)))))</f>
        <v/>
      </c>
      <c r="D208" s="504"/>
      <c r="E208" s="504"/>
      <c r="F208" s="504"/>
      <c r="G208" s="504"/>
      <c r="H208" s="504"/>
      <c r="I208" s="504"/>
      <c r="J208" s="504"/>
      <c r="K208" s="81"/>
      <c r="L208" s="957" t="s">
        <v>482</v>
      </c>
      <c r="M208" s="97"/>
      <c r="N208" s="855" t="s">
        <v>347</v>
      </c>
      <c r="O208" s="1491"/>
      <c r="P208" s="856">
        <f>LEN(O207)</f>
        <v>0</v>
      </c>
      <c r="Q208" s="960"/>
      <c r="R208" s="963">
        <f>LEN(Q207)</f>
        <v>0</v>
      </c>
      <c r="S208" s="57"/>
      <c r="T208" s="57"/>
      <c r="U208" s="57"/>
      <c r="V208" s="57"/>
      <c r="W208" s="435"/>
      <c r="X208" s="939" t="s">
        <v>482</v>
      </c>
      <c r="Y208" s="950"/>
      <c r="Z208" s="769"/>
      <c r="AA208" s="775" t="s">
        <v>623</v>
      </c>
      <c r="AB208" s="769"/>
      <c r="AC208" s="781" t="str">
        <f t="shared" si="44"/>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7">
        <v>11</v>
      </c>
      <c r="B209" s="155"/>
      <c r="C209" s="860" t="str">
        <f>IF(LEN(O207)&lt;=135,"",IF(LEN(O207)&lt;=260,RIGHT(O207,LEN(O207)-SEARCH(" ",O207,125)),MID(O207,SEARCH(" ",O207,130),IF(LEN(O207)&lt;=265,LEN(O207),SEARCH(" ",O207,255)-SEARCH(" ",O207,130)))))</f>
        <v/>
      </c>
      <c r="D209" s="504"/>
      <c r="E209" s="504"/>
      <c r="F209" s="504"/>
      <c r="G209" s="504"/>
      <c r="H209" s="504"/>
      <c r="I209" s="504"/>
      <c r="J209" s="504"/>
      <c r="K209" s="81"/>
      <c r="L209" s="957" t="s">
        <v>482</v>
      </c>
      <c r="M209" s="442"/>
      <c r="N209" s="182" t="s">
        <v>143</v>
      </c>
      <c r="O209" s="1490"/>
      <c r="P209" s="575"/>
      <c r="Q209" s="958" t="str">
        <f>IF(OR(AB318=0,AB318=""),"",AB318)</f>
        <v/>
      </c>
      <c r="R209" s="57"/>
      <c r="S209" s="69"/>
      <c r="T209" s="69"/>
      <c r="U209" s="69"/>
      <c r="V209" s="69"/>
      <c r="W209" s="438"/>
      <c r="X209" s="939" t="s">
        <v>482</v>
      </c>
      <c r="Y209" s="950"/>
      <c r="Z209" s="769"/>
      <c r="AA209" s="768" t="s">
        <v>613</v>
      </c>
      <c r="AB209" s="1412"/>
      <c r="AC209" s="781" t="str">
        <f t="shared" si="44"/>
        <v>Change</v>
      </c>
      <c r="AD209" s="1439">
        <f>IF(AH710="",AB209,AH710/2.54)</f>
        <v>23.622047244094489</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7">
        <v>12</v>
      </c>
      <c r="B210" s="155"/>
      <c r="C210" s="860" t="str">
        <f>IF(LEN(O207)&lt;=265,"",RIGHT(O207,LEN(O207)-SEARCH(" ",O207,255)))</f>
        <v/>
      </c>
      <c r="D210" s="504"/>
      <c r="E210" s="504"/>
      <c r="F210" s="504"/>
      <c r="G210" s="504"/>
      <c r="H210" s="504"/>
      <c r="I210" s="504"/>
      <c r="J210" s="504"/>
      <c r="K210" s="81"/>
      <c r="L210" s="957" t="s">
        <v>482</v>
      </c>
      <c r="M210" s="139"/>
      <c r="N210" s="855" t="s">
        <v>347</v>
      </c>
      <c r="O210" s="1491"/>
      <c r="P210" s="856">
        <f>LEN(O209)</f>
        <v>0</v>
      </c>
      <c r="Q210" s="960"/>
      <c r="R210" s="963">
        <f>LEN(Q209)</f>
        <v>0</v>
      </c>
      <c r="S210" s="57"/>
      <c r="T210" s="57"/>
      <c r="U210" s="57"/>
      <c r="V210" s="57"/>
      <c r="W210" s="435"/>
      <c r="X210" s="939" t="s">
        <v>482</v>
      </c>
      <c r="Y210" s="950"/>
      <c r="Z210" s="769"/>
      <c r="AA210" s="769"/>
      <c r="AB210" s="769"/>
      <c r="AC210" s="781" t="str">
        <f t="shared" si="44"/>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7">
        <v>13</v>
      </c>
      <c r="B211" s="155"/>
      <c r="C211" s="860" t="str">
        <f>IF(O209="","",IF(LEN(O209)&lt;=135,O209,IF(LEN(O209)&lt;=260,LEFT(O209,SEARCH(" ",O209,125)),LEFT(O209,SEARCH(" ",O209,130)))))</f>
        <v/>
      </c>
      <c r="D211" s="504"/>
      <c r="E211" s="504"/>
      <c r="F211" s="504"/>
      <c r="G211" s="504"/>
      <c r="H211" s="504"/>
      <c r="I211" s="504"/>
      <c r="J211" s="504"/>
      <c r="K211" s="81"/>
      <c r="L211" s="957" t="s">
        <v>482</v>
      </c>
      <c r="M211" s="97"/>
      <c r="N211" s="182" t="s">
        <v>143</v>
      </c>
      <c r="O211" s="1490"/>
      <c r="P211" s="575"/>
      <c r="Q211" s="958" t="str">
        <f>IF(OR(AB320=0,AB320=""),"",AB320)</f>
        <v/>
      </c>
      <c r="R211" s="57"/>
      <c r="S211" s="57"/>
      <c r="T211" s="57"/>
      <c r="U211" s="57"/>
      <c r="V211" s="57"/>
      <c r="W211" s="435"/>
      <c r="X211" s="939" t="s">
        <v>482</v>
      </c>
      <c r="Y211" s="950"/>
      <c r="Z211" s="769"/>
      <c r="AA211" s="773" t="s">
        <v>539</v>
      </c>
      <c r="AB211" s="1412"/>
      <c r="AC211" s="781" t="str">
        <f t="shared" si="44"/>
        <v/>
      </c>
      <c r="AD211" s="1441" t="str">
        <f t="shared" ref="AD211:AD216" si="45">IF(P1414="","",P1414)</f>
        <v/>
      </c>
      <c r="AE211" s="769" t="s">
        <v>878</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7">
        <v>14</v>
      </c>
      <c r="B212" s="155"/>
      <c r="C212" s="860" t="str">
        <f>IF(LEN(O209)&lt;=135,"",IF(LEN(O209)&lt;=260,RIGHT(O209,LEN(O209)-SEARCH(" ",O209,125)),MID(O209,SEARCH(" ",O209,130),IF(LEN(O209)&lt;=265,LEN(O209),SEARCH(" ",O209,255)-SEARCH(" ",O209,130)))))</f>
        <v/>
      </c>
      <c r="D212" s="504"/>
      <c r="E212" s="504"/>
      <c r="F212" s="504"/>
      <c r="G212" s="504"/>
      <c r="H212" s="504"/>
      <c r="I212" s="504"/>
      <c r="J212" s="504"/>
      <c r="K212" s="81"/>
      <c r="L212" s="957" t="s">
        <v>482</v>
      </c>
      <c r="M212" s="442"/>
      <c r="N212" s="855" t="s">
        <v>347</v>
      </c>
      <c r="O212" s="1491"/>
      <c r="P212" s="856">
        <f>LEN(O211)</f>
        <v>0</v>
      </c>
      <c r="Q212" s="960"/>
      <c r="R212" s="963">
        <f>LEN(Q211)</f>
        <v>0</v>
      </c>
      <c r="S212" s="69"/>
      <c r="T212" s="69"/>
      <c r="U212" s="69"/>
      <c r="V212" s="69"/>
      <c r="W212" s="438"/>
      <c r="X212" s="939" t="s">
        <v>482</v>
      </c>
      <c r="Y212" s="950"/>
      <c r="Z212" s="769"/>
      <c r="AA212" s="769"/>
      <c r="AB212" s="1412"/>
      <c r="AC212" s="781" t="str">
        <f t="shared" si="44"/>
        <v/>
      </c>
      <c r="AD212" s="1441" t="str">
        <f t="shared" si="45"/>
        <v/>
      </c>
      <c r="AE212" s="769" t="s">
        <v>879</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7">
        <v>15</v>
      </c>
      <c r="B213" s="155"/>
      <c r="C213" s="860" t="str">
        <f>IF(LEN(O209)&lt;=265,"",RIGHT(O209,LEN(O209)-SEARCH(" ",O209,255)))</f>
        <v/>
      </c>
      <c r="D213" s="504"/>
      <c r="E213" s="504"/>
      <c r="F213" s="504"/>
      <c r="G213" s="504"/>
      <c r="H213" s="504"/>
      <c r="I213" s="504"/>
      <c r="J213" s="504"/>
      <c r="K213" s="81"/>
      <c r="L213" s="957" t="s">
        <v>482</v>
      </c>
      <c r="M213" s="139"/>
      <c r="N213" s="182" t="s">
        <v>143</v>
      </c>
      <c r="O213" s="1490"/>
      <c r="P213" s="575"/>
      <c r="Q213" s="958" t="str">
        <f>IF(OR(AB322=0,AB322=""),"",AB322)</f>
        <v/>
      </c>
      <c r="R213" s="57"/>
      <c r="S213" s="57"/>
      <c r="T213" s="57"/>
      <c r="U213" s="57"/>
      <c r="V213" s="57"/>
      <c r="W213" s="435"/>
      <c r="X213" s="939" t="s">
        <v>482</v>
      </c>
      <c r="Y213" s="950"/>
      <c r="Z213" s="769"/>
      <c r="AA213" s="769"/>
      <c r="AB213" s="1412"/>
      <c r="AC213" s="781" t="str">
        <f t="shared" si="44"/>
        <v/>
      </c>
      <c r="AD213" s="1441" t="str">
        <f t="shared" si="45"/>
        <v/>
      </c>
      <c r="AE213" s="769" t="s">
        <v>880</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7">
        <v>16</v>
      </c>
      <c r="B214" s="155"/>
      <c r="C214" s="860" t="str">
        <f>IF(O211="","",IF(LEN(O211)&lt;=135,O211,IF(LEN(O211)&lt;=260,LEFT(O211,SEARCH(" ",O211,125)),LEFT(O211,SEARCH(" ",O211,130)))))</f>
        <v/>
      </c>
      <c r="D214" s="504"/>
      <c r="E214" s="504"/>
      <c r="F214" s="504"/>
      <c r="G214" s="504"/>
      <c r="H214" s="504"/>
      <c r="I214" s="504"/>
      <c r="J214" s="504"/>
      <c r="K214" s="81"/>
      <c r="L214" s="957" t="s">
        <v>482</v>
      </c>
      <c r="M214" s="97"/>
      <c r="N214" s="855" t="s">
        <v>347</v>
      </c>
      <c r="O214" s="1491"/>
      <c r="P214" s="856">
        <f>LEN(O213)</f>
        <v>0</v>
      </c>
      <c r="Q214" s="960"/>
      <c r="R214" s="963">
        <f>LEN(Q213)</f>
        <v>0</v>
      </c>
      <c r="S214" s="57"/>
      <c r="T214" s="57"/>
      <c r="U214" s="57"/>
      <c r="V214" s="57"/>
      <c r="W214" s="435"/>
      <c r="X214" s="939" t="s">
        <v>482</v>
      </c>
      <c r="Y214" s="950"/>
      <c r="Z214" s="769"/>
      <c r="AA214" s="769"/>
      <c r="AB214" s="1412"/>
      <c r="AC214" s="781" t="str">
        <f t="shared" si="44"/>
        <v/>
      </c>
      <c r="AD214" s="1441" t="str">
        <f t="shared" si="45"/>
        <v/>
      </c>
      <c r="AE214" s="769" t="s">
        <v>881</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7">
        <v>17</v>
      </c>
      <c r="B215" s="155"/>
      <c r="C215" s="860" t="str">
        <f>IF(LEN(O211)&lt;=135,"",IF(LEN(O211)&lt;=260,RIGHT(O211,LEN(O211)-SEARCH(" ",O211,125)),MID(O211,SEARCH(" ",O211,130),IF(LEN(O211)&lt;=265,LEN(O211),SEARCH(" ",O211,255)-SEARCH(" ",O211,130)))))</f>
        <v/>
      </c>
      <c r="D215" s="504"/>
      <c r="E215" s="504"/>
      <c r="F215" s="504"/>
      <c r="G215" s="504"/>
      <c r="H215" s="504"/>
      <c r="I215" s="504"/>
      <c r="J215" s="504"/>
      <c r="K215" s="81"/>
      <c r="L215" s="957" t="s">
        <v>482</v>
      </c>
      <c r="M215" s="442"/>
      <c r="N215" s="182" t="s">
        <v>143</v>
      </c>
      <c r="O215" s="1490"/>
      <c r="P215" s="575"/>
      <c r="Q215" s="958" t="str">
        <f>IF(OR(AB324=0,AB324=""),"",AB324)</f>
        <v/>
      </c>
      <c r="R215" s="57"/>
      <c r="S215" s="69"/>
      <c r="T215" s="69"/>
      <c r="U215" s="69"/>
      <c r="V215" s="69"/>
      <c r="W215" s="438"/>
      <c r="X215" s="939" t="s">
        <v>482</v>
      </c>
      <c r="Y215" s="950"/>
      <c r="Z215" s="769"/>
      <c r="AA215" s="769"/>
      <c r="AB215" s="1412"/>
      <c r="AC215" s="781" t="str">
        <f t="shared" si="44"/>
        <v/>
      </c>
      <c r="AD215" s="1441" t="str">
        <f t="shared" si="45"/>
        <v/>
      </c>
      <c r="AE215" s="769" t="s">
        <v>882</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7">
        <v>18</v>
      </c>
      <c r="B216" s="155"/>
      <c r="C216" s="860" t="str">
        <f>IF(LEN(O211)&lt;=265,"",RIGHT(O211,LEN(O211)-SEARCH(" ",O211,255)))</f>
        <v/>
      </c>
      <c r="D216" s="504"/>
      <c r="E216" s="504"/>
      <c r="F216" s="504"/>
      <c r="G216" s="504"/>
      <c r="H216" s="504"/>
      <c r="I216" s="504"/>
      <c r="J216" s="504"/>
      <c r="K216" s="81"/>
      <c r="L216" s="957" t="s">
        <v>482</v>
      </c>
      <c r="M216" s="139"/>
      <c r="N216" s="855" t="s">
        <v>347</v>
      </c>
      <c r="O216" s="1491"/>
      <c r="P216" s="856">
        <f>LEN(O215)</f>
        <v>0</v>
      </c>
      <c r="Q216" s="960"/>
      <c r="R216" s="963">
        <f>LEN(Q215)</f>
        <v>0</v>
      </c>
      <c r="S216" s="57"/>
      <c r="T216" s="57"/>
      <c r="U216" s="57"/>
      <c r="V216" s="57"/>
      <c r="W216" s="435"/>
      <c r="X216" s="939" t="s">
        <v>482</v>
      </c>
      <c r="Y216" s="950"/>
      <c r="Z216" s="769"/>
      <c r="AA216" s="769"/>
      <c r="AB216" s="1412"/>
      <c r="AC216" s="781" t="str">
        <f t="shared" si="44"/>
        <v/>
      </c>
      <c r="AD216" s="1441" t="str">
        <f t="shared" si="45"/>
        <v/>
      </c>
      <c r="AE216" s="769" t="s">
        <v>883</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7">
        <v>19</v>
      </c>
      <c r="B217" s="155"/>
      <c r="C217" s="860" t="str">
        <f>IF(O213="","",IF(LEN(O213)&lt;=135,O213,IF(LEN(O213)&lt;=260,LEFT(O213,SEARCH(" ",O213,125)),LEFT(O213,SEARCH(" ",O213,130)))))</f>
        <v/>
      </c>
      <c r="D217" s="504"/>
      <c r="E217" s="504"/>
      <c r="F217" s="504"/>
      <c r="G217" s="504"/>
      <c r="H217" s="504"/>
      <c r="I217" s="504"/>
      <c r="J217" s="504"/>
      <c r="K217" s="81"/>
      <c r="L217" s="957" t="s">
        <v>482</v>
      </c>
      <c r="M217" s="97"/>
      <c r="N217" s="182" t="s">
        <v>143</v>
      </c>
      <c r="O217" s="1490"/>
      <c r="P217" s="575"/>
      <c r="Q217" s="958" t="str">
        <f>IF(OR(AB326=0,AB326=""),"",AB326)</f>
        <v/>
      </c>
      <c r="R217" s="57"/>
      <c r="S217" s="57"/>
      <c r="T217" s="57"/>
      <c r="U217" s="57"/>
      <c r="V217" s="57"/>
      <c r="W217" s="435"/>
      <c r="X217" s="939" t="s">
        <v>482</v>
      </c>
      <c r="Y217" s="950"/>
      <c r="Z217" s="769"/>
      <c r="AA217" s="769"/>
      <c r="AB217" s="769"/>
      <c r="AC217" s="781" t="str">
        <f t="shared" si="44"/>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7">
        <v>20</v>
      </c>
      <c r="B218" s="155"/>
      <c r="C218" s="860" t="str">
        <f>IF(LEN(O213)&lt;=135,"",IF(LEN(O213)&lt;=260,RIGHT(O213,LEN(O213)-SEARCH(" ",O213,125)),MID(O213,SEARCH(" ",O213,130),IF(LEN(O213)&lt;=265,LEN(O213),SEARCH(" ",O213,255)-SEARCH(" ",O213,130)))))</f>
        <v/>
      </c>
      <c r="D218" s="504"/>
      <c r="E218" s="504"/>
      <c r="F218" s="504"/>
      <c r="G218" s="504"/>
      <c r="H218" s="504"/>
      <c r="I218" s="504"/>
      <c r="J218" s="504"/>
      <c r="K218" s="81"/>
      <c r="L218" s="957" t="s">
        <v>482</v>
      </c>
      <c r="M218" s="442"/>
      <c r="N218" s="855" t="s">
        <v>347</v>
      </c>
      <c r="O218" s="1491"/>
      <c r="P218" s="856">
        <f>LEN(O217)</f>
        <v>0</v>
      </c>
      <c r="Q218" s="960"/>
      <c r="R218" s="963">
        <f>LEN(Q217)</f>
        <v>0</v>
      </c>
      <c r="S218" s="69"/>
      <c r="T218" s="69"/>
      <c r="U218" s="69"/>
      <c r="V218" s="69"/>
      <c r="W218" s="438"/>
      <c r="X218" s="939" t="s">
        <v>482</v>
      </c>
      <c r="Y218" s="950"/>
      <c r="Z218" s="769"/>
      <c r="AA218" s="773" t="s">
        <v>1168</v>
      </c>
      <c r="AB218" s="1413"/>
      <c r="AC218" s="781" t="str">
        <f t="shared" si="44"/>
        <v/>
      </c>
      <c r="AD218" s="1553" t="str">
        <f t="shared" ref="AD218:AD223" si="46">IF(R1414="","",R1414)</f>
        <v/>
      </c>
      <c r="AE218" s="769" t="s">
        <v>884</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7">
        <v>21</v>
      </c>
      <c r="B219" s="155"/>
      <c r="C219" s="860" t="str">
        <f>IF(LEN(O213)&lt;=265,"",RIGHT(O213,LEN(O213)-SEARCH(" ",O213,255)))</f>
        <v/>
      </c>
      <c r="D219" s="504"/>
      <c r="E219" s="504"/>
      <c r="F219" s="504"/>
      <c r="G219" s="504"/>
      <c r="H219" s="504"/>
      <c r="I219" s="504"/>
      <c r="J219" s="504"/>
      <c r="K219" s="81"/>
      <c r="L219" s="957" t="s">
        <v>482</v>
      </c>
      <c r="M219" s="139"/>
      <c r="N219" s="182" t="s">
        <v>143</v>
      </c>
      <c r="O219" s="1490"/>
      <c r="P219" s="575"/>
      <c r="Q219" s="958" t="str">
        <f>IF(OR(AB328=0,AB328=""),"",AB328)</f>
        <v/>
      </c>
      <c r="R219" s="57"/>
      <c r="S219" s="57"/>
      <c r="T219" s="57"/>
      <c r="U219" s="57"/>
      <c r="V219" s="57"/>
      <c r="W219" s="435"/>
      <c r="X219" s="939" t="s">
        <v>482</v>
      </c>
      <c r="Y219" s="950"/>
      <c r="Z219" s="769"/>
      <c r="AA219" s="773" t="str">
        <f>"@ "&amp;ROUND(AD209,1)&amp;" in."</f>
        <v>@ 23.6 in.</v>
      </c>
      <c r="AB219" s="1413"/>
      <c r="AC219" s="781" t="str">
        <f t="shared" si="44"/>
        <v/>
      </c>
      <c r="AD219" s="1553" t="str">
        <f t="shared" si="46"/>
        <v/>
      </c>
      <c r="AE219" s="769" t="s">
        <v>885</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7">
        <v>22</v>
      </c>
      <c r="B220" s="155"/>
      <c r="C220" s="860" t="str">
        <f>IF(O215="","",IF(LEN(O215)&lt;=135,O215,IF(LEN(O215)&lt;=260,LEFT(O215,SEARCH(" ",O215,125)),LEFT(O215,SEARCH(" ",O215,130)))))</f>
        <v/>
      </c>
      <c r="D220" s="504"/>
      <c r="E220" s="504"/>
      <c r="F220" s="504"/>
      <c r="G220" s="504"/>
      <c r="H220" s="504"/>
      <c r="I220" s="504"/>
      <c r="J220" s="504"/>
      <c r="K220" s="81"/>
      <c r="L220" s="957" t="s">
        <v>482</v>
      </c>
      <c r="M220" s="97"/>
      <c r="N220" s="855" t="s">
        <v>347</v>
      </c>
      <c r="O220" s="1491"/>
      <c r="P220" s="856">
        <f>LEN(O219)</f>
        <v>0</v>
      </c>
      <c r="Q220" s="960"/>
      <c r="R220" s="963">
        <f>LEN(Q219)</f>
        <v>0</v>
      </c>
      <c r="S220" s="57"/>
      <c r="T220" s="57"/>
      <c r="U220" s="57"/>
      <c r="V220" s="57"/>
      <c r="W220" s="435"/>
      <c r="X220" s="939" t="s">
        <v>482</v>
      </c>
      <c r="Y220" s="950"/>
      <c r="Z220" s="769"/>
      <c r="AA220" s="769"/>
      <c r="AB220" s="1413"/>
      <c r="AC220" s="781" t="str">
        <f t="shared" si="44"/>
        <v/>
      </c>
      <c r="AD220" s="1553" t="str">
        <f t="shared" si="46"/>
        <v/>
      </c>
      <c r="AE220" s="769" t="s">
        <v>886</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7">
        <v>23</v>
      </c>
      <c r="B221" s="155"/>
      <c r="C221" s="860" t="str">
        <f>IF(LEN(O215)&lt;=135,"",IF(LEN(O215)&lt;=260,RIGHT(O215,LEN(O215)-SEARCH(" ",O215,125)),MID(O215,SEARCH(" ",O215,130),IF(LEN(O215)&lt;=265,LEN(O215),SEARCH(" ",O215,255)-SEARCH(" ",O215,130)))))</f>
        <v/>
      </c>
      <c r="D221" s="504"/>
      <c r="E221" s="504"/>
      <c r="F221" s="504"/>
      <c r="G221" s="504"/>
      <c r="H221" s="504"/>
      <c r="I221" s="504"/>
      <c r="J221" s="504"/>
      <c r="K221" s="81"/>
      <c r="L221" s="957" t="s">
        <v>482</v>
      </c>
      <c r="M221" s="442"/>
      <c r="N221" s="182" t="s">
        <v>143</v>
      </c>
      <c r="O221" s="1490"/>
      <c r="P221" s="575"/>
      <c r="Q221" s="958" t="str">
        <f>IF(OR(AB330=0,AB330=""),"",AB330)</f>
        <v/>
      </c>
      <c r="R221" s="57"/>
      <c r="S221" s="69"/>
      <c r="T221" s="69"/>
      <c r="U221" s="69"/>
      <c r="V221" s="69"/>
      <c r="W221" s="438"/>
      <c r="X221" s="939" t="s">
        <v>482</v>
      </c>
      <c r="Y221" s="950"/>
      <c r="Z221" s="769"/>
      <c r="AA221" s="769"/>
      <c r="AB221" s="1413"/>
      <c r="AC221" s="781" t="str">
        <f t="shared" si="44"/>
        <v/>
      </c>
      <c r="AD221" s="1553" t="str">
        <f t="shared" si="46"/>
        <v/>
      </c>
      <c r="AE221" s="769" t="s">
        <v>887</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7">
        <v>24</v>
      </c>
      <c r="B222" s="155"/>
      <c r="C222" s="860" t="str">
        <f>IF(LEN(O215)&lt;=265,"",RIGHT(O215,LEN(O215)-SEARCH(" ",O215,255)))</f>
        <v/>
      </c>
      <c r="D222" s="504"/>
      <c r="E222" s="504"/>
      <c r="F222" s="504"/>
      <c r="G222" s="504"/>
      <c r="H222" s="504"/>
      <c r="I222" s="504"/>
      <c r="J222" s="504"/>
      <c r="K222" s="81"/>
      <c r="L222" s="957" t="s">
        <v>482</v>
      </c>
      <c r="M222" s="139"/>
      <c r="N222" s="855" t="s">
        <v>347</v>
      </c>
      <c r="O222" s="1491"/>
      <c r="P222" s="856">
        <f>LEN(O221)</f>
        <v>0</v>
      </c>
      <c r="Q222" s="960"/>
      <c r="R222" s="963">
        <f>LEN(Q221)</f>
        <v>0</v>
      </c>
      <c r="S222" s="57"/>
      <c r="T222" s="57"/>
      <c r="U222" s="57"/>
      <c r="V222" s="57"/>
      <c r="W222" s="435"/>
      <c r="X222" s="939" t="s">
        <v>482</v>
      </c>
      <c r="Y222" s="950"/>
      <c r="Z222" s="769"/>
      <c r="AA222" s="769"/>
      <c r="AB222" s="1413"/>
      <c r="AC222" s="781" t="str">
        <f t="shared" si="44"/>
        <v/>
      </c>
      <c r="AD222" s="1553" t="str">
        <f t="shared" si="46"/>
        <v/>
      </c>
      <c r="AE222" s="769" t="s">
        <v>888</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7">
        <v>25</v>
      </c>
      <c r="B223" s="155"/>
      <c r="C223" s="860" t="str">
        <f>IF(O217="","",IF(LEN(O217)&lt;=135,O217,IF(LEN(O217)&lt;=260,LEFT(O217,SEARCH(" ",O217,125)),LEFT(O217,SEARCH(" ",O217,130)))))</f>
        <v/>
      </c>
      <c r="D223" s="504"/>
      <c r="E223" s="504"/>
      <c r="F223" s="504"/>
      <c r="G223" s="504"/>
      <c r="H223" s="504"/>
      <c r="I223" s="504"/>
      <c r="J223" s="504"/>
      <c r="K223" s="81"/>
      <c r="L223" s="957" t="s">
        <v>482</v>
      </c>
      <c r="M223" s="97"/>
      <c r="N223" s="182" t="s">
        <v>143</v>
      </c>
      <c r="O223" s="1490"/>
      <c r="P223" s="575"/>
      <c r="Q223" s="958" t="str">
        <f>IF(OR(AB332=0,AB332=""),"",AB332)</f>
        <v/>
      </c>
      <c r="R223" s="57"/>
      <c r="S223" s="57"/>
      <c r="T223" s="57"/>
      <c r="U223" s="57"/>
      <c r="V223" s="57"/>
      <c r="W223" s="435"/>
      <c r="X223" s="939" t="s">
        <v>482</v>
      </c>
      <c r="Y223" s="950"/>
      <c r="Z223" s="769"/>
      <c r="AA223" s="769"/>
      <c r="AB223" s="1413"/>
      <c r="AC223" s="781" t="str">
        <f t="shared" si="44"/>
        <v/>
      </c>
      <c r="AD223" s="1553" t="str">
        <f t="shared" si="46"/>
        <v/>
      </c>
      <c r="AE223" s="769" t="s">
        <v>889</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7">
        <v>26</v>
      </c>
      <c r="B224" s="155"/>
      <c r="C224" s="860" t="str">
        <f>IF(LEN(O217)&lt;=135,"",IF(LEN(O217)&lt;=260,RIGHT(O217,LEN(O217)-SEARCH(" ",O217,125)),MID(O217,SEARCH(" ",O217,130),IF(LEN(O217)&lt;=265,LEN(O217),SEARCH(" ",O217,255)-SEARCH(" ",O217,130)))))</f>
        <v/>
      </c>
      <c r="D224" s="504"/>
      <c r="E224" s="504"/>
      <c r="F224" s="504"/>
      <c r="G224" s="504"/>
      <c r="H224" s="504"/>
      <c r="I224" s="504"/>
      <c r="J224" s="504"/>
      <c r="K224" s="81"/>
      <c r="L224" s="957" t="s">
        <v>482</v>
      </c>
      <c r="M224" s="442"/>
      <c r="N224" s="855" t="s">
        <v>347</v>
      </c>
      <c r="O224" s="1491"/>
      <c r="P224" s="856">
        <f>LEN(O223)</f>
        <v>0</v>
      </c>
      <c r="Q224" s="960"/>
      <c r="R224" s="963">
        <f>LEN(Q223)</f>
        <v>0</v>
      </c>
      <c r="S224" s="69"/>
      <c r="T224" s="69"/>
      <c r="U224" s="69"/>
      <c r="V224" s="69"/>
      <c r="W224" s="438"/>
      <c r="X224" s="939" t="s">
        <v>482</v>
      </c>
      <c r="Y224" s="950"/>
      <c r="Z224" s="769"/>
      <c r="AA224" s="775" t="s">
        <v>1171</v>
      </c>
      <c r="AB224" s="769"/>
      <c r="AC224" s="781" t="str">
        <f t="shared" si="44"/>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7">
        <v>27</v>
      </c>
      <c r="B225" s="155"/>
      <c r="C225" s="860" t="str">
        <f>IF(LEN(O217)&lt;=265,"",RIGHT(O217,LEN(O217)-SEARCH(" ",O217,255)))</f>
        <v/>
      </c>
      <c r="D225" s="504"/>
      <c r="E225" s="504"/>
      <c r="F225" s="504"/>
      <c r="G225" s="504"/>
      <c r="H225" s="504"/>
      <c r="I225" s="504"/>
      <c r="J225" s="504"/>
      <c r="K225" s="81"/>
      <c r="L225" s="957" t="s">
        <v>482</v>
      </c>
      <c r="M225" s="139"/>
      <c r="N225" s="182" t="s">
        <v>143</v>
      </c>
      <c r="O225" s="1490"/>
      <c r="P225" s="575"/>
      <c r="Q225" s="958" t="str">
        <f>IF(OR(AB334=0,AB334=""),"",AB334)</f>
        <v/>
      </c>
      <c r="R225" s="57"/>
      <c r="S225" s="57"/>
      <c r="T225" s="57"/>
      <c r="U225" s="57"/>
      <c r="V225" s="57"/>
      <c r="W225" s="435"/>
      <c r="X225" s="939" t="s">
        <v>482</v>
      </c>
      <c r="Y225" s="950"/>
      <c r="Z225" s="769"/>
      <c r="AA225" s="768" t="s">
        <v>67</v>
      </c>
      <c r="AB225" s="1452"/>
      <c r="AC225" s="781" t="str">
        <f t="shared" ref="AC225:AC232" si="47">IF(AND(OR(AB225="",AB225=0),OR(AD225="",AD225=0)),"",IF(AB225&lt;&gt;AD225,"Change",""))</f>
        <v>Change</v>
      </c>
      <c r="AD225" s="1442"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7">
        <v>28</v>
      </c>
      <c r="B226" s="155"/>
      <c r="C226" s="860" t="str">
        <f>IF(O219="","",IF(LEN(O219)&lt;=135,O219,IF(LEN(O219)&lt;=260,LEFT(O219,SEARCH(" ",O219,125)),LEFT(O219,SEARCH(" ",O219,130)))))</f>
        <v/>
      </c>
      <c r="D226" s="504"/>
      <c r="E226" s="504"/>
      <c r="F226" s="504"/>
      <c r="G226" s="504"/>
      <c r="H226" s="504"/>
      <c r="I226" s="504"/>
      <c r="J226" s="504"/>
      <c r="K226" s="81"/>
      <c r="L226" s="957" t="s">
        <v>482</v>
      </c>
      <c r="M226" s="97"/>
      <c r="N226" s="855" t="s">
        <v>347</v>
      </c>
      <c r="O226" s="1491"/>
      <c r="P226" s="856">
        <f>LEN(O225)</f>
        <v>0</v>
      </c>
      <c r="Q226" s="960"/>
      <c r="R226" s="963">
        <f>LEN(Q225)</f>
        <v>0</v>
      </c>
      <c r="S226" s="57"/>
      <c r="T226" s="57"/>
      <c r="U226" s="57"/>
      <c r="V226" s="57"/>
      <c r="W226" s="435"/>
      <c r="X226" s="939" t="s">
        <v>482</v>
      </c>
      <c r="Y226" s="950"/>
      <c r="Z226" s="769"/>
      <c r="AA226" s="768" t="s">
        <v>68</v>
      </c>
      <c r="AB226" s="1452"/>
      <c r="AC226" s="781" t="str">
        <f t="shared" si="47"/>
        <v>Change</v>
      </c>
      <c r="AD226" s="1442"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7">
        <v>29</v>
      </c>
      <c r="B227" s="155"/>
      <c r="C227" s="860" t="str">
        <f>IF(LEN(O219)&lt;=135,"",IF(LEN(O219)&lt;=260,RIGHT(O219,LEN(O219)-SEARCH(" ",O219,125)),MID(O219,SEARCH(" ",O219,130),IF(LEN(O219)&lt;=265,LEN(O219),SEARCH(" ",O219,255)-SEARCH(" ",O219,130)))))</f>
        <v/>
      </c>
      <c r="D227" s="504"/>
      <c r="E227" s="504"/>
      <c r="F227" s="504"/>
      <c r="G227" s="504"/>
      <c r="H227" s="504"/>
      <c r="I227" s="504"/>
      <c r="J227" s="504"/>
      <c r="K227" s="81"/>
      <c r="L227" s="957" t="s">
        <v>482</v>
      </c>
      <c r="M227" s="442"/>
      <c r="N227" s="182" t="s">
        <v>143</v>
      </c>
      <c r="O227" s="1490"/>
      <c r="P227" s="575"/>
      <c r="Q227" s="958" t="str">
        <f>IF(OR(AB336=0,AB336=""),"",AB336)</f>
        <v/>
      </c>
      <c r="R227" s="57"/>
      <c r="S227" s="69"/>
      <c r="T227" s="69"/>
      <c r="U227" s="69"/>
      <c r="V227" s="69"/>
      <c r="W227" s="438"/>
      <c r="X227" s="939" t="s">
        <v>482</v>
      </c>
      <c r="Y227" s="950"/>
      <c r="Z227" s="769"/>
      <c r="AA227" s="768" t="s">
        <v>69</v>
      </c>
      <c r="AB227" s="1452"/>
      <c r="AC227" s="781" t="str">
        <f t="shared" si="47"/>
        <v>Change</v>
      </c>
      <c r="AD227" s="1442"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7">
        <v>30</v>
      </c>
      <c r="B228" s="155"/>
      <c r="C228" s="860" t="str">
        <f>IF(LEN(O219)&lt;=265,"",RIGHT(O219,LEN(O219)-SEARCH(" ",O219,255)))</f>
        <v/>
      </c>
      <c r="D228" s="504"/>
      <c r="E228" s="504"/>
      <c r="F228" s="504"/>
      <c r="G228" s="504"/>
      <c r="H228" s="504"/>
      <c r="I228" s="504"/>
      <c r="J228" s="504"/>
      <c r="K228" s="81"/>
      <c r="L228" s="957" t="s">
        <v>482</v>
      </c>
      <c r="M228" s="139"/>
      <c r="N228" s="855" t="s">
        <v>347</v>
      </c>
      <c r="O228" s="1491"/>
      <c r="P228" s="856">
        <f>LEN(O227)</f>
        <v>0</v>
      </c>
      <c r="Q228" s="960"/>
      <c r="R228" s="963">
        <f>LEN(Q227)</f>
        <v>0</v>
      </c>
      <c r="S228" s="57"/>
      <c r="T228" s="57"/>
      <c r="U228" s="57"/>
      <c r="V228" s="57"/>
      <c r="W228" s="435"/>
      <c r="X228" s="939" t="s">
        <v>482</v>
      </c>
      <c r="Y228" s="950"/>
      <c r="Z228" s="769"/>
      <c r="AA228" s="768" t="s">
        <v>70</v>
      </c>
      <c r="AB228" s="1452"/>
      <c r="AC228" s="781" t="str">
        <f t="shared" si="47"/>
        <v>Change</v>
      </c>
      <c r="AD228" s="1442"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7">
        <v>31</v>
      </c>
      <c r="B229" s="155"/>
      <c r="C229" s="860" t="str">
        <f>IF(O221="","",IF(LEN(O221)&lt;=135,O221,IF(LEN(O221)&lt;=260,LEFT(O221,SEARCH(" ",O221,125)),LEFT(O221,SEARCH(" ",O221,130)))))</f>
        <v/>
      </c>
      <c r="D229" s="504"/>
      <c r="E229" s="504"/>
      <c r="F229" s="504"/>
      <c r="G229" s="504"/>
      <c r="H229" s="504"/>
      <c r="I229" s="504"/>
      <c r="J229" s="504"/>
      <c r="K229" s="81"/>
      <c r="L229" s="957" t="s">
        <v>482</v>
      </c>
      <c r="M229" s="97"/>
      <c r="N229" s="182" t="s">
        <v>143</v>
      </c>
      <c r="O229" s="1490"/>
      <c r="P229" s="575"/>
      <c r="Q229" s="958" t="str">
        <f>IF(OR(AB338=0,AB338=""),"",AB338)</f>
        <v/>
      </c>
      <c r="R229" s="57"/>
      <c r="S229" s="57"/>
      <c r="T229" s="57"/>
      <c r="U229" s="57"/>
      <c r="V229" s="57"/>
      <c r="W229" s="435"/>
      <c r="X229" s="939" t="s">
        <v>482</v>
      </c>
      <c r="Y229" s="950"/>
      <c r="Z229" s="769"/>
      <c r="AA229" s="768" t="s">
        <v>71</v>
      </c>
      <c r="AB229" s="1452"/>
      <c r="AC229" s="781" t="str">
        <f t="shared" si="47"/>
        <v>Change</v>
      </c>
      <c r="AD229" s="1442"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7">
        <v>32</v>
      </c>
      <c r="B230" s="155"/>
      <c r="C230" s="860" t="str">
        <f>IF(LEN(O221)&lt;=135,"",IF(LEN(O221)&lt;=260,RIGHT(O221,LEN(O221)-SEARCH(" ",O221,125)),MID(O221,SEARCH(" ",O221,130),IF(LEN(O221)&lt;=265,LEN(O221),SEARCH(" ",O221,255)-SEARCH(" ",O221,130)))))</f>
        <v/>
      </c>
      <c r="D230" s="504"/>
      <c r="E230" s="504"/>
      <c r="F230" s="504"/>
      <c r="G230" s="504"/>
      <c r="H230" s="504"/>
      <c r="I230" s="504"/>
      <c r="J230" s="504"/>
      <c r="K230" s="81"/>
      <c r="L230" s="957" t="s">
        <v>482</v>
      </c>
      <c r="M230" s="442"/>
      <c r="N230" s="855" t="s">
        <v>347</v>
      </c>
      <c r="O230" s="1491"/>
      <c r="P230" s="856">
        <f>LEN(O229)</f>
        <v>0</v>
      </c>
      <c r="Q230" s="960"/>
      <c r="R230" s="963">
        <f>LEN(Q229)</f>
        <v>0</v>
      </c>
      <c r="S230" s="69"/>
      <c r="T230" s="69"/>
      <c r="U230" s="69"/>
      <c r="V230" s="69"/>
      <c r="W230" s="438"/>
      <c r="X230" s="939" t="s">
        <v>482</v>
      </c>
      <c r="Y230" s="950"/>
      <c r="Z230" s="769"/>
      <c r="AA230" s="768" t="s">
        <v>72</v>
      </c>
      <c r="AB230" s="1452"/>
      <c r="AC230" s="781" t="str">
        <f t="shared" si="47"/>
        <v>Change</v>
      </c>
      <c r="AD230" s="1442"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7">
        <v>33</v>
      </c>
      <c r="B231" s="155"/>
      <c r="C231" s="860" t="str">
        <f>IF(LEN(O221)&lt;=265,"",RIGHT(O221,LEN(O221)-SEARCH(" ",O221,255)))</f>
        <v/>
      </c>
      <c r="D231" s="504"/>
      <c r="E231" s="504"/>
      <c r="F231" s="504"/>
      <c r="G231" s="504"/>
      <c r="H231" s="504"/>
      <c r="I231" s="504"/>
      <c r="J231" s="504"/>
      <c r="K231" s="81"/>
      <c r="L231" s="957" t="s">
        <v>482</v>
      </c>
      <c r="M231" s="155"/>
      <c r="N231" s="182" t="s">
        <v>143</v>
      </c>
      <c r="O231" s="1490"/>
      <c r="P231" s="575"/>
      <c r="Q231" s="958" t="str">
        <f>IF(OR(AB340=0,AB340=""),"",AB340)</f>
        <v/>
      </c>
      <c r="R231" s="57"/>
      <c r="S231" s="69"/>
      <c r="T231" s="69"/>
      <c r="U231" s="69"/>
      <c r="V231" s="69"/>
      <c r="W231" s="81"/>
      <c r="X231" s="939" t="s">
        <v>482</v>
      </c>
      <c r="Y231" s="950"/>
      <c r="Z231" s="769"/>
      <c r="AB231" s="769"/>
      <c r="AC231" s="781" t="str">
        <f t="shared" si="47"/>
        <v/>
      </c>
      <c r="AD231" s="1234"/>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7">
        <v>34</v>
      </c>
      <c r="B232" s="155"/>
      <c r="C232" s="860" t="str">
        <f>IF(O223="","",IF(LEN(O223)&lt;=135,O223,IF(LEN(O223)&lt;=260,LEFT(O223,SEARCH(" ",O223,125)),LEFT(O223,SEARCH(" ",O223,130)))))</f>
        <v/>
      </c>
      <c r="D232" s="504"/>
      <c r="E232" s="504"/>
      <c r="F232" s="504"/>
      <c r="G232" s="504"/>
      <c r="H232" s="504"/>
      <c r="I232" s="504"/>
      <c r="J232" s="504"/>
      <c r="K232" s="81"/>
      <c r="L232" s="957" t="s">
        <v>482</v>
      </c>
      <c r="M232" s="155"/>
      <c r="N232" s="855" t="s">
        <v>347</v>
      </c>
      <c r="O232" s="1491"/>
      <c r="P232" s="856">
        <f>LEN(O231)</f>
        <v>0</v>
      </c>
      <c r="Q232" s="960"/>
      <c r="R232" s="963">
        <f>LEN(Q231)</f>
        <v>0</v>
      </c>
      <c r="S232" s="57"/>
      <c r="T232" s="57"/>
      <c r="U232" s="57"/>
      <c r="V232" s="57"/>
      <c r="W232" s="81"/>
      <c r="X232" s="939" t="s">
        <v>482</v>
      </c>
      <c r="Y232" s="950"/>
      <c r="Z232" s="769"/>
      <c r="AA232" s="775" t="s">
        <v>630</v>
      </c>
      <c r="AB232" s="769"/>
      <c r="AC232" s="781" t="str">
        <f t="shared" si="47"/>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7">
        <v>35</v>
      </c>
      <c r="B233" s="155"/>
      <c r="C233" s="860" t="str">
        <f>IF(LEN(O223)&lt;=135,"",IF(LEN(O223)&lt;=260,RIGHT(O223,LEN(O223)-SEARCH(" ",O223,125)),MID(O223,SEARCH(" ",O223,130),IF(LEN(O223)&lt;=265,LEN(O223),SEARCH(" ",O223,255)-SEARCH(" ",O223,130)))))</f>
        <v/>
      </c>
      <c r="D233" s="504"/>
      <c r="E233" s="504"/>
      <c r="F233" s="504"/>
      <c r="G233" s="504"/>
      <c r="H233" s="504"/>
      <c r="I233" s="504"/>
      <c r="J233" s="504"/>
      <c r="K233" s="81"/>
      <c r="L233" s="957" t="s">
        <v>482</v>
      </c>
      <c r="M233" s="155"/>
      <c r="N233" s="182" t="s">
        <v>143</v>
      </c>
      <c r="O233" s="1490"/>
      <c r="P233" s="575"/>
      <c r="Q233" s="958" t="str">
        <f>IF(OR(AB342=0,AB342=""),"",AB342)</f>
        <v/>
      </c>
      <c r="R233" s="57"/>
      <c r="S233" s="69"/>
      <c r="T233" s="69"/>
      <c r="U233" s="69"/>
      <c r="V233" s="69"/>
      <c r="W233" s="81"/>
      <c r="X233" s="939" t="s">
        <v>482</v>
      </c>
      <c r="Y233" s="950"/>
      <c r="Z233" s="769"/>
      <c r="AA233" s="768" t="s">
        <v>631</v>
      </c>
      <c r="AB233" s="1411"/>
      <c r="AC233" s="781" t="str">
        <f t="shared" ref="AC233:AC271" si="48">IF(AND(OR(AB233="",AB233=0),OR(AD233="",AD233=0)),"",IF(AB233&lt;&gt;AD233,"Change",""))</f>
        <v>Change</v>
      </c>
      <c r="AD233" s="1437">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7">
        <v>36</v>
      </c>
      <c r="B234" s="155"/>
      <c r="C234" s="860" t="str">
        <f>IF(LEN(O223)&lt;=265,"",RIGHT(O223,LEN(O223)-SEARCH(" ",O223,255)))</f>
        <v/>
      </c>
      <c r="D234" s="504"/>
      <c r="E234" s="504"/>
      <c r="F234" s="504"/>
      <c r="G234" s="504"/>
      <c r="H234" s="504"/>
      <c r="I234" s="504"/>
      <c r="J234" s="504"/>
      <c r="K234" s="81"/>
      <c r="L234" s="957" t="s">
        <v>482</v>
      </c>
      <c r="M234" s="155"/>
      <c r="N234" s="855" t="s">
        <v>347</v>
      </c>
      <c r="O234" s="1491"/>
      <c r="P234" s="856">
        <f>LEN(O233)</f>
        <v>0</v>
      </c>
      <c r="Q234" s="960"/>
      <c r="R234" s="963">
        <f>LEN(Q233)</f>
        <v>0</v>
      </c>
      <c r="S234" s="69"/>
      <c r="T234" s="69"/>
      <c r="U234" s="69"/>
      <c r="V234" s="69"/>
      <c r="W234" s="81"/>
      <c r="X234" s="939" t="s">
        <v>482</v>
      </c>
      <c r="Y234" s="950"/>
      <c r="Z234" s="769"/>
      <c r="AA234" s="769" t="s">
        <v>632</v>
      </c>
      <c r="AB234" s="1411"/>
      <c r="AC234" s="781" t="str">
        <f t="shared" si="48"/>
        <v>Change</v>
      </c>
      <c r="AD234" s="1433">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7">
        <v>37</v>
      </c>
      <c r="B235" s="155"/>
      <c r="C235" s="860" t="str">
        <f>IF(O225="","",IF(LEN(O225)&lt;=135,O225,IF(LEN(O225)&lt;=260,LEFT(O225,SEARCH(" ",O225,125)),LEFT(O225,SEARCH(" ",O225,130)))))</f>
        <v/>
      </c>
      <c r="D235" s="504"/>
      <c r="E235" s="504"/>
      <c r="F235" s="504"/>
      <c r="G235" s="504"/>
      <c r="H235" s="504"/>
      <c r="I235" s="504"/>
      <c r="J235" s="504"/>
      <c r="K235" s="81"/>
      <c r="L235" s="957" t="s">
        <v>482</v>
      </c>
      <c r="M235" s="155"/>
      <c r="N235" s="182" t="s">
        <v>143</v>
      </c>
      <c r="O235" s="1490"/>
      <c r="P235" s="575"/>
      <c r="Q235" s="958" t="str">
        <f>IF(OR(AB344=0,AB344=""),"",AB344)</f>
        <v/>
      </c>
      <c r="R235" s="57"/>
      <c r="S235" s="57"/>
      <c r="T235" s="57"/>
      <c r="U235" s="57"/>
      <c r="V235" s="57"/>
      <c r="W235" s="81"/>
      <c r="X235" s="939" t="s">
        <v>482</v>
      </c>
      <c r="Y235" s="950"/>
      <c r="Z235" s="769"/>
      <c r="AA235" s="769" t="s">
        <v>633</v>
      </c>
      <c r="AB235" s="1411"/>
      <c r="AC235" s="781" t="str">
        <f t="shared" si="48"/>
        <v>Change</v>
      </c>
      <c r="AD235" s="1433">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7">
        <v>38</v>
      </c>
      <c r="B236" s="155"/>
      <c r="C236" s="860" t="str">
        <f>IF(LEN(O225)&lt;=135,"",IF(LEN(O225)&lt;=260,RIGHT(O225,LEN(O225)-SEARCH(" ",O225,125)),MID(O225,SEARCH(" ",O225,130),IF(LEN(O225)&lt;=265,LEN(O225),SEARCH(" ",O225,255)-SEARCH(" ",O225,130)))))</f>
        <v/>
      </c>
      <c r="D236" s="504"/>
      <c r="E236" s="504"/>
      <c r="F236" s="504"/>
      <c r="G236" s="504"/>
      <c r="H236" s="504"/>
      <c r="I236" s="504"/>
      <c r="J236" s="504"/>
      <c r="K236" s="81"/>
      <c r="L236" s="957" t="s">
        <v>482</v>
      </c>
      <c r="M236" s="155"/>
      <c r="N236" s="855" t="s">
        <v>347</v>
      </c>
      <c r="O236" s="1491"/>
      <c r="P236" s="856">
        <f>LEN(O235)</f>
        <v>0</v>
      </c>
      <c r="Q236" s="960"/>
      <c r="R236" s="963">
        <f>LEN(Q235)</f>
        <v>0</v>
      </c>
      <c r="S236" s="69"/>
      <c r="T236" s="69"/>
      <c r="U236" s="69"/>
      <c r="V236" s="69"/>
      <c r="W236" s="81"/>
      <c r="X236" s="939" t="s">
        <v>482</v>
      </c>
      <c r="Y236" s="950"/>
      <c r="Z236" s="769"/>
      <c r="AA236" s="769"/>
      <c r="AB236" s="768"/>
      <c r="AC236" s="781" t="str">
        <f t="shared" si="48"/>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7">
        <v>39</v>
      </c>
      <c r="B237" s="155"/>
      <c r="C237" s="860" t="str">
        <f>IF(LEN(O225)&lt;=265,"",RIGHT(O225,LEN(O225)-SEARCH(" ",O225,255)))</f>
        <v/>
      </c>
      <c r="D237" s="504"/>
      <c r="E237" s="504"/>
      <c r="F237" s="504"/>
      <c r="G237" s="504"/>
      <c r="H237" s="504"/>
      <c r="I237" s="504"/>
      <c r="J237" s="504"/>
      <c r="K237" s="81"/>
      <c r="L237" s="957" t="s">
        <v>482</v>
      </c>
      <c r="M237" s="155"/>
      <c r="N237" s="182" t="s">
        <v>143</v>
      </c>
      <c r="O237" s="1490"/>
      <c r="P237" s="575"/>
      <c r="Q237" s="958" t="str">
        <f>IF(OR(AB346=0,AB346=""),"",AB346)</f>
        <v/>
      </c>
      <c r="R237" s="57"/>
      <c r="S237" s="69"/>
      <c r="T237" s="69"/>
      <c r="U237" s="69"/>
      <c r="V237" s="69"/>
      <c r="W237" s="81"/>
      <c r="X237" s="939" t="s">
        <v>482</v>
      </c>
      <c r="Y237" s="950"/>
      <c r="Z237" s="769"/>
      <c r="AA237" s="775" t="s">
        <v>624</v>
      </c>
      <c r="AB237" s="1411"/>
      <c r="AC237" s="781" t="str">
        <f t="shared" si="48"/>
        <v>Change</v>
      </c>
      <c r="AD237" s="1438" t="str">
        <f t="shared" ref="AD237:AD246" si="49">M87</f>
        <v>CXR</v>
      </c>
      <c r="AE237" s="769" t="s">
        <v>890</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7">
        <v>40</v>
      </c>
      <c r="B238" s="155"/>
      <c r="C238" s="860" t="str">
        <f>IF(O227="","",IF(LEN(O227)&lt;=135,O227,IF(LEN(O227)&lt;=260,LEFT(O227,SEARCH(" ",O227,125)),LEFT(O227,SEARCH(" ",O227,130)))))</f>
        <v/>
      </c>
      <c r="D238" s="504"/>
      <c r="E238" s="504"/>
      <c r="F238" s="504"/>
      <c r="G238" s="504"/>
      <c r="H238" s="504"/>
      <c r="I238" s="504"/>
      <c r="J238" s="504"/>
      <c r="K238" s="81"/>
      <c r="L238" s="957" t="s">
        <v>482</v>
      </c>
      <c r="M238" s="155"/>
      <c r="N238" s="855" t="s">
        <v>347</v>
      </c>
      <c r="O238" s="1491"/>
      <c r="P238" s="856">
        <f>LEN(O237)</f>
        <v>0</v>
      </c>
      <c r="Q238" s="960"/>
      <c r="R238" s="963">
        <f>LEN(Q237)</f>
        <v>0</v>
      </c>
      <c r="S238" s="57"/>
      <c r="T238" s="57"/>
      <c r="U238" s="57"/>
      <c r="V238" s="57"/>
      <c r="W238" s="81"/>
      <c r="X238" s="939" t="s">
        <v>482</v>
      </c>
      <c r="Y238" s="950"/>
      <c r="Z238" s="769"/>
      <c r="AA238" s="769"/>
      <c r="AB238" s="1411"/>
      <c r="AC238" s="781" t="str">
        <f t="shared" si="48"/>
        <v>Change</v>
      </c>
      <c r="AD238" s="1438" t="str">
        <f t="shared" si="49"/>
        <v>Abdomen AP</v>
      </c>
      <c r="AE238" s="769" t="s">
        <v>891</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7">
        <v>41</v>
      </c>
      <c r="B239" s="155"/>
      <c r="C239" s="860" t="str">
        <f>IF(LEN(O227)&lt;=135,"",IF(LEN(O227)&lt;=260,RIGHT(O227,LEN(O227)-SEARCH(" ",O227,125)),MID(O227,SEARCH(" ",O227,130),IF(LEN(O227)&lt;=265,LEN(O227),SEARCH(" ",O227,255)-SEARCH(" ",O227,130)))))</f>
        <v/>
      </c>
      <c r="D239" s="504"/>
      <c r="E239" s="504"/>
      <c r="F239" s="504"/>
      <c r="G239" s="504"/>
      <c r="H239" s="504"/>
      <c r="I239" s="504"/>
      <c r="J239" s="504"/>
      <c r="K239" s="81"/>
      <c r="L239" s="957" t="s">
        <v>482</v>
      </c>
      <c r="M239" s="155"/>
      <c r="N239" s="182" t="s">
        <v>143</v>
      </c>
      <c r="O239" s="1490"/>
      <c r="P239" s="575"/>
      <c r="Q239" s="958" t="str">
        <f>IF(OR(AB348=0,AB348=""),"",AB348)</f>
        <v/>
      </c>
      <c r="R239" s="57"/>
      <c r="S239" s="69"/>
      <c r="T239" s="69"/>
      <c r="U239" s="69"/>
      <c r="V239" s="69"/>
      <c r="W239" s="81"/>
      <c r="X239" s="939" t="s">
        <v>482</v>
      </c>
      <c r="Y239" s="950"/>
      <c r="Z239" s="769"/>
      <c r="AA239" s="769"/>
      <c r="AB239" s="1411"/>
      <c r="AC239" s="781" t="str">
        <f t="shared" si="48"/>
        <v>Change</v>
      </c>
      <c r="AD239" s="1438" t="str">
        <f t="shared" si="49"/>
        <v>Ribs</v>
      </c>
      <c r="AE239" s="769" t="s">
        <v>892</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7">
        <v>42</v>
      </c>
      <c r="B240" s="155"/>
      <c r="C240" s="860" t="str">
        <f>IF(LEN(O227)&lt;=265,"",RIGHT(O227,LEN(O227)-SEARCH(" ",O227,255)))</f>
        <v/>
      </c>
      <c r="D240" s="504"/>
      <c r="E240" s="504"/>
      <c r="F240" s="504"/>
      <c r="G240" s="504"/>
      <c r="H240" s="504"/>
      <c r="I240" s="504"/>
      <c r="J240" s="504"/>
      <c r="K240" s="81"/>
      <c r="L240" s="957" t="s">
        <v>482</v>
      </c>
      <c r="M240" s="155"/>
      <c r="N240" s="855" t="s">
        <v>347</v>
      </c>
      <c r="O240" s="1491"/>
      <c r="P240" s="856">
        <f>LEN(O239)</f>
        <v>0</v>
      </c>
      <c r="Q240" s="960"/>
      <c r="R240" s="963">
        <f>LEN(Q239)</f>
        <v>0</v>
      </c>
      <c r="S240" s="69"/>
      <c r="T240" s="69"/>
      <c r="U240" s="69"/>
      <c r="V240" s="69"/>
      <c r="W240" s="81"/>
      <c r="X240" s="939" t="s">
        <v>482</v>
      </c>
      <c r="Y240" s="950"/>
      <c r="Z240" s="769"/>
      <c r="AA240" s="769"/>
      <c r="AB240" s="1411"/>
      <c r="AC240" s="781" t="str">
        <f t="shared" si="48"/>
        <v>Change</v>
      </c>
      <c r="AD240" s="1438" t="str">
        <f t="shared" si="49"/>
        <v>C-Spine AP</v>
      </c>
      <c r="AE240" s="769" t="s">
        <v>893</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7">
        <v>43</v>
      </c>
      <c r="B241" s="155"/>
      <c r="C241" s="860" t="str">
        <f>IF(O229="","",IF(LEN(O229)&lt;=135,O229,IF(LEN(O229)&lt;=260,LEFT(O229,SEARCH(" ",O229,125)),LEFT(O229,SEARCH(" ",O229,130)))))</f>
        <v/>
      </c>
      <c r="D241" s="504"/>
      <c r="E241" s="504"/>
      <c r="F241" s="504"/>
      <c r="G241" s="504"/>
      <c r="H241" s="504"/>
      <c r="I241" s="504"/>
      <c r="J241" s="504"/>
      <c r="K241" s="81"/>
      <c r="L241" s="957" t="s">
        <v>482</v>
      </c>
      <c r="M241" s="155"/>
      <c r="N241" s="182" t="s">
        <v>143</v>
      </c>
      <c r="O241" s="1490"/>
      <c r="P241" s="575"/>
      <c r="Q241" s="958" t="str">
        <f>IF(OR(AB350=0,AB350=""),"",AB350)</f>
        <v/>
      </c>
      <c r="R241" s="57"/>
      <c r="S241" s="57"/>
      <c r="T241" s="57"/>
      <c r="U241" s="57"/>
      <c r="V241" s="57"/>
      <c r="W241" s="81"/>
      <c r="X241" s="939" t="s">
        <v>482</v>
      </c>
      <c r="Y241" s="950"/>
      <c r="Z241" s="769"/>
      <c r="AA241" s="769"/>
      <c r="AB241" s="1411"/>
      <c r="AC241" s="781" t="str">
        <f t="shared" si="48"/>
        <v>Change</v>
      </c>
      <c r="AD241" s="1438" t="str">
        <f t="shared" si="49"/>
        <v>Skull</v>
      </c>
      <c r="AE241" s="769" t="s">
        <v>894</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7">
        <v>44</v>
      </c>
      <c r="B242" s="155"/>
      <c r="C242" s="860" t="str">
        <f>IF(LEN(O229)&lt;=135,"",IF(LEN(O229)&lt;=260,RIGHT(O229,LEN(O229)-SEARCH(" ",O229,125)),MID(O229,SEARCH(" ",O229,130),IF(LEN(O229)&lt;=265,LEN(O229),SEARCH(" ",O229,255)-SEARCH(" ",O229,130)))))</f>
        <v/>
      </c>
      <c r="D242" s="504"/>
      <c r="E242" s="504"/>
      <c r="F242" s="504"/>
      <c r="G242" s="504"/>
      <c r="H242" s="504"/>
      <c r="I242" s="504"/>
      <c r="J242" s="504"/>
      <c r="K242" s="81"/>
      <c r="L242" s="957" t="s">
        <v>482</v>
      </c>
      <c r="M242" s="155"/>
      <c r="N242" s="855" t="s">
        <v>347</v>
      </c>
      <c r="O242" s="856"/>
      <c r="P242" s="856">
        <f>LEN(O241)</f>
        <v>0</v>
      </c>
      <c r="Q242" s="960"/>
      <c r="R242" s="963">
        <f>LEN(Q241)</f>
        <v>0</v>
      </c>
      <c r="S242" s="69"/>
      <c r="T242" s="69"/>
      <c r="U242" s="69"/>
      <c r="V242" s="69"/>
      <c r="W242" s="81"/>
      <c r="X242" s="939" t="s">
        <v>482</v>
      </c>
      <c r="Y242" s="950"/>
      <c r="Z242" s="769"/>
      <c r="AA242" s="769"/>
      <c r="AB242" s="1411"/>
      <c r="AC242" s="781" t="str">
        <f t="shared" si="48"/>
        <v>Change</v>
      </c>
      <c r="AD242" s="1438" t="str">
        <f t="shared" si="49"/>
        <v>Foot</v>
      </c>
      <c r="AE242" s="769" t="s">
        <v>895</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7">
        <v>45</v>
      </c>
      <c r="B243" s="155"/>
      <c r="C243" s="860" t="str">
        <f>IF(LEN(O229)&lt;=265,"",RIGHT(O229,LEN(O229)-SEARCH(" ",O229,255)))</f>
        <v/>
      </c>
      <c r="D243" s="504"/>
      <c r="E243" s="504"/>
      <c r="F243" s="504"/>
      <c r="G243" s="504"/>
      <c r="H243" s="504"/>
      <c r="I243" s="504"/>
      <c r="J243" s="504"/>
      <c r="K243" s="81"/>
      <c r="L243" s="957" t="s">
        <v>482</v>
      </c>
      <c r="M243" s="155"/>
      <c r="N243" s="721"/>
      <c r="O243" s="721"/>
      <c r="P243" s="721"/>
      <c r="Q243" s="718"/>
      <c r="R243" s="718"/>
      <c r="S243" s="718"/>
      <c r="T243" s="718"/>
      <c r="U243" s="718"/>
      <c r="V243" s="718"/>
      <c r="W243" s="81"/>
      <c r="X243" s="939" t="s">
        <v>482</v>
      </c>
      <c r="Y243" s="950"/>
      <c r="Z243" s="769"/>
      <c r="AA243" s="769"/>
      <c r="AB243" s="1411"/>
      <c r="AC243" s="781" t="str">
        <f t="shared" si="48"/>
        <v>Change</v>
      </c>
      <c r="AD243" s="1438" t="str">
        <f t="shared" si="49"/>
        <v>Knee</v>
      </c>
      <c r="AE243" s="769" t="s">
        <v>896</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7">
        <v>46</v>
      </c>
      <c r="B244" s="155"/>
      <c r="C244" s="860" t="str">
        <f>IF(O231="","",IF(LEN(O231)&lt;=135,O231,IF(LEN(O231)&lt;=260,LEFT(O231,SEARCH(" ",O231,125)),LEFT(O231,SEARCH(" ",O231,130)))))</f>
        <v/>
      </c>
      <c r="D244" s="504"/>
      <c r="E244" s="504"/>
      <c r="F244" s="504"/>
      <c r="G244" s="504"/>
      <c r="H244" s="504"/>
      <c r="I244" s="504"/>
      <c r="J244" s="504"/>
      <c r="K244" s="81"/>
      <c r="L244" s="957" t="s">
        <v>482</v>
      </c>
      <c r="M244" s="155"/>
      <c r="N244" s="716"/>
      <c r="O244" s="716"/>
      <c r="P244" s="716"/>
      <c r="Q244" s="717"/>
      <c r="R244" s="717"/>
      <c r="S244" s="717"/>
      <c r="T244" s="717"/>
      <c r="U244" s="717"/>
      <c r="V244" s="717"/>
      <c r="W244" s="81"/>
      <c r="X244" s="939" t="s">
        <v>482</v>
      </c>
      <c r="Y244" s="950"/>
      <c r="Z244" s="769"/>
      <c r="AA244" s="769"/>
      <c r="AB244" s="1411"/>
      <c r="AC244" s="781" t="str">
        <f t="shared" si="48"/>
        <v>Change</v>
      </c>
      <c r="AD244" s="1438" t="str">
        <f t="shared" si="49"/>
        <v>Pelvis AP</v>
      </c>
      <c r="AE244" s="769" t="s">
        <v>897</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7">
        <v>47</v>
      </c>
      <c r="B245" s="155"/>
      <c r="C245" s="860" t="str">
        <f>IF(LEN(O231)&lt;=135,"",IF(LEN(O231)&lt;=260,RIGHT(O231,LEN(O231)-SEARCH(" ",O231,125)),MID(O231,SEARCH(" ",O231,130),IF(LEN(O231)&lt;=265,LEN(O231),SEARCH(" ",O231,255)-SEARCH(" ",O231,130)))))</f>
        <v/>
      </c>
      <c r="D245" s="504"/>
      <c r="E245" s="504"/>
      <c r="F245" s="504"/>
      <c r="G245" s="504"/>
      <c r="H245" s="504"/>
      <c r="I245" s="504"/>
      <c r="J245" s="504"/>
      <c r="K245" s="81"/>
      <c r="L245" s="957" t="s">
        <v>482</v>
      </c>
      <c r="M245" s="155"/>
      <c r="N245" s="716"/>
      <c r="O245" s="716"/>
      <c r="P245" s="716"/>
      <c r="Q245" s="717"/>
      <c r="R245" s="717"/>
      <c r="S245" s="717"/>
      <c r="T245" s="717"/>
      <c r="U245" s="717"/>
      <c r="V245" s="717"/>
      <c r="W245" s="81"/>
      <c r="X245" s="939" t="s">
        <v>482</v>
      </c>
      <c r="Y245" s="950"/>
      <c r="Z245" s="769"/>
      <c r="AA245" s="769"/>
      <c r="AB245" s="1411"/>
      <c r="AC245" s="781" t="str">
        <f t="shared" si="48"/>
        <v>Change</v>
      </c>
      <c r="AD245" s="1438" t="str">
        <f t="shared" si="49"/>
        <v>Shoulder</v>
      </c>
      <c r="AE245" s="769" t="s">
        <v>898</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7">
        <v>48</v>
      </c>
      <c r="B246" s="155"/>
      <c r="C246" s="860" t="str">
        <f>IF(LEN(O231)&lt;=265,"",RIGHT(O231,LEN(O231)-SEARCH(" ",O231,255)))</f>
        <v/>
      </c>
      <c r="D246" s="504"/>
      <c r="E246" s="504"/>
      <c r="F246" s="504"/>
      <c r="G246" s="504"/>
      <c r="H246" s="504"/>
      <c r="I246" s="504"/>
      <c r="J246" s="504"/>
      <c r="K246" s="81"/>
      <c r="L246" s="957" t="s">
        <v>482</v>
      </c>
      <c r="M246" s="155"/>
      <c r="N246" s="716"/>
      <c r="O246" s="716"/>
      <c r="P246" s="716"/>
      <c r="Q246" s="717"/>
      <c r="R246" s="717"/>
      <c r="S246" s="717"/>
      <c r="T246" s="717"/>
      <c r="U246" s="717"/>
      <c r="V246" s="717"/>
      <c r="W246" s="81"/>
      <c r="X246" s="939" t="s">
        <v>482</v>
      </c>
      <c r="Y246" s="950"/>
      <c r="Z246" s="769"/>
      <c r="AA246" s="769"/>
      <c r="AB246" s="1411"/>
      <c r="AC246" s="781" t="str">
        <f t="shared" si="48"/>
        <v>Change</v>
      </c>
      <c r="AD246" s="1438" t="str">
        <f t="shared" si="49"/>
        <v>LS Spine AP</v>
      </c>
      <c r="AE246" s="769" t="s">
        <v>899</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7">
        <v>49</v>
      </c>
      <c r="B247" s="155"/>
      <c r="C247" s="860" t="str">
        <f>IF(O233="","",IF(LEN(O233)&lt;=135,O233,IF(LEN(O233)&lt;=260,LEFT(O233,SEARCH(" ",O233,125)),LEFT(O233,SEARCH(" ",O233,130)))))</f>
        <v/>
      </c>
      <c r="D247" s="504"/>
      <c r="E247" s="504"/>
      <c r="F247" s="504"/>
      <c r="G247" s="504"/>
      <c r="H247" s="504"/>
      <c r="I247" s="504"/>
      <c r="J247" s="504"/>
      <c r="K247" s="81"/>
      <c r="L247" s="957" t="s">
        <v>482</v>
      </c>
      <c r="M247" s="155"/>
      <c r="N247" s="716"/>
      <c r="O247" s="716"/>
      <c r="P247" s="716"/>
      <c r="Q247" s="715" t="s">
        <v>341</v>
      </c>
      <c r="R247" s="118"/>
      <c r="S247" s="118"/>
      <c r="T247" s="716"/>
      <c r="U247" s="717"/>
      <c r="V247" s="717"/>
      <c r="W247" s="81"/>
      <c r="X247" s="939" t="s">
        <v>482</v>
      </c>
      <c r="Y247" s="950"/>
      <c r="Z247" s="769"/>
      <c r="AA247" s="769"/>
      <c r="AB247" s="769"/>
      <c r="AC247" s="781" t="str">
        <f t="shared" si="48"/>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7">
        <v>50</v>
      </c>
      <c r="B248" s="155"/>
      <c r="C248" s="860" t="str">
        <f>IF(LEN(O233)&lt;=135,"",IF(LEN(O233)&lt;=260,RIGHT(O233,LEN(O233)-SEARCH(" ",O233,125)),MID(O233,SEARCH(" ",O233,130),IF(LEN(O233)&lt;=265,LEN(O233),SEARCH(" ",O233,255)-SEARCH(" ",O233,130)))))</f>
        <v/>
      </c>
      <c r="D248" s="504"/>
      <c r="E248" s="504"/>
      <c r="F248" s="504"/>
      <c r="G248" s="504"/>
      <c r="H248" s="504"/>
      <c r="I248" s="504"/>
      <c r="J248" s="504"/>
      <c r="K248" s="81"/>
      <c r="L248" s="957" t="s">
        <v>482</v>
      </c>
      <c r="M248" s="155"/>
      <c r="N248" s="716"/>
      <c r="O248" s="716"/>
      <c r="P248" s="716"/>
      <c r="Q248" s="717"/>
      <c r="R248" s="716"/>
      <c r="S248" s="717"/>
      <c r="T248" s="716"/>
      <c r="U248" s="717"/>
      <c r="V248" s="717"/>
      <c r="W248" s="81"/>
      <c r="X248" s="939" t="s">
        <v>482</v>
      </c>
      <c r="Y248" s="950"/>
      <c r="Z248" s="769"/>
      <c r="AA248" s="775" t="s">
        <v>625</v>
      </c>
      <c r="AB248" s="1411"/>
      <c r="AC248" s="781" t="str">
        <f t="shared" si="48"/>
        <v>Change</v>
      </c>
      <c r="AD248" s="1438" t="str">
        <f t="shared" ref="AD248:AD257" si="50">N87</f>
        <v>Yes</v>
      </c>
      <c r="AE248" s="769" t="s">
        <v>900</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7">
        <v>51</v>
      </c>
      <c r="B249" s="155"/>
      <c r="C249" s="860" t="str">
        <f>IF(LEN(O233)&lt;=265,"",RIGHT(O233,LEN(O233)-SEARCH(" ",O233,255)))</f>
        <v/>
      </c>
      <c r="D249" s="504"/>
      <c r="E249" s="504"/>
      <c r="F249" s="504"/>
      <c r="G249" s="504"/>
      <c r="H249" s="504"/>
      <c r="I249" s="504"/>
      <c r="J249" s="504"/>
      <c r="K249" s="81"/>
      <c r="L249" s="957" t="s">
        <v>482</v>
      </c>
      <c r="M249" s="155"/>
      <c r="N249" s="716"/>
      <c r="O249" s="716"/>
      <c r="P249" s="716"/>
      <c r="Q249" s="717"/>
      <c r="R249" s="716"/>
      <c r="S249" s="717"/>
      <c r="T249" s="716"/>
      <c r="U249" s="717"/>
      <c r="V249" s="717"/>
      <c r="W249" s="81"/>
      <c r="X249" s="939" t="s">
        <v>482</v>
      </c>
      <c r="Y249" s="950"/>
      <c r="Z249" s="769"/>
      <c r="AA249" s="769"/>
      <c r="AB249" s="1411"/>
      <c r="AC249" s="781" t="str">
        <f t="shared" si="48"/>
        <v>Change</v>
      </c>
      <c r="AD249" s="1438" t="str">
        <f t="shared" si="50"/>
        <v>Yes</v>
      </c>
      <c r="AE249" s="769" t="s">
        <v>901</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7">
        <v>52</v>
      </c>
      <c r="B250" s="155"/>
      <c r="C250" s="860" t="str">
        <f>IF(O235="","",IF(LEN(O235)&lt;=135,O235,IF(LEN(O235)&lt;=260,LEFT(O235,SEARCH(" ",O235,125)),LEFT(O235,SEARCH(" ",O235,130)))))</f>
        <v/>
      </c>
      <c r="D250" s="504"/>
      <c r="E250" s="504"/>
      <c r="F250" s="504"/>
      <c r="G250" s="504"/>
      <c r="H250" s="504"/>
      <c r="I250" s="504"/>
      <c r="J250" s="504"/>
      <c r="K250" s="81"/>
      <c r="L250" s="957" t="s">
        <v>482</v>
      </c>
      <c r="M250" s="155"/>
      <c r="N250" s="716"/>
      <c r="O250" s="716"/>
      <c r="P250" s="716"/>
      <c r="Q250" s="717"/>
      <c r="R250" s="716"/>
      <c r="S250" s="717"/>
      <c r="T250" s="716"/>
      <c r="U250" s="717"/>
      <c r="V250" s="717"/>
      <c r="W250" s="81"/>
      <c r="X250" s="939" t="s">
        <v>482</v>
      </c>
      <c r="Y250" s="950"/>
      <c r="Z250" s="769"/>
      <c r="AA250" s="769"/>
      <c r="AB250" s="1411"/>
      <c r="AC250" s="781" t="str">
        <f t="shared" si="48"/>
        <v>Change</v>
      </c>
      <c r="AD250" s="1438" t="str">
        <f t="shared" si="50"/>
        <v>Yes</v>
      </c>
      <c r="AE250" s="769" t="s">
        <v>902</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7">
        <v>53</v>
      </c>
      <c r="B251" s="155"/>
      <c r="C251" s="860" t="str">
        <f>IF(LEN(O235)&lt;=135,"",IF(LEN(O235)&lt;=260,RIGHT(O235,LEN(O235)-SEARCH(" ",O235,125)),MID(O235,SEARCH(" ",O235,130),IF(LEN(O235)&lt;=265,LEN(O235),SEARCH(" ",O235,255)-SEARCH(" ",O235,130)))))</f>
        <v/>
      </c>
      <c r="D251" s="504"/>
      <c r="E251" s="504"/>
      <c r="F251" s="504"/>
      <c r="G251" s="504"/>
      <c r="H251" s="504"/>
      <c r="I251" s="504"/>
      <c r="J251" s="504"/>
      <c r="K251" s="81"/>
      <c r="L251" s="957" t="s">
        <v>482</v>
      </c>
      <c r="M251" s="155"/>
      <c r="N251" s="716"/>
      <c r="O251" s="716"/>
      <c r="P251" s="716"/>
      <c r="Q251" s="717"/>
      <c r="R251" s="716"/>
      <c r="S251" s="717"/>
      <c r="T251" s="716"/>
      <c r="U251" s="717"/>
      <c r="V251" s="717"/>
      <c r="W251" s="81"/>
      <c r="X251" s="939" t="s">
        <v>482</v>
      </c>
      <c r="Y251" s="950"/>
      <c r="Z251" s="769"/>
      <c r="AA251" s="769"/>
      <c r="AB251" s="1411"/>
      <c r="AC251" s="781" t="str">
        <f t="shared" si="48"/>
        <v>Change</v>
      </c>
      <c r="AD251" s="1438" t="str">
        <f t="shared" si="50"/>
        <v>Yes</v>
      </c>
      <c r="AE251" s="769" t="s">
        <v>903</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7">
        <v>54</v>
      </c>
      <c r="B252" s="155"/>
      <c r="C252" s="860" t="str">
        <f>IF(LEN(O235)&lt;=265,"",RIGHT(O235,LEN(O235)-SEARCH(" ",O235,255)))</f>
        <v/>
      </c>
      <c r="D252" s="504"/>
      <c r="E252" s="504"/>
      <c r="F252" s="504"/>
      <c r="G252" s="504"/>
      <c r="H252" s="504"/>
      <c r="I252" s="504"/>
      <c r="J252" s="504"/>
      <c r="K252" s="81"/>
      <c r="L252" s="957" t="s">
        <v>482</v>
      </c>
      <c r="M252" s="155"/>
      <c r="N252" s="716"/>
      <c r="O252" s="716"/>
      <c r="P252" s="716"/>
      <c r="Q252" s="717"/>
      <c r="R252" s="716"/>
      <c r="S252" s="717"/>
      <c r="T252" s="716"/>
      <c r="U252" s="717"/>
      <c r="V252" s="717"/>
      <c r="W252" s="81"/>
      <c r="X252" s="939" t="s">
        <v>482</v>
      </c>
      <c r="Y252" s="950"/>
      <c r="Z252" s="769"/>
      <c r="AA252" s="769"/>
      <c r="AB252" s="1411"/>
      <c r="AC252" s="781" t="str">
        <f t="shared" si="48"/>
        <v>Change</v>
      </c>
      <c r="AD252" s="1438" t="str">
        <f t="shared" si="50"/>
        <v>Yes</v>
      </c>
      <c r="AE252" s="769" t="s">
        <v>904</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7">
        <v>55</v>
      </c>
      <c r="B253" s="155"/>
      <c r="C253" s="860" t="str">
        <f>IF(O237="","",IF(LEN(O237)&lt;=135,O237,IF(LEN(O237)&lt;=260,LEFT(O237,SEARCH(" ",O237,125)),LEFT(O237,SEARCH(" ",O237,130)))))</f>
        <v/>
      </c>
      <c r="D253" s="504"/>
      <c r="E253" s="504"/>
      <c r="F253" s="504"/>
      <c r="G253" s="504"/>
      <c r="H253" s="504"/>
      <c r="I253" s="504"/>
      <c r="J253" s="504"/>
      <c r="K253" s="81"/>
      <c r="L253" s="957" t="s">
        <v>482</v>
      </c>
      <c r="M253" s="155"/>
      <c r="N253" s="716"/>
      <c r="O253" s="716"/>
      <c r="P253" s="716"/>
      <c r="Q253" s="717"/>
      <c r="R253" s="716"/>
      <c r="S253" s="717"/>
      <c r="T253" s="716"/>
      <c r="U253" s="717"/>
      <c r="V253" s="717"/>
      <c r="W253" s="81"/>
      <c r="X253" s="939" t="s">
        <v>482</v>
      </c>
      <c r="Y253" s="950"/>
      <c r="Z253" s="769"/>
      <c r="AA253" s="769"/>
      <c r="AB253" s="1411"/>
      <c r="AC253" s="781" t="str">
        <f t="shared" si="48"/>
        <v>Change</v>
      </c>
      <c r="AD253" s="1438" t="str">
        <f t="shared" si="50"/>
        <v>No</v>
      </c>
      <c r="AE253" s="769" t="s">
        <v>905</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7">
        <v>56</v>
      </c>
      <c r="B254" s="155"/>
      <c r="C254" s="860" t="str">
        <f>IF(LEN(O237)&lt;=135,"",IF(LEN(O237)&lt;=260,RIGHT(O237,LEN(O237)-SEARCH(" ",O237,125)),MID(O237,SEARCH(" ",O237,130),IF(LEN(O237)&lt;=265,LEN(O237),SEARCH(" ",O237,255)-SEARCH(" ",O237,130)))))</f>
        <v/>
      </c>
      <c r="D254" s="504"/>
      <c r="E254" s="504"/>
      <c r="F254" s="504"/>
      <c r="G254" s="504"/>
      <c r="H254" s="504"/>
      <c r="I254" s="504"/>
      <c r="J254" s="504"/>
      <c r="K254" s="81"/>
      <c r="L254" s="957" t="s">
        <v>482</v>
      </c>
      <c r="M254" s="155"/>
      <c r="N254" s="716"/>
      <c r="O254" s="716"/>
      <c r="P254" s="716"/>
      <c r="Q254" s="717"/>
      <c r="R254" s="716"/>
      <c r="S254" s="717"/>
      <c r="T254" s="716"/>
      <c r="U254" s="717"/>
      <c r="V254" s="717"/>
      <c r="W254" s="81"/>
      <c r="X254" s="939" t="s">
        <v>482</v>
      </c>
      <c r="Y254" s="950"/>
      <c r="Z254" s="769"/>
      <c r="AA254" s="769"/>
      <c r="AB254" s="1411"/>
      <c r="AC254" s="781" t="str">
        <f t="shared" si="48"/>
        <v>Change</v>
      </c>
      <c r="AD254" s="1438" t="str">
        <f t="shared" si="50"/>
        <v>No</v>
      </c>
      <c r="AE254" s="769" t="s">
        <v>906</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7">
        <v>57</v>
      </c>
      <c r="B255" s="155"/>
      <c r="C255" s="860" t="str">
        <f>IF(LEN(O237)&lt;=265,"",RIGHT(O237,LEN(O237)-SEARCH(" ",O237,255)))</f>
        <v/>
      </c>
      <c r="D255" s="504"/>
      <c r="E255" s="504"/>
      <c r="F255" s="504"/>
      <c r="G255" s="504"/>
      <c r="H255" s="504"/>
      <c r="I255" s="504"/>
      <c r="J255" s="504"/>
      <c r="K255" s="81"/>
      <c r="L255" s="957" t="s">
        <v>482</v>
      </c>
      <c r="M255" s="155"/>
      <c r="N255" s="716"/>
      <c r="O255" s="716"/>
      <c r="P255" s="716"/>
      <c r="Q255" s="717"/>
      <c r="R255" s="716"/>
      <c r="S255" s="717"/>
      <c r="T255" s="716"/>
      <c r="U255" s="717"/>
      <c r="V255" s="717"/>
      <c r="W255" s="81"/>
      <c r="X255" s="939" t="s">
        <v>482</v>
      </c>
      <c r="Y255" s="950"/>
      <c r="Z255" s="769"/>
      <c r="AA255" s="769"/>
      <c r="AB255" s="1411"/>
      <c r="AC255" s="781" t="str">
        <f t="shared" si="48"/>
        <v>Change</v>
      </c>
      <c r="AD255" s="1438" t="str">
        <f t="shared" si="50"/>
        <v>Yes</v>
      </c>
      <c r="AE255" s="769" t="s">
        <v>907</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7">
        <v>58</v>
      </c>
      <c r="B256" s="155"/>
      <c r="C256" s="860" t="str">
        <f>IF(O239="","",IF(LEN(O239)&lt;=135,O239,IF(LEN(O239)&lt;=260,LEFT(O239,SEARCH(" ",O239,125)),LEFT(O239,SEARCH(" ",O239,130)))))</f>
        <v/>
      </c>
      <c r="D256" s="504"/>
      <c r="E256" s="504"/>
      <c r="F256" s="504"/>
      <c r="G256" s="504"/>
      <c r="H256" s="504"/>
      <c r="I256" s="504"/>
      <c r="J256" s="504"/>
      <c r="K256" s="81"/>
      <c r="L256" s="957" t="s">
        <v>482</v>
      </c>
      <c r="M256" s="155"/>
      <c r="N256" s="716"/>
      <c r="O256" s="716"/>
      <c r="P256" s="716"/>
      <c r="Q256" s="717"/>
      <c r="R256" s="716"/>
      <c r="S256" s="717"/>
      <c r="T256" s="716"/>
      <c r="U256" s="717"/>
      <c r="V256" s="717"/>
      <c r="W256" s="81"/>
      <c r="X256" s="939" t="s">
        <v>482</v>
      </c>
      <c r="Y256" s="950"/>
      <c r="Z256" s="769"/>
      <c r="AA256" s="769"/>
      <c r="AB256" s="1411"/>
      <c r="AC256" s="781" t="str">
        <f t="shared" si="48"/>
        <v>Change</v>
      </c>
      <c r="AD256" s="1438" t="str">
        <f t="shared" si="50"/>
        <v>Yes</v>
      </c>
      <c r="AE256" s="769" t="s">
        <v>908</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7">
        <v>59</v>
      </c>
      <c r="B257" s="155"/>
      <c r="C257" s="860" t="str">
        <f>IF(LEN(O239)&lt;=135,"",IF(LEN(O239)&lt;=260,RIGHT(O239,LEN(O239)-SEARCH(" ",O239,125)),MID(O239,SEARCH(" ",O239,130),IF(LEN(O239)&lt;=265,LEN(O239),SEARCH(" ",O239,255)-SEARCH(" ",O239,130)))))</f>
        <v/>
      </c>
      <c r="D257" s="504"/>
      <c r="E257" s="504"/>
      <c r="F257" s="504"/>
      <c r="G257" s="504"/>
      <c r="H257" s="504"/>
      <c r="I257" s="504"/>
      <c r="J257" s="504"/>
      <c r="K257" s="81"/>
      <c r="L257" s="957" t="s">
        <v>482</v>
      </c>
      <c r="M257" s="155"/>
      <c r="N257" s="716"/>
      <c r="O257" s="716"/>
      <c r="P257" s="716"/>
      <c r="Q257" s="717"/>
      <c r="R257" s="716"/>
      <c r="S257" s="717"/>
      <c r="T257" s="716"/>
      <c r="U257" s="717"/>
      <c r="V257" s="717"/>
      <c r="W257" s="81"/>
      <c r="X257" s="939" t="s">
        <v>482</v>
      </c>
      <c r="Y257" s="950"/>
      <c r="Z257" s="769"/>
      <c r="AA257" s="769"/>
      <c r="AB257" s="1411"/>
      <c r="AC257" s="781" t="str">
        <f t="shared" si="48"/>
        <v>Change</v>
      </c>
      <c r="AD257" s="1438" t="str">
        <f t="shared" si="50"/>
        <v>Yes</v>
      </c>
      <c r="AE257" s="769" t="s">
        <v>909</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7">
        <v>60</v>
      </c>
      <c r="B258" s="155"/>
      <c r="C258" s="860" t="str">
        <f>IF(LEN(O239)&lt;=265,"",RIGHT(O239,LEN(O239)-SEARCH(" ",O239,255)))</f>
        <v/>
      </c>
      <c r="D258" s="504"/>
      <c r="E258" s="504"/>
      <c r="F258" s="504"/>
      <c r="G258" s="504"/>
      <c r="H258" s="504"/>
      <c r="I258" s="504"/>
      <c r="J258" s="504"/>
      <c r="K258" s="81"/>
      <c r="L258" s="957" t="s">
        <v>482</v>
      </c>
      <c r="M258" s="155"/>
      <c r="N258" s="716"/>
      <c r="O258" s="716"/>
      <c r="P258" s="716"/>
      <c r="Q258" s="717"/>
      <c r="R258" s="716"/>
      <c r="S258" s="717"/>
      <c r="T258" s="716"/>
      <c r="U258" s="717"/>
      <c r="V258" s="717"/>
      <c r="W258" s="81"/>
      <c r="X258" s="939" t="s">
        <v>482</v>
      </c>
      <c r="Y258" s="950"/>
      <c r="Z258" s="769"/>
      <c r="AA258" s="769"/>
      <c r="AB258" s="769"/>
      <c r="AC258" s="781" t="str">
        <f t="shared" si="48"/>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7">
        <v>61</v>
      </c>
      <c r="B259" s="155"/>
      <c r="C259" s="860" t="str">
        <f>IF(O241="","",IF(LEN(O241)&lt;=135,O241,IF(LEN(O241)&lt;=260,LEFT(O241,SEARCH(" ",O241,125)),LEFT(O241,SEARCH(" ",O241,130)))))</f>
        <v/>
      </c>
      <c r="D259" s="504"/>
      <c r="E259" s="504"/>
      <c r="F259" s="504"/>
      <c r="G259" s="504"/>
      <c r="H259" s="504"/>
      <c r="I259" s="504"/>
      <c r="J259" s="504"/>
      <c r="K259" s="81"/>
      <c r="L259" s="957" t="s">
        <v>482</v>
      </c>
      <c r="M259" s="155"/>
      <c r="N259" s="716"/>
      <c r="O259" s="716"/>
      <c r="P259" s="716"/>
      <c r="Q259" s="717"/>
      <c r="R259" s="716"/>
      <c r="S259" s="717"/>
      <c r="T259" s="716"/>
      <c r="U259" s="717"/>
      <c r="V259" s="717"/>
      <c r="W259" s="81"/>
      <c r="X259" s="939" t="s">
        <v>482</v>
      </c>
      <c r="Y259" s="950"/>
      <c r="Z259" s="769"/>
      <c r="AA259" s="775" t="s">
        <v>634</v>
      </c>
      <c r="AB259" s="1411"/>
      <c r="AC259" s="781" t="str">
        <f t="shared" si="48"/>
        <v>Change</v>
      </c>
      <c r="AD259" s="1438">
        <f t="shared" ref="AD259:AD268" si="51">O87</f>
        <v>72</v>
      </c>
      <c r="AE259" s="769" t="s">
        <v>910</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7">
        <v>62</v>
      </c>
      <c r="B260" s="155"/>
      <c r="C260" s="860" t="str">
        <f>IF(LEN(O241)&lt;=135,"",IF(LEN(O241)&lt;=260,RIGHT(O241,LEN(O241)-SEARCH(" ",O241,125)),MID(O241,SEARCH(" ",O241,130),IF(LEN(O241)&lt;=265,LEN(O241),SEARCH(" ",O241,255)-SEARCH(" ",O241,130)))))</f>
        <v/>
      </c>
      <c r="D260" s="504"/>
      <c r="E260" s="504"/>
      <c r="F260" s="504"/>
      <c r="G260" s="504"/>
      <c r="H260" s="504"/>
      <c r="I260" s="504"/>
      <c r="J260" s="504"/>
      <c r="K260" s="81"/>
      <c r="L260" s="957" t="s">
        <v>482</v>
      </c>
      <c r="M260" s="155"/>
      <c r="N260" s="716"/>
      <c r="O260" s="716"/>
      <c r="P260" s="716"/>
      <c r="Q260" s="717"/>
      <c r="R260" s="716"/>
      <c r="S260" s="717"/>
      <c r="T260" s="716"/>
      <c r="U260" s="717"/>
      <c r="V260" s="717"/>
      <c r="W260" s="81"/>
      <c r="X260" s="939" t="s">
        <v>482</v>
      </c>
      <c r="Y260" s="950"/>
      <c r="Z260" s="769"/>
      <c r="AA260" s="769"/>
      <c r="AB260" s="1411"/>
      <c r="AC260" s="781" t="str">
        <f t="shared" si="48"/>
        <v>Change</v>
      </c>
      <c r="AD260" s="1438">
        <f t="shared" si="51"/>
        <v>40</v>
      </c>
      <c r="AE260" s="769" t="s">
        <v>911</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7">
        <v>63</v>
      </c>
      <c r="B261" s="155"/>
      <c r="C261" s="860" t="str">
        <f>IF(LEN(O241)&lt;=265,"",RIGHT(O241,LEN(O241)-SEARCH(" ",O241,255)))</f>
        <v/>
      </c>
      <c r="D261" s="504"/>
      <c r="E261" s="504"/>
      <c r="F261" s="504"/>
      <c r="G261" s="504"/>
      <c r="H261" s="504"/>
      <c r="I261" s="504"/>
      <c r="J261" s="504"/>
      <c r="K261" s="81"/>
      <c r="L261" s="957" t="s">
        <v>482</v>
      </c>
      <c r="M261" s="155"/>
      <c r="N261" s="720"/>
      <c r="O261" s="819"/>
      <c r="P261" s="720"/>
      <c r="Q261" s="719"/>
      <c r="R261" s="720"/>
      <c r="S261" s="719"/>
      <c r="T261" s="720"/>
      <c r="U261" s="719"/>
      <c r="V261" s="719"/>
      <c r="W261" s="81"/>
      <c r="X261" s="939" t="s">
        <v>482</v>
      </c>
      <c r="Y261" s="950"/>
      <c r="Z261" s="769"/>
      <c r="AA261" s="769"/>
      <c r="AB261" s="1411"/>
      <c r="AC261" s="781" t="str">
        <f t="shared" si="48"/>
        <v>Change</v>
      </c>
      <c r="AD261" s="1438">
        <f t="shared" si="51"/>
        <v>40</v>
      </c>
      <c r="AE261" s="769" t="s">
        <v>912</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7">
        <v>64</v>
      </c>
      <c r="B262" s="112"/>
      <c r="C262" s="94"/>
      <c r="D262" s="94"/>
      <c r="E262" s="94"/>
      <c r="F262" s="94"/>
      <c r="G262" s="94"/>
      <c r="H262" s="94"/>
      <c r="I262" s="94"/>
      <c r="J262" s="94"/>
      <c r="K262" s="99"/>
      <c r="L262" s="957" t="s">
        <v>482</v>
      </c>
      <c r="M262" s="437"/>
      <c r="N262" s="181"/>
      <c r="O262" s="820"/>
      <c r="P262" s="576"/>
      <c r="Q262" s="181"/>
      <c r="R262" s="181"/>
      <c r="S262" s="181"/>
      <c r="T262" s="181"/>
      <c r="U262" s="181"/>
      <c r="V262" s="181"/>
      <c r="W262" s="439"/>
      <c r="X262" s="939" t="s">
        <v>482</v>
      </c>
      <c r="Y262" s="950"/>
      <c r="Z262" s="769"/>
      <c r="AA262" s="769"/>
      <c r="AB262" s="1411"/>
      <c r="AC262" s="781" t="str">
        <f t="shared" si="48"/>
        <v>Change</v>
      </c>
      <c r="AD262" s="1438">
        <f t="shared" si="51"/>
        <v>40</v>
      </c>
      <c r="AE262" s="769" t="s">
        <v>913</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7">
        <v>65</v>
      </c>
      <c r="B263" s="60" t="str">
        <f t="array" ref="B263:C264">$B$65:$C$66</f>
        <v>Date:</v>
      </c>
      <c r="C263" s="1664" t="str">
        <v/>
      </c>
      <c r="E263" s="59"/>
      <c r="F263" s="59"/>
      <c r="G263" s="59"/>
      <c r="H263" s="59"/>
      <c r="I263" s="60" t="str">
        <f t="array" ref="I263:J264">$I$65:$J$66</f>
        <v>Inspector:</v>
      </c>
      <c r="J263" s="1405" t="str">
        <v>Eugene Mah</v>
      </c>
      <c r="L263" s="957" t="s">
        <v>482</v>
      </c>
      <c r="O263" s="815"/>
      <c r="P263" s="577"/>
      <c r="X263" s="939" t="s">
        <v>482</v>
      </c>
      <c r="Y263" s="950"/>
      <c r="Z263" s="769"/>
      <c r="AA263" s="769"/>
      <c r="AB263" s="1411"/>
      <c r="AC263" s="781" t="str">
        <f t="shared" si="48"/>
        <v>Change</v>
      </c>
      <c r="AD263" s="1438">
        <f t="shared" si="51"/>
        <v>40</v>
      </c>
      <c r="AE263" s="769" t="s">
        <v>914</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7">
        <v>66</v>
      </c>
      <c r="B264" s="60" t="str">
        <v>Room Number:</v>
      </c>
      <c r="C264" s="499" t="str">
        <v/>
      </c>
      <c r="E264" s="59"/>
      <c r="F264" s="59"/>
      <c r="G264" s="59"/>
      <c r="H264" s="59"/>
      <c r="I264" s="60" t="str">
        <v>Survey ID:</v>
      </c>
      <c r="J264" s="1404" t="str">
        <v/>
      </c>
      <c r="L264" s="957" t="s">
        <v>482</v>
      </c>
      <c r="O264" s="815"/>
      <c r="P264" s="577"/>
      <c r="X264" s="939" t="s">
        <v>482</v>
      </c>
      <c r="Y264" s="950"/>
      <c r="Z264" s="769"/>
      <c r="AA264" s="769"/>
      <c r="AB264" s="1411"/>
      <c r="AC264" s="781" t="str">
        <f t="shared" si="48"/>
        <v>Change</v>
      </c>
      <c r="AD264" s="1438">
        <f t="shared" si="51"/>
        <v>40</v>
      </c>
      <c r="AE264" s="769" t="s">
        <v>915</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7">
        <v>1</v>
      </c>
      <c r="B265" s="1"/>
      <c r="C265" s="1"/>
      <c r="D265" s="1"/>
      <c r="E265" s="1"/>
      <c r="F265" s="1"/>
      <c r="G265" s="1"/>
      <c r="H265" s="1"/>
      <c r="I265" s="1"/>
      <c r="J265" s="1"/>
      <c r="K265" s="161" t="str">
        <f>$F$2</f>
        <v>Medical University of South Carolina</v>
      </c>
      <c r="L265" s="957" t="s">
        <v>482</v>
      </c>
      <c r="M265" s="1"/>
      <c r="N265" s="1"/>
      <c r="O265" s="821"/>
      <c r="P265" s="577"/>
      <c r="Q265" s="1"/>
      <c r="R265" s="1"/>
      <c r="S265" s="1"/>
      <c r="T265" s="1"/>
      <c r="U265" s="1"/>
      <c r="V265" s="1"/>
      <c r="W265" s="161" t="str">
        <f>$F$2</f>
        <v>Medical University of South Carolina</v>
      </c>
      <c r="X265" s="939" t="s">
        <v>482</v>
      </c>
      <c r="Y265" s="950"/>
      <c r="Z265" s="769"/>
      <c r="AA265" s="769"/>
      <c r="AB265" s="1411"/>
      <c r="AC265" s="781" t="str">
        <f t="shared" si="48"/>
        <v>Change</v>
      </c>
      <c r="AD265" s="1438">
        <f t="shared" si="51"/>
        <v>40</v>
      </c>
      <c r="AE265" s="769" t="s">
        <v>916</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7">
        <v>2</v>
      </c>
      <c r="B266" s="1"/>
      <c r="C266" s="1"/>
      <c r="D266" s="1"/>
      <c r="E266" s="1"/>
      <c r="F266" s="336" t="str">
        <f>$F$464</f>
        <v>Measurement Data</v>
      </c>
      <c r="G266" s="1"/>
      <c r="H266" s="1"/>
      <c r="I266" s="1"/>
      <c r="J266" s="1"/>
      <c r="K266" s="162" t="str">
        <f>$F$5</f>
        <v>Radiographic System Compliance Inspection</v>
      </c>
      <c r="L266" s="957" t="s">
        <v>482</v>
      </c>
      <c r="M266" s="1"/>
      <c r="N266" s="1"/>
      <c r="O266" s="821"/>
      <c r="P266" s="577"/>
      <c r="Q266" s="1"/>
      <c r="R266" s="1"/>
      <c r="S266" s="1"/>
      <c r="T266" s="1"/>
      <c r="U266" s="1"/>
      <c r="V266" s="1"/>
      <c r="W266" s="162" t="str">
        <f>$F$5</f>
        <v>Radiographic System Compliance Inspection</v>
      </c>
      <c r="X266" s="939" t="s">
        <v>482</v>
      </c>
      <c r="Y266" s="950"/>
      <c r="Z266" s="769"/>
      <c r="AA266" s="769"/>
      <c r="AB266" s="1411"/>
      <c r="AC266" s="781" t="str">
        <f t="shared" si="48"/>
        <v>Change</v>
      </c>
      <c r="AD266" s="1438">
        <f t="shared" si="51"/>
        <v>40</v>
      </c>
      <c r="AE266" s="769" t="s">
        <v>917</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7">
        <v>3</v>
      </c>
      <c r="L267" s="957" t="s">
        <v>482</v>
      </c>
      <c r="M267" s="1"/>
      <c r="N267" s="1"/>
      <c r="O267" s="821"/>
      <c r="P267" s="577"/>
      <c r="Q267" s="1"/>
      <c r="R267" s="1"/>
      <c r="S267" s="1"/>
      <c r="T267" s="1"/>
      <c r="U267" s="1"/>
      <c r="V267" s="1"/>
      <c r="W267" s="1"/>
      <c r="X267" s="939" t="s">
        <v>482</v>
      </c>
      <c r="Y267" s="950"/>
      <c r="Z267" s="769"/>
      <c r="AA267" s="769"/>
      <c r="AB267" s="1411"/>
      <c r="AC267" s="781" t="str">
        <f t="shared" si="48"/>
        <v>Change</v>
      </c>
      <c r="AD267" s="1438">
        <f t="shared" si="51"/>
        <v>40</v>
      </c>
      <c r="AE267" s="769" t="s">
        <v>918</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7">
        <v>4</v>
      </c>
      <c r="F268" s="240" t="str">
        <f>$R$268</f>
        <v>COMMENTS PAGE 2</v>
      </c>
      <c r="L268" s="957" t="s">
        <v>482</v>
      </c>
      <c r="M268" s="198"/>
      <c r="N268" s="198"/>
      <c r="O268" s="822"/>
      <c r="P268" s="578"/>
      <c r="Q268" s="198"/>
      <c r="R268" s="240" t="str">
        <f>"COMMENTS"&amp;IF(OR($O$205=0,$O$205="")," PAGE 2"," PAGE 3")</f>
        <v>COMMENTS PAGE 2</v>
      </c>
      <c r="S268" s="198"/>
      <c r="T268" s="198"/>
      <c r="U268" s="198"/>
      <c r="V268" s="198"/>
      <c r="W268" s="198"/>
      <c r="X268" s="939" t="s">
        <v>482</v>
      </c>
      <c r="Y268" s="950"/>
      <c r="Z268" s="769"/>
      <c r="AA268" s="769"/>
      <c r="AB268" s="1411"/>
      <c r="AC268" s="781" t="str">
        <f t="shared" si="48"/>
        <v>Change</v>
      </c>
      <c r="AD268" s="1438">
        <f t="shared" si="51"/>
        <v>40</v>
      </c>
      <c r="AE268" s="769" t="s">
        <v>919</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7">
        <v>5</v>
      </c>
      <c r="L269" s="957" t="s">
        <v>482</v>
      </c>
      <c r="M269" s="198"/>
      <c r="N269" s="198"/>
      <c r="O269" s="822"/>
      <c r="P269" s="578"/>
      <c r="Q269" s="198"/>
      <c r="R269" s="198"/>
      <c r="S269" s="198"/>
      <c r="T269" s="198"/>
      <c r="U269" s="198"/>
      <c r="V269" s="198"/>
      <c r="W269" s="198"/>
      <c r="X269" s="939" t="s">
        <v>482</v>
      </c>
      <c r="Y269" s="950"/>
      <c r="Z269" s="769"/>
      <c r="AA269" s="769"/>
      <c r="AB269" s="769"/>
      <c r="AC269" s="781" t="str">
        <f t="shared" si="48"/>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7">
        <v>6</v>
      </c>
      <c r="B270" s="89"/>
      <c r="C270" s="72"/>
      <c r="D270" s="72"/>
      <c r="E270" s="72"/>
      <c r="F270" s="72"/>
      <c r="G270" s="72"/>
      <c r="H270" s="72"/>
      <c r="I270" s="72"/>
      <c r="J270" s="72"/>
      <c r="K270" s="90"/>
      <c r="L270" s="957" t="s">
        <v>482</v>
      </c>
      <c r="M270" s="427"/>
      <c r="N270" s="428"/>
      <c r="O270" s="823"/>
      <c r="P270" s="574"/>
      <c r="Q270" s="964" t="s">
        <v>431</v>
      </c>
      <c r="R270" s="428"/>
      <c r="S270" s="428"/>
      <c r="T270" s="428"/>
      <c r="U270" s="428"/>
      <c r="V270" s="428"/>
      <c r="W270" s="429"/>
      <c r="X270" s="939" t="s">
        <v>482</v>
      </c>
      <c r="Y270" s="950"/>
      <c r="Z270" s="769"/>
      <c r="AA270" s="775" t="s">
        <v>635</v>
      </c>
      <c r="AB270" s="1411"/>
      <c r="AC270" s="781" t="str">
        <f t="shared" si="48"/>
        <v>Change</v>
      </c>
      <c r="AD270" s="1439">
        <f t="shared" ref="AD270:AD279" si="52">P87</f>
        <v>23</v>
      </c>
      <c r="AE270" s="769" t="s">
        <v>920</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7">
        <v>7</v>
      </c>
      <c r="B271" s="120" t="s">
        <v>629</v>
      </c>
      <c r="C271" s="860" t="str">
        <f>IF(O271="","",IF(LEN(O271)&lt;=135,O271,IF(LEN(O271)&lt;=260,LEFT(O271,SEARCH(" ",O271,125)),LEFT(O271,SEARCH(" ",O271,130)))))</f>
        <v/>
      </c>
      <c r="D271" s="504"/>
      <c r="E271" s="504"/>
      <c r="F271" s="504"/>
      <c r="G271" s="504"/>
      <c r="H271" s="504"/>
      <c r="I271" s="504"/>
      <c r="J271" s="504"/>
      <c r="K271" s="81"/>
      <c r="L271" s="957" t="s">
        <v>482</v>
      </c>
      <c r="M271" s="433"/>
      <c r="N271" s="182" t="s">
        <v>629</v>
      </c>
      <c r="O271" s="1490"/>
      <c r="P271" s="575"/>
      <c r="Q271" s="958" t="str">
        <f>IF(OR(AB352=0,AB352=""),"",AB352)</f>
        <v/>
      </c>
      <c r="R271" s="57"/>
      <c r="S271" s="57"/>
      <c r="T271" s="57"/>
      <c r="U271" s="57"/>
      <c r="V271" s="57"/>
      <c r="W271" s="435"/>
      <c r="X271" s="939" t="s">
        <v>482</v>
      </c>
      <c r="Y271" s="950"/>
      <c r="Z271" s="769"/>
      <c r="AA271" s="769"/>
      <c r="AB271" s="1411"/>
      <c r="AC271" s="781" t="str">
        <f t="shared" si="48"/>
        <v>Change</v>
      </c>
      <c r="AD271" s="1439">
        <f t="shared" si="52"/>
        <v>23</v>
      </c>
      <c r="AE271" s="769" t="s">
        <v>921</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7">
        <v>8</v>
      </c>
      <c r="B272" s="97"/>
      <c r="C272" s="860" t="str">
        <f>IF(LEN(O271)&lt;=135,"",IF(LEN(O271)&lt;=260,RIGHT(O271,LEN(O271)-SEARCH(" ",O271,125)),MID(O271,SEARCH(" ",O271,130),IF(LEN(O271)&lt;=265,LEN(O271),SEARCH(" ",O271,255)-SEARCH(" ",O271,130)))))</f>
        <v/>
      </c>
      <c r="D272" s="504"/>
      <c r="E272" s="504"/>
      <c r="F272" s="504"/>
      <c r="G272" s="504"/>
      <c r="H272" s="504"/>
      <c r="I272" s="504"/>
      <c r="J272" s="504"/>
      <c r="K272" s="81"/>
      <c r="L272" s="957" t="s">
        <v>482</v>
      </c>
      <c r="M272" s="97"/>
      <c r="N272" s="855" t="s">
        <v>347</v>
      </c>
      <c r="O272" s="1491"/>
      <c r="P272" s="856">
        <f>LEN(O271)</f>
        <v>0</v>
      </c>
      <c r="Q272" s="960"/>
      <c r="R272" s="963">
        <f>LEN(Q271)</f>
        <v>0</v>
      </c>
      <c r="S272" s="69"/>
      <c r="T272" s="69"/>
      <c r="U272" s="69"/>
      <c r="V272" s="69"/>
      <c r="W272" s="438"/>
      <c r="X272" s="939" t="s">
        <v>482</v>
      </c>
      <c r="Y272" s="950"/>
      <c r="Z272" s="769"/>
      <c r="AA272" s="769"/>
      <c r="AB272" s="1411"/>
      <c r="AC272" s="781" t="str">
        <f t="shared" ref="AC272:AC335" si="53">IF(AND(OR(AB272="",AB272=0),OR(AD272="",AD272=0)),"",IF(AB272&lt;&gt;AD272,"Change",""))</f>
        <v>Change</v>
      </c>
      <c r="AD272" s="1439">
        <f t="shared" si="52"/>
        <v>20</v>
      </c>
      <c r="AE272" s="769" t="s">
        <v>922</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7">
        <v>9</v>
      </c>
      <c r="B273" s="97"/>
      <c r="C273" s="860" t="str">
        <f>IF(LEN(O271)&lt;=265,"",RIGHT(O271,LEN(O271)-SEARCH(" ",O271,255)))</f>
        <v/>
      </c>
      <c r="D273" s="504"/>
      <c r="E273" s="504"/>
      <c r="F273" s="504"/>
      <c r="G273" s="504"/>
      <c r="H273" s="504"/>
      <c r="I273" s="504"/>
      <c r="J273" s="504"/>
      <c r="K273" s="81"/>
      <c r="L273" s="957" t="s">
        <v>482</v>
      </c>
      <c r="M273" s="139"/>
      <c r="N273" s="182" t="s">
        <v>143</v>
      </c>
      <c r="O273" s="1490"/>
      <c r="P273" s="575"/>
      <c r="Q273" s="958" t="str">
        <f>IF(OR(AB354=0,AB354=""),"",AB354)</f>
        <v/>
      </c>
      <c r="R273" s="57"/>
      <c r="S273" s="57"/>
      <c r="T273" s="57"/>
      <c r="U273" s="57"/>
      <c r="V273" s="57"/>
      <c r="W273" s="435"/>
      <c r="X273" s="939" t="s">
        <v>482</v>
      </c>
      <c r="Y273" s="950"/>
      <c r="Z273" s="769"/>
      <c r="AA273" s="769"/>
      <c r="AB273" s="1411"/>
      <c r="AC273" s="781" t="str">
        <f t="shared" si="53"/>
        <v>Change</v>
      </c>
      <c r="AD273" s="1439">
        <f t="shared" si="52"/>
        <v>13</v>
      </c>
      <c r="AE273" s="769" t="s">
        <v>923</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7">
        <v>10</v>
      </c>
      <c r="B274" s="155"/>
      <c r="C274" s="860" t="str">
        <f>IF(O273="","",IF(LEN(O273)&lt;=135,O273,IF(LEN(O273)&lt;=260,LEFT(O273,SEARCH(" ",O273,125)),LEFT(O273,SEARCH(" ",O273,130)))))</f>
        <v/>
      </c>
      <c r="D274" s="504"/>
      <c r="E274" s="504"/>
      <c r="F274" s="504"/>
      <c r="G274" s="504"/>
      <c r="H274" s="504"/>
      <c r="I274" s="504"/>
      <c r="J274" s="504"/>
      <c r="K274" s="81"/>
      <c r="L274" s="957" t="s">
        <v>482</v>
      </c>
      <c r="M274" s="97"/>
      <c r="N274" s="855" t="s">
        <v>347</v>
      </c>
      <c r="O274" s="1491"/>
      <c r="P274" s="856">
        <f>LEN(O273)</f>
        <v>0</v>
      </c>
      <c r="Q274" s="960"/>
      <c r="R274" s="963">
        <f>LEN(Q273)</f>
        <v>0</v>
      </c>
      <c r="S274" s="57"/>
      <c r="T274" s="57"/>
      <c r="U274" s="57"/>
      <c r="V274" s="57"/>
      <c r="W274" s="435"/>
      <c r="X274" s="939" t="s">
        <v>482</v>
      </c>
      <c r="Y274" s="950"/>
      <c r="Z274" s="769"/>
      <c r="AA274" s="769"/>
      <c r="AB274" s="1411"/>
      <c r="AC274" s="781" t="str">
        <f t="shared" si="53"/>
        <v>Change</v>
      </c>
      <c r="AD274" s="1439">
        <f t="shared" si="52"/>
        <v>15</v>
      </c>
      <c r="AE274" s="769" t="s">
        <v>924</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7">
        <v>11</v>
      </c>
      <c r="B275" s="155"/>
      <c r="C275" s="860" t="str">
        <f>IF(LEN(O273)&lt;=135,"",IF(LEN(O273)&lt;=260,RIGHT(O273,LEN(O273)-SEARCH(" ",O273,125)),MID(O273,SEARCH(" ",O273,130),IF(LEN(O273)&lt;=265,LEN(O273),SEARCH(" ",O273,255)-SEARCH(" ",O273,130)))))</f>
        <v/>
      </c>
      <c r="D275" s="504"/>
      <c r="E275" s="504"/>
      <c r="F275" s="504"/>
      <c r="G275" s="504"/>
      <c r="H275" s="504"/>
      <c r="I275" s="504"/>
      <c r="J275" s="504"/>
      <c r="K275" s="81"/>
      <c r="L275" s="957" t="s">
        <v>482</v>
      </c>
      <c r="M275" s="442"/>
      <c r="N275" s="182" t="s">
        <v>143</v>
      </c>
      <c r="O275" s="1490"/>
      <c r="P275" s="575"/>
      <c r="Q275" s="958" t="str">
        <f>IF(OR(AB356=0,AB356=""),"",AB356)</f>
        <v/>
      </c>
      <c r="R275" s="57"/>
      <c r="S275" s="69"/>
      <c r="T275" s="69"/>
      <c r="U275" s="69"/>
      <c r="V275" s="69"/>
      <c r="W275" s="438"/>
      <c r="X275" s="939" t="s">
        <v>482</v>
      </c>
      <c r="Y275" s="950"/>
      <c r="Z275" s="769"/>
      <c r="AA275" s="769"/>
      <c r="AB275" s="1411"/>
      <c r="AC275" s="781" t="str">
        <f t="shared" si="53"/>
        <v>Change</v>
      </c>
      <c r="AD275" s="1439">
        <f t="shared" si="52"/>
        <v>8</v>
      </c>
      <c r="AE275" s="769" t="s">
        <v>925</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7">
        <v>12</v>
      </c>
      <c r="B276" s="155"/>
      <c r="C276" s="860" t="str">
        <f>IF(LEN(O273)&lt;=265,"",RIGHT(O273,LEN(O273)-SEARCH(" ",O273,255)))</f>
        <v/>
      </c>
      <c r="D276" s="504"/>
      <c r="E276" s="504"/>
      <c r="F276" s="504"/>
      <c r="G276" s="504"/>
      <c r="H276" s="504"/>
      <c r="I276" s="504"/>
      <c r="J276" s="504"/>
      <c r="K276" s="81"/>
      <c r="L276" s="957" t="s">
        <v>482</v>
      </c>
      <c r="M276" s="139"/>
      <c r="N276" s="855" t="s">
        <v>347</v>
      </c>
      <c r="O276" s="1491"/>
      <c r="P276" s="856">
        <f>LEN(O275)</f>
        <v>0</v>
      </c>
      <c r="Q276" s="960"/>
      <c r="R276" s="963">
        <f>LEN(Q275)</f>
        <v>0</v>
      </c>
      <c r="S276" s="57"/>
      <c r="T276" s="57"/>
      <c r="U276" s="57"/>
      <c r="V276" s="57"/>
      <c r="W276" s="435"/>
      <c r="X276" s="939" t="s">
        <v>482</v>
      </c>
      <c r="Y276" s="950"/>
      <c r="Z276" s="769"/>
      <c r="AA276" s="769"/>
      <c r="AB276" s="1411"/>
      <c r="AC276" s="781" t="str">
        <f t="shared" si="53"/>
        <v>Change</v>
      </c>
      <c r="AD276" s="1439">
        <f t="shared" si="52"/>
        <v>12</v>
      </c>
      <c r="AE276" s="769" t="s">
        <v>926</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7">
        <v>13</v>
      </c>
      <c r="B277" s="155"/>
      <c r="C277" s="860" t="str">
        <f>IF(O275="","",IF(LEN(O275)&lt;=135,O275,IF(LEN(O275)&lt;=260,LEFT(O275,SEARCH(" ",O275,125)),LEFT(O275,SEARCH(" ",O275,130)))))</f>
        <v/>
      </c>
      <c r="D277" s="504"/>
      <c r="E277" s="504"/>
      <c r="F277" s="504"/>
      <c r="G277" s="504"/>
      <c r="H277" s="504"/>
      <c r="I277" s="504"/>
      <c r="J277" s="504"/>
      <c r="K277" s="81"/>
      <c r="L277" s="957" t="s">
        <v>482</v>
      </c>
      <c r="M277" s="97"/>
      <c r="N277" s="182" t="s">
        <v>143</v>
      </c>
      <c r="O277" s="1490"/>
      <c r="P277" s="575"/>
      <c r="Q277" s="958" t="str">
        <f>IF(OR(AB358=0,AB358=""),"",AB358)</f>
        <v/>
      </c>
      <c r="R277" s="57"/>
      <c r="S277" s="57"/>
      <c r="T277" s="57"/>
      <c r="U277" s="57"/>
      <c r="V277" s="57"/>
      <c r="W277" s="435"/>
      <c r="X277" s="939" t="s">
        <v>482</v>
      </c>
      <c r="Y277" s="950"/>
      <c r="Z277" s="769"/>
      <c r="AA277" s="769"/>
      <c r="AB277" s="1411"/>
      <c r="AC277" s="781" t="str">
        <f t="shared" si="53"/>
        <v>Change</v>
      </c>
      <c r="AD277" s="1439">
        <f t="shared" si="52"/>
        <v>20</v>
      </c>
      <c r="AE277" s="769" t="s">
        <v>927</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7">
        <v>14</v>
      </c>
      <c r="B278" s="155"/>
      <c r="C278" s="860" t="str">
        <f>IF(LEN(O275)&lt;=135,"",IF(LEN(O275)&lt;=260,RIGHT(O275,LEN(O275)-SEARCH(" ",O275,125)),MID(O275,SEARCH(" ",O275,130),IF(LEN(O275)&lt;=265,LEN(O275),SEARCH(" ",O275,255)-SEARCH(" ",O275,130)))))</f>
        <v/>
      </c>
      <c r="D278" s="504"/>
      <c r="E278" s="504"/>
      <c r="F278" s="504"/>
      <c r="G278" s="504"/>
      <c r="H278" s="504"/>
      <c r="I278" s="504"/>
      <c r="J278" s="504"/>
      <c r="K278" s="81"/>
      <c r="L278" s="957" t="s">
        <v>482</v>
      </c>
      <c r="M278" s="442"/>
      <c r="N278" s="855" t="s">
        <v>347</v>
      </c>
      <c r="O278" s="1491"/>
      <c r="P278" s="856">
        <f>LEN(O277)</f>
        <v>0</v>
      </c>
      <c r="Q278" s="960"/>
      <c r="R278" s="963">
        <f>LEN(Q277)</f>
        <v>0</v>
      </c>
      <c r="S278" s="69"/>
      <c r="T278" s="69"/>
      <c r="U278" s="69"/>
      <c r="V278" s="69"/>
      <c r="W278" s="438"/>
      <c r="X278" s="939" t="s">
        <v>482</v>
      </c>
      <c r="Y278" s="950"/>
      <c r="Z278" s="769"/>
      <c r="AA278" s="769"/>
      <c r="AB278" s="1411"/>
      <c r="AC278" s="781" t="str">
        <f t="shared" si="53"/>
        <v>Change</v>
      </c>
      <c r="AD278" s="1439">
        <f t="shared" si="52"/>
        <v>15</v>
      </c>
      <c r="AE278" s="769" t="s">
        <v>928</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7">
        <v>15</v>
      </c>
      <c r="B279" s="155"/>
      <c r="C279" s="860" t="str">
        <f>IF(LEN(O275)&lt;=265,"",RIGHT(O275,LEN(O275)-SEARCH(" ",O275,255)))</f>
        <v/>
      </c>
      <c r="D279" s="504"/>
      <c r="E279" s="504"/>
      <c r="F279" s="504"/>
      <c r="G279" s="504"/>
      <c r="H279" s="504"/>
      <c r="I279" s="504"/>
      <c r="J279" s="504"/>
      <c r="K279" s="81"/>
      <c r="L279" s="957" t="s">
        <v>482</v>
      </c>
      <c r="M279" s="139"/>
      <c r="N279" s="182" t="s">
        <v>143</v>
      </c>
      <c r="O279" s="1490"/>
      <c r="P279" s="575"/>
      <c r="Q279" s="958" t="str">
        <f>IF(OR(AB360=0,AB360=""),"",AB360)</f>
        <v/>
      </c>
      <c r="R279" s="57"/>
      <c r="S279" s="57"/>
      <c r="T279" s="57"/>
      <c r="U279" s="57"/>
      <c r="V279" s="57"/>
      <c r="W279" s="435"/>
      <c r="X279" s="939" t="s">
        <v>482</v>
      </c>
      <c r="Y279" s="950"/>
      <c r="Z279" s="769"/>
      <c r="AA279" s="769"/>
      <c r="AB279" s="1411"/>
      <c r="AC279" s="781" t="str">
        <f t="shared" si="53"/>
        <v>Change</v>
      </c>
      <c r="AD279" s="1439">
        <f t="shared" si="52"/>
        <v>23</v>
      </c>
      <c r="AE279" s="769" t="s">
        <v>929</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7">
        <v>16</v>
      </c>
      <c r="B280" s="155"/>
      <c r="C280" s="860" t="str">
        <f>IF(O277="","",IF(LEN(O277)&lt;=135,O277,IF(LEN(O277)&lt;=260,LEFT(O277,SEARCH(" ",O277,125)),LEFT(O277,SEARCH(" ",O277,130)))))</f>
        <v/>
      </c>
      <c r="D280" s="504"/>
      <c r="E280" s="504"/>
      <c r="F280" s="504"/>
      <c r="G280" s="504"/>
      <c r="H280" s="504"/>
      <c r="I280" s="504"/>
      <c r="J280" s="504"/>
      <c r="K280" s="81"/>
      <c r="L280" s="957" t="s">
        <v>482</v>
      </c>
      <c r="M280" s="97"/>
      <c r="N280" s="855" t="s">
        <v>347</v>
      </c>
      <c r="O280" s="1491"/>
      <c r="P280" s="856">
        <f>LEN(O279)</f>
        <v>0</v>
      </c>
      <c r="Q280" s="960"/>
      <c r="R280" s="963">
        <f>LEN(Q279)</f>
        <v>0</v>
      </c>
      <c r="S280" s="57"/>
      <c r="T280" s="57"/>
      <c r="U280" s="57"/>
      <c r="V280" s="57"/>
      <c r="W280" s="435"/>
      <c r="X280" s="939" t="s">
        <v>482</v>
      </c>
      <c r="Y280" s="950"/>
      <c r="Z280" s="769"/>
      <c r="AA280" s="769"/>
      <c r="AB280" s="769"/>
      <c r="AC280" s="781" t="str">
        <f t="shared" si="53"/>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7">
        <v>17</v>
      </c>
      <c r="B281" s="155"/>
      <c r="C281" s="860" t="str">
        <f>IF(LEN(O277)&lt;=135,"",IF(LEN(O277)&lt;=260,RIGHT(O277,LEN(O277)-SEARCH(" ",O277,125)),MID(O277,SEARCH(" ",O277,130),IF(LEN(O277)&lt;=265,LEN(O277),SEARCH(" ",O277,255)-SEARCH(" ",O277,130)))))</f>
        <v/>
      </c>
      <c r="D281" s="504"/>
      <c r="E281" s="504"/>
      <c r="F281" s="504"/>
      <c r="G281" s="504"/>
      <c r="H281" s="504"/>
      <c r="I281" s="504"/>
      <c r="J281" s="504"/>
      <c r="K281" s="81"/>
      <c r="L281" s="957" t="s">
        <v>482</v>
      </c>
      <c r="M281" s="442"/>
      <c r="N281" s="182" t="s">
        <v>143</v>
      </c>
      <c r="O281" s="1490"/>
      <c r="P281" s="575"/>
      <c r="Q281" s="958" t="str">
        <f>IF(OR(AB362=0,AB362=""),"",AB362)</f>
        <v/>
      </c>
      <c r="R281" s="57"/>
      <c r="S281" s="69"/>
      <c r="T281" s="69"/>
      <c r="U281" s="69"/>
      <c r="V281" s="69"/>
      <c r="W281" s="438"/>
      <c r="X281" s="939" t="s">
        <v>482</v>
      </c>
      <c r="Y281" s="950"/>
      <c r="Z281" s="769"/>
      <c r="AA281" s="775" t="s">
        <v>638</v>
      </c>
      <c r="AB281" s="1411"/>
      <c r="AC281" s="781" t="str">
        <f t="shared" si="53"/>
        <v>Change</v>
      </c>
      <c r="AD281" s="1438" t="str">
        <f t="shared" ref="AD281:AD290" si="54">Q87</f>
        <v>14x17</v>
      </c>
      <c r="AE281" s="769" t="s">
        <v>930</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7">
        <v>18</v>
      </c>
      <c r="B282" s="155"/>
      <c r="C282" s="860" t="str">
        <f>IF(LEN(O277)&lt;=265,"",RIGHT(O277,LEN(O277)-SEARCH(" ",O277,255)))</f>
        <v/>
      </c>
      <c r="D282" s="504"/>
      <c r="E282" s="504"/>
      <c r="F282" s="504"/>
      <c r="G282" s="504"/>
      <c r="H282" s="504"/>
      <c r="I282" s="504"/>
      <c r="J282" s="504"/>
      <c r="K282" s="81"/>
      <c r="L282" s="957" t="s">
        <v>482</v>
      </c>
      <c r="M282" s="139"/>
      <c r="N282" s="855" t="s">
        <v>347</v>
      </c>
      <c r="O282" s="1491"/>
      <c r="P282" s="856">
        <f>LEN(O281)</f>
        <v>0</v>
      </c>
      <c r="Q282" s="960"/>
      <c r="R282" s="963">
        <f>LEN(Q281)</f>
        <v>0</v>
      </c>
      <c r="S282" s="57"/>
      <c r="T282" s="57"/>
      <c r="U282" s="57"/>
      <c r="V282" s="57"/>
      <c r="W282" s="435"/>
      <c r="X282" s="939" t="s">
        <v>482</v>
      </c>
      <c r="Y282" s="950"/>
      <c r="Z282" s="769"/>
      <c r="AA282" s="769"/>
      <c r="AB282" s="1411"/>
      <c r="AC282" s="781" t="str">
        <f t="shared" si="53"/>
        <v>Change</v>
      </c>
      <c r="AD282" s="1438" t="str">
        <f t="shared" si="54"/>
        <v>14x17</v>
      </c>
      <c r="AE282" s="769" t="s">
        <v>931</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7">
        <v>19</v>
      </c>
      <c r="B283" s="155"/>
      <c r="C283" s="860" t="str">
        <f>IF(O279="","",IF(LEN(O279)&lt;=135,O279,IF(LEN(O279)&lt;=260,LEFT(O279,SEARCH(" ",O279,125)),LEFT(O279,SEARCH(" ",O279,130)))))</f>
        <v/>
      </c>
      <c r="D283" s="504"/>
      <c r="E283" s="504"/>
      <c r="F283" s="504"/>
      <c r="G283" s="504"/>
      <c r="H283" s="504"/>
      <c r="I283" s="504"/>
      <c r="J283" s="504"/>
      <c r="K283" s="81"/>
      <c r="L283" s="957" t="s">
        <v>482</v>
      </c>
      <c r="M283" s="97"/>
      <c r="N283" s="182" t="s">
        <v>143</v>
      </c>
      <c r="O283" s="1490"/>
      <c r="P283" s="575"/>
      <c r="Q283" s="958" t="str">
        <f>IF(OR(AB364=0,AB364=""),"",AB364)</f>
        <v/>
      </c>
      <c r="R283" s="57"/>
      <c r="S283" s="57"/>
      <c r="T283" s="57"/>
      <c r="U283" s="57"/>
      <c r="V283" s="57"/>
      <c r="W283" s="435"/>
      <c r="X283" s="939" t="s">
        <v>482</v>
      </c>
      <c r="Y283" s="950"/>
      <c r="Z283" s="769"/>
      <c r="AA283" s="769"/>
      <c r="AB283" s="1411"/>
      <c r="AC283" s="781" t="str">
        <f t="shared" si="53"/>
        <v>Change</v>
      </c>
      <c r="AD283" s="1438" t="str">
        <f t="shared" si="54"/>
        <v>14x17</v>
      </c>
      <c r="AE283" s="769" t="s">
        <v>932</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7">
        <v>20</v>
      </c>
      <c r="B284" s="155"/>
      <c r="C284" s="860" t="str">
        <f>IF(LEN(O279)&lt;=135,"",IF(LEN(O279)&lt;=260,RIGHT(O279,LEN(O279)-SEARCH(" ",O279,125)),MID(O279,SEARCH(" ",O279,130),IF(LEN(O279)&lt;=265,LEN(O279),SEARCH(" ",O279,255)-SEARCH(" ",O279,130)))))</f>
        <v/>
      </c>
      <c r="D284" s="504"/>
      <c r="E284" s="504"/>
      <c r="F284" s="504"/>
      <c r="G284" s="504"/>
      <c r="H284" s="504"/>
      <c r="I284" s="504"/>
      <c r="J284" s="504"/>
      <c r="K284" s="81"/>
      <c r="L284" s="957" t="s">
        <v>482</v>
      </c>
      <c r="M284" s="442"/>
      <c r="N284" s="855" t="s">
        <v>347</v>
      </c>
      <c r="O284" s="1491"/>
      <c r="P284" s="856">
        <f>LEN(O283)</f>
        <v>0</v>
      </c>
      <c r="Q284" s="960"/>
      <c r="R284" s="963">
        <f>LEN(Q283)</f>
        <v>0</v>
      </c>
      <c r="S284" s="69"/>
      <c r="T284" s="69"/>
      <c r="U284" s="69"/>
      <c r="V284" s="69"/>
      <c r="W284" s="438"/>
      <c r="X284" s="939" t="s">
        <v>482</v>
      </c>
      <c r="Y284" s="950"/>
      <c r="Z284" s="769"/>
      <c r="AA284" s="769"/>
      <c r="AB284" s="1411"/>
      <c r="AC284" s="781" t="str">
        <f t="shared" si="53"/>
        <v>Change</v>
      </c>
      <c r="AD284" s="1438" t="str">
        <f t="shared" si="54"/>
        <v>10x12</v>
      </c>
      <c r="AE284" s="769" t="s">
        <v>933</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7">
        <v>21</v>
      </c>
      <c r="B285" s="155"/>
      <c r="C285" s="860" t="str">
        <f>IF(LEN(O279)&lt;=265,"",RIGHT(O279,LEN(O279)-SEARCH(" ",O279,255)))</f>
        <v/>
      </c>
      <c r="D285" s="504"/>
      <c r="E285" s="504"/>
      <c r="F285" s="504"/>
      <c r="G285" s="504"/>
      <c r="H285" s="504"/>
      <c r="I285" s="504"/>
      <c r="J285" s="504"/>
      <c r="K285" s="81"/>
      <c r="L285" s="957" t="s">
        <v>482</v>
      </c>
      <c r="M285" s="139"/>
      <c r="N285" s="182" t="s">
        <v>143</v>
      </c>
      <c r="O285" s="1490"/>
      <c r="P285" s="575"/>
      <c r="Q285" s="958" t="str">
        <f>IF(OR(AB366=0,AB366=""),"",AB366)</f>
        <v/>
      </c>
      <c r="R285" s="57"/>
      <c r="S285" s="57"/>
      <c r="T285" s="57"/>
      <c r="U285" s="57"/>
      <c r="V285" s="57"/>
      <c r="W285" s="435"/>
      <c r="X285" s="939" t="s">
        <v>482</v>
      </c>
      <c r="Y285" s="950"/>
      <c r="Z285" s="769"/>
      <c r="AA285" s="769"/>
      <c r="AB285" s="1411"/>
      <c r="AC285" s="781" t="str">
        <f t="shared" si="53"/>
        <v>Change</v>
      </c>
      <c r="AD285" s="1438" t="str">
        <f t="shared" si="54"/>
        <v>8x10</v>
      </c>
      <c r="AE285" s="769" t="s">
        <v>934</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7">
        <v>22</v>
      </c>
      <c r="B286" s="155"/>
      <c r="C286" s="860" t="str">
        <f>IF(O281="","",IF(LEN(O281)&lt;=135,O281,IF(LEN(O281)&lt;=260,LEFT(O281,SEARCH(" ",O281,125)),LEFT(O281,SEARCH(" ",O281,130)))))</f>
        <v/>
      </c>
      <c r="D286" s="504"/>
      <c r="E286" s="504"/>
      <c r="F286" s="504"/>
      <c r="G286" s="504"/>
      <c r="H286" s="504"/>
      <c r="I286" s="504"/>
      <c r="J286" s="504"/>
      <c r="K286" s="81"/>
      <c r="L286" s="957" t="s">
        <v>482</v>
      </c>
      <c r="M286" s="97"/>
      <c r="N286" s="855" t="s">
        <v>347</v>
      </c>
      <c r="O286" s="1491"/>
      <c r="P286" s="856">
        <f>LEN(O285)</f>
        <v>0</v>
      </c>
      <c r="Q286" s="960"/>
      <c r="R286" s="963">
        <f>LEN(Q285)</f>
        <v>0</v>
      </c>
      <c r="S286" s="57"/>
      <c r="T286" s="57"/>
      <c r="U286" s="57"/>
      <c r="V286" s="57"/>
      <c r="W286" s="435"/>
      <c r="X286" s="939" t="s">
        <v>482</v>
      </c>
      <c r="Y286" s="950"/>
      <c r="Z286" s="769"/>
      <c r="AA286" s="769"/>
      <c r="AB286" s="1411"/>
      <c r="AC286" s="781" t="str">
        <f t="shared" si="53"/>
        <v>Change</v>
      </c>
      <c r="AD286" s="1438" t="str">
        <f t="shared" si="54"/>
        <v>8x10</v>
      </c>
      <c r="AE286" s="769" t="s">
        <v>935</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7">
        <v>23</v>
      </c>
      <c r="B287" s="155"/>
      <c r="C287" s="860" t="str">
        <f>IF(LEN(O281)&lt;=135,"",IF(LEN(O281)&lt;=260,RIGHT(O281,LEN(O281)-SEARCH(" ",O281,125)),MID(O281,SEARCH(" ",O281,130),IF(LEN(O281)&lt;=265,LEN(O281),SEARCH(" ",O281,255)-SEARCH(" ",O281,130)))))</f>
        <v/>
      </c>
      <c r="D287" s="504"/>
      <c r="E287" s="504"/>
      <c r="F287" s="504"/>
      <c r="G287" s="504"/>
      <c r="H287" s="504"/>
      <c r="I287" s="504"/>
      <c r="J287" s="504"/>
      <c r="K287" s="81"/>
      <c r="L287" s="957" t="s">
        <v>482</v>
      </c>
      <c r="M287" s="442"/>
      <c r="N287" s="182" t="s">
        <v>143</v>
      </c>
      <c r="O287" s="1490"/>
      <c r="P287" s="575"/>
      <c r="Q287" s="958" t="str">
        <f>IF(OR(AB368=0,AB368=""),"",AB368)</f>
        <v/>
      </c>
      <c r="R287" s="57"/>
      <c r="S287" s="69"/>
      <c r="T287" s="69"/>
      <c r="U287" s="69"/>
      <c r="V287" s="69"/>
      <c r="W287" s="438"/>
      <c r="X287" s="939" t="s">
        <v>482</v>
      </c>
      <c r="Y287" s="950"/>
      <c r="Z287" s="769"/>
      <c r="AA287" s="769"/>
      <c r="AB287" s="1411"/>
      <c r="AC287" s="781" t="str">
        <f t="shared" si="53"/>
        <v>Change</v>
      </c>
      <c r="AD287" s="1438" t="str">
        <f t="shared" si="54"/>
        <v>10x12</v>
      </c>
      <c r="AE287" s="769" t="s">
        <v>936</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7">
        <v>24</v>
      </c>
      <c r="B288" s="155"/>
      <c r="C288" s="860" t="str">
        <f>IF(LEN(O281)&lt;=265,"",RIGHT(O281,LEN(O281)-SEARCH(" ",O281,255)))</f>
        <v/>
      </c>
      <c r="D288" s="504"/>
      <c r="E288" s="504"/>
      <c r="F288" s="504"/>
      <c r="G288" s="504"/>
      <c r="H288" s="504"/>
      <c r="I288" s="504"/>
      <c r="J288" s="504"/>
      <c r="K288" s="81"/>
      <c r="L288" s="957" t="s">
        <v>482</v>
      </c>
      <c r="M288" s="139"/>
      <c r="N288" s="855" t="s">
        <v>347</v>
      </c>
      <c r="O288" s="1491"/>
      <c r="P288" s="856">
        <f>LEN(O287)</f>
        <v>0</v>
      </c>
      <c r="Q288" s="960"/>
      <c r="R288" s="963">
        <f>LEN(Q287)</f>
        <v>0</v>
      </c>
      <c r="S288" s="57"/>
      <c r="T288" s="57"/>
      <c r="U288" s="57"/>
      <c r="V288" s="57"/>
      <c r="W288" s="435"/>
      <c r="X288" s="939" t="s">
        <v>482</v>
      </c>
      <c r="Y288" s="950"/>
      <c r="Z288" s="769"/>
      <c r="AA288" s="769"/>
      <c r="AB288" s="1411"/>
      <c r="AC288" s="781" t="str">
        <f t="shared" si="53"/>
        <v>Change</v>
      </c>
      <c r="AD288" s="1438" t="str">
        <f t="shared" si="54"/>
        <v>14x17</v>
      </c>
      <c r="AE288" s="769" t="s">
        <v>937</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7">
        <v>25</v>
      </c>
      <c r="B289" s="155"/>
      <c r="C289" s="860" t="str">
        <f>IF(O283="","",IF(LEN(O283)&lt;=135,O283,IF(LEN(O283)&lt;=260,LEFT(O283,SEARCH(" ",O283,125)),LEFT(O283,SEARCH(" ",O283,130)))))</f>
        <v/>
      </c>
      <c r="D289" s="504"/>
      <c r="E289" s="504"/>
      <c r="F289" s="504"/>
      <c r="G289" s="504"/>
      <c r="H289" s="504"/>
      <c r="I289" s="504"/>
      <c r="J289" s="504"/>
      <c r="K289" s="81"/>
      <c r="L289" s="957" t="s">
        <v>482</v>
      </c>
      <c r="M289" s="97"/>
      <c r="N289" s="182" t="s">
        <v>143</v>
      </c>
      <c r="O289" s="1490"/>
      <c r="P289" s="575"/>
      <c r="Q289" s="958" t="str">
        <f>IF(OR(AB370=0,AB370=""),"",AB370)</f>
        <v/>
      </c>
      <c r="R289" s="57"/>
      <c r="S289" s="57"/>
      <c r="T289" s="57"/>
      <c r="U289" s="57"/>
      <c r="V289" s="57"/>
      <c r="W289" s="435"/>
      <c r="X289" s="939" t="s">
        <v>482</v>
      </c>
      <c r="Y289" s="950"/>
      <c r="Z289" s="769"/>
      <c r="AA289" s="769"/>
      <c r="AB289" s="1411"/>
      <c r="AC289" s="781" t="str">
        <f t="shared" si="53"/>
        <v>Change</v>
      </c>
      <c r="AD289" s="1438" t="str">
        <f t="shared" si="54"/>
        <v>10x12</v>
      </c>
      <c r="AE289" s="769" t="s">
        <v>938</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7">
        <v>26</v>
      </c>
      <c r="B290" s="155"/>
      <c r="C290" s="860" t="str">
        <f>IF(LEN(O283)&lt;=135,"",IF(LEN(O283)&lt;=260,RIGHT(O283,LEN(O283)-SEARCH(" ",O283,125)),MID(O283,SEARCH(" ",O283,130),IF(LEN(O283)&lt;=265,LEN(O283),SEARCH(" ",O283,255)-SEARCH(" ",O283,130)))))</f>
        <v/>
      </c>
      <c r="D290" s="504"/>
      <c r="E290" s="504"/>
      <c r="F290" s="504"/>
      <c r="G290" s="504"/>
      <c r="H290" s="504"/>
      <c r="I290" s="504"/>
      <c r="J290" s="504"/>
      <c r="K290" s="81"/>
      <c r="L290" s="957" t="s">
        <v>482</v>
      </c>
      <c r="M290" s="442"/>
      <c r="N290" s="855" t="s">
        <v>347</v>
      </c>
      <c r="O290" s="1491"/>
      <c r="P290" s="856">
        <f>LEN(O289)</f>
        <v>0</v>
      </c>
      <c r="Q290" s="960"/>
      <c r="R290" s="963">
        <f>LEN(Q289)</f>
        <v>0</v>
      </c>
      <c r="S290" s="69"/>
      <c r="T290" s="69"/>
      <c r="U290" s="69"/>
      <c r="V290" s="69"/>
      <c r="W290" s="438"/>
      <c r="X290" s="939" t="s">
        <v>482</v>
      </c>
      <c r="Y290" s="950"/>
      <c r="Z290" s="769"/>
      <c r="AA290" s="769"/>
      <c r="AB290" s="1411"/>
      <c r="AC290" s="781" t="str">
        <f t="shared" si="53"/>
        <v>Change</v>
      </c>
      <c r="AD290" s="1438" t="str">
        <f t="shared" si="54"/>
        <v>10x12</v>
      </c>
      <c r="AE290" s="769" t="s">
        <v>939</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7">
        <v>27</v>
      </c>
      <c r="B291" s="155"/>
      <c r="C291" s="860" t="str">
        <f>IF(LEN(O283)&lt;=265,"",RIGHT(O283,LEN(O283)-SEARCH(" ",O283,255)))</f>
        <v/>
      </c>
      <c r="D291" s="504"/>
      <c r="E291" s="504"/>
      <c r="F291" s="504"/>
      <c r="G291" s="504"/>
      <c r="H291" s="504"/>
      <c r="I291" s="504"/>
      <c r="J291" s="504"/>
      <c r="K291" s="81"/>
      <c r="L291" s="957" t="s">
        <v>482</v>
      </c>
      <c r="M291" s="139"/>
      <c r="N291" s="182" t="s">
        <v>143</v>
      </c>
      <c r="O291" s="1490"/>
      <c r="P291" s="575"/>
      <c r="Q291" s="958" t="str">
        <f>IF(OR(AB372=0,AB372=""),"",AB372)</f>
        <v/>
      </c>
      <c r="R291" s="57"/>
      <c r="S291" s="57"/>
      <c r="T291" s="57"/>
      <c r="U291" s="57"/>
      <c r="V291" s="57"/>
      <c r="W291" s="435"/>
      <c r="X291" s="939" t="s">
        <v>482</v>
      </c>
      <c r="Y291" s="950"/>
      <c r="Z291" s="769"/>
      <c r="AA291" s="769"/>
      <c r="AB291" s="769"/>
      <c r="AC291" s="781" t="str">
        <f t="shared" si="53"/>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7">
        <v>28</v>
      </c>
      <c r="B292" s="155"/>
      <c r="C292" s="860" t="str">
        <f>IF(O285="","",IF(LEN(O285)&lt;=135,O285,IF(LEN(O285)&lt;=260,LEFT(O285,SEARCH(" ",O285,125)),LEFT(O285,SEARCH(" ",O285,130)))))</f>
        <v/>
      </c>
      <c r="D292" s="504"/>
      <c r="E292" s="504"/>
      <c r="F292" s="504"/>
      <c r="G292" s="504"/>
      <c r="H292" s="504"/>
      <c r="I292" s="504"/>
      <c r="J292" s="504"/>
      <c r="K292" s="81"/>
      <c r="L292" s="957" t="s">
        <v>482</v>
      </c>
      <c r="M292" s="97"/>
      <c r="N292" s="855" t="s">
        <v>347</v>
      </c>
      <c r="O292" s="1491"/>
      <c r="P292" s="856">
        <f>LEN(O291)</f>
        <v>0</v>
      </c>
      <c r="Q292" s="960"/>
      <c r="R292" s="963">
        <f>LEN(Q291)</f>
        <v>0</v>
      </c>
      <c r="S292" s="57"/>
      <c r="T292" s="57"/>
      <c r="U292" s="57"/>
      <c r="V292" s="57"/>
      <c r="W292" s="435"/>
      <c r="X292" s="939" t="s">
        <v>482</v>
      </c>
      <c r="Y292" s="950"/>
      <c r="Z292" s="769"/>
      <c r="AA292" s="775" t="s">
        <v>539</v>
      </c>
      <c r="AB292" s="1411"/>
      <c r="AC292" s="781" t="str">
        <f t="shared" si="53"/>
        <v>Change</v>
      </c>
      <c r="AD292" s="1438">
        <f t="shared" ref="AD292:AD301" si="55">R87</f>
        <v>120</v>
      </c>
      <c r="AE292" s="769" t="s">
        <v>940</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7">
        <v>29</v>
      </c>
      <c r="B293" s="155"/>
      <c r="C293" s="860" t="str">
        <f>IF(LEN(O285)&lt;=135,"",IF(LEN(O285)&lt;=260,RIGHT(O285,LEN(O285)-SEARCH(" ",O285,125)),MID(O285,SEARCH(" ",O285,130),IF(LEN(O285)&lt;=265,LEN(O285),SEARCH(" ",O285,255)-SEARCH(" ",O285,130)))))</f>
        <v/>
      </c>
      <c r="D293" s="504"/>
      <c r="E293" s="504"/>
      <c r="F293" s="504"/>
      <c r="G293" s="504"/>
      <c r="H293" s="504"/>
      <c r="I293" s="504"/>
      <c r="J293" s="504"/>
      <c r="K293" s="81"/>
      <c r="L293" s="957" t="s">
        <v>482</v>
      </c>
      <c r="M293" s="442"/>
      <c r="N293" s="182" t="s">
        <v>143</v>
      </c>
      <c r="O293" s="1490"/>
      <c r="P293" s="575"/>
      <c r="Q293" s="958" t="str">
        <f>IF(OR(AB374=0,AB374=""),"",AB374)</f>
        <v/>
      </c>
      <c r="R293" s="57"/>
      <c r="S293" s="69"/>
      <c r="T293" s="69"/>
      <c r="U293" s="69"/>
      <c r="V293" s="69"/>
      <c r="W293" s="438"/>
      <c r="X293" s="939" t="s">
        <v>482</v>
      </c>
      <c r="Y293" s="950"/>
      <c r="Z293" s="769"/>
      <c r="AA293" s="769"/>
      <c r="AB293" s="1411"/>
      <c r="AC293" s="781" t="str">
        <f t="shared" si="53"/>
        <v>Change</v>
      </c>
      <c r="AD293" s="1438">
        <f t="shared" si="55"/>
        <v>76</v>
      </c>
      <c r="AE293" s="769" t="s">
        <v>941</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7">
        <v>30</v>
      </c>
      <c r="B294" s="155"/>
      <c r="C294" s="860" t="str">
        <f>IF(LEN(O285)&lt;=265,"",RIGHT(O285,LEN(O285)-SEARCH(" ",O285,255)))</f>
        <v/>
      </c>
      <c r="D294" s="504"/>
      <c r="E294" s="504"/>
      <c r="F294" s="504"/>
      <c r="G294" s="504"/>
      <c r="H294" s="504"/>
      <c r="I294" s="504"/>
      <c r="J294" s="504"/>
      <c r="K294" s="81"/>
      <c r="L294" s="957" t="s">
        <v>482</v>
      </c>
      <c r="M294" s="139"/>
      <c r="N294" s="855" t="s">
        <v>347</v>
      </c>
      <c r="O294" s="1491"/>
      <c r="P294" s="856">
        <f>LEN(O293)</f>
        <v>0</v>
      </c>
      <c r="Q294" s="960"/>
      <c r="R294" s="963">
        <f>LEN(Q293)</f>
        <v>0</v>
      </c>
      <c r="S294" s="57"/>
      <c r="T294" s="57"/>
      <c r="U294" s="57"/>
      <c r="V294" s="57"/>
      <c r="W294" s="435"/>
      <c r="X294" s="939" t="s">
        <v>482</v>
      </c>
      <c r="Y294" s="950"/>
      <c r="Z294" s="769"/>
      <c r="AA294" s="769"/>
      <c r="AB294" s="1411"/>
      <c r="AC294" s="781" t="str">
        <f t="shared" si="53"/>
        <v>Change</v>
      </c>
      <c r="AD294" s="1438">
        <f t="shared" si="55"/>
        <v>66</v>
      </c>
      <c r="AE294" s="769" t="s">
        <v>942</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7">
        <v>31</v>
      </c>
      <c r="B295" s="155"/>
      <c r="C295" s="860" t="str">
        <f>IF(O287="","",IF(LEN(O287)&lt;=135,O287,IF(LEN(O287)&lt;=260,LEFT(O287,SEARCH(" ",O287,125)),LEFT(O287,SEARCH(" ",O287,130)))))</f>
        <v/>
      </c>
      <c r="D295" s="504"/>
      <c r="E295" s="504"/>
      <c r="F295" s="504"/>
      <c r="G295" s="504"/>
      <c r="H295" s="504"/>
      <c r="I295" s="504"/>
      <c r="J295" s="504"/>
      <c r="K295" s="81"/>
      <c r="L295" s="957" t="s">
        <v>482</v>
      </c>
      <c r="M295" s="97"/>
      <c r="N295" s="182" t="s">
        <v>143</v>
      </c>
      <c r="O295" s="1490"/>
      <c r="P295" s="575"/>
      <c r="Q295" s="958" t="str">
        <f>IF(OR(AB376=0,AB376=""),"",AB376)</f>
        <v/>
      </c>
      <c r="R295" s="57"/>
      <c r="S295" s="57"/>
      <c r="T295" s="57"/>
      <c r="U295" s="57"/>
      <c r="V295" s="57"/>
      <c r="W295" s="435"/>
      <c r="X295" s="939" t="s">
        <v>482</v>
      </c>
      <c r="Y295" s="950"/>
      <c r="Z295" s="769"/>
      <c r="AA295" s="769"/>
      <c r="AB295" s="1411"/>
      <c r="AC295" s="781" t="str">
        <f t="shared" si="53"/>
        <v>Change</v>
      </c>
      <c r="AD295" s="1438">
        <f t="shared" si="55"/>
        <v>72</v>
      </c>
      <c r="AE295" s="769" t="s">
        <v>943</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7">
        <v>32</v>
      </c>
      <c r="B296" s="155"/>
      <c r="C296" s="860" t="str">
        <f>IF(LEN(O287)&lt;=135,"",IF(LEN(O287)&lt;=260,RIGHT(O287,LEN(O287)-SEARCH(" ",O287,125)),MID(O287,SEARCH(" ",O287,130),IF(LEN(O287)&lt;=265,LEN(O287),SEARCH(" ",O287,255)-SEARCH(" ",O287,130)))))</f>
        <v/>
      </c>
      <c r="D296" s="504"/>
      <c r="E296" s="504"/>
      <c r="F296" s="504"/>
      <c r="G296" s="504"/>
      <c r="H296" s="504"/>
      <c r="I296" s="504"/>
      <c r="J296" s="504"/>
      <c r="K296" s="81"/>
      <c r="L296" s="957" t="s">
        <v>482</v>
      </c>
      <c r="M296" s="442"/>
      <c r="N296" s="855" t="s">
        <v>347</v>
      </c>
      <c r="O296" s="1491"/>
      <c r="P296" s="856">
        <f>LEN(O295)</f>
        <v>0</v>
      </c>
      <c r="Q296" s="960"/>
      <c r="R296" s="963">
        <f>LEN(Q295)</f>
        <v>0</v>
      </c>
      <c r="S296" s="69"/>
      <c r="T296" s="69"/>
      <c r="U296" s="69"/>
      <c r="V296" s="69"/>
      <c r="W296" s="438"/>
      <c r="X296" s="939" t="s">
        <v>482</v>
      </c>
      <c r="Y296" s="950"/>
      <c r="Z296" s="769"/>
      <c r="AA296" s="769"/>
      <c r="AB296" s="1411"/>
      <c r="AC296" s="781" t="str">
        <f t="shared" si="53"/>
        <v>Change</v>
      </c>
      <c r="AD296" s="1438">
        <f t="shared" si="55"/>
        <v>72</v>
      </c>
      <c r="AE296" s="769" t="s">
        <v>944</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7">
        <v>33</v>
      </c>
      <c r="B297" s="155"/>
      <c r="C297" s="860" t="str">
        <f>IF(LEN(O287)&lt;=265,"",RIGHT(O287,LEN(O287)-SEARCH(" ",O287,255)))</f>
        <v/>
      </c>
      <c r="D297" s="504"/>
      <c r="E297" s="504"/>
      <c r="F297" s="504"/>
      <c r="G297" s="504"/>
      <c r="H297" s="504"/>
      <c r="I297" s="504"/>
      <c r="J297" s="504"/>
      <c r="K297" s="81"/>
      <c r="L297" s="957" t="s">
        <v>482</v>
      </c>
      <c r="M297" s="155"/>
      <c r="N297" s="182" t="s">
        <v>143</v>
      </c>
      <c r="O297" s="1490"/>
      <c r="P297" s="575"/>
      <c r="Q297" s="958" t="str">
        <f>IF(OR(AB378=0,AB378=""),"",AB378)</f>
        <v/>
      </c>
      <c r="R297" s="57"/>
      <c r="S297" s="69"/>
      <c r="T297" s="69"/>
      <c r="U297" s="69"/>
      <c r="V297" s="69"/>
      <c r="W297" s="81"/>
      <c r="X297" s="939" t="s">
        <v>482</v>
      </c>
      <c r="Y297" s="950"/>
      <c r="Z297" s="769"/>
      <c r="AA297" s="769"/>
      <c r="AB297" s="1411"/>
      <c r="AC297" s="781" t="str">
        <f t="shared" si="53"/>
        <v>Change</v>
      </c>
      <c r="AD297" s="1438">
        <f t="shared" si="55"/>
        <v>60</v>
      </c>
      <c r="AE297" s="769" t="s">
        <v>945</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7">
        <v>34</v>
      </c>
      <c r="B298" s="155"/>
      <c r="C298" s="860" t="str">
        <f>IF(O289="","",IF(LEN(O289)&lt;=135,O289,IF(LEN(O289)&lt;=260,LEFT(O289,SEARCH(" ",O289,125)),LEFT(O289,SEARCH(" ",O289,130)))))</f>
        <v/>
      </c>
      <c r="D298" s="504"/>
      <c r="E298" s="504"/>
      <c r="F298" s="504"/>
      <c r="G298" s="504"/>
      <c r="H298" s="504"/>
      <c r="I298" s="504"/>
      <c r="J298" s="504"/>
      <c r="K298" s="81"/>
      <c r="L298" s="957" t="s">
        <v>482</v>
      </c>
      <c r="M298" s="155"/>
      <c r="N298" s="855" t="s">
        <v>347</v>
      </c>
      <c r="O298" s="1491"/>
      <c r="P298" s="856">
        <f>LEN(O297)</f>
        <v>0</v>
      </c>
      <c r="Q298" s="960"/>
      <c r="R298" s="963">
        <f>LEN(Q297)</f>
        <v>0</v>
      </c>
      <c r="S298" s="57"/>
      <c r="T298" s="57"/>
      <c r="U298" s="57"/>
      <c r="V298" s="57"/>
      <c r="W298" s="81"/>
      <c r="X298" s="939" t="s">
        <v>482</v>
      </c>
      <c r="Y298" s="950"/>
      <c r="Z298" s="769"/>
      <c r="AA298" s="769"/>
      <c r="AB298" s="1411"/>
      <c r="AC298" s="781" t="str">
        <f t="shared" si="53"/>
        <v>Change</v>
      </c>
      <c r="AD298" s="1438">
        <f t="shared" si="55"/>
        <v>66</v>
      </c>
      <c r="AE298" s="769" t="s">
        <v>946</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7">
        <v>35</v>
      </c>
      <c r="B299" s="155"/>
      <c r="C299" s="860" t="str">
        <f>IF(LEN(O289)&lt;=135,"",IF(LEN(O289)&lt;=260,RIGHT(O289,LEN(O289)-SEARCH(" ",O289,125)),MID(O289,SEARCH(" ",O289,130),IF(LEN(O289)&lt;=265,LEN(O289),SEARCH(" ",O289,255)-SEARCH(" ",O289,130)))))</f>
        <v/>
      </c>
      <c r="D299" s="504"/>
      <c r="E299" s="504"/>
      <c r="F299" s="504"/>
      <c r="G299" s="504"/>
      <c r="H299" s="504"/>
      <c r="I299" s="504"/>
      <c r="J299" s="504"/>
      <c r="K299" s="81"/>
      <c r="L299" s="957" t="s">
        <v>482</v>
      </c>
      <c r="M299" s="155"/>
      <c r="N299" s="182" t="s">
        <v>143</v>
      </c>
      <c r="O299" s="1490"/>
      <c r="P299" s="575"/>
      <c r="Q299" s="958" t="str">
        <f>IF(OR(AB380=0,AB380=""),"",AB380)</f>
        <v/>
      </c>
      <c r="R299" s="57"/>
      <c r="S299" s="69"/>
      <c r="T299" s="69"/>
      <c r="U299" s="69"/>
      <c r="V299" s="69"/>
      <c r="W299" s="81"/>
      <c r="X299" s="939" t="s">
        <v>482</v>
      </c>
      <c r="Y299" s="950"/>
      <c r="Z299" s="769"/>
      <c r="AA299" s="769"/>
      <c r="AB299" s="1411"/>
      <c r="AC299" s="781" t="str">
        <f t="shared" si="53"/>
        <v>Change</v>
      </c>
      <c r="AD299" s="1438">
        <f t="shared" si="55"/>
        <v>78</v>
      </c>
      <c r="AE299" s="769" t="s">
        <v>947</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7">
        <v>36</v>
      </c>
      <c r="B300" s="155"/>
      <c r="C300" s="860" t="str">
        <f>IF(LEN(O289)&lt;=265,"",RIGHT(O289,LEN(O289)-SEARCH(" ",O289,255)))</f>
        <v/>
      </c>
      <c r="D300" s="504"/>
      <c r="E300" s="504"/>
      <c r="F300" s="504"/>
      <c r="G300" s="504"/>
      <c r="H300" s="504"/>
      <c r="I300" s="504"/>
      <c r="J300" s="504"/>
      <c r="K300" s="81"/>
      <c r="L300" s="957" t="s">
        <v>482</v>
      </c>
      <c r="M300" s="155"/>
      <c r="N300" s="855" t="s">
        <v>347</v>
      </c>
      <c r="O300" s="1491"/>
      <c r="P300" s="856">
        <f>LEN(O299)</f>
        <v>0</v>
      </c>
      <c r="Q300" s="960"/>
      <c r="R300" s="963">
        <f>LEN(Q299)</f>
        <v>0</v>
      </c>
      <c r="S300" s="69"/>
      <c r="T300" s="69"/>
      <c r="U300" s="69"/>
      <c r="V300" s="69"/>
      <c r="W300" s="81"/>
      <c r="X300" s="939" t="s">
        <v>482</v>
      </c>
      <c r="Y300" s="950"/>
      <c r="Z300" s="769"/>
      <c r="AA300" s="769"/>
      <c r="AB300" s="1411"/>
      <c r="AC300" s="781" t="str">
        <f t="shared" si="53"/>
        <v>Change</v>
      </c>
      <c r="AD300" s="1438">
        <f t="shared" si="55"/>
        <v>74</v>
      </c>
      <c r="AE300" s="769" t="s">
        <v>948</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7">
        <v>37</v>
      </c>
      <c r="B301" s="155"/>
      <c r="C301" s="860" t="str">
        <f>IF(O291="","",IF(LEN(O291)&lt;=135,O291,IF(LEN(O291)&lt;=260,LEFT(O291,SEARCH(" ",O291,125)),LEFT(O291,SEARCH(" ",O291,130)))))</f>
        <v/>
      </c>
      <c r="D301" s="504"/>
      <c r="E301" s="504"/>
      <c r="F301" s="504"/>
      <c r="G301" s="504"/>
      <c r="H301" s="504"/>
      <c r="I301" s="504"/>
      <c r="J301" s="504"/>
      <c r="K301" s="81"/>
      <c r="L301" s="957" t="s">
        <v>482</v>
      </c>
      <c r="M301" s="155"/>
      <c r="N301" s="182" t="s">
        <v>143</v>
      </c>
      <c r="O301" s="1490"/>
      <c r="P301" s="575"/>
      <c r="Q301" s="958" t="str">
        <f>IF(OR(AB382=0,AB382=""),"",AB382)</f>
        <v/>
      </c>
      <c r="R301" s="57"/>
      <c r="S301" s="57"/>
      <c r="T301" s="57"/>
      <c r="U301" s="57"/>
      <c r="V301" s="57"/>
      <c r="W301" s="81"/>
      <c r="X301" s="939" t="s">
        <v>482</v>
      </c>
      <c r="Y301" s="950"/>
      <c r="Z301" s="769"/>
      <c r="AA301" s="769"/>
      <c r="AB301" s="1411"/>
      <c r="AC301" s="781" t="str">
        <f t="shared" si="53"/>
        <v>Change</v>
      </c>
      <c r="AD301" s="1438">
        <f t="shared" si="55"/>
        <v>78</v>
      </c>
      <c r="AE301" s="769" t="s">
        <v>949</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7">
        <v>38</v>
      </c>
      <c r="B302" s="155"/>
      <c r="C302" s="860" t="str">
        <f>IF(LEN(O291)&lt;=135,"",IF(LEN(O291)&lt;=260,RIGHT(O291,LEN(O291)-SEARCH(" ",O291,125)),MID(O291,SEARCH(" ",O291,130),IF(LEN(O291)&lt;=265,LEN(O291),SEARCH(" ",O291,255)-SEARCH(" ",O291,130)))))</f>
        <v/>
      </c>
      <c r="D302" s="504"/>
      <c r="E302" s="504"/>
      <c r="F302" s="504"/>
      <c r="G302" s="504"/>
      <c r="H302" s="504"/>
      <c r="I302" s="504"/>
      <c r="J302" s="504"/>
      <c r="K302" s="81"/>
      <c r="L302" s="957" t="s">
        <v>482</v>
      </c>
      <c r="M302" s="155"/>
      <c r="N302" s="855" t="s">
        <v>347</v>
      </c>
      <c r="O302" s="1491"/>
      <c r="P302" s="856">
        <f>LEN(O301)</f>
        <v>0</v>
      </c>
      <c r="Q302" s="960"/>
      <c r="R302" s="963">
        <f>LEN(Q301)</f>
        <v>0</v>
      </c>
      <c r="S302" s="69"/>
      <c r="T302" s="69"/>
      <c r="U302" s="69"/>
      <c r="V302" s="69"/>
      <c r="W302" s="81"/>
      <c r="X302" s="939" t="s">
        <v>482</v>
      </c>
      <c r="Y302" s="950"/>
      <c r="Z302" s="769"/>
      <c r="AA302" s="769"/>
      <c r="AB302" s="769"/>
      <c r="AC302" s="781" t="str">
        <f t="shared" si="53"/>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7">
        <v>39</v>
      </c>
      <c r="B303" s="155"/>
      <c r="C303" s="860" t="str">
        <f>IF(LEN(O291)&lt;=265,"",RIGHT(O291,LEN(O291)-SEARCH(" ",O291,255)))</f>
        <v/>
      </c>
      <c r="D303" s="504"/>
      <c r="E303" s="504"/>
      <c r="F303" s="504"/>
      <c r="G303" s="504"/>
      <c r="H303" s="504"/>
      <c r="I303" s="504"/>
      <c r="J303" s="504"/>
      <c r="K303" s="81"/>
      <c r="L303" s="957" t="s">
        <v>482</v>
      </c>
      <c r="M303" s="155"/>
      <c r="N303" s="182" t="s">
        <v>143</v>
      </c>
      <c r="O303" s="1490"/>
      <c r="P303" s="575"/>
      <c r="Q303" s="958" t="str">
        <f>IF(OR(AB384=0,AB384=""),"",AB384)</f>
        <v/>
      </c>
      <c r="R303" s="57"/>
      <c r="S303" s="69"/>
      <c r="T303" s="69"/>
      <c r="U303" s="69"/>
      <c r="V303" s="69"/>
      <c r="W303" s="81"/>
      <c r="X303" s="939" t="s">
        <v>482</v>
      </c>
      <c r="Y303" s="950"/>
      <c r="Z303" s="769"/>
      <c r="AA303" s="775" t="s">
        <v>652</v>
      </c>
      <c r="AB303" s="1414"/>
      <c r="AC303" s="781" t="str">
        <f t="shared" si="53"/>
        <v>Change</v>
      </c>
      <c r="AD303" s="1435">
        <f t="shared" ref="AD303:AD312" si="56">W87</f>
        <v>2</v>
      </c>
      <c r="AE303" s="769" t="s">
        <v>950</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7">
        <v>40</v>
      </c>
      <c r="B304" s="155"/>
      <c r="C304" s="860" t="str">
        <f>IF(O293="","",IF(LEN(O293)&lt;=135,O293,IF(LEN(O293)&lt;=260,LEFT(O293,SEARCH(" ",O293,125)),LEFT(O293,SEARCH(" ",O293,130)))))</f>
        <v/>
      </c>
      <c r="D304" s="504"/>
      <c r="E304" s="504"/>
      <c r="F304" s="504"/>
      <c r="G304" s="504"/>
      <c r="H304" s="504"/>
      <c r="I304" s="504"/>
      <c r="J304" s="504"/>
      <c r="K304" s="81"/>
      <c r="L304" s="957" t="s">
        <v>482</v>
      </c>
      <c r="M304" s="155"/>
      <c r="N304" s="855" t="s">
        <v>347</v>
      </c>
      <c r="O304" s="1491"/>
      <c r="P304" s="856">
        <f>LEN(O303)</f>
        <v>0</v>
      </c>
      <c r="Q304" s="960"/>
      <c r="R304" s="963">
        <f>LEN(Q303)</f>
        <v>0</v>
      </c>
      <c r="S304" s="57"/>
      <c r="T304" s="57"/>
      <c r="U304" s="57"/>
      <c r="V304" s="57"/>
      <c r="W304" s="81"/>
      <c r="X304" s="939" t="s">
        <v>482</v>
      </c>
      <c r="Y304" s="950"/>
      <c r="Z304" s="769"/>
      <c r="AA304" s="769"/>
      <c r="AB304" s="1414"/>
      <c r="AC304" s="781" t="str">
        <f t="shared" si="53"/>
        <v>Change</v>
      </c>
      <c r="AD304" s="1435">
        <f t="shared" si="56"/>
        <v>30</v>
      </c>
      <c r="AE304" s="769" t="s">
        <v>951</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7">
        <v>41</v>
      </c>
      <c r="B305" s="155"/>
      <c r="C305" s="860" t="str">
        <f>IF(LEN(O293)&lt;=135,"",IF(LEN(O293)&lt;=260,RIGHT(O293,LEN(O293)-SEARCH(" ",O293,125)),MID(O293,SEARCH(" ",O293,130),IF(LEN(O293)&lt;=265,LEN(O293),SEARCH(" ",O293,255)-SEARCH(" ",O293,130)))))</f>
        <v/>
      </c>
      <c r="D305" s="504"/>
      <c r="E305" s="504"/>
      <c r="F305" s="504"/>
      <c r="G305" s="504"/>
      <c r="H305" s="504"/>
      <c r="I305" s="504"/>
      <c r="J305" s="504"/>
      <c r="K305" s="81"/>
      <c r="L305" s="957" t="s">
        <v>482</v>
      </c>
      <c r="M305" s="155"/>
      <c r="N305" s="182" t="s">
        <v>143</v>
      </c>
      <c r="O305" s="1490"/>
      <c r="P305" s="575"/>
      <c r="Q305" s="958" t="str">
        <f>IF(OR(AB386=0,AB386=""),"",AB386)</f>
        <v/>
      </c>
      <c r="R305" s="57"/>
      <c r="S305" s="69"/>
      <c r="T305" s="69"/>
      <c r="U305" s="69"/>
      <c r="V305" s="69"/>
      <c r="W305" s="81"/>
      <c r="X305" s="939" t="s">
        <v>482</v>
      </c>
      <c r="Y305" s="950"/>
      <c r="Z305" s="769"/>
      <c r="AA305" s="769"/>
      <c r="AB305" s="1414"/>
      <c r="AC305" s="781" t="str">
        <f t="shared" si="53"/>
        <v>Change</v>
      </c>
      <c r="AD305" s="1435">
        <f t="shared" si="56"/>
        <v>12</v>
      </c>
      <c r="AE305" s="769" t="s">
        <v>952</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7">
        <v>42</v>
      </c>
      <c r="B306" s="155"/>
      <c r="C306" s="860" t="str">
        <f>IF(LEN(O293)&lt;=265,"",RIGHT(O293,LEN(O293)-SEARCH(" ",O293,255)))</f>
        <v/>
      </c>
      <c r="D306" s="504"/>
      <c r="E306" s="504"/>
      <c r="F306" s="504"/>
      <c r="G306" s="504"/>
      <c r="H306" s="504"/>
      <c r="I306" s="504"/>
      <c r="J306" s="504"/>
      <c r="K306" s="81"/>
      <c r="L306" s="957" t="s">
        <v>482</v>
      </c>
      <c r="M306" s="155"/>
      <c r="N306" s="855" t="s">
        <v>347</v>
      </c>
      <c r="O306" s="1491"/>
      <c r="P306" s="856">
        <f>LEN(O305)</f>
        <v>0</v>
      </c>
      <c r="Q306" s="960"/>
      <c r="R306" s="963">
        <f>LEN(Q305)</f>
        <v>0</v>
      </c>
      <c r="S306" s="69"/>
      <c r="T306" s="69"/>
      <c r="U306" s="69"/>
      <c r="V306" s="69"/>
      <c r="W306" s="81"/>
      <c r="X306" s="939" t="s">
        <v>482</v>
      </c>
      <c r="Y306" s="950"/>
      <c r="Z306" s="769"/>
      <c r="AA306" s="769"/>
      <c r="AB306" s="1414"/>
      <c r="AC306" s="781" t="str">
        <f t="shared" si="53"/>
        <v>Change</v>
      </c>
      <c r="AD306" s="1435">
        <f t="shared" si="56"/>
        <v>10</v>
      </c>
      <c r="AE306" s="769" t="s">
        <v>953</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7">
        <v>43</v>
      </c>
      <c r="B307" s="155"/>
      <c r="C307" s="860" t="str">
        <f>IF(O295="","",IF(LEN(O295)&lt;=135,O295,IF(LEN(O295)&lt;=260,LEFT(O295,SEARCH(" ",O295,125)),LEFT(O295,SEARCH(" ",O295,130)))))</f>
        <v/>
      </c>
      <c r="D307" s="504"/>
      <c r="E307" s="504"/>
      <c r="F307" s="504"/>
      <c r="G307" s="504"/>
      <c r="H307" s="504"/>
      <c r="I307" s="504"/>
      <c r="J307" s="504"/>
      <c r="K307" s="81"/>
      <c r="L307" s="957" t="s">
        <v>482</v>
      </c>
      <c r="M307" s="155"/>
      <c r="N307" s="182" t="s">
        <v>143</v>
      </c>
      <c r="O307" s="1490"/>
      <c r="P307" s="575"/>
      <c r="Q307" s="958" t="str">
        <f>IF(OR(AB388=0,AB388=""),"",AB388)</f>
        <v/>
      </c>
      <c r="R307" s="57"/>
      <c r="S307" s="57"/>
      <c r="T307" s="57"/>
      <c r="U307" s="57"/>
      <c r="V307" s="57"/>
      <c r="W307" s="81"/>
      <c r="X307" s="939" t="s">
        <v>482</v>
      </c>
      <c r="Y307" s="950"/>
      <c r="Z307" s="769"/>
      <c r="AA307" s="769"/>
      <c r="AB307" s="1414"/>
      <c r="AC307" s="781" t="str">
        <f t="shared" si="53"/>
        <v>Change</v>
      </c>
      <c r="AD307" s="1435">
        <f t="shared" si="56"/>
        <v>10</v>
      </c>
      <c r="AE307" s="769" t="s">
        <v>954</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7">
        <v>44</v>
      </c>
      <c r="B308" s="155"/>
      <c r="C308" s="860" t="str">
        <f>IF(LEN(O295)&lt;=135,"",IF(LEN(O295)&lt;=260,RIGHT(O295,LEN(O295)-SEARCH(" ",O295,125)),MID(O295,SEARCH(" ",O295,130),IF(LEN(O295)&lt;=265,LEN(O295),SEARCH(" ",O295,255)-SEARCH(" ",O295,130)))))</f>
        <v/>
      </c>
      <c r="D308" s="504"/>
      <c r="E308" s="504"/>
      <c r="F308" s="504"/>
      <c r="G308" s="504"/>
      <c r="H308" s="504"/>
      <c r="I308" s="504"/>
      <c r="J308" s="504"/>
      <c r="K308" s="81"/>
      <c r="L308" s="957" t="s">
        <v>482</v>
      </c>
      <c r="M308" s="155"/>
      <c r="N308" s="855" t="s">
        <v>347</v>
      </c>
      <c r="O308" s="856"/>
      <c r="P308" s="856">
        <f>LEN(O307)</f>
        <v>0</v>
      </c>
      <c r="Q308" s="960"/>
      <c r="R308" s="963">
        <f>LEN(Q307)</f>
        <v>0</v>
      </c>
      <c r="S308" s="69"/>
      <c r="T308" s="69"/>
      <c r="U308" s="69"/>
      <c r="V308" s="69"/>
      <c r="W308" s="81"/>
      <c r="X308" s="939" t="s">
        <v>482</v>
      </c>
      <c r="Y308" s="950"/>
      <c r="Z308" s="769"/>
      <c r="AA308" s="769"/>
      <c r="AB308" s="1414"/>
      <c r="AC308" s="781" t="str">
        <f t="shared" si="53"/>
        <v>Change</v>
      </c>
      <c r="AD308" s="1435">
        <f t="shared" si="56"/>
        <v>2.5</v>
      </c>
      <c r="AE308" s="769" t="s">
        <v>955</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7">
        <v>45</v>
      </c>
      <c r="B309" s="155"/>
      <c r="C309" s="860" t="str">
        <f>IF(LEN(O295)&lt;=265,"",RIGHT(O295,LEN(O295)-SEARCH(" ",O295,255)))</f>
        <v/>
      </c>
      <c r="D309" s="504"/>
      <c r="E309" s="504"/>
      <c r="F309" s="504"/>
      <c r="G309" s="504"/>
      <c r="H309" s="504"/>
      <c r="I309" s="504"/>
      <c r="J309" s="504"/>
      <c r="K309" s="81"/>
      <c r="L309" s="957" t="s">
        <v>482</v>
      </c>
      <c r="M309" s="155"/>
      <c r="N309" s="721"/>
      <c r="O309" s="817"/>
      <c r="P309" s="721"/>
      <c r="Q309" s="718"/>
      <c r="R309" s="718"/>
      <c r="S309" s="718"/>
      <c r="T309" s="718"/>
      <c r="U309" s="718"/>
      <c r="V309" s="718"/>
      <c r="W309" s="81"/>
      <c r="X309" s="939" t="s">
        <v>482</v>
      </c>
      <c r="Y309" s="950"/>
      <c r="Z309" s="769"/>
      <c r="AA309" s="769"/>
      <c r="AB309" s="1414"/>
      <c r="AC309" s="781" t="str">
        <f t="shared" si="53"/>
        <v>Change</v>
      </c>
      <c r="AD309" s="1435">
        <f t="shared" si="56"/>
        <v>8</v>
      </c>
      <c r="AE309" s="769" t="s">
        <v>956</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7">
        <v>46</v>
      </c>
      <c r="B310" s="155"/>
      <c r="C310" s="860" t="str">
        <f>IF(O297="","",IF(LEN(O297)&lt;=135,O297,IF(LEN(O297)&lt;=260,LEFT(O297,SEARCH(" ",O297,125)),LEFT(O297,SEARCH(" ",O297,130)))))</f>
        <v/>
      </c>
      <c r="D310" s="504"/>
      <c r="E310" s="504"/>
      <c r="F310" s="504"/>
      <c r="G310" s="504"/>
      <c r="H310" s="504"/>
      <c r="I310" s="504"/>
      <c r="J310" s="504"/>
      <c r="K310" s="81"/>
      <c r="L310" s="957" t="s">
        <v>482</v>
      </c>
      <c r="M310" s="155"/>
      <c r="N310" s="716"/>
      <c r="O310" s="818"/>
      <c r="P310" s="716"/>
      <c r="Q310" s="717"/>
      <c r="R310" s="717"/>
      <c r="S310" s="717"/>
      <c r="T310" s="717"/>
      <c r="U310" s="717"/>
      <c r="V310" s="717"/>
      <c r="W310" s="81"/>
      <c r="X310" s="939" t="s">
        <v>482</v>
      </c>
      <c r="Y310" s="950"/>
      <c r="Z310" s="769"/>
      <c r="AA310" s="769"/>
      <c r="AB310" s="1414"/>
      <c r="AC310" s="781" t="str">
        <f t="shared" si="53"/>
        <v>Change</v>
      </c>
      <c r="AD310" s="1435">
        <f t="shared" si="56"/>
        <v>30</v>
      </c>
      <c r="AE310" s="769" t="s">
        <v>957</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7">
        <v>47</v>
      </c>
      <c r="B311" s="155"/>
      <c r="C311" s="860" t="str">
        <f>IF(LEN(O297)&lt;=135,"",IF(LEN(O297)&lt;=260,RIGHT(O297,LEN(O297)-SEARCH(" ",O297,125)),MID(O297,SEARCH(" ",O297,130),IF(LEN(O297)&lt;=265,LEN(O297),SEARCH(" ",O297,255)-SEARCH(" ",O297,130)))))</f>
        <v/>
      </c>
      <c r="D311" s="504"/>
      <c r="E311" s="504"/>
      <c r="F311" s="504"/>
      <c r="G311" s="504"/>
      <c r="H311" s="504"/>
      <c r="I311" s="504"/>
      <c r="J311" s="504"/>
      <c r="K311" s="81"/>
      <c r="L311" s="957" t="s">
        <v>482</v>
      </c>
      <c r="M311" s="155"/>
      <c r="N311" s="716"/>
      <c r="O311" s="818"/>
      <c r="P311" s="716"/>
      <c r="Q311" s="717"/>
      <c r="R311" s="717"/>
      <c r="S311" s="717"/>
      <c r="T311" s="717"/>
      <c r="U311" s="717"/>
      <c r="V311" s="717"/>
      <c r="W311" s="81"/>
      <c r="X311" s="939" t="s">
        <v>482</v>
      </c>
      <c r="Y311" s="950"/>
      <c r="Z311" s="769"/>
      <c r="AA311" s="769"/>
      <c r="AB311" s="1414"/>
      <c r="AC311" s="781" t="str">
        <f t="shared" si="53"/>
        <v>Change</v>
      </c>
      <c r="AD311" s="1435">
        <f t="shared" si="56"/>
        <v>14</v>
      </c>
      <c r="AE311" s="769" t="s">
        <v>958</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7">
        <v>48</v>
      </c>
      <c r="B312" s="155"/>
      <c r="C312" s="860" t="str">
        <f>IF(LEN(O297)&lt;=265,"",RIGHT(O297,LEN(O297)-SEARCH(" ",O297,255)))</f>
        <v/>
      </c>
      <c r="D312" s="504"/>
      <c r="E312" s="504"/>
      <c r="F312" s="504"/>
      <c r="G312" s="504"/>
      <c r="H312" s="504"/>
      <c r="I312" s="504"/>
      <c r="J312" s="504"/>
      <c r="K312" s="81"/>
      <c r="L312" s="957" t="s">
        <v>482</v>
      </c>
      <c r="M312" s="155"/>
      <c r="N312" s="716"/>
      <c r="O312" s="818"/>
      <c r="P312" s="716"/>
      <c r="Q312" s="717"/>
      <c r="R312" s="717"/>
      <c r="S312" s="717"/>
      <c r="T312" s="717"/>
      <c r="U312" s="717"/>
      <c r="V312" s="717"/>
      <c r="W312" s="81"/>
      <c r="X312" s="939" t="s">
        <v>482</v>
      </c>
      <c r="Y312" s="950"/>
      <c r="Z312" s="769"/>
      <c r="AA312" s="769"/>
      <c r="AB312" s="1414"/>
      <c r="AC312" s="781" t="str">
        <f t="shared" si="53"/>
        <v>Change</v>
      </c>
      <c r="AD312" s="1435">
        <f t="shared" si="56"/>
        <v>25</v>
      </c>
      <c r="AE312" s="769" t="s">
        <v>959</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7">
        <v>49</v>
      </c>
      <c r="B313" s="155"/>
      <c r="C313" s="860" t="str">
        <f>IF(O299="","",IF(LEN(O299)&lt;=135,O299,IF(LEN(O299)&lt;=260,LEFT(O299,SEARCH(" ",O299,125)),LEFT(O299,SEARCH(" ",O299,130)))))</f>
        <v/>
      </c>
      <c r="D313" s="504"/>
      <c r="E313" s="504"/>
      <c r="F313" s="504"/>
      <c r="G313" s="504"/>
      <c r="H313" s="504"/>
      <c r="I313" s="504"/>
      <c r="J313" s="504"/>
      <c r="K313" s="81"/>
      <c r="L313" s="957" t="s">
        <v>482</v>
      </c>
      <c r="M313" s="155"/>
      <c r="N313" s="716"/>
      <c r="O313" s="818"/>
      <c r="P313" s="716"/>
      <c r="Q313" s="715" t="s">
        <v>341</v>
      </c>
      <c r="R313" s="118"/>
      <c r="S313" s="118"/>
      <c r="T313" s="716"/>
      <c r="U313" s="717"/>
      <c r="V313" s="717"/>
      <c r="W313" s="81"/>
      <c r="X313" s="939" t="s">
        <v>482</v>
      </c>
      <c r="Y313" s="950"/>
      <c r="Z313" s="769"/>
      <c r="AA313" s="769"/>
      <c r="AB313" s="768"/>
      <c r="AC313" s="781" t="str">
        <f t="shared" si="53"/>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7">
        <v>50</v>
      </c>
      <c r="B314" s="155"/>
      <c r="C314" s="860" t="str">
        <f>IF(LEN(O299)&lt;=135,"",IF(LEN(O299)&lt;=260,RIGHT(O299,LEN(O299)-SEARCH(" ",O299,125)),MID(O299,SEARCH(" ",O299,130),IF(LEN(O299)&lt;=265,LEN(O299),SEARCH(" ",O299,255)-SEARCH(" ",O299,130)))))</f>
        <v/>
      </c>
      <c r="D314" s="504"/>
      <c r="E314" s="504"/>
      <c r="F314" s="504"/>
      <c r="G314" s="504"/>
      <c r="H314" s="504"/>
      <c r="I314" s="504"/>
      <c r="J314" s="504"/>
      <c r="K314" s="81"/>
      <c r="L314" s="957" t="s">
        <v>482</v>
      </c>
      <c r="M314" s="155"/>
      <c r="N314" s="716"/>
      <c r="O314" s="818"/>
      <c r="P314" s="716"/>
      <c r="Q314" s="717"/>
      <c r="R314" s="716"/>
      <c r="S314" s="717"/>
      <c r="T314" s="716"/>
      <c r="U314" s="717"/>
      <c r="V314" s="717"/>
      <c r="W314" s="81"/>
      <c r="X314" s="939" t="s">
        <v>482</v>
      </c>
      <c r="Y314" s="950"/>
      <c r="Z314" s="769"/>
      <c r="AA314" s="775" t="s">
        <v>662</v>
      </c>
      <c r="AB314" s="1410"/>
      <c r="AC314" s="781" t="str">
        <f t="shared" si="53"/>
        <v/>
      </c>
      <c r="AD314" s="1443">
        <f>O205</f>
        <v>0</v>
      </c>
      <c r="AE314" s="812" t="s">
        <v>960</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7">
        <v>51</v>
      </c>
      <c r="B315" s="155"/>
      <c r="C315" s="860" t="str">
        <f>IF(LEN(O299)&lt;=265,"",RIGHT(O299,LEN(O299)-SEARCH(" ",O299,255)))</f>
        <v/>
      </c>
      <c r="D315" s="504"/>
      <c r="E315" s="504"/>
      <c r="F315" s="504"/>
      <c r="G315" s="504"/>
      <c r="H315" s="504"/>
      <c r="I315" s="504"/>
      <c r="J315" s="504"/>
      <c r="K315" s="81"/>
      <c r="L315" s="957" t="s">
        <v>482</v>
      </c>
      <c r="M315" s="155"/>
      <c r="N315" s="716"/>
      <c r="O315" s="818"/>
      <c r="P315" s="716"/>
      <c r="Q315" s="717"/>
      <c r="R315" s="716"/>
      <c r="S315" s="717"/>
      <c r="T315" s="716"/>
      <c r="U315" s="717"/>
      <c r="V315" s="717"/>
      <c r="W315" s="81"/>
      <c r="X315" s="939" t="s">
        <v>482</v>
      </c>
      <c r="Y315" s="950"/>
      <c r="Z315" s="769"/>
      <c r="AA315" s="769"/>
      <c r="AB315" s="768"/>
      <c r="AC315" s="781" t="str">
        <f t="shared" si="53"/>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7">
        <v>52</v>
      </c>
      <c r="B316" s="155"/>
      <c r="C316" s="860" t="str">
        <f>IF(O301="","",IF(LEN(O301)&lt;=135,O301,IF(LEN(O301)&lt;=260,LEFT(O301,SEARCH(" ",O301,125)),LEFT(O301,SEARCH(" ",O301,130)))))</f>
        <v/>
      </c>
      <c r="D316" s="504"/>
      <c r="E316" s="504"/>
      <c r="F316" s="504"/>
      <c r="G316" s="504"/>
      <c r="H316" s="504"/>
      <c r="I316" s="504"/>
      <c r="J316" s="504"/>
      <c r="K316" s="81"/>
      <c r="L316" s="957" t="s">
        <v>482</v>
      </c>
      <c r="M316" s="155"/>
      <c r="N316" s="716"/>
      <c r="O316" s="818"/>
      <c r="P316" s="716"/>
      <c r="Q316" s="717"/>
      <c r="R316" s="716"/>
      <c r="S316" s="717"/>
      <c r="T316" s="716"/>
      <c r="U316" s="717"/>
      <c r="V316" s="717"/>
      <c r="W316" s="81"/>
      <c r="X316" s="939" t="s">
        <v>482</v>
      </c>
      <c r="Y316" s="950"/>
      <c r="Z316" s="769"/>
      <c r="AA316" s="769"/>
      <c r="AB316" s="1410"/>
      <c r="AC316" s="781" t="str">
        <f t="shared" si="53"/>
        <v/>
      </c>
      <c r="AD316" s="1443">
        <f>O207</f>
        <v>0</v>
      </c>
      <c r="AE316" s="812" t="s">
        <v>961</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7">
        <v>53</v>
      </c>
      <c r="B317" s="155"/>
      <c r="C317" s="860" t="str">
        <f>IF(LEN(O301)&lt;=135,"",IF(LEN(O301)&lt;=260,RIGHT(O301,LEN(O301)-SEARCH(" ",O301,125)),MID(O301,SEARCH(" ",O301,130),IF(LEN(O301)&lt;=265,LEN(O301),SEARCH(" ",O301,255)-SEARCH(" ",O301,130)))))</f>
        <v/>
      </c>
      <c r="D317" s="504"/>
      <c r="E317" s="504"/>
      <c r="F317" s="504"/>
      <c r="G317" s="504"/>
      <c r="H317" s="504"/>
      <c r="I317" s="504"/>
      <c r="J317" s="504"/>
      <c r="K317" s="81"/>
      <c r="L317" s="957" t="s">
        <v>482</v>
      </c>
      <c r="M317" s="155"/>
      <c r="N317" s="716"/>
      <c r="O317" s="818"/>
      <c r="P317" s="716"/>
      <c r="Q317" s="717"/>
      <c r="R317" s="716"/>
      <c r="S317" s="717"/>
      <c r="T317" s="716"/>
      <c r="U317" s="717"/>
      <c r="V317" s="717"/>
      <c r="W317" s="81"/>
      <c r="X317" s="939" t="s">
        <v>482</v>
      </c>
      <c r="Y317" s="950"/>
      <c r="Z317" s="769"/>
      <c r="AA317" s="769"/>
      <c r="AB317" s="768"/>
      <c r="AC317" s="781" t="str">
        <f t="shared" si="53"/>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7">
        <v>54</v>
      </c>
      <c r="B318" s="155"/>
      <c r="C318" s="860" t="str">
        <f>IF(LEN(O301)&lt;=265,"",RIGHT(O301,LEN(O301)-SEARCH(" ",O301,255)))</f>
        <v/>
      </c>
      <c r="D318" s="504"/>
      <c r="E318" s="504"/>
      <c r="F318" s="504"/>
      <c r="G318" s="504"/>
      <c r="H318" s="504"/>
      <c r="I318" s="504"/>
      <c r="J318" s="504"/>
      <c r="K318" s="81"/>
      <c r="L318" s="957" t="s">
        <v>482</v>
      </c>
      <c r="M318" s="155"/>
      <c r="N318" s="716"/>
      <c r="O318" s="818"/>
      <c r="P318" s="716"/>
      <c r="Q318" s="717"/>
      <c r="R318" s="716"/>
      <c r="S318" s="717"/>
      <c r="T318" s="716"/>
      <c r="U318" s="717"/>
      <c r="V318" s="717"/>
      <c r="W318" s="81"/>
      <c r="X318" s="939" t="s">
        <v>482</v>
      </c>
      <c r="Y318" s="950"/>
      <c r="Z318" s="769"/>
      <c r="AA318" s="769"/>
      <c r="AB318" s="1410"/>
      <c r="AC318" s="781" t="str">
        <f t="shared" si="53"/>
        <v/>
      </c>
      <c r="AD318" s="1443">
        <f>O209</f>
        <v>0</v>
      </c>
      <c r="AE318" s="812" t="s">
        <v>962</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7">
        <v>55</v>
      </c>
      <c r="B319" s="155"/>
      <c r="C319" s="860" t="str">
        <f>IF(O303="","",IF(LEN(O303)&lt;=135,O303,IF(LEN(O303)&lt;=260,LEFT(O303,SEARCH(" ",O303,125)),LEFT(O303,SEARCH(" ",O303,130)))))</f>
        <v/>
      </c>
      <c r="D319" s="504"/>
      <c r="E319" s="504"/>
      <c r="F319" s="504"/>
      <c r="G319" s="504"/>
      <c r="H319" s="504"/>
      <c r="I319" s="504"/>
      <c r="J319" s="504"/>
      <c r="K319" s="81"/>
      <c r="L319" s="957" t="s">
        <v>482</v>
      </c>
      <c r="M319" s="155"/>
      <c r="N319" s="716"/>
      <c r="O319" s="818"/>
      <c r="P319" s="716"/>
      <c r="Q319" s="717"/>
      <c r="R319" s="716"/>
      <c r="S319" s="717"/>
      <c r="T319" s="716"/>
      <c r="U319" s="717"/>
      <c r="V319" s="717"/>
      <c r="W319" s="81"/>
      <c r="X319" s="939" t="s">
        <v>482</v>
      </c>
      <c r="Y319" s="950"/>
      <c r="Z319" s="769"/>
      <c r="AA319" s="769"/>
      <c r="AB319" s="768"/>
      <c r="AC319" s="781" t="str">
        <f t="shared" si="53"/>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7">
        <v>56</v>
      </c>
      <c r="B320" s="155"/>
      <c r="C320" s="860" t="str">
        <f>IF(LEN(O303)&lt;=135,"",IF(LEN(O303)&lt;=260,RIGHT(O303,LEN(O303)-SEARCH(" ",O303,125)),MID(O303,SEARCH(" ",O303,130),IF(LEN(O303)&lt;=265,LEN(O303),SEARCH(" ",O303,255)-SEARCH(" ",O303,130)))))</f>
        <v/>
      </c>
      <c r="D320" s="504"/>
      <c r="E320" s="504"/>
      <c r="F320" s="504"/>
      <c r="G320" s="504"/>
      <c r="H320" s="504"/>
      <c r="I320" s="504"/>
      <c r="J320" s="504"/>
      <c r="K320" s="81"/>
      <c r="L320" s="957" t="s">
        <v>482</v>
      </c>
      <c r="M320" s="155"/>
      <c r="N320" s="716"/>
      <c r="O320" s="818"/>
      <c r="P320" s="716"/>
      <c r="Q320" s="717"/>
      <c r="R320" s="716"/>
      <c r="S320" s="717"/>
      <c r="T320" s="716"/>
      <c r="U320" s="717"/>
      <c r="V320" s="717"/>
      <c r="W320" s="81"/>
      <c r="X320" s="939" t="s">
        <v>482</v>
      </c>
      <c r="Y320" s="950"/>
      <c r="Z320" s="769"/>
      <c r="AA320" s="769"/>
      <c r="AB320" s="1410"/>
      <c r="AC320" s="781" t="str">
        <f t="shared" si="53"/>
        <v/>
      </c>
      <c r="AD320" s="1443">
        <f>O211</f>
        <v>0</v>
      </c>
      <c r="AE320" s="812" t="s">
        <v>963</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7">
        <v>57</v>
      </c>
      <c r="B321" s="155"/>
      <c r="C321" s="860" t="str">
        <f>IF(LEN(O303)&lt;=265,"",RIGHT(O303,LEN(O303)-SEARCH(" ",O303,255)))</f>
        <v/>
      </c>
      <c r="D321" s="504"/>
      <c r="E321" s="504"/>
      <c r="F321" s="504"/>
      <c r="G321" s="504"/>
      <c r="H321" s="504"/>
      <c r="I321" s="504"/>
      <c r="J321" s="504"/>
      <c r="K321" s="81"/>
      <c r="L321" s="957" t="s">
        <v>482</v>
      </c>
      <c r="M321" s="155"/>
      <c r="N321" s="716"/>
      <c r="O321" s="818"/>
      <c r="P321" s="716"/>
      <c r="Q321" s="717"/>
      <c r="R321" s="716"/>
      <c r="S321" s="717"/>
      <c r="T321" s="716"/>
      <c r="U321" s="717"/>
      <c r="V321" s="717"/>
      <c r="W321" s="81"/>
      <c r="X321" s="939" t="s">
        <v>482</v>
      </c>
      <c r="Y321" s="950"/>
      <c r="Z321" s="769"/>
      <c r="AA321" s="769"/>
      <c r="AB321" s="768"/>
      <c r="AC321" s="781" t="str">
        <f t="shared" si="53"/>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7">
        <v>58</v>
      </c>
      <c r="B322" s="155"/>
      <c r="C322" s="860" t="str">
        <f>IF(O305="","",IF(LEN(O305)&lt;=135,O305,IF(LEN(O305)&lt;=260,LEFT(O305,SEARCH(" ",O305,125)),LEFT(O305,SEARCH(" ",O305,130)))))</f>
        <v/>
      </c>
      <c r="D322" s="504"/>
      <c r="E322" s="504"/>
      <c r="F322" s="504"/>
      <c r="G322" s="504"/>
      <c r="H322" s="504"/>
      <c r="I322" s="504"/>
      <c r="J322" s="504"/>
      <c r="K322" s="81"/>
      <c r="L322" s="957" t="s">
        <v>482</v>
      </c>
      <c r="M322" s="155"/>
      <c r="N322" s="716"/>
      <c r="O322" s="818"/>
      <c r="P322" s="716"/>
      <c r="Q322" s="717"/>
      <c r="R322" s="716"/>
      <c r="S322" s="717"/>
      <c r="T322" s="716"/>
      <c r="U322" s="717"/>
      <c r="V322" s="717"/>
      <c r="W322" s="81"/>
      <c r="X322" s="939" t="s">
        <v>482</v>
      </c>
      <c r="Y322" s="950"/>
      <c r="Z322" s="769"/>
      <c r="AA322" s="769"/>
      <c r="AB322" s="1410"/>
      <c r="AC322" s="781" t="str">
        <f t="shared" si="53"/>
        <v/>
      </c>
      <c r="AD322" s="1443">
        <f>O213</f>
        <v>0</v>
      </c>
      <c r="AE322" s="812" t="s">
        <v>964</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7">
        <v>59</v>
      </c>
      <c r="B323" s="155"/>
      <c r="C323" s="860" t="str">
        <f>IF(LEN(O305)&lt;=135,"",IF(LEN(O305)&lt;=260,RIGHT(O305,LEN(O305)-SEARCH(" ",O305,125)),MID(O305,SEARCH(" ",O305,130),IF(LEN(O305)&lt;=265,LEN(O305),SEARCH(" ",O305,255)-SEARCH(" ",O305,130)))))</f>
        <v/>
      </c>
      <c r="D323" s="504"/>
      <c r="E323" s="504"/>
      <c r="F323" s="504"/>
      <c r="G323" s="504"/>
      <c r="H323" s="504"/>
      <c r="I323" s="504"/>
      <c r="J323" s="504"/>
      <c r="K323" s="81"/>
      <c r="L323" s="957" t="s">
        <v>482</v>
      </c>
      <c r="M323" s="155"/>
      <c r="N323" s="716"/>
      <c r="O323" s="818"/>
      <c r="P323" s="716"/>
      <c r="Q323" s="717"/>
      <c r="R323" s="716"/>
      <c r="S323" s="717"/>
      <c r="T323" s="716"/>
      <c r="U323" s="717"/>
      <c r="V323" s="717"/>
      <c r="W323" s="81"/>
      <c r="X323" s="939" t="s">
        <v>482</v>
      </c>
      <c r="Y323" s="950"/>
      <c r="Z323" s="769"/>
      <c r="AA323" s="769"/>
      <c r="AB323" s="768"/>
      <c r="AC323" s="781" t="str">
        <f t="shared" si="53"/>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7">
        <v>60</v>
      </c>
      <c r="B324" s="155"/>
      <c r="C324" s="860" t="str">
        <f>IF(LEN(O305)&lt;=265,"",RIGHT(O305,LEN(O305)-SEARCH(" ",O305,255)))</f>
        <v/>
      </c>
      <c r="D324" s="504"/>
      <c r="E324" s="504"/>
      <c r="F324" s="504"/>
      <c r="G324" s="504"/>
      <c r="H324" s="504"/>
      <c r="I324" s="504"/>
      <c r="J324" s="504"/>
      <c r="K324" s="81"/>
      <c r="L324" s="957" t="s">
        <v>482</v>
      </c>
      <c r="M324" s="155"/>
      <c r="N324" s="716"/>
      <c r="O324" s="818"/>
      <c r="P324" s="716"/>
      <c r="Q324" s="717"/>
      <c r="R324" s="716"/>
      <c r="S324" s="717"/>
      <c r="T324" s="716"/>
      <c r="U324" s="717"/>
      <c r="V324" s="717"/>
      <c r="W324" s="81"/>
      <c r="X324" s="939" t="s">
        <v>482</v>
      </c>
      <c r="Y324" s="950"/>
      <c r="Z324" s="769"/>
      <c r="AA324" s="769"/>
      <c r="AB324" s="1410"/>
      <c r="AC324" s="781" t="str">
        <f t="shared" si="53"/>
        <v/>
      </c>
      <c r="AD324" s="1443">
        <f>O215</f>
        <v>0</v>
      </c>
      <c r="AE324" s="812" t="s">
        <v>965</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7">
        <v>61</v>
      </c>
      <c r="B325" s="155"/>
      <c r="C325" s="860" t="str">
        <f>IF(O307="","",IF(LEN(O307)&lt;=135,O307,IF(LEN(O307)&lt;=260,LEFT(O307,SEARCH(" ",O307,125)),LEFT(O307,SEARCH(" ",O307,130)))))</f>
        <v/>
      </c>
      <c r="D325" s="504"/>
      <c r="E325" s="504"/>
      <c r="F325" s="504"/>
      <c r="G325" s="504"/>
      <c r="H325" s="504"/>
      <c r="I325" s="504"/>
      <c r="J325" s="504"/>
      <c r="K325" s="81"/>
      <c r="L325" s="957" t="s">
        <v>482</v>
      </c>
      <c r="M325" s="155"/>
      <c r="N325" s="716"/>
      <c r="O325" s="818"/>
      <c r="P325" s="716"/>
      <c r="Q325" s="717"/>
      <c r="R325" s="716"/>
      <c r="S325" s="717"/>
      <c r="T325" s="716"/>
      <c r="U325" s="717"/>
      <c r="V325" s="717"/>
      <c r="W325" s="81"/>
      <c r="X325" s="939" t="s">
        <v>482</v>
      </c>
      <c r="Y325" s="950"/>
      <c r="Z325" s="769"/>
      <c r="AA325" s="769"/>
      <c r="AB325" s="768"/>
      <c r="AC325" s="781" t="str">
        <f t="shared" si="53"/>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7">
        <v>62</v>
      </c>
      <c r="B326" s="155"/>
      <c r="C326" s="860" t="str">
        <f>IF(LEN(O307)&lt;=135,"",IF(LEN(O307)&lt;=260,RIGHT(O307,LEN(O307)-SEARCH(" ",O307,125)),MID(O307,SEARCH(" ",O307,130),IF(LEN(O307)&lt;=265,LEN(O307),SEARCH(" ",O307,255)-SEARCH(" ",O307,130)))))</f>
        <v/>
      </c>
      <c r="D326" s="504"/>
      <c r="E326" s="504"/>
      <c r="F326" s="504"/>
      <c r="G326" s="504"/>
      <c r="H326" s="504"/>
      <c r="I326" s="504"/>
      <c r="J326" s="504"/>
      <c r="K326" s="81"/>
      <c r="L326" s="957" t="s">
        <v>482</v>
      </c>
      <c r="M326" s="155"/>
      <c r="N326" s="716"/>
      <c r="O326" s="818"/>
      <c r="P326" s="716"/>
      <c r="Q326" s="717"/>
      <c r="R326" s="716"/>
      <c r="S326" s="717"/>
      <c r="T326" s="716"/>
      <c r="U326" s="717"/>
      <c r="V326" s="717"/>
      <c r="W326" s="81"/>
      <c r="X326" s="939" t="s">
        <v>482</v>
      </c>
      <c r="Y326" s="950"/>
      <c r="Z326" s="769"/>
      <c r="AA326" s="769"/>
      <c r="AB326" s="1410"/>
      <c r="AC326" s="781" t="str">
        <f t="shared" si="53"/>
        <v/>
      </c>
      <c r="AD326" s="1443">
        <f>O217</f>
        <v>0</v>
      </c>
      <c r="AE326" s="812" t="s">
        <v>966</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7">
        <v>63</v>
      </c>
      <c r="B327" s="155"/>
      <c r="C327" s="860" t="str">
        <f>IF(LEN(O307)&lt;=265,"",RIGHT(O307,LEN(O307)-SEARCH(" ",O307,255)))</f>
        <v/>
      </c>
      <c r="D327" s="504"/>
      <c r="E327" s="504"/>
      <c r="F327" s="504"/>
      <c r="G327" s="504"/>
      <c r="H327" s="504"/>
      <c r="I327" s="504"/>
      <c r="J327" s="504"/>
      <c r="K327" s="81"/>
      <c r="L327" s="957" t="s">
        <v>482</v>
      </c>
      <c r="M327" s="155"/>
      <c r="N327" s="720"/>
      <c r="O327" s="819"/>
      <c r="P327" s="720"/>
      <c r="Q327" s="719"/>
      <c r="R327" s="720"/>
      <c r="S327" s="719"/>
      <c r="T327" s="720"/>
      <c r="U327" s="719"/>
      <c r="V327" s="719"/>
      <c r="W327" s="81"/>
      <c r="X327" s="939" t="s">
        <v>482</v>
      </c>
      <c r="Y327" s="950"/>
      <c r="Z327" s="769"/>
      <c r="AA327" s="769"/>
      <c r="AB327" s="768"/>
      <c r="AC327" s="781" t="str">
        <f t="shared" si="53"/>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7">
        <v>64</v>
      </c>
      <c r="B328" s="112"/>
      <c r="C328" s="94"/>
      <c r="D328" s="94"/>
      <c r="E328" s="94"/>
      <c r="F328" s="94"/>
      <c r="G328" s="94"/>
      <c r="H328" s="94"/>
      <c r="I328" s="94"/>
      <c r="J328" s="94"/>
      <c r="K328" s="99"/>
      <c r="L328" s="957" t="s">
        <v>482</v>
      </c>
      <c r="M328" s="437"/>
      <c r="N328" s="181"/>
      <c r="O328" s="820"/>
      <c r="P328" s="576"/>
      <c r="Q328" s="181"/>
      <c r="R328" s="181"/>
      <c r="S328" s="181"/>
      <c r="T328" s="181"/>
      <c r="U328" s="181"/>
      <c r="V328" s="181"/>
      <c r="W328" s="439"/>
      <c r="X328" s="939" t="s">
        <v>482</v>
      </c>
      <c r="Y328" s="950"/>
      <c r="Z328" s="769"/>
      <c r="AA328" s="769"/>
      <c r="AB328" s="1410"/>
      <c r="AC328" s="781" t="str">
        <f t="shared" si="53"/>
        <v/>
      </c>
      <c r="AD328" s="1443">
        <f>O219</f>
        <v>0</v>
      </c>
      <c r="AE328" s="812" t="s">
        <v>967</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7">
        <v>65</v>
      </c>
      <c r="B329" s="60" t="str">
        <f t="array" ref="B329:C330">$B$65:$C$66</f>
        <v>Date:</v>
      </c>
      <c r="C329" s="1664" t="str">
        <v/>
      </c>
      <c r="E329" s="59"/>
      <c r="F329" s="59"/>
      <c r="G329" s="59"/>
      <c r="H329" s="59"/>
      <c r="I329" s="60" t="str">
        <f t="array" ref="I329:J330">$I$65:$J$66</f>
        <v>Inspector:</v>
      </c>
      <c r="J329" s="554" t="str">
        <v>Eugene Mah</v>
      </c>
      <c r="L329" s="957" t="s">
        <v>482</v>
      </c>
      <c r="O329" s="824"/>
      <c r="X329" s="939" t="s">
        <v>482</v>
      </c>
      <c r="Y329" s="950"/>
      <c r="Z329" s="769"/>
      <c r="AA329" s="769"/>
      <c r="AB329" s="768"/>
      <c r="AC329" s="781" t="str">
        <f t="shared" si="53"/>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7">
        <v>66</v>
      </c>
      <c r="B330" s="60" t="str">
        <v>Room Number:</v>
      </c>
      <c r="C330" s="499" t="str">
        <v/>
      </c>
      <c r="E330" s="59"/>
      <c r="F330" s="59"/>
      <c r="G330" s="59"/>
      <c r="H330" s="59"/>
      <c r="I330" s="60" t="str">
        <v>Survey ID:</v>
      </c>
      <c r="J330" s="1404" t="str">
        <v/>
      </c>
      <c r="L330" s="957" t="s">
        <v>482</v>
      </c>
      <c r="O330" s="824"/>
      <c r="X330" s="939" t="s">
        <v>482</v>
      </c>
      <c r="Y330" s="950"/>
      <c r="Z330" s="769"/>
      <c r="AA330" s="769"/>
      <c r="AB330" s="1410"/>
      <c r="AC330" s="781" t="str">
        <f t="shared" si="53"/>
        <v/>
      </c>
      <c r="AD330" s="1443">
        <f>O221</f>
        <v>0</v>
      </c>
      <c r="AE330" s="812" t="s">
        <v>968</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7">
        <v>1</v>
      </c>
      <c r="B331" s="1"/>
      <c r="C331" s="1"/>
      <c r="D331" s="1"/>
      <c r="E331" s="1"/>
      <c r="F331" s="1"/>
      <c r="G331" s="1"/>
      <c r="H331" s="1"/>
      <c r="I331" s="1"/>
      <c r="J331" s="1"/>
      <c r="K331" s="161" t="str">
        <f>$F$2</f>
        <v>Medical University of South Carolina</v>
      </c>
      <c r="L331" s="957" t="s">
        <v>482</v>
      </c>
      <c r="M331" s="1"/>
      <c r="N331" s="1"/>
      <c r="O331" s="825"/>
      <c r="P331" s="577"/>
      <c r="Q331" s="1"/>
      <c r="R331" s="1"/>
      <c r="S331" s="1"/>
      <c r="T331" s="1"/>
      <c r="U331" s="1"/>
      <c r="V331" s="1"/>
      <c r="W331" s="161" t="str">
        <f>$F$2</f>
        <v>Medical University of South Carolina</v>
      </c>
      <c r="X331" s="939" t="s">
        <v>482</v>
      </c>
      <c r="Y331" s="950"/>
      <c r="Z331" s="769"/>
      <c r="AA331" s="769"/>
      <c r="AB331" s="768"/>
      <c r="AC331" s="781" t="str">
        <f t="shared" si="53"/>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7">
        <v>2</v>
      </c>
      <c r="B332" s="1"/>
      <c r="C332" s="1"/>
      <c r="D332" s="1"/>
      <c r="E332" s="1"/>
      <c r="F332" s="336" t="str">
        <f>$F$464</f>
        <v>Measurement Data</v>
      </c>
      <c r="G332" s="1"/>
      <c r="H332" s="1"/>
      <c r="I332" s="1"/>
      <c r="J332" s="1"/>
      <c r="K332" s="162" t="str">
        <f>$F$5</f>
        <v>Radiographic System Compliance Inspection</v>
      </c>
      <c r="L332" s="957" t="s">
        <v>482</v>
      </c>
      <c r="M332" s="1"/>
      <c r="N332" s="1"/>
      <c r="O332" s="825"/>
      <c r="P332" s="577"/>
      <c r="Q332" s="1"/>
      <c r="R332" s="1"/>
      <c r="S332" s="1"/>
      <c r="T332" s="1"/>
      <c r="U332" s="1"/>
      <c r="V332" s="1"/>
      <c r="W332" s="162" t="str">
        <f>$F$5</f>
        <v>Radiographic System Compliance Inspection</v>
      </c>
      <c r="X332" s="939" t="s">
        <v>482</v>
      </c>
      <c r="Y332" s="950"/>
      <c r="Z332" s="769"/>
      <c r="AA332" s="769"/>
      <c r="AB332" s="1410"/>
      <c r="AC332" s="781" t="str">
        <f t="shared" si="53"/>
        <v/>
      </c>
      <c r="AD332" s="1443">
        <f>O223</f>
        <v>0</v>
      </c>
      <c r="AE332" s="812" t="s">
        <v>969</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7">
        <v>3</v>
      </c>
      <c r="L333" s="957" t="s">
        <v>482</v>
      </c>
      <c r="M333" s="1"/>
      <c r="N333" s="1"/>
      <c r="O333" s="825"/>
      <c r="P333" s="577"/>
      <c r="Q333" s="1"/>
      <c r="R333" s="1"/>
      <c r="S333" s="1"/>
      <c r="T333" s="1"/>
      <c r="U333" s="1"/>
      <c r="V333" s="1"/>
      <c r="W333" s="1"/>
      <c r="X333" s="939" t="s">
        <v>482</v>
      </c>
      <c r="Y333" s="950"/>
      <c r="Z333" s="769"/>
      <c r="AA333" s="769"/>
      <c r="AB333" s="768"/>
      <c r="AC333" s="781" t="str">
        <f t="shared" si="53"/>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7">
        <v>4</v>
      </c>
      <c r="F334" s="240" t="str">
        <f>$R$334</f>
        <v>COMMENTS PAGE 3</v>
      </c>
      <c r="L334" s="957" t="s">
        <v>482</v>
      </c>
      <c r="M334" s="198"/>
      <c r="N334" s="198"/>
      <c r="O334" s="822"/>
      <c r="P334" s="578"/>
      <c r="Q334" s="198"/>
      <c r="R334" s="240" t="str">
        <f>"COMMENTS"&amp;IF(OR($O$205=0,$O$205="")," PAGE 3"," PAGE 4")</f>
        <v>COMMENTS PAGE 3</v>
      </c>
      <c r="S334" s="198"/>
      <c r="T334" s="198"/>
      <c r="U334" s="198"/>
      <c r="V334" s="198"/>
      <c r="W334" s="198"/>
      <c r="X334" s="939" t="s">
        <v>482</v>
      </c>
      <c r="Y334" s="950"/>
      <c r="Z334" s="769"/>
      <c r="AA334" s="769"/>
      <c r="AB334" s="1410"/>
      <c r="AC334" s="781" t="str">
        <f t="shared" si="53"/>
        <v/>
      </c>
      <c r="AD334" s="1443">
        <f>O225</f>
        <v>0</v>
      </c>
      <c r="AE334" s="812" t="s">
        <v>970</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7">
        <v>5</v>
      </c>
      <c r="L335" s="957" t="s">
        <v>482</v>
      </c>
      <c r="M335" s="198"/>
      <c r="N335" s="198"/>
      <c r="O335" s="822"/>
      <c r="P335" s="578"/>
      <c r="Q335" s="198"/>
      <c r="R335" s="198"/>
      <c r="S335" s="198"/>
      <c r="T335" s="198"/>
      <c r="U335" s="198"/>
      <c r="V335" s="198"/>
      <c r="W335" s="198"/>
      <c r="X335" s="939" t="s">
        <v>482</v>
      </c>
      <c r="Y335" s="950"/>
      <c r="Z335" s="769"/>
      <c r="AA335" s="769"/>
      <c r="AB335" s="768"/>
      <c r="AC335" s="781" t="str">
        <f t="shared" si="53"/>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7">
        <v>6</v>
      </c>
      <c r="B336" s="89"/>
      <c r="C336" s="72"/>
      <c r="D336" s="72"/>
      <c r="E336" s="72"/>
      <c r="F336" s="72"/>
      <c r="G336" s="72"/>
      <c r="H336" s="72"/>
      <c r="I336" s="72"/>
      <c r="J336" s="72"/>
      <c r="K336" s="90"/>
      <c r="L336" s="957" t="s">
        <v>482</v>
      </c>
      <c r="M336" s="427"/>
      <c r="N336" s="428"/>
      <c r="O336" s="823"/>
      <c r="P336" s="574"/>
      <c r="Q336" s="964" t="s">
        <v>431</v>
      </c>
      <c r="R336" s="428"/>
      <c r="S336" s="428"/>
      <c r="T336" s="428"/>
      <c r="U336" s="428"/>
      <c r="V336" s="428"/>
      <c r="W336" s="429"/>
      <c r="X336" s="939" t="s">
        <v>482</v>
      </c>
      <c r="Y336" s="950"/>
      <c r="Z336" s="769"/>
      <c r="AA336" s="769"/>
      <c r="AB336" s="1410"/>
      <c r="AC336" s="781" t="str">
        <f t="shared" ref="AC336:AC399" si="57">IF(AND(OR(AB336="",AB336=0),OR(AD336="",AD336=0)),"",IF(AB336&lt;&gt;AD336,"Change",""))</f>
        <v/>
      </c>
      <c r="AD336" s="1443">
        <f>O227</f>
        <v>0</v>
      </c>
      <c r="AE336" s="812" t="s">
        <v>971</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7">
        <v>7</v>
      </c>
      <c r="B337" s="120" t="s">
        <v>629</v>
      </c>
      <c r="C337" s="860" t="str">
        <f>IF(O337="","",IF(LEN(O337)&lt;=135,O337,IF(LEN(O337)&lt;=260,LEFT(O337,SEARCH(" ",O337,125)),LEFT(O337,SEARCH(" ",O337,130)))))</f>
        <v/>
      </c>
      <c r="D337" s="504"/>
      <c r="E337" s="504"/>
      <c r="F337" s="504"/>
      <c r="G337" s="504"/>
      <c r="H337" s="504"/>
      <c r="I337" s="504"/>
      <c r="J337" s="504"/>
      <c r="K337" s="81"/>
      <c r="L337" s="957" t="s">
        <v>482</v>
      </c>
      <c r="M337" s="433"/>
      <c r="N337" s="182" t="s">
        <v>629</v>
      </c>
      <c r="O337" s="1490"/>
      <c r="P337" s="575"/>
      <c r="Q337" s="959" t="str">
        <f>IF(OR(AB390=0,AB390=""),"",AB390)</f>
        <v/>
      </c>
      <c r="R337" s="57"/>
      <c r="S337" s="57"/>
      <c r="T337" s="57"/>
      <c r="U337" s="57"/>
      <c r="V337" s="57"/>
      <c r="W337" s="435"/>
      <c r="X337" s="939" t="s">
        <v>482</v>
      </c>
      <c r="Y337" s="950"/>
      <c r="Z337" s="769"/>
      <c r="AA337" s="769"/>
      <c r="AB337" s="768"/>
      <c r="AC337" s="781" t="str">
        <f t="shared" si="57"/>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7">
        <v>8</v>
      </c>
      <c r="B338" s="97"/>
      <c r="C338" s="860" t="str">
        <f>IF(LEN(O337)&lt;=135,"",IF(LEN(O337)&lt;=260,RIGHT(O337,LEN(O337)-SEARCH(" ",O337,125)),MID(O337,SEARCH(" ",O337,130),IF(LEN(O337)&lt;=265,LEN(O337),SEARCH(" ",O337,255)-SEARCH(" ",O337,130)))))</f>
        <v/>
      </c>
      <c r="D338" s="504"/>
      <c r="E338" s="504"/>
      <c r="F338" s="504"/>
      <c r="G338" s="504"/>
      <c r="H338" s="504"/>
      <c r="I338" s="504"/>
      <c r="J338" s="504"/>
      <c r="K338" s="81"/>
      <c r="L338" s="957" t="s">
        <v>482</v>
      </c>
      <c r="M338" s="97"/>
      <c r="N338" s="855" t="s">
        <v>347</v>
      </c>
      <c r="O338" s="1491"/>
      <c r="P338" s="856">
        <f>LEN(O337)</f>
        <v>0</v>
      </c>
      <c r="Q338" s="960"/>
      <c r="R338" s="963">
        <f>LEN(Q337)</f>
        <v>0</v>
      </c>
      <c r="S338" s="69"/>
      <c r="T338" s="69"/>
      <c r="U338" s="69"/>
      <c r="V338" s="69"/>
      <c r="W338" s="438"/>
      <c r="X338" s="939" t="s">
        <v>482</v>
      </c>
      <c r="Y338" s="950"/>
      <c r="Z338" s="769"/>
      <c r="AA338" s="769"/>
      <c r="AB338" s="1410"/>
      <c r="AC338" s="781" t="str">
        <f t="shared" si="57"/>
        <v/>
      </c>
      <c r="AD338" s="1443">
        <f>O229</f>
        <v>0</v>
      </c>
      <c r="AE338" s="812" t="s">
        <v>972</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7">
        <v>9</v>
      </c>
      <c r="B339" s="97"/>
      <c r="C339" s="860" t="str">
        <f>IF(LEN(O337)&lt;=265,"",RIGHT(O337,LEN(O337)-SEARCH(" ",O337,255)))</f>
        <v/>
      </c>
      <c r="D339" s="504"/>
      <c r="E339" s="504"/>
      <c r="F339" s="504"/>
      <c r="G339" s="504"/>
      <c r="H339" s="504"/>
      <c r="I339" s="504"/>
      <c r="J339" s="504"/>
      <c r="K339" s="81"/>
      <c r="L339" s="957" t="s">
        <v>482</v>
      </c>
      <c r="M339" s="139"/>
      <c r="N339" s="182" t="s">
        <v>143</v>
      </c>
      <c r="O339" s="1490"/>
      <c r="P339" s="575"/>
      <c r="Q339" s="959" t="str">
        <f>IF(OR(AB392=0,AB392=""),"",AB392)</f>
        <v/>
      </c>
      <c r="R339" s="57"/>
      <c r="S339" s="57"/>
      <c r="T339" s="57"/>
      <c r="U339" s="57"/>
      <c r="V339" s="57"/>
      <c r="W339" s="435"/>
      <c r="X339" s="939" t="s">
        <v>482</v>
      </c>
      <c r="Y339" s="950"/>
      <c r="Z339" s="769"/>
      <c r="AA339" s="769"/>
      <c r="AB339" s="768"/>
      <c r="AC339" s="781" t="str">
        <f t="shared" si="57"/>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7">
        <v>10</v>
      </c>
      <c r="B340" s="155"/>
      <c r="C340" s="860" t="str">
        <f>IF(O339="","",IF(LEN(O339)&lt;=135,O339,IF(LEN(O339)&lt;=260,LEFT(O339,SEARCH(" ",O339,125)),LEFT(O339,SEARCH(" ",O339,130)))))</f>
        <v/>
      </c>
      <c r="D340" s="504"/>
      <c r="E340" s="504"/>
      <c r="F340" s="504"/>
      <c r="G340" s="504"/>
      <c r="H340" s="504"/>
      <c r="I340" s="504"/>
      <c r="J340" s="504"/>
      <c r="K340" s="81"/>
      <c r="L340" s="957" t="s">
        <v>482</v>
      </c>
      <c r="M340" s="97"/>
      <c r="N340" s="855" t="s">
        <v>347</v>
      </c>
      <c r="O340" s="1491"/>
      <c r="P340" s="856">
        <f>LEN(O339)</f>
        <v>0</v>
      </c>
      <c r="Q340" s="960"/>
      <c r="R340" s="963">
        <f>LEN(Q339)</f>
        <v>0</v>
      </c>
      <c r="S340" s="57"/>
      <c r="T340" s="57"/>
      <c r="U340" s="57"/>
      <c r="V340" s="57"/>
      <c r="W340" s="435"/>
      <c r="X340" s="939" t="s">
        <v>482</v>
      </c>
      <c r="Y340" s="950"/>
      <c r="Z340" s="769"/>
      <c r="AA340" s="769"/>
      <c r="AB340" s="1410"/>
      <c r="AC340" s="781" t="str">
        <f t="shared" si="57"/>
        <v/>
      </c>
      <c r="AD340" s="1443">
        <f>O231</f>
        <v>0</v>
      </c>
      <c r="AE340" s="812" t="s">
        <v>973</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7">
        <v>11</v>
      </c>
      <c r="B341" s="155"/>
      <c r="C341" s="860" t="str">
        <f>IF(LEN(O339)&lt;=135,"",IF(LEN(O339)&lt;=260,RIGHT(O339,LEN(O339)-SEARCH(" ",O339,125)),MID(O339,SEARCH(" ",O339,130),IF(LEN(O339)&lt;=265,LEN(O339),SEARCH(" ",O339,255)-SEARCH(" ",O339,130)))))</f>
        <v/>
      </c>
      <c r="D341" s="504"/>
      <c r="E341" s="504"/>
      <c r="F341" s="504"/>
      <c r="G341" s="504"/>
      <c r="H341" s="504"/>
      <c r="I341" s="504"/>
      <c r="J341" s="504"/>
      <c r="K341" s="81"/>
      <c r="L341" s="957" t="s">
        <v>482</v>
      </c>
      <c r="M341" s="442"/>
      <c r="N341" s="182" t="s">
        <v>143</v>
      </c>
      <c r="O341" s="1490"/>
      <c r="P341" s="575"/>
      <c r="Q341" s="959" t="str">
        <f>IF(OR(AB394=0,AB394=""),"",AB394)</f>
        <v/>
      </c>
      <c r="R341" s="57"/>
      <c r="S341" s="69"/>
      <c r="T341" s="69"/>
      <c r="U341" s="69"/>
      <c r="V341" s="69"/>
      <c r="W341" s="438"/>
      <c r="X341" s="939" t="s">
        <v>482</v>
      </c>
      <c r="Y341" s="950"/>
      <c r="AA341" s="769"/>
      <c r="AB341" s="768"/>
      <c r="AC341" s="781" t="str">
        <f t="shared" si="57"/>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7">
        <v>12</v>
      </c>
      <c r="B342" s="155"/>
      <c r="C342" s="860" t="str">
        <f>IF(LEN(O339)&lt;=265,"",RIGHT(O339,LEN(O339)-SEARCH(" ",O339,255)))</f>
        <v/>
      </c>
      <c r="D342" s="504"/>
      <c r="E342" s="504"/>
      <c r="F342" s="504"/>
      <c r="G342" s="504"/>
      <c r="H342" s="504"/>
      <c r="I342" s="504"/>
      <c r="J342" s="504"/>
      <c r="K342" s="81"/>
      <c r="L342" s="957" t="s">
        <v>482</v>
      </c>
      <c r="M342" s="139"/>
      <c r="N342" s="855" t="s">
        <v>347</v>
      </c>
      <c r="O342" s="1491"/>
      <c r="P342" s="856">
        <f>LEN(O341)</f>
        <v>0</v>
      </c>
      <c r="Q342" s="960"/>
      <c r="R342" s="963">
        <f>LEN(Q341)</f>
        <v>0</v>
      </c>
      <c r="S342" s="57"/>
      <c r="T342" s="57"/>
      <c r="U342" s="57"/>
      <c r="V342" s="57"/>
      <c r="W342" s="435"/>
      <c r="X342" s="939" t="s">
        <v>482</v>
      </c>
      <c r="Y342" s="950"/>
      <c r="AA342" s="769"/>
      <c r="AB342" s="1410"/>
      <c r="AC342" s="781" t="str">
        <f t="shared" si="57"/>
        <v/>
      </c>
      <c r="AD342" s="1443">
        <f>O233</f>
        <v>0</v>
      </c>
      <c r="AE342" s="812" t="s">
        <v>974</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7">
        <v>13</v>
      </c>
      <c r="B343" s="155"/>
      <c r="C343" s="860" t="str">
        <f>IF(O341="","",IF(LEN(O341)&lt;=135,O341,IF(LEN(O341)&lt;=260,LEFT(O341,SEARCH(" ",O341,125)),LEFT(O341,SEARCH(" ",O341,130)))))</f>
        <v/>
      </c>
      <c r="D343" s="504"/>
      <c r="E343" s="504"/>
      <c r="F343" s="504"/>
      <c r="G343" s="504"/>
      <c r="H343" s="504"/>
      <c r="I343" s="504"/>
      <c r="J343" s="504"/>
      <c r="K343" s="81"/>
      <c r="L343" s="957" t="s">
        <v>482</v>
      </c>
      <c r="M343" s="97"/>
      <c r="N343" s="182" t="s">
        <v>143</v>
      </c>
      <c r="O343" s="1490"/>
      <c r="P343" s="575"/>
      <c r="Q343" s="959" t="str">
        <f>IF(OR(AB396=0,AB396=""),"",AB396)</f>
        <v/>
      </c>
      <c r="R343" s="57"/>
      <c r="S343" s="57"/>
      <c r="T343" s="57"/>
      <c r="U343" s="57"/>
      <c r="V343" s="57"/>
      <c r="W343" s="435"/>
      <c r="X343" s="939" t="s">
        <v>482</v>
      </c>
      <c r="Y343" s="950"/>
      <c r="Z343" s="432"/>
      <c r="AA343" s="769"/>
      <c r="AB343" s="768"/>
      <c r="AC343" s="781" t="str">
        <f t="shared" si="57"/>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7">
        <v>14</v>
      </c>
      <c r="B344" s="155"/>
      <c r="C344" s="860" t="str">
        <f>IF(LEN(O341)&lt;=135,"",IF(LEN(O341)&lt;=260,RIGHT(O341,LEN(O341)-SEARCH(" ",O341,125)),MID(O341,SEARCH(" ",O341,130),IF(LEN(O341)&lt;=265,LEN(O341),SEARCH(" ",O341,255)-SEARCH(" ",O341,130)))))</f>
        <v/>
      </c>
      <c r="D344" s="504"/>
      <c r="E344" s="504"/>
      <c r="F344" s="504"/>
      <c r="G344" s="504"/>
      <c r="H344" s="504"/>
      <c r="I344" s="504"/>
      <c r="J344" s="504"/>
      <c r="K344" s="81"/>
      <c r="L344" s="957" t="s">
        <v>482</v>
      </c>
      <c r="M344" s="442"/>
      <c r="N344" s="855" t="s">
        <v>347</v>
      </c>
      <c r="O344" s="1491"/>
      <c r="P344" s="856">
        <f>LEN(O343)</f>
        <v>0</v>
      </c>
      <c r="Q344" s="960"/>
      <c r="R344" s="963">
        <f>LEN(Q343)</f>
        <v>0</v>
      </c>
      <c r="S344" s="69"/>
      <c r="T344" s="69"/>
      <c r="U344" s="69"/>
      <c r="V344" s="69"/>
      <c r="W344" s="438"/>
      <c r="X344" s="939" t="s">
        <v>482</v>
      </c>
      <c r="Y344" s="950"/>
      <c r="Z344" s="432"/>
      <c r="AA344" s="769"/>
      <c r="AB344" s="1410"/>
      <c r="AC344" s="781" t="str">
        <f t="shared" si="57"/>
        <v/>
      </c>
      <c r="AD344" s="1443">
        <f>O235</f>
        <v>0</v>
      </c>
      <c r="AE344" s="812" t="s">
        <v>975</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7">
        <v>15</v>
      </c>
      <c r="B345" s="155"/>
      <c r="C345" s="860" t="str">
        <f>IF(LEN(O341)&lt;=265,"",RIGHT(O341,LEN(O341)-SEARCH(" ",O341,255)))</f>
        <v/>
      </c>
      <c r="D345" s="504"/>
      <c r="E345" s="504"/>
      <c r="F345" s="504"/>
      <c r="G345" s="504"/>
      <c r="H345" s="504"/>
      <c r="I345" s="504"/>
      <c r="J345" s="504"/>
      <c r="K345" s="81"/>
      <c r="L345" s="957" t="s">
        <v>482</v>
      </c>
      <c r="M345" s="139"/>
      <c r="N345" s="182" t="s">
        <v>143</v>
      </c>
      <c r="O345" s="1490"/>
      <c r="P345" s="575"/>
      <c r="Q345" s="959" t="str">
        <f>IF(OR(AB398=0,AB398=""),"",AB398)</f>
        <v/>
      </c>
      <c r="R345" s="57"/>
      <c r="S345" s="57"/>
      <c r="T345" s="57"/>
      <c r="U345" s="57"/>
      <c r="V345" s="57"/>
      <c r="W345" s="435"/>
      <c r="X345" s="939" t="s">
        <v>482</v>
      </c>
      <c r="Y345" s="950"/>
      <c r="Z345" s="769"/>
      <c r="AA345" s="769"/>
      <c r="AB345" s="768"/>
      <c r="AC345" s="781" t="str">
        <f t="shared" si="57"/>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7">
        <v>16</v>
      </c>
      <c r="B346" s="155"/>
      <c r="C346" s="860" t="str">
        <f>IF(O343="","",IF(LEN(O343)&lt;=135,O343,IF(LEN(O343)&lt;=260,LEFT(O343,SEARCH(" ",O343,125)),LEFT(O343,SEARCH(" ",O343,130)))))</f>
        <v/>
      </c>
      <c r="D346" s="504"/>
      <c r="E346" s="504"/>
      <c r="F346" s="504"/>
      <c r="G346" s="504"/>
      <c r="H346" s="504"/>
      <c r="I346" s="504"/>
      <c r="J346" s="504"/>
      <c r="K346" s="81"/>
      <c r="L346" s="957" t="s">
        <v>482</v>
      </c>
      <c r="M346" s="97"/>
      <c r="N346" s="855" t="s">
        <v>347</v>
      </c>
      <c r="O346" s="1491"/>
      <c r="P346" s="856">
        <f>LEN(O345)</f>
        <v>0</v>
      </c>
      <c r="Q346" s="960"/>
      <c r="R346" s="963">
        <f>LEN(Q345)</f>
        <v>0</v>
      </c>
      <c r="S346" s="57"/>
      <c r="T346" s="57"/>
      <c r="U346" s="57"/>
      <c r="V346" s="57"/>
      <c r="W346" s="435"/>
      <c r="X346" s="939" t="s">
        <v>482</v>
      </c>
      <c r="Y346" s="950"/>
      <c r="Z346" s="769"/>
      <c r="AA346" s="769"/>
      <c r="AB346" s="1410"/>
      <c r="AC346" s="781" t="str">
        <f t="shared" si="57"/>
        <v/>
      </c>
      <c r="AD346" s="1443">
        <f>O237</f>
        <v>0</v>
      </c>
      <c r="AE346" s="812" t="s">
        <v>976</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7">
        <v>17</v>
      </c>
      <c r="B347" s="155"/>
      <c r="C347" s="860" t="str">
        <f>IF(LEN(O343)&lt;=135,"",IF(LEN(O343)&lt;=260,RIGHT(O343,LEN(O343)-SEARCH(" ",O343,125)),MID(O343,SEARCH(" ",O343,130),IF(LEN(O343)&lt;=265,LEN(O343),SEARCH(" ",O343,255)-SEARCH(" ",O343,130)))))</f>
        <v/>
      </c>
      <c r="D347" s="504"/>
      <c r="E347" s="504"/>
      <c r="F347" s="504"/>
      <c r="G347" s="504"/>
      <c r="H347" s="504"/>
      <c r="I347" s="504"/>
      <c r="J347" s="504"/>
      <c r="K347" s="81"/>
      <c r="L347" s="957" t="s">
        <v>482</v>
      </c>
      <c r="M347" s="442"/>
      <c r="N347" s="182" t="s">
        <v>143</v>
      </c>
      <c r="O347" s="1490"/>
      <c r="P347" s="575"/>
      <c r="Q347" s="959" t="str">
        <f>IF(OR(AB400=0,AB400=""),"",AB400)</f>
        <v/>
      </c>
      <c r="R347" s="57"/>
      <c r="S347" s="69"/>
      <c r="T347" s="69"/>
      <c r="U347" s="69"/>
      <c r="V347" s="69"/>
      <c r="W347" s="438"/>
      <c r="X347" s="939" t="s">
        <v>482</v>
      </c>
      <c r="Y347" s="950"/>
      <c r="Z347" s="769"/>
      <c r="AA347" s="432"/>
      <c r="AB347" s="768"/>
      <c r="AC347" s="781" t="str">
        <f t="shared" si="57"/>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7">
        <v>18</v>
      </c>
      <c r="B348" s="155"/>
      <c r="C348" s="860" t="str">
        <f>IF(LEN(O343)&lt;=265,"",RIGHT(O343,LEN(O343)-SEARCH(" ",O343,255)))</f>
        <v/>
      </c>
      <c r="D348" s="504"/>
      <c r="E348" s="504"/>
      <c r="F348" s="504"/>
      <c r="G348" s="504"/>
      <c r="H348" s="504"/>
      <c r="I348" s="504"/>
      <c r="J348" s="504"/>
      <c r="K348" s="81"/>
      <c r="L348" s="957" t="s">
        <v>482</v>
      </c>
      <c r="M348" s="139"/>
      <c r="N348" s="855" t="s">
        <v>347</v>
      </c>
      <c r="O348" s="1491"/>
      <c r="P348" s="856">
        <f>LEN(O347)</f>
        <v>0</v>
      </c>
      <c r="Q348" s="960"/>
      <c r="R348" s="963">
        <f>LEN(Q347)</f>
        <v>0</v>
      </c>
      <c r="S348" s="57"/>
      <c r="T348" s="57"/>
      <c r="U348" s="57"/>
      <c r="V348" s="57"/>
      <c r="W348" s="435"/>
      <c r="X348" s="939" t="s">
        <v>482</v>
      </c>
      <c r="Y348" s="950"/>
      <c r="Z348" s="769"/>
      <c r="AA348" s="432"/>
      <c r="AB348" s="1410"/>
      <c r="AC348" s="781" t="str">
        <f t="shared" si="57"/>
        <v/>
      </c>
      <c r="AD348" s="1443">
        <f>O239</f>
        <v>0</v>
      </c>
      <c r="AE348" s="812" t="s">
        <v>977</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7">
        <v>19</v>
      </c>
      <c r="B349" s="155"/>
      <c r="C349" s="860" t="str">
        <f>IF(O345="","",IF(LEN(O345)&lt;=135,O345,IF(LEN(O345)&lt;=260,LEFT(O345,SEARCH(" ",O345,125)),LEFT(O345,SEARCH(" ",O345,130)))))</f>
        <v/>
      </c>
      <c r="D349" s="504"/>
      <c r="E349" s="504"/>
      <c r="F349" s="504"/>
      <c r="G349" s="504"/>
      <c r="H349" s="504"/>
      <c r="I349" s="504"/>
      <c r="J349" s="504"/>
      <c r="K349" s="81"/>
      <c r="L349" s="957" t="s">
        <v>482</v>
      </c>
      <c r="M349" s="97"/>
      <c r="N349" s="182" t="s">
        <v>143</v>
      </c>
      <c r="O349" s="1490"/>
      <c r="P349" s="575"/>
      <c r="Q349" s="959" t="str">
        <f>IF(OR(AB402=0,AB402=""),"",AB402)</f>
        <v/>
      </c>
      <c r="R349" s="57"/>
      <c r="S349" s="57"/>
      <c r="T349" s="57"/>
      <c r="U349" s="57"/>
      <c r="V349" s="57"/>
      <c r="W349" s="435"/>
      <c r="X349" s="939" t="s">
        <v>482</v>
      </c>
      <c r="Y349" s="950"/>
      <c r="Z349" s="769"/>
      <c r="AA349" s="432"/>
      <c r="AB349" s="768"/>
      <c r="AC349" s="781" t="str">
        <f t="shared" si="57"/>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7">
        <v>20</v>
      </c>
      <c r="B350" s="155"/>
      <c r="C350" s="860" t="str">
        <f>IF(LEN(O345)&lt;=135,"",IF(LEN(O345)&lt;=260,RIGHT(O345,LEN(O345)-SEARCH(" ",O345,125)),MID(O345,SEARCH(" ",O345,130),IF(LEN(O345)&lt;=265,LEN(O345),SEARCH(" ",O345,255)-SEARCH(" ",O345,130)))))</f>
        <v/>
      </c>
      <c r="D350" s="504"/>
      <c r="E350" s="504"/>
      <c r="F350" s="504"/>
      <c r="G350" s="504"/>
      <c r="H350" s="504"/>
      <c r="I350" s="504"/>
      <c r="J350" s="504"/>
      <c r="K350" s="81"/>
      <c r="L350" s="957" t="s">
        <v>482</v>
      </c>
      <c r="M350" s="442"/>
      <c r="N350" s="855" t="s">
        <v>347</v>
      </c>
      <c r="O350" s="1491"/>
      <c r="P350" s="856">
        <f>LEN(O349)</f>
        <v>0</v>
      </c>
      <c r="Q350" s="960"/>
      <c r="R350" s="963">
        <f>LEN(Q349)</f>
        <v>0</v>
      </c>
      <c r="S350" s="69"/>
      <c r="T350" s="69"/>
      <c r="U350" s="69"/>
      <c r="V350" s="69"/>
      <c r="W350" s="438"/>
      <c r="X350" s="939" t="s">
        <v>482</v>
      </c>
      <c r="Y350" s="950"/>
      <c r="Z350" s="769"/>
      <c r="AA350" s="432"/>
      <c r="AB350" s="1410"/>
      <c r="AC350" s="781" t="str">
        <f t="shared" si="57"/>
        <v/>
      </c>
      <c r="AD350" s="1443">
        <f>O241</f>
        <v>0</v>
      </c>
      <c r="AE350" s="812" t="s">
        <v>978</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7">
        <v>21</v>
      </c>
      <c r="B351" s="155"/>
      <c r="C351" s="860" t="str">
        <f>IF(LEN(O345)&lt;=265,"",RIGHT(O345,LEN(O345)-SEARCH(" ",O345,255)))</f>
        <v/>
      </c>
      <c r="D351" s="504"/>
      <c r="E351" s="504"/>
      <c r="F351" s="504"/>
      <c r="G351" s="504"/>
      <c r="H351" s="504"/>
      <c r="I351" s="504"/>
      <c r="J351" s="504"/>
      <c r="K351" s="81"/>
      <c r="L351" s="957" t="s">
        <v>482</v>
      </c>
      <c r="M351" s="139"/>
      <c r="N351" s="182" t="s">
        <v>143</v>
      </c>
      <c r="O351" s="1490"/>
      <c r="P351" s="575"/>
      <c r="Q351" s="959" t="str">
        <f>IF(OR(AB404=0,AB404=""),"",AB404)</f>
        <v/>
      </c>
      <c r="R351" s="57"/>
      <c r="S351" s="57"/>
      <c r="T351" s="57"/>
      <c r="U351" s="57"/>
      <c r="V351" s="57"/>
      <c r="W351" s="435"/>
      <c r="X351" s="939" t="s">
        <v>482</v>
      </c>
      <c r="Y351" s="950"/>
      <c r="Z351" s="769"/>
      <c r="AA351" s="432"/>
      <c r="AB351" s="768"/>
      <c r="AC351" s="781" t="str">
        <f t="shared" si="57"/>
        <v/>
      </c>
      <c r="AD351" s="1444"/>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7">
        <v>22</v>
      </c>
      <c r="B352" s="155"/>
      <c r="C352" s="860" t="str">
        <f>IF(O347="","",IF(LEN(O347)&lt;=135,O347,IF(LEN(O347)&lt;=260,LEFT(O347,SEARCH(" ",O347,125)),LEFT(O347,SEARCH(" ",O347,130)))))</f>
        <v/>
      </c>
      <c r="D352" s="504"/>
      <c r="E352" s="504"/>
      <c r="F352" s="504"/>
      <c r="G352" s="504"/>
      <c r="H352" s="504"/>
      <c r="I352" s="504"/>
      <c r="J352" s="504"/>
      <c r="K352" s="81"/>
      <c r="L352" s="957" t="s">
        <v>482</v>
      </c>
      <c r="M352" s="97"/>
      <c r="N352" s="855" t="s">
        <v>347</v>
      </c>
      <c r="O352" s="1491"/>
      <c r="P352" s="856">
        <f>LEN(O351)</f>
        <v>0</v>
      </c>
      <c r="Q352" s="960"/>
      <c r="R352" s="963">
        <f>LEN(Q351)</f>
        <v>0</v>
      </c>
      <c r="S352" s="57"/>
      <c r="T352" s="57"/>
      <c r="U352" s="57"/>
      <c r="V352" s="57"/>
      <c r="W352" s="435"/>
      <c r="X352" s="939" t="s">
        <v>482</v>
      </c>
      <c r="Y352" s="950"/>
      <c r="Z352" s="769"/>
      <c r="AA352" s="775" t="s">
        <v>688</v>
      </c>
      <c r="AB352" s="1410"/>
      <c r="AC352" s="781" t="str">
        <f t="shared" si="57"/>
        <v/>
      </c>
      <c r="AD352" s="1443">
        <f>O271</f>
        <v>0</v>
      </c>
      <c r="AE352" s="812" t="s">
        <v>979</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7">
        <v>23</v>
      </c>
      <c r="B353" s="155"/>
      <c r="C353" s="860" t="str">
        <f>IF(LEN(O347)&lt;=135,"",IF(LEN(O347)&lt;=260,RIGHT(O347,LEN(O347)-SEARCH(" ",O347,125)),MID(O347,SEARCH(" ",O347,130),IF(LEN(O347)&lt;=265,LEN(O347),SEARCH(" ",O347,255)-SEARCH(" ",O347,130)))))</f>
        <v/>
      </c>
      <c r="D353" s="504"/>
      <c r="E353" s="504"/>
      <c r="F353" s="504"/>
      <c r="G353" s="504"/>
      <c r="H353" s="504"/>
      <c r="I353" s="504"/>
      <c r="J353" s="504"/>
      <c r="K353" s="81"/>
      <c r="L353" s="957" t="s">
        <v>482</v>
      </c>
      <c r="M353" s="442"/>
      <c r="N353" s="182" t="s">
        <v>143</v>
      </c>
      <c r="O353" s="1490"/>
      <c r="P353" s="575"/>
      <c r="Q353" s="959" t="str">
        <f>IF(OR(AB406=0,AB406=""),"",AB406)</f>
        <v/>
      </c>
      <c r="R353" s="57"/>
      <c r="S353" s="69"/>
      <c r="T353" s="69"/>
      <c r="U353" s="69"/>
      <c r="V353" s="69"/>
      <c r="W353" s="438"/>
      <c r="X353" s="939" t="s">
        <v>482</v>
      </c>
      <c r="Y353" s="950"/>
      <c r="Z353" s="769"/>
      <c r="AA353" s="769"/>
      <c r="AB353" s="768"/>
      <c r="AC353" s="781" t="str">
        <f t="shared" si="57"/>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7">
        <v>24</v>
      </c>
      <c r="B354" s="155"/>
      <c r="C354" s="860" t="str">
        <f>IF(LEN(O347)&lt;=265,"",RIGHT(O347,LEN(O347)-SEARCH(" ",O347,255)))</f>
        <v/>
      </c>
      <c r="D354" s="504"/>
      <c r="E354" s="504"/>
      <c r="F354" s="504"/>
      <c r="G354" s="504"/>
      <c r="H354" s="504"/>
      <c r="I354" s="504"/>
      <c r="J354" s="504"/>
      <c r="K354" s="81"/>
      <c r="L354" s="957" t="s">
        <v>482</v>
      </c>
      <c r="M354" s="139"/>
      <c r="N354" s="855" t="s">
        <v>347</v>
      </c>
      <c r="O354" s="1491"/>
      <c r="P354" s="856">
        <f>LEN(O353)</f>
        <v>0</v>
      </c>
      <c r="Q354" s="960"/>
      <c r="R354" s="963">
        <f>LEN(Q353)</f>
        <v>0</v>
      </c>
      <c r="S354" s="57"/>
      <c r="T354" s="57"/>
      <c r="U354" s="57"/>
      <c r="V354" s="57"/>
      <c r="W354" s="435"/>
      <c r="X354" s="939" t="s">
        <v>482</v>
      </c>
      <c r="Y354" s="950"/>
      <c r="Z354" s="769"/>
      <c r="AA354" s="769"/>
      <c r="AB354" s="1410"/>
      <c r="AC354" s="781" t="str">
        <f t="shared" si="57"/>
        <v/>
      </c>
      <c r="AD354" s="1443">
        <f>O273</f>
        <v>0</v>
      </c>
      <c r="AE354" s="812" t="s">
        <v>980</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7">
        <v>25</v>
      </c>
      <c r="B355" s="155"/>
      <c r="C355" s="860" t="str">
        <f>IF(O349="","",IF(LEN(O349)&lt;=135,O349,IF(LEN(O349)&lt;=260,LEFT(O349,SEARCH(" ",O349,125)),LEFT(O349,SEARCH(" ",O349,130)))))</f>
        <v/>
      </c>
      <c r="D355" s="504"/>
      <c r="E355" s="504"/>
      <c r="F355" s="504"/>
      <c r="G355" s="504"/>
      <c r="H355" s="504"/>
      <c r="I355" s="504"/>
      <c r="J355" s="504"/>
      <c r="K355" s="81"/>
      <c r="L355" s="957" t="s">
        <v>482</v>
      </c>
      <c r="M355" s="97"/>
      <c r="N355" s="182" t="s">
        <v>143</v>
      </c>
      <c r="O355" s="1490"/>
      <c r="P355" s="575"/>
      <c r="Q355" s="959" t="str">
        <f>IF(OR(AB408=0,AB408=""),"",AB408)</f>
        <v/>
      </c>
      <c r="R355" s="57"/>
      <c r="S355" s="57"/>
      <c r="T355" s="57"/>
      <c r="U355" s="57"/>
      <c r="V355" s="57"/>
      <c r="W355" s="435"/>
      <c r="X355" s="939" t="s">
        <v>482</v>
      </c>
      <c r="Y355" s="950"/>
      <c r="Z355" s="769"/>
      <c r="AA355" s="769"/>
      <c r="AB355" s="768"/>
      <c r="AC355" s="781" t="str">
        <f t="shared" si="57"/>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7">
        <v>26</v>
      </c>
      <c r="B356" s="155"/>
      <c r="C356" s="860" t="str">
        <f>IF(LEN(O349)&lt;=135,"",IF(LEN(O349)&lt;=260,RIGHT(O349,LEN(O349)-SEARCH(" ",O349,125)),MID(O349,SEARCH(" ",O349,130),IF(LEN(O349)&lt;=265,LEN(O349),SEARCH(" ",O349,255)-SEARCH(" ",O349,130)))))</f>
        <v/>
      </c>
      <c r="D356" s="504"/>
      <c r="E356" s="504"/>
      <c r="F356" s="504"/>
      <c r="G356" s="504"/>
      <c r="H356" s="504"/>
      <c r="I356" s="504"/>
      <c r="J356" s="504"/>
      <c r="K356" s="81"/>
      <c r="L356" s="957" t="s">
        <v>482</v>
      </c>
      <c r="M356" s="442"/>
      <c r="N356" s="855" t="s">
        <v>347</v>
      </c>
      <c r="O356" s="1491"/>
      <c r="P356" s="856">
        <f>LEN(O355)</f>
        <v>0</v>
      </c>
      <c r="Q356" s="960"/>
      <c r="R356" s="963">
        <f>LEN(Q355)</f>
        <v>0</v>
      </c>
      <c r="S356" s="69"/>
      <c r="T356" s="69"/>
      <c r="U356" s="69"/>
      <c r="V356" s="69"/>
      <c r="W356" s="438"/>
      <c r="X356" s="939" t="s">
        <v>482</v>
      </c>
      <c r="Y356" s="950"/>
      <c r="Z356" s="769"/>
      <c r="AA356" s="769"/>
      <c r="AB356" s="1410"/>
      <c r="AC356" s="781" t="str">
        <f t="shared" si="57"/>
        <v/>
      </c>
      <c r="AD356" s="1443">
        <f>O275</f>
        <v>0</v>
      </c>
      <c r="AE356" s="812" t="s">
        <v>981</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7">
        <v>27</v>
      </c>
      <c r="B357" s="155"/>
      <c r="C357" s="860" t="str">
        <f>IF(LEN(O349)&lt;=265,"",RIGHT(O349,LEN(O349)-SEARCH(" ",O349,255)))</f>
        <v/>
      </c>
      <c r="D357" s="504"/>
      <c r="E357" s="504"/>
      <c r="F357" s="504"/>
      <c r="G357" s="504"/>
      <c r="H357" s="504"/>
      <c r="I357" s="504"/>
      <c r="J357" s="504"/>
      <c r="K357" s="81"/>
      <c r="L357" s="957" t="s">
        <v>482</v>
      </c>
      <c r="M357" s="139"/>
      <c r="N357" s="182" t="s">
        <v>143</v>
      </c>
      <c r="O357" s="1490"/>
      <c r="P357" s="575"/>
      <c r="Q357" s="959" t="str">
        <f>IF(OR(AB410=0,AB410=""),"",AB410)</f>
        <v/>
      </c>
      <c r="R357" s="57"/>
      <c r="S357" s="57"/>
      <c r="T357" s="57"/>
      <c r="U357" s="57"/>
      <c r="V357" s="57"/>
      <c r="W357" s="435"/>
      <c r="X357" s="939" t="s">
        <v>482</v>
      </c>
      <c r="Y357" s="950"/>
      <c r="Z357" s="769"/>
      <c r="AA357" s="769"/>
      <c r="AB357" s="768"/>
      <c r="AC357" s="781" t="str">
        <f t="shared" si="57"/>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7">
        <v>28</v>
      </c>
      <c r="B358" s="155"/>
      <c r="C358" s="860" t="str">
        <f>IF(O351="","",IF(LEN(O351)&lt;=135,O351,IF(LEN(O351)&lt;=260,LEFT(O351,SEARCH(" ",O351,125)),LEFT(O351,SEARCH(" ",O351,130)))))</f>
        <v/>
      </c>
      <c r="D358" s="504"/>
      <c r="E358" s="504"/>
      <c r="F358" s="504"/>
      <c r="G358" s="504"/>
      <c r="H358" s="504"/>
      <c r="I358" s="504"/>
      <c r="J358" s="504"/>
      <c r="K358" s="81"/>
      <c r="L358" s="957" t="s">
        <v>482</v>
      </c>
      <c r="M358" s="97"/>
      <c r="N358" s="855" t="s">
        <v>347</v>
      </c>
      <c r="O358" s="1491"/>
      <c r="P358" s="856">
        <f>LEN(O357)</f>
        <v>0</v>
      </c>
      <c r="Q358" s="960"/>
      <c r="R358" s="963">
        <f>LEN(Q357)</f>
        <v>0</v>
      </c>
      <c r="S358" s="57"/>
      <c r="T358" s="57"/>
      <c r="U358" s="57"/>
      <c r="V358" s="57"/>
      <c r="W358" s="435"/>
      <c r="X358" s="939" t="s">
        <v>482</v>
      </c>
      <c r="Y358" s="950"/>
      <c r="Z358" s="769"/>
      <c r="AA358" s="769"/>
      <c r="AB358" s="1410"/>
      <c r="AC358" s="781" t="str">
        <f t="shared" si="57"/>
        <v/>
      </c>
      <c r="AD358" s="1443">
        <f>O277</f>
        <v>0</v>
      </c>
      <c r="AE358" s="812" t="s">
        <v>982</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7">
        <v>29</v>
      </c>
      <c r="B359" s="155"/>
      <c r="C359" s="860" t="str">
        <f>IF(LEN(O351)&lt;=135,"",IF(LEN(O351)&lt;=260,RIGHT(O351,LEN(O351)-SEARCH(" ",O351,125)),MID(O351,SEARCH(" ",O351,130),IF(LEN(O351)&lt;=265,LEN(O351),SEARCH(" ",O351,255)-SEARCH(" ",O351,130)))))</f>
        <v/>
      </c>
      <c r="D359" s="504"/>
      <c r="E359" s="504"/>
      <c r="F359" s="504"/>
      <c r="G359" s="504"/>
      <c r="H359" s="504"/>
      <c r="I359" s="504"/>
      <c r="J359" s="504"/>
      <c r="K359" s="81"/>
      <c r="L359" s="957" t="s">
        <v>482</v>
      </c>
      <c r="M359" s="442"/>
      <c r="N359" s="182" t="s">
        <v>143</v>
      </c>
      <c r="O359" s="1490"/>
      <c r="P359" s="575"/>
      <c r="Q359" s="959" t="str">
        <f>IF(OR(AB412=0,AB412=""),"",AB412)</f>
        <v/>
      </c>
      <c r="R359" s="57"/>
      <c r="S359" s="69"/>
      <c r="T359" s="69"/>
      <c r="U359" s="69"/>
      <c r="V359" s="69"/>
      <c r="W359" s="438"/>
      <c r="X359" s="939" t="s">
        <v>482</v>
      </c>
      <c r="Y359" s="950"/>
      <c r="Z359" s="769"/>
      <c r="AA359" s="769"/>
      <c r="AB359" s="768"/>
      <c r="AC359" s="781" t="str">
        <f t="shared" si="57"/>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7">
        <v>30</v>
      </c>
      <c r="B360" s="155"/>
      <c r="C360" s="860" t="str">
        <f>IF(LEN(O351)&lt;=265,"",RIGHT(O351,LEN(O351)-SEARCH(" ",O351,255)))</f>
        <v/>
      </c>
      <c r="D360" s="504"/>
      <c r="E360" s="504"/>
      <c r="F360" s="504"/>
      <c r="G360" s="504"/>
      <c r="H360" s="504"/>
      <c r="I360" s="504"/>
      <c r="J360" s="504"/>
      <c r="K360" s="81"/>
      <c r="L360" s="957" t="s">
        <v>482</v>
      </c>
      <c r="M360" s="139"/>
      <c r="N360" s="855" t="s">
        <v>347</v>
      </c>
      <c r="O360" s="1491"/>
      <c r="P360" s="856">
        <f>LEN(O359)</f>
        <v>0</v>
      </c>
      <c r="Q360" s="960"/>
      <c r="R360" s="963">
        <f>LEN(Q359)</f>
        <v>0</v>
      </c>
      <c r="S360" s="57"/>
      <c r="T360" s="57"/>
      <c r="U360" s="57"/>
      <c r="V360" s="57"/>
      <c r="W360" s="435"/>
      <c r="X360" s="939" t="s">
        <v>482</v>
      </c>
      <c r="Y360" s="950"/>
      <c r="Z360" s="769"/>
      <c r="AA360" s="769"/>
      <c r="AB360" s="1410"/>
      <c r="AC360" s="781" t="str">
        <f t="shared" si="57"/>
        <v/>
      </c>
      <c r="AD360" s="1443">
        <f>O279</f>
        <v>0</v>
      </c>
      <c r="AE360" s="812" t="s">
        <v>983</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7">
        <v>31</v>
      </c>
      <c r="B361" s="155"/>
      <c r="C361" s="860" t="str">
        <f>IF(O353="","",IF(LEN(O353)&lt;=135,O353,IF(LEN(O353)&lt;=260,LEFT(O353,SEARCH(" ",O353,125)),LEFT(O353,SEARCH(" ",O353,130)))))</f>
        <v/>
      </c>
      <c r="D361" s="504"/>
      <c r="E361" s="504"/>
      <c r="F361" s="504"/>
      <c r="G361" s="504"/>
      <c r="H361" s="504"/>
      <c r="I361" s="504"/>
      <c r="J361" s="504"/>
      <c r="K361" s="81"/>
      <c r="L361" s="957" t="s">
        <v>482</v>
      </c>
      <c r="M361" s="97"/>
      <c r="N361" s="182" t="s">
        <v>143</v>
      </c>
      <c r="O361" s="1490"/>
      <c r="P361" s="575"/>
      <c r="Q361" s="959" t="str">
        <f>IF(OR(AB414=0,AB414=""),"",AB414)</f>
        <v/>
      </c>
      <c r="R361" s="57"/>
      <c r="S361" s="57"/>
      <c r="T361" s="57"/>
      <c r="U361" s="57"/>
      <c r="V361" s="57"/>
      <c r="W361" s="435"/>
      <c r="X361" s="939" t="s">
        <v>482</v>
      </c>
      <c r="Y361" s="950"/>
      <c r="Z361" s="769"/>
      <c r="AA361" s="769"/>
      <c r="AB361" s="768"/>
      <c r="AC361" s="781" t="str">
        <f t="shared" si="57"/>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7">
        <v>32</v>
      </c>
      <c r="B362" s="155"/>
      <c r="C362" s="860" t="str">
        <f>IF(LEN(O353)&lt;=135,"",IF(LEN(O353)&lt;=260,RIGHT(O353,LEN(O353)-SEARCH(" ",O353,125)),MID(O353,SEARCH(" ",O353,130),IF(LEN(O353)&lt;=265,LEN(O353),SEARCH(" ",O353,255)-SEARCH(" ",O353,130)))))</f>
        <v/>
      </c>
      <c r="D362" s="504"/>
      <c r="E362" s="504"/>
      <c r="F362" s="504"/>
      <c r="G362" s="504"/>
      <c r="H362" s="504"/>
      <c r="I362" s="504"/>
      <c r="J362" s="504"/>
      <c r="K362" s="81"/>
      <c r="L362" s="957" t="s">
        <v>482</v>
      </c>
      <c r="M362" s="442"/>
      <c r="N362" s="855" t="s">
        <v>347</v>
      </c>
      <c r="O362" s="1491"/>
      <c r="P362" s="856">
        <f>LEN(O361)</f>
        <v>0</v>
      </c>
      <c r="Q362" s="960"/>
      <c r="R362" s="963">
        <f>LEN(Q361)</f>
        <v>0</v>
      </c>
      <c r="S362" s="69"/>
      <c r="T362" s="69"/>
      <c r="U362" s="69"/>
      <c r="V362" s="69"/>
      <c r="W362" s="438"/>
      <c r="X362" s="939" t="s">
        <v>482</v>
      </c>
      <c r="Y362" s="950"/>
      <c r="Z362" s="769"/>
      <c r="AA362" s="769"/>
      <c r="AB362" s="1410"/>
      <c r="AC362" s="781" t="str">
        <f t="shared" si="57"/>
        <v/>
      </c>
      <c r="AD362" s="1443">
        <f>O281</f>
        <v>0</v>
      </c>
      <c r="AE362" s="812" t="s">
        <v>984</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7">
        <v>33</v>
      </c>
      <c r="B363" s="155"/>
      <c r="C363" s="860" t="str">
        <f>IF(LEN(O353)&lt;=265,"",RIGHT(O353,LEN(O353)-SEARCH(" ",O353,255)))</f>
        <v/>
      </c>
      <c r="D363" s="504"/>
      <c r="E363" s="504"/>
      <c r="F363" s="504"/>
      <c r="G363" s="504"/>
      <c r="H363" s="504"/>
      <c r="I363" s="504"/>
      <c r="J363" s="504"/>
      <c r="K363" s="81"/>
      <c r="L363" s="957" t="s">
        <v>482</v>
      </c>
      <c r="M363" s="155"/>
      <c r="N363" s="182" t="s">
        <v>143</v>
      </c>
      <c r="O363" s="1490"/>
      <c r="P363" s="575"/>
      <c r="Q363" s="959" t="str">
        <f>IF(OR(AB416=0,AB416=""),"",AB416)</f>
        <v/>
      </c>
      <c r="R363" s="57"/>
      <c r="S363" s="69"/>
      <c r="T363" s="69"/>
      <c r="U363" s="69"/>
      <c r="V363" s="69"/>
      <c r="W363" s="81"/>
      <c r="X363" s="939" t="s">
        <v>482</v>
      </c>
      <c r="Y363" s="950"/>
      <c r="Z363" s="769"/>
      <c r="AA363" s="769"/>
      <c r="AB363" s="768"/>
      <c r="AC363" s="781" t="str">
        <f t="shared" si="57"/>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7">
        <v>34</v>
      </c>
      <c r="B364" s="155"/>
      <c r="C364" s="860" t="str">
        <f>IF(O355="","",IF(LEN(O355)&lt;=135,O355,IF(LEN(O355)&lt;=260,LEFT(O355,SEARCH(" ",O355,125)),LEFT(O355,SEARCH(" ",O355,130)))))</f>
        <v/>
      </c>
      <c r="D364" s="504"/>
      <c r="E364" s="504"/>
      <c r="F364" s="504"/>
      <c r="G364" s="504"/>
      <c r="H364" s="504"/>
      <c r="I364" s="504"/>
      <c r="J364" s="504"/>
      <c r="K364" s="81"/>
      <c r="L364" s="957" t="s">
        <v>482</v>
      </c>
      <c r="M364" s="155"/>
      <c r="N364" s="855" t="s">
        <v>347</v>
      </c>
      <c r="O364" s="1491"/>
      <c r="P364" s="856">
        <f>LEN(O363)</f>
        <v>0</v>
      </c>
      <c r="Q364" s="960"/>
      <c r="R364" s="963">
        <f>LEN(Q363)</f>
        <v>0</v>
      </c>
      <c r="S364" s="57"/>
      <c r="T364" s="57"/>
      <c r="U364" s="57"/>
      <c r="V364" s="57"/>
      <c r="W364" s="81"/>
      <c r="X364" s="939" t="s">
        <v>482</v>
      </c>
      <c r="Y364" s="950"/>
      <c r="Z364" s="769"/>
      <c r="AA364" s="769"/>
      <c r="AB364" s="1410"/>
      <c r="AC364" s="781" t="str">
        <f t="shared" si="57"/>
        <v/>
      </c>
      <c r="AD364" s="1443">
        <f>O283</f>
        <v>0</v>
      </c>
      <c r="AE364" s="812" t="s">
        <v>985</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7">
        <v>35</v>
      </c>
      <c r="B365" s="155"/>
      <c r="C365" s="860" t="str">
        <f>IF(LEN(O355)&lt;=135,"",IF(LEN(O355)&lt;=260,RIGHT(O355,LEN(O355)-SEARCH(" ",O355,125)),MID(O355,SEARCH(" ",O355,130),IF(LEN(O355)&lt;=265,LEN(O355),SEARCH(" ",O355,255)-SEARCH(" ",O355,130)))))</f>
        <v/>
      </c>
      <c r="D365" s="504"/>
      <c r="E365" s="504"/>
      <c r="F365" s="504"/>
      <c r="G365" s="504"/>
      <c r="H365" s="504"/>
      <c r="I365" s="504"/>
      <c r="J365" s="504"/>
      <c r="K365" s="81"/>
      <c r="L365" s="957" t="s">
        <v>482</v>
      </c>
      <c r="M365" s="155"/>
      <c r="N365" s="182" t="s">
        <v>143</v>
      </c>
      <c r="O365" s="1490"/>
      <c r="P365" s="575"/>
      <c r="Q365" s="959" t="str">
        <f>IF(OR(AB418=0,AB418=""),"",AB418)</f>
        <v/>
      </c>
      <c r="R365" s="57"/>
      <c r="S365" s="69"/>
      <c r="T365" s="69"/>
      <c r="U365" s="69"/>
      <c r="V365" s="69"/>
      <c r="W365" s="81"/>
      <c r="X365" s="939" t="s">
        <v>482</v>
      </c>
      <c r="Y365" s="950"/>
      <c r="Z365" s="769"/>
      <c r="AA365" s="769"/>
      <c r="AB365" s="768"/>
      <c r="AC365" s="781" t="str">
        <f t="shared" si="57"/>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7">
        <v>36</v>
      </c>
      <c r="B366" s="155"/>
      <c r="C366" s="860" t="str">
        <f>IF(LEN(O355)&lt;=265,"",RIGHT(O355,LEN(O355)-SEARCH(" ",O355,255)))</f>
        <v/>
      </c>
      <c r="D366" s="504"/>
      <c r="E366" s="504"/>
      <c r="F366" s="504"/>
      <c r="G366" s="504"/>
      <c r="H366" s="504"/>
      <c r="I366" s="504"/>
      <c r="J366" s="504"/>
      <c r="K366" s="81"/>
      <c r="L366" s="957" t="s">
        <v>482</v>
      </c>
      <c r="M366" s="155"/>
      <c r="N366" s="855" t="s">
        <v>347</v>
      </c>
      <c r="O366" s="1491"/>
      <c r="P366" s="856">
        <f>LEN(O365)</f>
        <v>0</v>
      </c>
      <c r="Q366" s="960"/>
      <c r="R366" s="963">
        <f>LEN(Q365)</f>
        <v>0</v>
      </c>
      <c r="S366" s="69"/>
      <c r="T366" s="69"/>
      <c r="U366" s="69"/>
      <c r="V366" s="69"/>
      <c r="W366" s="81"/>
      <c r="X366" s="939" t="s">
        <v>482</v>
      </c>
      <c r="Y366" s="950"/>
      <c r="Z366" s="769"/>
      <c r="AA366" s="769"/>
      <c r="AB366" s="1410"/>
      <c r="AC366" s="781" t="str">
        <f t="shared" si="57"/>
        <v/>
      </c>
      <c r="AD366" s="1443">
        <f>O285</f>
        <v>0</v>
      </c>
      <c r="AE366" s="812" t="s">
        <v>986</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7">
        <v>37</v>
      </c>
      <c r="B367" s="155"/>
      <c r="C367" s="860" t="str">
        <f>IF(O357="","",IF(LEN(O357)&lt;=135,O357,IF(LEN(O357)&lt;=260,LEFT(O357,SEARCH(" ",O357,125)),LEFT(O357,SEARCH(" ",O357,130)))))</f>
        <v/>
      </c>
      <c r="D367" s="504"/>
      <c r="E367" s="504"/>
      <c r="F367" s="504"/>
      <c r="G367" s="504"/>
      <c r="H367" s="504"/>
      <c r="I367" s="504"/>
      <c r="J367" s="504"/>
      <c r="K367" s="81"/>
      <c r="L367" s="957" t="s">
        <v>482</v>
      </c>
      <c r="M367" s="155"/>
      <c r="N367" s="182" t="s">
        <v>143</v>
      </c>
      <c r="O367" s="1490"/>
      <c r="P367" s="575"/>
      <c r="Q367" s="959" t="str">
        <f>IF(OR(AB420=0,AB420=""),"",AB420)</f>
        <v/>
      </c>
      <c r="R367" s="57"/>
      <c r="S367" s="57"/>
      <c r="T367" s="57"/>
      <c r="U367" s="57"/>
      <c r="V367" s="57"/>
      <c r="W367" s="81"/>
      <c r="X367" s="939" t="s">
        <v>482</v>
      </c>
      <c r="Y367" s="950"/>
      <c r="Z367" s="769"/>
      <c r="AA367" s="769"/>
      <c r="AB367" s="768"/>
      <c r="AC367" s="781" t="str">
        <f t="shared" si="57"/>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7">
        <v>38</v>
      </c>
      <c r="B368" s="155"/>
      <c r="C368" s="860" t="str">
        <f>IF(LEN(O357)&lt;=135,"",IF(LEN(O357)&lt;=260,RIGHT(O357,LEN(O357)-SEARCH(" ",O357,125)),MID(O357,SEARCH(" ",O357,130),IF(LEN(O357)&lt;=265,LEN(O357),SEARCH(" ",O357,255)-SEARCH(" ",O357,130)))))</f>
        <v/>
      </c>
      <c r="D368" s="504"/>
      <c r="E368" s="504"/>
      <c r="F368" s="504"/>
      <c r="G368" s="504"/>
      <c r="H368" s="504"/>
      <c r="I368" s="504"/>
      <c r="J368" s="504"/>
      <c r="K368" s="81"/>
      <c r="L368" s="957" t="s">
        <v>482</v>
      </c>
      <c r="M368" s="155"/>
      <c r="N368" s="855" t="s">
        <v>347</v>
      </c>
      <c r="O368" s="1491"/>
      <c r="P368" s="856">
        <f>LEN(O367)</f>
        <v>0</v>
      </c>
      <c r="Q368" s="960"/>
      <c r="R368" s="963">
        <f>LEN(Q367)</f>
        <v>0</v>
      </c>
      <c r="S368" s="69"/>
      <c r="T368" s="69"/>
      <c r="U368" s="69"/>
      <c r="V368" s="69"/>
      <c r="W368" s="81"/>
      <c r="X368" s="939" t="s">
        <v>482</v>
      </c>
      <c r="Y368" s="950"/>
      <c r="Z368" s="769"/>
      <c r="AA368" s="769"/>
      <c r="AB368" s="1410"/>
      <c r="AC368" s="781" t="str">
        <f t="shared" si="57"/>
        <v/>
      </c>
      <c r="AD368" s="1443">
        <f>O287</f>
        <v>0</v>
      </c>
      <c r="AE368" s="812" t="s">
        <v>987</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7">
        <v>39</v>
      </c>
      <c r="B369" s="155"/>
      <c r="C369" s="860" t="str">
        <f>IF(LEN(O357)&lt;=265,"",RIGHT(O357,LEN(O357)-SEARCH(" ",O357,255)))</f>
        <v/>
      </c>
      <c r="D369" s="504"/>
      <c r="E369" s="504"/>
      <c r="F369" s="504"/>
      <c r="G369" s="504"/>
      <c r="H369" s="504"/>
      <c r="I369" s="504"/>
      <c r="J369" s="504"/>
      <c r="K369" s="81"/>
      <c r="L369" s="957" t="s">
        <v>482</v>
      </c>
      <c r="M369" s="155"/>
      <c r="N369" s="182" t="s">
        <v>143</v>
      </c>
      <c r="O369" s="1490"/>
      <c r="P369" s="575"/>
      <c r="Q369" s="959" t="str">
        <f>IF(OR(AB422=0,AB422=""),"",AB422)</f>
        <v/>
      </c>
      <c r="R369" s="57"/>
      <c r="S369" s="69"/>
      <c r="T369" s="69"/>
      <c r="U369" s="69"/>
      <c r="V369" s="69"/>
      <c r="W369" s="81"/>
      <c r="X369" s="939" t="s">
        <v>482</v>
      </c>
      <c r="Y369" s="950"/>
      <c r="Z369" s="769"/>
      <c r="AA369" s="769"/>
      <c r="AB369" s="768"/>
      <c r="AC369" s="781" t="str">
        <f t="shared" si="57"/>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7">
        <v>40</v>
      </c>
      <c r="B370" s="155"/>
      <c r="C370" s="860" t="str">
        <f>IF(O359="","",IF(LEN(O359)&lt;=135,O359,IF(LEN(O359)&lt;=260,LEFT(O359,SEARCH(" ",O359,125)),LEFT(O359,SEARCH(" ",O359,130)))))</f>
        <v/>
      </c>
      <c r="D370" s="504"/>
      <c r="E370" s="504"/>
      <c r="F370" s="504"/>
      <c r="G370" s="504"/>
      <c r="H370" s="504"/>
      <c r="I370" s="504"/>
      <c r="J370" s="504"/>
      <c r="K370" s="81"/>
      <c r="L370" s="957" t="s">
        <v>482</v>
      </c>
      <c r="M370" s="155"/>
      <c r="N370" s="855" t="s">
        <v>347</v>
      </c>
      <c r="O370" s="1491"/>
      <c r="P370" s="856">
        <f>LEN(O369)</f>
        <v>0</v>
      </c>
      <c r="Q370" s="960"/>
      <c r="R370" s="963">
        <f>LEN(Q369)</f>
        <v>0</v>
      </c>
      <c r="S370" s="57"/>
      <c r="T370" s="57"/>
      <c r="U370" s="57"/>
      <c r="V370" s="57"/>
      <c r="W370" s="81"/>
      <c r="X370" s="939" t="s">
        <v>482</v>
      </c>
      <c r="Y370" s="950"/>
      <c r="Z370" s="769"/>
      <c r="AA370" s="769"/>
      <c r="AB370" s="1410"/>
      <c r="AC370" s="781" t="str">
        <f t="shared" si="57"/>
        <v/>
      </c>
      <c r="AD370" s="1443">
        <f>O289</f>
        <v>0</v>
      </c>
      <c r="AE370" s="812" t="s">
        <v>988</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7">
        <v>41</v>
      </c>
      <c r="B371" s="155"/>
      <c r="C371" s="860" t="str">
        <f>IF(LEN(O359)&lt;=135,"",IF(LEN(O359)&lt;=260,RIGHT(O359,LEN(O359)-SEARCH(" ",O359,125)),MID(O359,SEARCH(" ",O359,130),IF(LEN(O359)&lt;=265,LEN(O359),SEARCH(" ",O359,255)-SEARCH(" ",O359,130)))))</f>
        <v/>
      </c>
      <c r="D371" s="504"/>
      <c r="E371" s="504"/>
      <c r="F371" s="504"/>
      <c r="G371" s="504"/>
      <c r="H371" s="504"/>
      <c r="I371" s="504"/>
      <c r="J371" s="504"/>
      <c r="K371" s="81"/>
      <c r="L371" s="957" t="s">
        <v>482</v>
      </c>
      <c r="M371" s="155"/>
      <c r="N371" s="182" t="s">
        <v>143</v>
      </c>
      <c r="O371" s="1490"/>
      <c r="P371" s="575"/>
      <c r="Q371" s="959" t="str">
        <f>IF(OR(AB424=0,AB424=""),"",AB424)</f>
        <v/>
      </c>
      <c r="R371" s="57"/>
      <c r="S371" s="69"/>
      <c r="T371" s="69"/>
      <c r="U371" s="69"/>
      <c r="V371" s="69"/>
      <c r="W371" s="81"/>
      <c r="X371" s="939" t="s">
        <v>482</v>
      </c>
      <c r="Y371" s="950"/>
      <c r="Z371" s="769"/>
      <c r="AA371" s="769"/>
      <c r="AB371" s="768"/>
      <c r="AC371" s="781" t="str">
        <f t="shared" si="57"/>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7">
        <v>42</v>
      </c>
      <c r="B372" s="155"/>
      <c r="C372" s="860" t="str">
        <f>IF(LEN(O359)&lt;=265,"",RIGHT(O359,LEN(O359)-SEARCH(" ",O359,255)))</f>
        <v/>
      </c>
      <c r="D372" s="504"/>
      <c r="E372" s="504"/>
      <c r="F372" s="504"/>
      <c r="G372" s="504"/>
      <c r="H372" s="504"/>
      <c r="I372" s="504"/>
      <c r="J372" s="504"/>
      <c r="K372" s="81"/>
      <c r="L372" s="957" t="s">
        <v>482</v>
      </c>
      <c r="M372" s="155"/>
      <c r="N372" s="855" t="s">
        <v>347</v>
      </c>
      <c r="O372" s="1491"/>
      <c r="P372" s="856">
        <f>LEN(O371)</f>
        <v>0</v>
      </c>
      <c r="Q372" s="960"/>
      <c r="R372" s="963">
        <f>LEN(Q371)</f>
        <v>0</v>
      </c>
      <c r="S372" s="69"/>
      <c r="T372" s="69"/>
      <c r="U372" s="69"/>
      <c r="V372" s="69"/>
      <c r="W372" s="81"/>
      <c r="X372" s="939" t="s">
        <v>482</v>
      </c>
      <c r="Y372" s="950"/>
      <c r="Z372" s="769"/>
      <c r="AA372" s="769"/>
      <c r="AB372" s="1410"/>
      <c r="AC372" s="781" t="str">
        <f t="shared" si="57"/>
        <v/>
      </c>
      <c r="AD372" s="1443">
        <f>O291</f>
        <v>0</v>
      </c>
      <c r="AE372" s="812" t="s">
        <v>989</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7">
        <v>43</v>
      </c>
      <c r="B373" s="155"/>
      <c r="C373" s="860" t="str">
        <f>IF(O361="","",IF(LEN(O361)&lt;=135,O361,IF(LEN(O361)&lt;=260,LEFT(O361,SEARCH(" ",O361,125)),LEFT(O361,SEARCH(" ",O361,130)))))</f>
        <v/>
      </c>
      <c r="D373" s="504"/>
      <c r="E373" s="504"/>
      <c r="F373" s="504"/>
      <c r="G373" s="504"/>
      <c r="H373" s="504"/>
      <c r="I373" s="504"/>
      <c r="J373" s="504"/>
      <c r="K373" s="81"/>
      <c r="L373" s="957" t="s">
        <v>482</v>
      </c>
      <c r="M373" s="155"/>
      <c r="N373" s="182" t="s">
        <v>143</v>
      </c>
      <c r="O373" s="1490"/>
      <c r="P373" s="575"/>
      <c r="Q373" s="959" t="str">
        <f>IF(OR(AB426=0,AB426=""),"",AB426)</f>
        <v/>
      </c>
      <c r="R373" s="57"/>
      <c r="S373" s="57"/>
      <c r="T373" s="57"/>
      <c r="U373" s="57"/>
      <c r="V373" s="57"/>
      <c r="W373" s="81"/>
      <c r="X373" s="939" t="s">
        <v>482</v>
      </c>
      <c r="Y373" s="950"/>
      <c r="Z373" s="769"/>
      <c r="AA373" s="769"/>
      <c r="AB373" s="768"/>
      <c r="AC373" s="781" t="str">
        <f t="shared" si="57"/>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7">
        <v>44</v>
      </c>
      <c r="B374" s="155"/>
      <c r="C374" s="860" t="str">
        <f>IF(LEN(O361)&lt;=135,"",IF(LEN(O361)&lt;=260,RIGHT(O361,LEN(O361)-SEARCH(" ",O361,125)),MID(O361,SEARCH(" ",O361,130),IF(LEN(O361)&lt;=265,LEN(O361),SEARCH(" ",O361,255)-SEARCH(" ",O361,130)))))</f>
        <v/>
      </c>
      <c r="D374" s="504"/>
      <c r="E374" s="504"/>
      <c r="F374" s="504"/>
      <c r="G374" s="504"/>
      <c r="H374" s="504"/>
      <c r="I374" s="504"/>
      <c r="J374" s="504"/>
      <c r="K374" s="81"/>
      <c r="L374" s="957" t="s">
        <v>482</v>
      </c>
      <c r="M374" s="155"/>
      <c r="N374" s="855" t="s">
        <v>347</v>
      </c>
      <c r="O374" s="856"/>
      <c r="P374" s="856">
        <f>LEN(O373)</f>
        <v>0</v>
      </c>
      <c r="Q374" s="960"/>
      <c r="R374" s="963">
        <f>LEN(Q373)</f>
        <v>0</v>
      </c>
      <c r="S374" s="69"/>
      <c r="T374" s="69"/>
      <c r="U374" s="69"/>
      <c r="V374" s="69"/>
      <c r="W374" s="81"/>
      <c r="X374" s="939" t="s">
        <v>482</v>
      </c>
      <c r="Y374" s="950"/>
      <c r="Z374" s="769"/>
      <c r="AA374" s="769"/>
      <c r="AB374" s="1410"/>
      <c r="AC374" s="781" t="str">
        <f t="shared" si="57"/>
        <v/>
      </c>
      <c r="AD374" s="1443">
        <f>O293</f>
        <v>0</v>
      </c>
      <c r="AE374" s="812" t="s">
        <v>990</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7">
        <v>45</v>
      </c>
      <c r="B375" s="155"/>
      <c r="C375" s="860" t="str">
        <f>IF(LEN(O361)&lt;=265,"",RIGHT(O361,LEN(O361)-SEARCH(" ",O361,255)))</f>
        <v/>
      </c>
      <c r="D375" s="504"/>
      <c r="E375" s="504"/>
      <c r="F375" s="504"/>
      <c r="G375" s="504"/>
      <c r="H375" s="504"/>
      <c r="I375" s="504"/>
      <c r="J375" s="504"/>
      <c r="K375" s="81"/>
      <c r="L375" s="957" t="s">
        <v>482</v>
      </c>
      <c r="M375" s="155"/>
      <c r="N375" s="721"/>
      <c r="O375" s="721"/>
      <c r="P375" s="721"/>
      <c r="Q375" s="718"/>
      <c r="R375" s="718"/>
      <c r="S375" s="718"/>
      <c r="T375" s="718"/>
      <c r="U375" s="718"/>
      <c r="V375" s="718"/>
      <c r="W375" s="81"/>
      <c r="X375" s="939" t="s">
        <v>482</v>
      </c>
      <c r="Y375" s="769"/>
      <c r="Z375" s="769"/>
      <c r="AA375" s="769"/>
      <c r="AB375" s="768"/>
      <c r="AC375" s="781" t="str">
        <f t="shared" si="57"/>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7">
        <v>46</v>
      </c>
      <c r="B376" s="155"/>
      <c r="C376" s="860" t="str">
        <f>IF(O363="","",IF(LEN(O363)&lt;=135,O363,IF(LEN(O363)&lt;=260,LEFT(O363,SEARCH(" ",O363,125)),LEFT(O363,SEARCH(" ",O363,130)))))</f>
        <v/>
      </c>
      <c r="D376" s="504"/>
      <c r="E376" s="504"/>
      <c r="F376" s="504"/>
      <c r="G376" s="504"/>
      <c r="H376" s="504"/>
      <c r="I376" s="504"/>
      <c r="J376" s="504"/>
      <c r="K376" s="81"/>
      <c r="L376" s="957" t="s">
        <v>482</v>
      </c>
      <c r="M376" s="155"/>
      <c r="N376" s="716"/>
      <c r="O376" s="716"/>
      <c r="P376" s="716"/>
      <c r="Q376" s="717"/>
      <c r="R376" s="717"/>
      <c r="S376" s="717"/>
      <c r="T376" s="717"/>
      <c r="U376" s="717"/>
      <c r="V376" s="717"/>
      <c r="W376" s="81"/>
      <c r="X376" s="939" t="s">
        <v>482</v>
      </c>
      <c r="Y376" s="769"/>
      <c r="Z376" s="769"/>
      <c r="AA376" s="769"/>
      <c r="AB376" s="1410"/>
      <c r="AC376" s="781" t="str">
        <f t="shared" si="57"/>
        <v/>
      </c>
      <c r="AD376" s="1443">
        <f>O295</f>
        <v>0</v>
      </c>
      <c r="AE376" s="812" t="s">
        <v>991</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7">
        <v>47</v>
      </c>
      <c r="B377" s="155"/>
      <c r="C377" s="860" t="str">
        <f>IF(LEN(O363)&lt;=135,"",IF(LEN(O363)&lt;=260,RIGHT(O363,LEN(O363)-SEARCH(" ",O363,125)),MID(O363,SEARCH(" ",O363,130),IF(LEN(O363)&lt;=265,LEN(O363),SEARCH(" ",O363,255)-SEARCH(" ",O363,130)))))</f>
        <v/>
      </c>
      <c r="D377" s="504"/>
      <c r="E377" s="504"/>
      <c r="F377" s="504"/>
      <c r="G377" s="504"/>
      <c r="H377" s="504"/>
      <c r="I377" s="504"/>
      <c r="J377" s="504"/>
      <c r="K377" s="81"/>
      <c r="L377" s="957" t="s">
        <v>482</v>
      </c>
      <c r="M377" s="155"/>
      <c r="N377" s="716"/>
      <c r="O377" s="716"/>
      <c r="P377" s="716"/>
      <c r="Q377" s="717"/>
      <c r="R377" s="717"/>
      <c r="S377" s="717"/>
      <c r="T377" s="717"/>
      <c r="U377" s="717"/>
      <c r="V377" s="717"/>
      <c r="W377" s="81"/>
      <c r="X377" s="939" t="s">
        <v>482</v>
      </c>
      <c r="Y377" s="769"/>
      <c r="Z377" s="769"/>
      <c r="AA377" s="769"/>
      <c r="AB377" s="768"/>
      <c r="AC377" s="781" t="str">
        <f t="shared" si="57"/>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7">
        <v>48</v>
      </c>
      <c r="B378" s="155"/>
      <c r="C378" s="860" t="str">
        <f>IF(LEN(O363)&lt;=265,"",RIGHT(O363,LEN(O363)-SEARCH(" ",O363,255)))</f>
        <v/>
      </c>
      <c r="D378" s="504"/>
      <c r="E378" s="504"/>
      <c r="F378" s="504"/>
      <c r="G378" s="504"/>
      <c r="H378" s="504"/>
      <c r="I378" s="504"/>
      <c r="J378" s="504"/>
      <c r="K378" s="81"/>
      <c r="L378" s="957" t="s">
        <v>482</v>
      </c>
      <c r="M378" s="155"/>
      <c r="N378" s="716"/>
      <c r="O378" s="716"/>
      <c r="P378" s="716"/>
      <c r="Q378" s="717"/>
      <c r="R378" s="717"/>
      <c r="S378" s="717"/>
      <c r="T378" s="717"/>
      <c r="U378" s="717"/>
      <c r="V378" s="717"/>
      <c r="W378" s="81"/>
      <c r="X378" s="939" t="s">
        <v>482</v>
      </c>
      <c r="Y378" s="769"/>
      <c r="Z378" s="769"/>
      <c r="AA378" s="769"/>
      <c r="AB378" s="1410"/>
      <c r="AC378" s="781" t="str">
        <f t="shared" si="57"/>
        <v/>
      </c>
      <c r="AD378" s="1443">
        <f>O297</f>
        <v>0</v>
      </c>
      <c r="AE378" s="812" t="s">
        <v>992</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7">
        <v>49</v>
      </c>
      <c r="B379" s="155"/>
      <c r="C379" s="860" t="str">
        <f>IF(O365="","",IF(LEN(O365)&lt;=135,O365,IF(LEN(O365)&lt;=260,LEFT(O365,SEARCH(" ",O365,125)),LEFT(O365,SEARCH(" ",O365,130)))))</f>
        <v/>
      </c>
      <c r="D379" s="504"/>
      <c r="E379" s="504"/>
      <c r="F379" s="504"/>
      <c r="G379" s="504"/>
      <c r="H379" s="504"/>
      <c r="I379" s="504"/>
      <c r="J379" s="504"/>
      <c r="K379" s="81"/>
      <c r="L379" s="957" t="s">
        <v>482</v>
      </c>
      <c r="M379" s="155"/>
      <c r="N379" s="716"/>
      <c r="O379" s="716"/>
      <c r="P379" s="716"/>
      <c r="Q379" s="715" t="s">
        <v>341</v>
      </c>
      <c r="R379" s="118"/>
      <c r="S379" s="118"/>
      <c r="T379" s="716"/>
      <c r="U379" s="717"/>
      <c r="V379" s="717"/>
      <c r="W379" s="81"/>
      <c r="X379" s="939" t="s">
        <v>482</v>
      </c>
      <c r="Y379" s="769"/>
      <c r="Z379" s="769"/>
      <c r="AA379" s="769"/>
      <c r="AB379" s="768"/>
      <c r="AC379" s="781" t="str">
        <f t="shared" si="57"/>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7">
        <v>50</v>
      </c>
      <c r="B380" s="155"/>
      <c r="C380" s="860" t="str">
        <f>IF(LEN(O365)&lt;=135,"",IF(LEN(O365)&lt;=260,RIGHT(O365,LEN(O365)-SEARCH(" ",O365,125)),MID(O365,SEARCH(" ",O365,130),IF(LEN(O365)&lt;=265,LEN(O365),SEARCH(" ",O365,255)-SEARCH(" ",O365,130)))))</f>
        <v/>
      </c>
      <c r="D380" s="504"/>
      <c r="E380" s="504"/>
      <c r="F380" s="504"/>
      <c r="G380" s="504"/>
      <c r="H380" s="504"/>
      <c r="I380" s="504"/>
      <c r="J380" s="504"/>
      <c r="K380" s="81"/>
      <c r="L380" s="957" t="s">
        <v>482</v>
      </c>
      <c r="M380" s="155"/>
      <c r="N380" s="716"/>
      <c r="O380" s="716"/>
      <c r="P380" s="716"/>
      <c r="Q380" s="717"/>
      <c r="R380" s="716"/>
      <c r="S380" s="717"/>
      <c r="T380" s="716"/>
      <c r="U380" s="717"/>
      <c r="V380" s="717"/>
      <c r="W380" s="81"/>
      <c r="X380" s="939" t="s">
        <v>482</v>
      </c>
      <c r="Y380" s="769"/>
      <c r="Z380" s="769"/>
      <c r="AA380" s="769"/>
      <c r="AB380" s="1410"/>
      <c r="AC380" s="781" t="str">
        <f t="shared" si="57"/>
        <v/>
      </c>
      <c r="AD380" s="1443">
        <f>O299</f>
        <v>0</v>
      </c>
      <c r="AE380" s="812" t="s">
        <v>993</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7">
        <v>51</v>
      </c>
      <c r="B381" s="155"/>
      <c r="C381" s="860" t="str">
        <f>IF(LEN(O365)&lt;=265,"",RIGHT(O365,LEN(O365)-SEARCH(" ",O365,255)))</f>
        <v/>
      </c>
      <c r="D381" s="504"/>
      <c r="E381" s="504"/>
      <c r="F381" s="504"/>
      <c r="G381" s="504"/>
      <c r="H381" s="504"/>
      <c r="I381" s="504"/>
      <c r="J381" s="504"/>
      <c r="K381" s="81"/>
      <c r="L381" s="957" t="s">
        <v>482</v>
      </c>
      <c r="M381" s="155"/>
      <c r="N381" s="716"/>
      <c r="O381" s="716"/>
      <c r="P381" s="716"/>
      <c r="Q381" s="717"/>
      <c r="R381" s="716"/>
      <c r="S381" s="717"/>
      <c r="T381" s="716"/>
      <c r="U381" s="717"/>
      <c r="V381" s="717"/>
      <c r="W381" s="81"/>
      <c r="X381" s="939" t="s">
        <v>482</v>
      </c>
      <c r="Y381" s="769"/>
      <c r="Z381" s="769"/>
      <c r="AA381" s="769"/>
      <c r="AB381" s="768"/>
      <c r="AC381" s="781" t="str">
        <f t="shared" si="57"/>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7">
        <v>52</v>
      </c>
      <c r="B382" s="155"/>
      <c r="C382" s="860" t="str">
        <f>IF(O367="","",IF(LEN(O367)&lt;=135,O367,IF(LEN(O367)&lt;=260,LEFT(O367,SEARCH(" ",O367,125)),LEFT(O367,SEARCH(" ",O367,130)))))</f>
        <v/>
      </c>
      <c r="D382" s="504"/>
      <c r="E382" s="504"/>
      <c r="F382" s="504"/>
      <c r="G382" s="504"/>
      <c r="H382" s="504"/>
      <c r="I382" s="504"/>
      <c r="J382" s="504"/>
      <c r="K382" s="81"/>
      <c r="L382" s="957" t="s">
        <v>482</v>
      </c>
      <c r="M382" s="155"/>
      <c r="N382" s="716"/>
      <c r="O382" s="716"/>
      <c r="P382" s="716"/>
      <c r="Q382" s="717"/>
      <c r="R382" s="716"/>
      <c r="S382" s="717"/>
      <c r="T382" s="716"/>
      <c r="U382" s="717"/>
      <c r="V382" s="717"/>
      <c r="W382" s="81"/>
      <c r="X382" s="939" t="s">
        <v>482</v>
      </c>
      <c r="Y382" s="769"/>
      <c r="Z382" s="769"/>
      <c r="AA382" s="769"/>
      <c r="AB382" s="1410"/>
      <c r="AC382" s="781" t="str">
        <f t="shared" si="57"/>
        <v/>
      </c>
      <c r="AD382" s="1443">
        <f>O301</f>
        <v>0</v>
      </c>
      <c r="AE382" s="812" t="s">
        <v>994</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7">
        <v>53</v>
      </c>
      <c r="B383" s="155"/>
      <c r="C383" s="860" t="str">
        <f>IF(LEN(O367)&lt;=135,"",IF(LEN(O367)&lt;=260,RIGHT(O367,LEN(O367)-SEARCH(" ",O367,125)),MID(O367,SEARCH(" ",O367,130),IF(LEN(O367)&lt;=265,LEN(O367),SEARCH(" ",O367,255)-SEARCH(" ",O367,130)))))</f>
        <v/>
      </c>
      <c r="D383" s="504"/>
      <c r="E383" s="504"/>
      <c r="F383" s="504"/>
      <c r="G383" s="504"/>
      <c r="H383" s="504"/>
      <c r="I383" s="504"/>
      <c r="J383" s="504"/>
      <c r="K383" s="81"/>
      <c r="L383" s="957" t="s">
        <v>482</v>
      </c>
      <c r="M383" s="155"/>
      <c r="N383" s="716"/>
      <c r="O383" s="716"/>
      <c r="P383" s="716"/>
      <c r="Q383" s="717"/>
      <c r="R383" s="716"/>
      <c r="S383" s="717"/>
      <c r="T383" s="716"/>
      <c r="U383" s="717"/>
      <c r="V383" s="717"/>
      <c r="W383" s="81"/>
      <c r="X383" s="939" t="s">
        <v>482</v>
      </c>
      <c r="Y383" s="769"/>
      <c r="Z383" s="769"/>
      <c r="AA383" s="769"/>
      <c r="AB383" s="768"/>
      <c r="AC383" s="781" t="str">
        <f t="shared" si="57"/>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7">
        <v>54</v>
      </c>
      <c r="B384" s="155"/>
      <c r="C384" s="860" t="str">
        <f>IF(LEN(O367)&lt;=265,"",RIGHT(O367,LEN(O367)-SEARCH(" ",O367,255)))</f>
        <v/>
      </c>
      <c r="D384" s="504"/>
      <c r="E384" s="504"/>
      <c r="F384" s="504"/>
      <c r="G384" s="504"/>
      <c r="H384" s="504"/>
      <c r="I384" s="504"/>
      <c r="J384" s="504"/>
      <c r="K384" s="81"/>
      <c r="L384" s="957" t="s">
        <v>482</v>
      </c>
      <c r="M384" s="155"/>
      <c r="N384" s="716"/>
      <c r="O384" s="716"/>
      <c r="P384" s="716"/>
      <c r="Q384" s="717"/>
      <c r="R384" s="716"/>
      <c r="S384" s="717"/>
      <c r="T384" s="716"/>
      <c r="U384" s="717"/>
      <c r="V384" s="717"/>
      <c r="W384" s="81"/>
      <c r="X384" s="939" t="s">
        <v>482</v>
      </c>
      <c r="Y384" s="769"/>
      <c r="Z384" s="769"/>
      <c r="AA384" s="769"/>
      <c r="AB384" s="1410"/>
      <c r="AC384" s="781" t="str">
        <f t="shared" si="57"/>
        <v/>
      </c>
      <c r="AD384" s="1443">
        <f>O303</f>
        <v>0</v>
      </c>
      <c r="AE384" s="812" t="s">
        <v>995</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7">
        <v>55</v>
      </c>
      <c r="B385" s="155"/>
      <c r="C385" s="860" t="str">
        <f>IF(O369="","",IF(LEN(O369)&lt;=135,O369,IF(LEN(O369)&lt;=260,LEFT(O369,SEARCH(" ",O369,125)),LEFT(O369,SEARCH(" ",O369,130)))))</f>
        <v/>
      </c>
      <c r="D385" s="504"/>
      <c r="E385" s="504"/>
      <c r="F385" s="504"/>
      <c r="G385" s="504"/>
      <c r="H385" s="504"/>
      <c r="I385" s="504"/>
      <c r="J385" s="504"/>
      <c r="K385" s="81"/>
      <c r="L385" s="957" t="s">
        <v>482</v>
      </c>
      <c r="M385" s="155"/>
      <c r="N385" s="716"/>
      <c r="O385" s="716"/>
      <c r="P385" s="716"/>
      <c r="Q385" s="717"/>
      <c r="R385" s="716"/>
      <c r="S385" s="717"/>
      <c r="T385" s="716"/>
      <c r="U385" s="717"/>
      <c r="V385" s="717"/>
      <c r="W385" s="81"/>
      <c r="X385" s="939" t="s">
        <v>482</v>
      </c>
      <c r="Y385" s="769"/>
      <c r="Z385" s="769"/>
      <c r="AA385" s="432"/>
      <c r="AB385" s="768"/>
      <c r="AC385" s="781" t="str">
        <f t="shared" si="57"/>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7">
        <v>56</v>
      </c>
      <c r="B386" s="155"/>
      <c r="C386" s="860" t="str">
        <f>IF(LEN(O369)&lt;=135,"",IF(LEN(O369)&lt;=260,RIGHT(O369,LEN(O369)-SEARCH(" ",O369,125)),MID(O369,SEARCH(" ",O369,130),IF(LEN(O369)&lt;=265,LEN(O369),SEARCH(" ",O369,255)-SEARCH(" ",O369,130)))))</f>
        <v/>
      </c>
      <c r="D386" s="504"/>
      <c r="E386" s="504"/>
      <c r="F386" s="504"/>
      <c r="G386" s="504"/>
      <c r="H386" s="504"/>
      <c r="I386" s="504"/>
      <c r="J386" s="504"/>
      <c r="K386" s="81"/>
      <c r="L386" s="957" t="s">
        <v>482</v>
      </c>
      <c r="M386" s="155"/>
      <c r="N386" s="716"/>
      <c r="O386" s="716"/>
      <c r="P386" s="716"/>
      <c r="Q386" s="717"/>
      <c r="R386" s="716"/>
      <c r="S386" s="717"/>
      <c r="T386" s="716"/>
      <c r="U386" s="717"/>
      <c r="V386" s="717"/>
      <c r="W386" s="81"/>
      <c r="X386" s="939" t="s">
        <v>482</v>
      </c>
      <c r="Y386" s="769"/>
      <c r="Z386" s="769"/>
      <c r="AA386" s="432"/>
      <c r="AB386" s="1410"/>
      <c r="AC386" s="781" t="str">
        <f t="shared" si="57"/>
        <v/>
      </c>
      <c r="AD386" s="1443">
        <f>O305</f>
        <v>0</v>
      </c>
      <c r="AE386" s="812" t="s">
        <v>996</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7">
        <v>57</v>
      </c>
      <c r="B387" s="155"/>
      <c r="C387" s="860" t="str">
        <f>IF(LEN(O369)&lt;=265,"",RIGHT(O369,LEN(O369)-SEARCH(" ",O369,255)))</f>
        <v/>
      </c>
      <c r="D387" s="504"/>
      <c r="E387" s="504"/>
      <c r="F387" s="504"/>
      <c r="G387" s="504"/>
      <c r="H387" s="504"/>
      <c r="I387" s="504"/>
      <c r="J387" s="504"/>
      <c r="K387" s="81"/>
      <c r="L387" s="957" t="s">
        <v>482</v>
      </c>
      <c r="M387" s="155"/>
      <c r="N387" s="716"/>
      <c r="O387" s="716"/>
      <c r="P387" s="716"/>
      <c r="Q387" s="717"/>
      <c r="R387" s="716"/>
      <c r="S387" s="717"/>
      <c r="T387" s="716"/>
      <c r="U387" s="717"/>
      <c r="V387" s="717"/>
      <c r="W387" s="81"/>
      <c r="X387" s="939" t="s">
        <v>482</v>
      </c>
      <c r="Y387" s="769"/>
      <c r="Z387" s="769"/>
      <c r="AA387" s="432"/>
      <c r="AB387" s="768"/>
      <c r="AC387" s="781" t="str">
        <f t="shared" si="57"/>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7">
        <v>58</v>
      </c>
      <c r="B388" s="155"/>
      <c r="C388" s="860" t="str">
        <f>IF(O371="","",IF(LEN(O371)&lt;=135,O371,IF(LEN(O371)&lt;=260,LEFT(O371,SEARCH(" ",O371,125)),LEFT(O371,SEARCH(" ",O371,130)))))</f>
        <v/>
      </c>
      <c r="D388" s="504"/>
      <c r="E388" s="504"/>
      <c r="F388" s="504"/>
      <c r="G388" s="504"/>
      <c r="H388" s="504"/>
      <c r="I388" s="504"/>
      <c r="J388" s="504"/>
      <c r="K388" s="81"/>
      <c r="L388" s="957" t="s">
        <v>482</v>
      </c>
      <c r="M388" s="155"/>
      <c r="N388" s="716"/>
      <c r="O388" s="716"/>
      <c r="P388" s="716"/>
      <c r="Q388" s="717"/>
      <c r="R388" s="716"/>
      <c r="S388" s="717"/>
      <c r="T388" s="716"/>
      <c r="U388" s="717"/>
      <c r="V388" s="717"/>
      <c r="W388" s="81"/>
      <c r="X388" s="939" t="s">
        <v>482</v>
      </c>
      <c r="Y388" s="769"/>
      <c r="Z388" s="769"/>
      <c r="AA388" s="432"/>
      <c r="AB388" s="1410"/>
      <c r="AC388" s="781" t="str">
        <f t="shared" si="57"/>
        <v/>
      </c>
      <c r="AD388" s="1443">
        <f>O307</f>
        <v>0</v>
      </c>
      <c r="AE388" s="812" t="s">
        <v>997</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7">
        <v>59</v>
      </c>
      <c r="B389" s="155"/>
      <c r="C389" s="860" t="str">
        <f>IF(LEN(O371)&lt;=135,"",IF(LEN(O371)&lt;=260,RIGHT(O371,LEN(O371)-SEARCH(" ",O371,125)),MID(O371,SEARCH(" ",O371,130),IF(LEN(O371)&lt;=265,LEN(O371),SEARCH(" ",O371,255)-SEARCH(" ",O371,130)))))</f>
        <v/>
      </c>
      <c r="D389" s="504"/>
      <c r="E389" s="504"/>
      <c r="F389" s="504"/>
      <c r="G389" s="504"/>
      <c r="H389" s="504"/>
      <c r="I389" s="504"/>
      <c r="J389" s="504"/>
      <c r="K389" s="81"/>
      <c r="L389" s="957" t="s">
        <v>482</v>
      </c>
      <c r="M389" s="155"/>
      <c r="N389" s="716"/>
      <c r="O389" s="716"/>
      <c r="P389" s="716"/>
      <c r="Q389" s="717"/>
      <c r="R389" s="716"/>
      <c r="S389" s="717"/>
      <c r="T389" s="716"/>
      <c r="U389" s="717"/>
      <c r="V389" s="717"/>
      <c r="W389" s="81"/>
      <c r="X389" s="939" t="s">
        <v>482</v>
      </c>
      <c r="Y389" s="769"/>
      <c r="Z389" s="769"/>
      <c r="AA389" s="432"/>
      <c r="AB389" s="768"/>
      <c r="AC389" s="781" t="str">
        <f t="shared" si="57"/>
        <v/>
      </c>
      <c r="AD389" s="1444"/>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7">
        <v>60</v>
      </c>
      <c r="B390" s="155"/>
      <c r="C390" s="860" t="str">
        <f>IF(LEN(O371)&lt;=265,"",RIGHT(O371,LEN(O371)-SEARCH(" ",O371,255)))</f>
        <v/>
      </c>
      <c r="D390" s="504"/>
      <c r="E390" s="504"/>
      <c r="F390" s="504"/>
      <c r="G390" s="504"/>
      <c r="H390" s="504"/>
      <c r="I390" s="504"/>
      <c r="J390" s="504"/>
      <c r="K390" s="81"/>
      <c r="L390" s="957" t="s">
        <v>482</v>
      </c>
      <c r="M390" s="155"/>
      <c r="N390" s="716"/>
      <c r="O390" s="716"/>
      <c r="P390" s="716"/>
      <c r="Q390" s="717"/>
      <c r="R390" s="716"/>
      <c r="S390" s="717"/>
      <c r="T390" s="716"/>
      <c r="U390" s="717"/>
      <c r="V390" s="717"/>
      <c r="W390" s="81"/>
      <c r="X390" s="939" t="s">
        <v>482</v>
      </c>
      <c r="Y390" s="769"/>
      <c r="Z390" s="769"/>
      <c r="AA390" s="775" t="s">
        <v>715</v>
      </c>
      <c r="AB390" s="1410"/>
      <c r="AC390" s="781" t="str">
        <f t="shared" si="57"/>
        <v/>
      </c>
      <c r="AD390" s="1443">
        <f>O337</f>
        <v>0</v>
      </c>
      <c r="AE390" s="812" t="s">
        <v>998</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7">
        <v>61</v>
      </c>
      <c r="B391" s="155"/>
      <c r="C391" s="860" t="str">
        <f>IF(O373="","",IF(LEN(O373)&lt;=135,O373,IF(LEN(O373)&lt;=260,LEFT(O373,SEARCH(" ",O373,125)),LEFT(O373,SEARCH(" ",O373,130)))))</f>
        <v/>
      </c>
      <c r="D391" s="504"/>
      <c r="E391" s="504"/>
      <c r="F391" s="504"/>
      <c r="G391" s="504"/>
      <c r="H391" s="504"/>
      <c r="I391" s="504"/>
      <c r="J391" s="504"/>
      <c r="K391" s="81"/>
      <c r="L391" s="957" t="s">
        <v>482</v>
      </c>
      <c r="M391" s="155"/>
      <c r="N391" s="716"/>
      <c r="O391" s="716"/>
      <c r="P391" s="716"/>
      <c r="Q391" s="717"/>
      <c r="R391" s="716"/>
      <c r="S391" s="717"/>
      <c r="T391" s="716"/>
      <c r="U391" s="717"/>
      <c r="V391" s="717"/>
      <c r="W391" s="81"/>
      <c r="X391" s="939" t="s">
        <v>482</v>
      </c>
      <c r="Y391" s="769"/>
      <c r="Z391" s="769"/>
      <c r="AA391" s="769"/>
      <c r="AB391" s="768"/>
      <c r="AC391" s="781" t="str">
        <f t="shared" si="57"/>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7">
        <v>62</v>
      </c>
      <c r="B392" s="155"/>
      <c r="C392" s="860" t="str">
        <f>IF(LEN(O373)&lt;=135,"",IF(LEN(O373)&lt;=260,RIGHT(O373,LEN(O373)-SEARCH(" ",O373,125)),MID(O373,SEARCH(" ",O373,130),IF(LEN(O373)&lt;=265,LEN(O373),SEARCH(" ",O373,255)-SEARCH(" ",O373,130)))))</f>
        <v/>
      </c>
      <c r="D392" s="504"/>
      <c r="E392" s="504"/>
      <c r="F392" s="504"/>
      <c r="G392" s="504"/>
      <c r="H392" s="504"/>
      <c r="I392" s="504"/>
      <c r="J392" s="504"/>
      <c r="K392" s="81"/>
      <c r="L392" s="957" t="s">
        <v>482</v>
      </c>
      <c r="M392" s="155"/>
      <c r="N392" s="716"/>
      <c r="O392" s="716"/>
      <c r="P392" s="716"/>
      <c r="Q392" s="717"/>
      <c r="R392" s="716"/>
      <c r="S392" s="717"/>
      <c r="T392" s="716"/>
      <c r="U392" s="717"/>
      <c r="V392" s="717"/>
      <c r="W392" s="81"/>
      <c r="X392" s="939" t="s">
        <v>482</v>
      </c>
      <c r="Y392" s="769"/>
      <c r="Z392" s="769"/>
      <c r="AA392" s="769"/>
      <c r="AB392" s="1410"/>
      <c r="AC392" s="781" t="str">
        <f t="shared" si="57"/>
        <v/>
      </c>
      <c r="AD392" s="1443">
        <f>O339</f>
        <v>0</v>
      </c>
      <c r="AE392" s="812" t="s">
        <v>999</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7">
        <v>63</v>
      </c>
      <c r="B393" s="155"/>
      <c r="C393" s="860" t="str">
        <f>IF(LEN(O373)&lt;=265,"",RIGHT(O373,LEN(O373)-SEARCH(" ",O373,255)))</f>
        <v/>
      </c>
      <c r="D393" s="504"/>
      <c r="E393" s="504"/>
      <c r="F393" s="504"/>
      <c r="G393" s="504"/>
      <c r="H393" s="504"/>
      <c r="I393" s="504"/>
      <c r="J393" s="504"/>
      <c r="K393" s="81"/>
      <c r="L393" s="957" t="s">
        <v>482</v>
      </c>
      <c r="M393" s="155"/>
      <c r="N393" s="720"/>
      <c r="O393" s="720"/>
      <c r="P393" s="720"/>
      <c r="Q393" s="719"/>
      <c r="R393" s="720"/>
      <c r="S393" s="719"/>
      <c r="T393" s="720"/>
      <c r="U393" s="719"/>
      <c r="V393" s="719"/>
      <c r="W393" s="81"/>
      <c r="X393" s="939" t="s">
        <v>482</v>
      </c>
      <c r="Y393" s="769"/>
      <c r="Z393" s="769"/>
      <c r="AA393" s="769"/>
      <c r="AB393" s="768"/>
      <c r="AC393" s="781" t="str">
        <f t="shared" si="57"/>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7">
        <v>64</v>
      </c>
      <c r="B394" s="112"/>
      <c r="C394" s="94"/>
      <c r="D394" s="94"/>
      <c r="E394" s="94"/>
      <c r="F394" s="94"/>
      <c r="G394" s="94"/>
      <c r="H394" s="94"/>
      <c r="I394" s="94"/>
      <c r="J394" s="94"/>
      <c r="K394" s="99"/>
      <c r="L394" s="957" t="s">
        <v>482</v>
      </c>
      <c r="M394" s="437"/>
      <c r="N394" s="181"/>
      <c r="O394" s="181"/>
      <c r="P394" s="576"/>
      <c r="Q394" s="181"/>
      <c r="R394" s="181"/>
      <c r="S394" s="181"/>
      <c r="T394" s="181"/>
      <c r="U394" s="181"/>
      <c r="V394" s="181"/>
      <c r="W394" s="439"/>
      <c r="X394" s="939" t="s">
        <v>482</v>
      </c>
      <c r="Y394" s="769"/>
      <c r="Z394" s="769"/>
      <c r="AA394" s="769"/>
      <c r="AB394" s="1410"/>
      <c r="AC394" s="781" t="str">
        <f t="shared" si="57"/>
        <v/>
      </c>
      <c r="AD394" s="1443">
        <f>O341</f>
        <v>0</v>
      </c>
      <c r="AE394" s="812" t="s">
        <v>1000</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7">
        <v>65</v>
      </c>
      <c r="B395" s="60" t="str">
        <f t="array" ref="B395:C396">$B$65:$C$66</f>
        <v>Date:</v>
      </c>
      <c r="C395" s="1664" t="str">
        <v/>
      </c>
      <c r="E395" s="59"/>
      <c r="F395" s="59"/>
      <c r="G395" s="59"/>
      <c r="H395" s="59"/>
      <c r="I395" s="60" t="str">
        <f t="array" ref="I395:J396">$I$65:$J$66</f>
        <v>Inspector:</v>
      </c>
      <c r="J395" s="554" t="str">
        <v>Eugene Mah</v>
      </c>
      <c r="L395" s="957" t="s">
        <v>482</v>
      </c>
      <c r="X395" s="939" t="s">
        <v>482</v>
      </c>
      <c r="Y395" s="769"/>
      <c r="Z395" s="769"/>
      <c r="AA395" s="769"/>
      <c r="AB395" s="768"/>
      <c r="AC395" s="781" t="str">
        <f t="shared" si="57"/>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7">
        <v>66</v>
      </c>
      <c r="B396" s="60" t="str">
        <v>Room Number:</v>
      </c>
      <c r="C396" s="499" t="str">
        <v/>
      </c>
      <c r="E396" s="59"/>
      <c r="F396" s="59"/>
      <c r="G396" s="59"/>
      <c r="H396" s="59"/>
      <c r="I396" s="60" t="str">
        <v>Survey ID:</v>
      </c>
      <c r="J396" s="1404" t="str">
        <v/>
      </c>
      <c r="L396" s="957" t="s">
        <v>482</v>
      </c>
      <c r="X396" s="939" t="s">
        <v>482</v>
      </c>
      <c r="Y396" s="769"/>
      <c r="Z396" s="769"/>
      <c r="AA396" s="769"/>
      <c r="AB396" s="1410"/>
      <c r="AC396" s="781" t="str">
        <f t="shared" si="57"/>
        <v/>
      </c>
      <c r="AD396" s="1443">
        <f>O343</f>
        <v>0</v>
      </c>
      <c r="AE396" s="812" t="s">
        <v>1001</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7">
        <v>1</v>
      </c>
      <c r="B397" s="1"/>
      <c r="C397" s="1"/>
      <c r="D397" s="1"/>
      <c r="E397" s="1"/>
      <c r="F397" s="1"/>
      <c r="G397" s="1"/>
      <c r="H397" s="1"/>
      <c r="I397" s="1"/>
      <c r="J397" s="1"/>
      <c r="K397" s="161" t="str">
        <f>$F$2</f>
        <v>Medical University of South Carolina</v>
      </c>
      <c r="L397" s="957" t="s">
        <v>482</v>
      </c>
      <c r="M397" s="74"/>
      <c r="N397" s="72"/>
      <c r="O397" s="72"/>
      <c r="P397" s="72"/>
      <c r="Q397" s="72"/>
      <c r="R397" s="72"/>
      <c r="S397" s="72"/>
      <c r="T397" s="72"/>
      <c r="U397" s="72"/>
      <c r="V397" s="72"/>
      <c r="W397" s="1184" t="str">
        <f>$F$2</f>
        <v>Medical University of South Carolina</v>
      </c>
      <c r="X397" s="939" t="s">
        <v>482</v>
      </c>
      <c r="Y397" s="769"/>
      <c r="Z397" s="769"/>
      <c r="AA397" s="769"/>
      <c r="AB397" s="768"/>
      <c r="AC397" s="781" t="str">
        <f t="shared" si="57"/>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7">
        <v>2</v>
      </c>
      <c r="B398" s="1"/>
      <c r="C398" s="1"/>
      <c r="D398" s="1"/>
      <c r="E398" s="1"/>
      <c r="F398" s="127" t="s">
        <v>616</v>
      </c>
      <c r="G398" s="1"/>
      <c r="H398" s="1"/>
      <c r="I398" s="1"/>
      <c r="J398" s="1"/>
      <c r="K398" s="162" t="str">
        <f>$F$5</f>
        <v>Radiographic System Compliance Inspection</v>
      </c>
      <c r="L398" s="957" t="s">
        <v>482</v>
      </c>
      <c r="M398" s="155"/>
      <c r="N398" s="100"/>
      <c r="O398" s="100"/>
      <c r="P398" s="3"/>
      <c r="Q398" s="63"/>
      <c r="R398" s="336" t="str">
        <f>$F$464</f>
        <v>Measurement Data</v>
      </c>
      <c r="S398" s="63"/>
      <c r="T398" s="63"/>
      <c r="U398" s="63"/>
      <c r="V398" s="63"/>
      <c r="W398" s="1185" t="str">
        <f>$F$5</f>
        <v>Radiographic System Compliance Inspection</v>
      </c>
      <c r="X398" s="939" t="s">
        <v>482</v>
      </c>
      <c r="Y398" s="769"/>
      <c r="Z398" s="769"/>
      <c r="AA398" s="769"/>
      <c r="AB398" s="1410"/>
      <c r="AC398" s="781" t="str">
        <f t="shared" si="57"/>
        <v/>
      </c>
      <c r="AD398" s="1443">
        <f>O345</f>
        <v>0</v>
      </c>
      <c r="AE398" s="812" t="s">
        <v>1002</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7">
        <v>3</v>
      </c>
      <c r="B399" s="3"/>
      <c r="C399" s="3"/>
      <c r="D399" s="3"/>
      <c r="E399" s="3"/>
      <c r="G399" s="3"/>
      <c r="H399" s="3"/>
      <c r="I399" s="3"/>
      <c r="J399" s="3"/>
      <c r="K399" s="63"/>
      <c r="L399" s="957" t="s">
        <v>482</v>
      </c>
      <c r="M399" s="155"/>
      <c r="N399" s="63"/>
      <c r="O399" s="63"/>
      <c r="P399" s="63"/>
      <c r="Q399" s="63"/>
      <c r="R399" s="63"/>
      <c r="S399" s="63"/>
      <c r="T399" s="63"/>
      <c r="U399" s="63"/>
      <c r="V399" s="63"/>
      <c r="W399" s="81"/>
      <c r="X399" s="939" t="s">
        <v>482</v>
      </c>
      <c r="Y399" s="769"/>
      <c r="Z399" s="769"/>
      <c r="AA399" s="769"/>
      <c r="AB399" s="768"/>
      <c r="AC399" s="781" t="str">
        <f t="shared" si="57"/>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7">
        <v>4</v>
      </c>
      <c r="B400" s="74"/>
      <c r="C400" s="1231"/>
      <c r="D400" s="1231"/>
      <c r="E400" s="1231"/>
      <c r="F400" s="1231"/>
      <c r="G400" s="1231"/>
      <c r="H400" s="1231"/>
      <c r="I400" s="1231"/>
      <c r="J400" s="1231"/>
      <c r="K400" s="1232"/>
      <c r="L400" s="957" t="s">
        <v>482</v>
      </c>
      <c r="M400" s="155"/>
      <c r="N400" s="1167"/>
      <c r="O400" s="95"/>
      <c r="P400" s="95"/>
      <c r="Q400" s="95"/>
      <c r="R400" s="95"/>
      <c r="S400" s="95"/>
      <c r="T400" s="95"/>
      <c r="U400" s="95"/>
      <c r="V400" s="101"/>
      <c r="W400" s="81"/>
      <c r="X400" s="939" t="s">
        <v>482</v>
      </c>
      <c r="Y400" s="769"/>
      <c r="Z400" s="769"/>
      <c r="AA400" s="769"/>
      <c r="AB400" s="1410"/>
      <c r="AC400" s="781" t="str">
        <f t="shared" ref="AC400:AC463" si="58">IF(AND(OR(AB400="",AB400=0),OR(AD400="",AD400=0)),"",IF(AB400&lt;&gt;AD400,"Change",""))</f>
        <v/>
      </c>
      <c r="AD400" s="1443">
        <f>O347</f>
        <v>0</v>
      </c>
      <c r="AE400" s="812" t="s">
        <v>1003</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7">
        <v>5</v>
      </c>
      <c r="B401" s="137" t="s">
        <v>617</v>
      </c>
      <c r="C401" s="1230" t="str">
        <f>$N$83</f>
        <v>??</v>
      </c>
      <c r="D401" s="58"/>
      <c r="E401" s="56"/>
      <c r="F401" s="56"/>
      <c r="G401" s="56"/>
      <c r="H401" s="526" t="s">
        <v>444</v>
      </c>
      <c r="I401" s="1664" t="str">
        <f>$U$83</f>
        <v/>
      </c>
      <c r="J401" s="63"/>
      <c r="K401" s="96"/>
      <c r="L401" s="957" t="s">
        <v>482</v>
      </c>
      <c r="M401" s="155"/>
      <c r="N401" s="104"/>
      <c r="O401" s="63"/>
      <c r="P401" s="63"/>
      <c r="Q401" s="63"/>
      <c r="R401" s="837" t="s">
        <v>397</v>
      </c>
      <c r="S401" s="63"/>
      <c r="T401" s="63"/>
      <c r="U401" s="63"/>
      <c r="V401" s="103"/>
      <c r="W401" s="81"/>
      <c r="X401" s="939" t="s">
        <v>482</v>
      </c>
      <c r="Y401" s="769"/>
      <c r="Z401" s="769"/>
      <c r="AA401" s="769"/>
      <c r="AB401" s="768"/>
      <c r="AC401" s="781" t="str">
        <f t="shared" si="58"/>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7">
        <v>6</v>
      </c>
      <c r="B402" s="146"/>
      <c r="C402" s="56"/>
      <c r="D402" s="56"/>
      <c r="E402" s="56" t="s">
        <v>618</v>
      </c>
      <c r="F402" s="56"/>
      <c r="G402" s="56"/>
      <c r="H402" s="56"/>
      <c r="I402" s="56"/>
      <c r="J402" s="1500" t="s">
        <v>619</v>
      </c>
      <c r="K402" s="96"/>
      <c r="L402" s="957" t="s">
        <v>482</v>
      </c>
      <c r="M402" s="155"/>
      <c r="N402" s="106"/>
      <c r="O402" s="108"/>
      <c r="P402" s="108"/>
      <c r="Q402" s="108"/>
      <c r="R402" s="108"/>
      <c r="S402" s="108"/>
      <c r="T402" s="108"/>
      <c r="U402" s="108"/>
      <c r="V402" s="1168"/>
      <c r="W402" s="81"/>
      <c r="X402" s="939" t="s">
        <v>482</v>
      </c>
      <c r="Y402" s="769"/>
      <c r="Z402" s="769"/>
      <c r="AA402" s="769"/>
      <c r="AB402" s="1410"/>
      <c r="AC402" s="781" t="str">
        <f t="shared" si="58"/>
        <v/>
      </c>
      <c r="AD402" s="1443">
        <f>O349</f>
        <v>0</v>
      </c>
      <c r="AE402" s="812" t="s">
        <v>1004</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7">
        <v>7</v>
      </c>
      <c r="B403" s="146"/>
      <c r="C403" s="56"/>
      <c r="D403" s="56" t="s">
        <v>589</v>
      </c>
      <c r="E403" s="56" t="s">
        <v>620</v>
      </c>
      <c r="F403" s="56" t="s">
        <v>621</v>
      </c>
      <c r="G403" s="56"/>
      <c r="H403" s="56"/>
      <c r="I403" s="56"/>
      <c r="J403" s="1500" t="s">
        <v>1176</v>
      </c>
      <c r="K403" s="96" t="s">
        <v>1177</v>
      </c>
      <c r="L403" s="957" t="s">
        <v>482</v>
      </c>
      <c r="M403" s="155"/>
      <c r="N403" s="63"/>
      <c r="O403" s="63"/>
      <c r="P403" s="63"/>
      <c r="Q403" s="63"/>
      <c r="R403" s="63"/>
      <c r="S403" s="63"/>
      <c r="T403" s="63"/>
      <c r="U403" s="63"/>
      <c r="V403" s="63"/>
      <c r="W403" s="81"/>
      <c r="X403" s="939" t="s">
        <v>482</v>
      </c>
      <c r="Y403" s="769"/>
      <c r="Z403" s="769"/>
      <c r="AA403" s="769"/>
      <c r="AB403" s="768"/>
      <c r="AC403" s="781" t="str">
        <f t="shared" si="58"/>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7">
        <v>8</v>
      </c>
      <c r="B404" s="126" t="s">
        <v>624</v>
      </c>
      <c r="C404" s="55" t="s">
        <v>625</v>
      </c>
      <c r="D404" s="55" t="s">
        <v>626</v>
      </c>
      <c r="E404" s="55" t="s">
        <v>627</v>
      </c>
      <c r="F404" s="55" t="s">
        <v>626</v>
      </c>
      <c r="G404" s="55" t="s">
        <v>539</v>
      </c>
      <c r="H404" s="55" t="str">
        <f>IF(LFMAS="","mA/mAs",LFMAS)</f>
        <v>mA</v>
      </c>
      <c r="I404" s="55" t="s">
        <v>628</v>
      </c>
      <c r="J404" s="55" t="s">
        <v>1170</v>
      </c>
      <c r="K404" s="96" t="s">
        <v>1178</v>
      </c>
      <c r="L404" s="957" t="s">
        <v>482</v>
      </c>
      <c r="M404" s="155"/>
      <c r="N404" s="63"/>
      <c r="O404" s="63"/>
      <c r="P404" s="63"/>
      <c r="Q404" s="63"/>
      <c r="R404" s="63"/>
      <c r="S404" s="63"/>
      <c r="T404" s="63"/>
      <c r="U404" s="63"/>
      <c r="V404" s="63"/>
      <c r="W404" s="81"/>
      <c r="X404" s="939" t="s">
        <v>482</v>
      </c>
      <c r="Y404" s="769"/>
      <c r="Z404" s="769"/>
      <c r="AA404" s="769"/>
      <c r="AB404" s="1410"/>
      <c r="AC404" s="781" t="str">
        <f t="shared" si="58"/>
        <v/>
      </c>
      <c r="AD404" s="1443">
        <f>O351</f>
        <v>0</v>
      </c>
      <c r="AE404" s="812" t="s">
        <v>1005</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7">
        <v>9</v>
      </c>
      <c r="B405" s="916" t="str">
        <f t="shared" ref="B405:B414" si="59">IF(M87="","",M87)</f>
        <v>CXR</v>
      </c>
      <c r="C405" s="917" t="str">
        <f t="shared" ref="C405:C414" si="60">IF(N87="","",N87)</f>
        <v>Yes</v>
      </c>
      <c r="D405" s="917">
        <f t="shared" ref="D405:D414" si="61">IF(O87="","",O87)</f>
        <v>72</v>
      </c>
      <c r="E405" s="918">
        <f t="shared" ref="E405:E414" si="62">IF(P87="","",P87)</f>
        <v>23</v>
      </c>
      <c r="F405" s="917" t="str">
        <f t="shared" ref="F405:F414" si="63">IF(Q87="","",Q87)</f>
        <v>14x17</v>
      </c>
      <c r="G405" s="919">
        <f t="shared" ref="G405:G414" si="64">IF(R87="","",R87)</f>
        <v>120</v>
      </c>
      <c r="H405" s="917" t="str">
        <f t="shared" ref="H405:H414" si="65">IF(S87="","",S87)</f>
        <v/>
      </c>
      <c r="I405" s="920" t="str">
        <f t="shared" ref="I405:I414" si="66">IF(T87="","",T87)</f>
        <v/>
      </c>
      <c r="J405" s="1501" t="str">
        <f t="shared" ref="J405:J414" si="67">IF(U87="","",U87)</f>
        <v/>
      </c>
      <c r="K405" s="1505" t="str">
        <f t="shared" ref="K405:K414" si="68">IF(V87="","",V87)</f>
        <v/>
      </c>
      <c r="L405" s="957" t="s">
        <v>482</v>
      </c>
      <c r="M405" s="1186" t="s">
        <v>385</v>
      </c>
      <c r="N405" s="63"/>
      <c r="O405" s="63"/>
      <c r="P405" s="63"/>
      <c r="Q405" s="63"/>
      <c r="R405" s="63"/>
      <c r="S405" s="63"/>
      <c r="T405" s="63"/>
      <c r="U405" s="63"/>
      <c r="V405" s="63"/>
      <c r="W405" s="81"/>
      <c r="X405" s="939" t="s">
        <v>482</v>
      </c>
      <c r="Y405" s="769"/>
      <c r="Z405" s="769"/>
      <c r="AA405" s="769"/>
      <c r="AB405" s="768"/>
      <c r="AC405" s="781" t="str">
        <f t="shared" si="58"/>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7">
        <v>10</v>
      </c>
      <c r="B406" s="916" t="str">
        <f t="shared" si="59"/>
        <v>Abdomen AP</v>
      </c>
      <c r="C406" s="917" t="str">
        <f t="shared" si="60"/>
        <v>Yes</v>
      </c>
      <c r="D406" s="917">
        <f t="shared" si="61"/>
        <v>40</v>
      </c>
      <c r="E406" s="918">
        <f t="shared" si="62"/>
        <v>23</v>
      </c>
      <c r="F406" s="917" t="str">
        <f t="shared" si="63"/>
        <v>14x17</v>
      </c>
      <c r="G406" s="919">
        <f t="shared" si="64"/>
        <v>76</v>
      </c>
      <c r="H406" s="917" t="str">
        <f t="shared" si="65"/>
        <v/>
      </c>
      <c r="I406" s="920" t="str">
        <f t="shared" si="66"/>
        <v/>
      </c>
      <c r="J406" s="1501" t="str">
        <f t="shared" si="67"/>
        <v/>
      </c>
      <c r="K406" s="1505" t="str">
        <f t="shared" si="68"/>
        <v/>
      </c>
      <c r="L406" s="957" t="s">
        <v>482</v>
      </c>
      <c r="M406" s="155"/>
      <c r="N406" s="63"/>
      <c r="O406" s="63"/>
      <c r="P406" s="63"/>
      <c r="Q406" s="63"/>
      <c r="R406" s="63"/>
      <c r="S406" s="63"/>
      <c r="T406" s="63"/>
      <c r="U406" s="63"/>
      <c r="V406" s="63"/>
      <c r="W406" s="81"/>
      <c r="X406" s="939" t="s">
        <v>482</v>
      </c>
      <c r="Y406" s="769"/>
      <c r="Z406" s="769"/>
      <c r="AA406" s="769"/>
      <c r="AB406" s="1410"/>
      <c r="AC406" s="781" t="str">
        <f t="shared" si="58"/>
        <v/>
      </c>
      <c r="AD406" s="1443">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7">
        <v>11</v>
      </c>
      <c r="B407" s="916" t="str">
        <f t="shared" si="59"/>
        <v>Ribs</v>
      </c>
      <c r="C407" s="917" t="str">
        <f t="shared" si="60"/>
        <v>Yes</v>
      </c>
      <c r="D407" s="917">
        <f t="shared" si="61"/>
        <v>40</v>
      </c>
      <c r="E407" s="918">
        <f t="shared" si="62"/>
        <v>20</v>
      </c>
      <c r="F407" s="917" t="str">
        <f t="shared" si="63"/>
        <v>14x17</v>
      </c>
      <c r="G407" s="919">
        <f t="shared" si="64"/>
        <v>66</v>
      </c>
      <c r="H407" s="917" t="str">
        <f t="shared" si="65"/>
        <v/>
      </c>
      <c r="I407" s="920" t="str">
        <f t="shared" si="66"/>
        <v/>
      </c>
      <c r="J407" s="1501" t="str">
        <f t="shared" si="67"/>
        <v/>
      </c>
      <c r="K407" s="1505" t="str">
        <f t="shared" si="68"/>
        <v/>
      </c>
      <c r="L407" s="957" t="s">
        <v>482</v>
      </c>
      <c r="M407" s="89"/>
      <c r="N407" s="72"/>
      <c r="O407" s="72"/>
      <c r="P407" s="72"/>
      <c r="Q407" s="72"/>
      <c r="R407" s="72"/>
      <c r="S407" s="72"/>
      <c r="T407" s="72"/>
      <c r="U407" s="72"/>
      <c r="V407" s="72"/>
      <c r="W407" s="90"/>
      <c r="X407" s="939" t="s">
        <v>482</v>
      </c>
      <c r="Y407" s="769"/>
      <c r="Z407" s="769"/>
      <c r="AA407" s="769"/>
      <c r="AB407" s="768"/>
      <c r="AC407" s="781" t="str">
        <f t="shared" si="58"/>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7">
        <v>12</v>
      </c>
      <c r="B408" s="916" t="str">
        <f t="shared" si="59"/>
        <v>C-Spine AP</v>
      </c>
      <c r="C408" s="917" t="str">
        <f t="shared" si="60"/>
        <v>Yes</v>
      </c>
      <c r="D408" s="917">
        <f t="shared" si="61"/>
        <v>40</v>
      </c>
      <c r="E408" s="918">
        <f t="shared" si="62"/>
        <v>13</v>
      </c>
      <c r="F408" s="917" t="str">
        <f t="shared" si="63"/>
        <v>10x12</v>
      </c>
      <c r="G408" s="919">
        <f t="shared" si="64"/>
        <v>72</v>
      </c>
      <c r="H408" s="917" t="str">
        <f t="shared" si="65"/>
        <v/>
      </c>
      <c r="I408" s="920" t="str">
        <f t="shared" si="66"/>
        <v/>
      </c>
      <c r="J408" s="1501" t="str">
        <f t="shared" si="67"/>
        <v/>
      </c>
      <c r="K408" s="1505" t="str">
        <f t="shared" si="68"/>
        <v/>
      </c>
      <c r="L408" s="957" t="s">
        <v>482</v>
      </c>
      <c r="M408" s="256" t="s">
        <v>664</v>
      </c>
      <c r="N408" s="111"/>
      <c r="O408" s="111"/>
      <c r="P408" s="111"/>
      <c r="Q408" s="63"/>
      <c r="R408" s="240"/>
      <c r="S408" s="111"/>
      <c r="T408" s="63"/>
      <c r="U408" s="63"/>
      <c r="V408" s="63"/>
      <c r="W408" s="81"/>
      <c r="X408" s="939" t="s">
        <v>482</v>
      </c>
      <c r="Y408" s="769"/>
      <c r="Z408" s="769"/>
      <c r="AA408" s="769"/>
      <c r="AB408" s="1410"/>
      <c r="AC408" s="781" t="str">
        <f t="shared" si="58"/>
        <v/>
      </c>
      <c r="AD408" s="1443">
        <f>O355</f>
        <v>0</v>
      </c>
      <c r="AE408" s="812" t="s">
        <v>1006</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7">
        <v>13</v>
      </c>
      <c r="B409" s="916" t="str">
        <f t="shared" si="59"/>
        <v>Skull</v>
      </c>
      <c r="C409" s="917" t="str">
        <f t="shared" si="60"/>
        <v>Yes</v>
      </c>
      <c r="D409" s="917">
        <f t="shared" si="61"/>
        <v>40</v>
      </c>
      <c r="E409" s="918">
        <f t="shared" si="62"/>
        <v>15</v>
      </c>
      <c r="F409" s="917" t="str">
        <f t="shared" si="63"/>
        <v>8x10</v>
      </c>
      <c r="G409" s="919">
        <f t="shared" si="64"/>
        <v>72</v>
      </c>
      <c r="H409" s="917" t="str">
        <f t="shared" si="65"/>
        <v/>
      </c>
      <c r="I409" s="920" t="str">
        <f t="shared" si="66"/>
        <v/>
      </c>
      <c r="J409" s="1501" t="str">
        <f t="shared" si="67"/>
        <v/>
      </c>
      <c r="K409" s="1505" t="str">
        <f t="shared" si="68"/>
        <v/>
      </c>
      <c r="L409" s="957" t="s">
        <v>482</v>
      </c>
      <c r="M409" s="1110" t="str">
        <f>IF(N409&lt;&gt;"",N409,IF(OR(AB96=0,AB96=""),"",AB96))</f>
        <v/>
      </c>
      <c r="N409" s="982"/>
      <c r="O409" s="115" t="s">
        <v>666</v>
      </c>
      <c r="P409" s="56"/>
      <c r="Q409" s="56"/>
      <c r="R409" s="56"/>
      <c r="S409" s="56"/>
      <c r="T409" s="63"/>
      <c r="U409" s="63"/>
      <c r="V409" s="63"/>
      <c r="W409" s="81"/>
      <c r="X409" s="939" t="s">
        <v>482</v>
      </c>
      <c r="Y409" s="769"/>
      <c r="Z409" s="769"/>
      <c r="AA409" s="769"/>
      <c r="AB409" s="768"/>
      <c r="AC409" s="781" t="str">
        <f t="shared" si="58"/>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7">
        <v>14</v>
      </c>
      <c r="B410" s="916" t="str">
        <f t="shared" si="59"/>
        <v>Foot</v>
      </c>
      <c r="C410" s="917" t="str">
        <f t="shared" si="60"/>
        <v>No</v>
      </c>
      <c r="D410" s="917">
        <f t="shared" si="61"/>
        <v>40</v>
      </c>
      <c r="E410" s="918">
        <f t="shared" si="62"/>
        <v>8</v>
      </c>
      <c r="F410" s="917" t="str">
        <f t="shared" si="63"/>
        <v>8x10</v>
      </c>
      <c r="G410" s="919">
        <f t="shared" si="64"/>
        <v>60</v>
      </c>
      <c r="H410" s="917" t="str">
        <f t="shared" si="65"/>
        <v/>
      </c>
      <c r="I410" s="920" t="str">
        <f t="shared" si="66"/>
        <v/>
      </c>
      <c r="J410" s="1501" t="str">
        <f t="shared" si="67"/>
        <v/>
      </c>
      <c r="K410" s="1505" t="str">
        <f t="shared" si="68"/>
        <v/>
      </c>
      <c r="L410" s="957" t="s">
        <v>482</v>
      </c>
      <c r="M410" s="1110" t="str">
        <f>IF(N410&lt;&gt;"",N410,IF(OR(AB97=0,AB97=""),"",AB97))</f>
        <v/>
      </c>
      <c r="N410" s="982"/>
      <c r="O410" s="115" t="s">
        <v>398</v>
      </c>
      <c r="P410" s="63"/>
      <c r="Q410" s="63"/>
      <c r="R410" s="63"/>
      <c r="S410" s="63"/>
      <c r="T410" s="63"/>
      <c r="U410" s="63"/>
      <c r="V410" s="63"/>
      <c r="W410" s="81"/>
      <c r="X410" s="939" t="s">
        <v>482</v>
      </c>
      <c r="Y410" s="769"/>
      <c r="Z410" s="769"/>
      <c r="AA410" s="769"/>
      <c r="AB410" s="1410"/>
      <c r="AC410" s="781" t="str">
        <f t="shared" si="58"/>
        <v/>
      </c>
      <c r="AD410" s="1443">
        <f>O357</f>
        <v>0</v>
      </c>
      <c r="AE410" s="812" t="s">
        <v>1007</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7">
        <v>15</v>
      </c>
      <c r="B411" s="916" t="str">
        <f t="shared" si="59"/>
        <v>Knee</v>
      </c>
      <c r="C411" s="917" t="str">
        <f t="shared" si="60"/>
        <v>No</v>
      </c>
      <c r="D411" s="917">
        <f t="shared" si="61"/>
        <v>40</v>
      </c>
      <c r="E411" s="918">
        <f t="shared" si="62"/>
        <v>12</v>
      </c>
      <c r="F411" s="917" t="str">
        <f t="shared" si="63"/>
        <v>10x12</v>
      </c>
      <c r="G411" s="919">
        <f t="shared" si="64"/>
        <v>66</v>
      </c>
      <c r="H411" s="917" t="str">
        <f t="shared" si="65"/>
        <v/>
      </c>
      <c r="I411" s="920" t="str">
        <f t="shared" si="66"/>
        <v/>
      </c>
      <c r="J411" s="1501" t="str">
        <f t="shared" si="67"/>
        <v/>
      </c>
      <c r="K411" s="1505" t="str">
        <f t="shared" si="68"/>
        <v/>
      </c>
      <c r="L411" s="957" t="s">
        <v>482</v>
      </c>
      <c r="M411" s="155"/>
      <c r="N411" s="63"/>
      <c r="O411" s="63"/>
      <c r="P411" s="63"/>
      <c r="Q411" s="63"/>
      <c r="R411" s="63"/>
      <c r="S411" s="63"/>
      <c r="T411" s="63"/>
      <c r="U411" s="63"/>
      <c r="V411" s="63"/>
      <c r="W411" s="81"/>
      <c r="X411" s="939" t="s">
        <v>482</v>
      </c>
      <c r="Y411" s="769"/>
      <c r="Z411" s="769"/>
      <c r="AA411" s="769"/>
      <c r="AB411" s="768"/>
      <c r="AC411" s="781" t="str">
        <f t="shared" si="58"/>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7">
        <v>16</v>
      </c>
      <c r="B412" s="916" t="str">
        <f t="shared" si="59"/>
        <v>Pelvis AP</v>
      </c>
      <c r="C412" s="917" t="str">
        <f t="shared" si="60"/>
        <v>Yes</v>
      </c>
      <c r="D412" s="917">
        <f t="shared" si="61"/>
        <v>40</v>
      </c>
      <c r="E412" s="918">
        <f t="shared" si="62"/>
        <v>20</v>
      </c>
      <c r="F412" s="917" t="str">
        <f t="shared" si="63"/>
        <v>14x17</v>
      </c>
      <c r="G412" s="919">
        <f t="shared" si="64"/>
        <v>78</v>
      </c>
      <c r="H412" s="917" t="str">
        <f t="shared" si="65"/>
        <v/>
      </c>
      <c r="I412" s="920" t="str">
        <f t="shared" si="66"/>
        <v/>
      </c>
      <c r="J412" s="1501" t="str">
        <f t="shared" si="67"/>
        <v/>
      </c>
      <c r="K412" s="1505" t="str">
        <f t="shared" si="68"/>
        <v/>
      </c>
      <c r="L412" s="957" t="s">
        <v>482</v>
      </c>
      <c r="M412" s="155"/>
      <c r="N412" s="63"/>
      <c r="O412" s="63"/>
      <c r="P412" s="63"/>
      <c r="Q412" s="63"/>
      <c r="R412" s="63"/>
      <c r="S412" s="63"/>
      <c r="T412" s="63"/>
      <c r="U412" s="63"/>
      <c r="V412" s="63"/>
      <c r="W412" s="81"/>
      <c r="X412" s="939" t="s">
        <v>482</v>
      </c>
      <c r="Y412" s="769"/>
      <c r="Z412" s="769"/>
      <c r="AA412" s="769"/>
      <c r="AB412" s="1410"/>
      <c r="AC412" s="781" t="str">
        <f t="shared" si="58"/>
        <v/>
      </c>
      <c r="AD412" s="1443">
        <f>O359</f>
        <v>0</v>
      </c>
      <c r="AE412" s="812" t="s">
        <v>1008</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7">
        <v>17</v>
      </c>
      <c r="B413" s="916" t="str">
        <f t="shared" si="59"/>
        <v>Shoulder</v>
      </c>
      <c r="C413" s="917" t="str">
        <f t="shared" si="60"/>
        <v>Yes</v>
      </c>
      <c r="D413" s="917">
        <f t="shared" si="61"/>
        <v>40</v>
      </c>
      <c r="E413" s="918">
        <f t="shared" si="62"/>
        <v>15</v>
      </c>
      <c r="F413" s="917" t="str">
        <f t="shared" si="63"/>
        <v>10x12</v>
      </c>
      <c r="G413" s="919">
        <f t="shared" si="64"/>
        <v>74</v>
      </c>
      <c r="H413" s="917" t="str">
        <f t="shared" si="65"/>
        <v/>
      </c>
      <c r="I413" s="920" t="str">
        <f t="shared" si="66"/>
        <v/>
      </c>
      <c r="J413" s="1501" t="str">
        <f t="shared" si="67"/>
        <v/>
      </c>
      <c r="K413" s="1505" t="str">
        <f t="shared" si="68"/>
        <v/>
      </c>
      <c r="L413" s="957" t="s">
        <v>482</v>
      </c>
      <c r="M413" s="618"/>
      <c r="N413" s="745" t="s">
        <v>671</v>
      </c>
      <c r="O413" s="744"/>
      <c r="P413" s="741" t="s">
        <v>531</v>
      </c>
      <c r="Q413" s="743" t="s">
        <v>382</v>
      </c>
      <c r="R413" s="975"/>
      <c r="S413" s="741" t="s">
        <v>531</v>
      </c>
      <c r="T413" s="743" t="s">
        <v>382</v>
      </c>
      <c r="U413" s="63"/>
      <c r="V413" s="63"/>
      <c r="W413" s="81"/>
      <c r="X413" s="939" t="s">
        <v>482</v>
      </c>
      <c r="Y413" s="769"/>
      <c r="Z413" s="769"/>
      <c r="AA413" s="769"/>
      <c r="AB413" s="768"/>
      <c r="AC413" s="781" t="str">
        <f t="shared" si="58"/>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7">
        <v>18</v>
      </c>
      <c r="B414" s="916" t="str">
        <f t="shared" si="59"/>
        <v>LS Spine AP</v>
      </c>
      <c r="C414" s="917" t="str">
        <f t="shared" si="60"/>
        <v>Yes</v>
      </c>
      <c r="D414" s="917">
        <f t="shared" si="61"/>
        <v>40</v>
      </c>
      <c r="E414" s="918">
        <f t="shared" si="62"/>
        <v>23</v>
      </c>
      <c r="F414" s="917" t="str">
        <f t="shared" si="63"/>
        <v>10x12</v>
      </c>
      <c r="G414" s="919">
        <f t="shared" si="64"/>
        <v>78</v>
      </c>
      <c r="H414" s="917" t="str">
        <f t="shared" si="65"/>
        <v/>
      </c>
      <c r="I414" s="920" t="str">
        <f t="shared" si="66"/>
        <v/>
      </c>
      <c r="J414" s="1501" t="str">
        <f t="shared" si="67"/>
        <v/>
      </c>
      <c r="K414" s="1505" t="str">
        <f t="shared" si="68"/>
        <v/>
      </c>
      <c r="L414" s="957" t="s">
        <v>482</v>
      </c>
      <c r="M414" s="618"/>
      <c r="N414" s="742"/>
      <c r="O414" s="1165" t="s">
        <v>674</v>
      </c>
      <c r="P414" s="1111" t="str">
        <f>IF(S414&lt;&gt;"",S414,IF(OR(AB100=0,AB100=""),"",AB100))</f>
        <v/>
      </c>
      <c r="Q414" s="1111" t="str">
        <f>IF(T414&lt;&gt;"",T414,IF(OR(AB101=0,AB101=""),"",AB101))</f>
        <v/>
      </c>
      <c r="R414" s="746" t="s">
        <v>675</v>
      </c>
      <c r="S414" s="1179"/>
      <c r="T414" s="1180"/>
      <c r="U414" s="966" t="s">
        <v>696</v>
      </c>
      <c r="V414" s="63"/>
      <c r="W414" s="81"/>
      <c r="X414" s="939" t="s">
        <v>482</v>
      </c>
      <c r="Y414" s="769"/>
      <c r="Z414" s="769"/>
      <c r="AA414" s="769"/>
      <c r="AB414" s="1410"/>
      <c r="AC414" s="781" t="str">
        <f t="shared" si="58"/>
        <v/>
      </c>
      <c r="AD414" s="1443">
        <f>O361</f>
        <v>0</v>
      </c>
      <c r="AE414" s="812" t="s">
        <v>1009</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7">
        <v>19</v>
      </c>
      <c r="B415" s="146"/>
      <c r="C415" s="56"/>
      <c r="D415" s="56"/>
      <c r="E415" s="56"/>
      <c r="F415" s="56"/>
      <c r="G415" s="56"/>
      <c r="H415" s="56"/>
      <c r="I415" s="56"/>
      <c r="J415" s="1500"/>
      <c r="K415" s="96"/>
      <c r="L415" s="957" t="s">
        <v>482</v>
      </c>
      <c r="M415" s="618"/>
      <c r="N415" s="740"/>
      <c r="O415" s="1166" t="s">
        <v>676</v>
      </c>
      <c r="P415" s="1112" t="str">
        <f>IF(S415&lt;&gt;"",S415,IF(OR(AB103=0,AB103=""),"",AB103))</f>
        <v/>
      </c>
      <c r="Q415" s="1112" t="str">
        <f>IF(T415&lt;&gt;"",T415,IF(OR(AB104=0,AB104=""),"",AB104))</f>
        <v/>
      </c>
      <c r="R415" s="747" t="s">
        <v>677</v>
      </c>
      <c r="S415" s="1179"/>
      <c r="T415" s="1179"/>
      <c r="U415" s="966" t="s">
        <v>696</v>
      </c>
      <c r="V415" s="63"/>
      <c r="W415" s="81"/>
      <c r="X415" s="939" t="s">
        <v>482</v>
      </c>
      <c r="Y415" s="769"/>
      <c r="Z415" s="769"/>
      <c r="AA415" s="769"/>
      <c r="AB415" s="768"/>
      <c r="AC415" s="781" t="str">
        <f t="shared" si="58"/>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7">
        <v>20</v>
      </c>
      <c r="B416" s="137" t="s">
        <v>190</v>
      </c>
      <c r="C416" s="1238" t="str">
        <f>IF(O98="","",IF(LEN(O98)&lt;=115,O98,IF(LEN(O98)&lt;=222,LEFT(O98,SEARCH(" ",O98,107)),LEFT(O98,SEARCH(" ",O98,111)))))</f>
        <v/>
      </c>
      <c r="D416" s="55"/>
      <c r="E416" s="55"/>
      <c r="F416" s="55"/>
      <c r="G416" s="55"/>
      <c r="H416" s="55"/>
      <c r="I416" s="55"/>
      <c r="J416" s="55"/>
      <c r="K416" s="96"/>
      <c r="L416" s="957" t="s">
        <v>482</v>
      </c>
      <c r="M416" s="618"/>
      <c r="N416" s="740"/>
      <c r="O416" s="1166" t="s">
        <v>678</v>
      </c>
      <c r="P416" s="782" t="str">
        <f>IF(OR(P414="",P414=0,P415="",P415=0),"NA",P414/P415)</f>
        <v>NA</v>
      </c>
      <c r="Q416" s="782" t="str">
        <f>IF(OR(Q414="",Q414=0,Q415="",Q415=0),"NA",Q414/Q415)</f>
        <v>NA</v>
      </c>
      <c r="R416" s="748">
        <f>IF(AND(P416="NA",Q416="NA"),1,AVERAGE(P416:Q416))</f>
        <v>1</v>
      </c>
      <c r="S416" s="831"/>
      <c r="T416" s="198"/>
      <c r="U416" s="63"/>
      <c r="V416" s="63"/>
      <c r="W416" s="81"/>
      <c r="X416" s="939" t="s">
        <v>482</v>
      </c>
      <c r="Y416" s="769"/>
      <c r="Z416" s="769"/>
      <c r="AA416" s="769"/>
      <c r="AB416" s="1410"/>
      <c r="AC416" s="781" t="str">
        <f t="shared" si="58"/>
        <v/>
      </c>
      <c r="AD416" s="1443">
        <f>O363</f>
        <v>0</v>
      </c>
      <c r="AE416" s="812" t="s">
        <v>1010</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7">
        <v>21</v>
      </c>
      <c r="B417" s="146"/>
      <c r="C417" s="1239" t="str">
        <f>IF(LEN(O98)&lt;=115,"",IF(LEN(O98)&lt;=222,RIGHT(O98,LEN(O98)-SEARCH(" ",O98,107)),MID(O98,SEARCH(" ",O98,111),IF(LEN(O98)&lt;=226,LEN(O98),SEARCH(" ",O98,218)-SEARCH(" ",O98,111)))))</f>
        <v/>
      </c>
      <c r="D417" s="55"/>
      <c r="E417" s="55"/>
      <c r="F417" s="55"/>
      <c r="G417" s="55"/>
      <c r="H417" s="55"/>
      <c r="I417" s="55"/>
      <c r="J417" s="55"/>
      <c r="K417" s="96"/>
      <c r="L417" s="957" t="s">
        <v>482</v>
      </c>
      <c r="M417" s="155"/>
      <c r="N417" s="63"/>
      <c r="O417" s="63"/>
      <c r="P417" s="63"/>
      <c r="Q417" s="63"/>
      <c r="R417" s="63"/>
      <c r="S417" s="63"/>
      <c r="T417" s="63"/>
      <c r="U417" s="63"/>
      <c r="V417" s="63"/>
      <c r="W417" s="81"/>
      <c r="X417" s="939" t="s">
        <v>482</v>
      </c>
      <c r="Y417" s="769"/>
      <c r="Z417" s="769"/>
      <c r="AA417" s="769"/>
      <c r="AB417" s="768"/>
      <c r="AC417" s="781" t="str">
        <f t="shared" si="58"/>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7">
        <v>22</v>
      </c>
      <c r="B418" s="146"/>
      <c r="C418" s="1239" t="str">
        <f>IF(LEN(O98)&lt;=226,"",RIGHT(O98,LEN(O98)-SEARCH(" ",O98,218)))</f>
        <v/>
      </c>
      <c r="D418" s="55"/>
      <c r="E418" s="55"/>
      <c r="F418" s="55"/>
      <c r="G418" s="55"/>
      <c r="H418" s="55"/>
      <c r="I418" s="55"/>
      <c r="J418" s="55"/>
      <c r="K418" s="96"/>
      <c r="L418" s="957" t="s">
        <v>482</v>
      </c>
      <c r="M418" s="155"/>
      <c r="N418" s="63"/>
      <c r="O418" s="63"/>
      <c r="P418" s="63"/>
      <c r="Q418" s="63"/>
      <c r="R418" s="63"/>
      <c r="S418" s="63"/>
      <c r="T418" s="63"/>
      <c r="U418" s="63"/>
      <c r="V418" s="63"/>
      <c r="W418" s="81"/>
      <c r="X418" s="939" t="s">
        <v>482</v>
      </c>
      <c r="Y418" s="769"/>
      <c r="Z418" s="769"/>
      <c r="AA418" s="769"/>
      <c r="AB418" s="1410"/>
      <c r="AC418" s="781" t="str">
        <f t="shared" si="58"/>
        <v/>
      </c>
      <c r="AD418" s="1443">
        <f>O365</f>
        <v>0</v>
      </c>
      <c r="AE418" s="812" t="s">
        <v>1011</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7">
        <v>23</v>
      </c>
      <c r="B419" s="146"/>
      <c r="C419" s="111"/>
      <c r="D419" s="111"/>
      <c r="E419" s="111"/>
      <c r="F419" s="111"/>
      <c r="G419" s="111"/>
      <c r="H419" s="111"/>
      <c r="I419" s="111"/>
      <c r="J419" s="111"/>
      <c r="K419" s="96"/>
      <c r="L419" s="957" t="s">
        <v>482</v>
      </c>
      <c r="M419" s="386" t="s">
        <v>668</v>
      </c>
      <c r="N419" s="156"/>
      <c r="P419" s="63"/>
      <c r="Q419" s="63"/>
      <c r="R419" s="1147" t="s">
        <v>388</v>
      </c>
      <c r="S419" s="471" t="s">
        <v>387</v>
      </c>
      <c r="T419" s="63"/>
      <c r="U419" s="63"/>
      <c r="V419" s="63"/>
      <c r="W419" s="81"/>
      <c r="X419" s="939" t="s">
        <v>482</v>
      </c>
      <c r="Y419" s="769"/>
      <c r="Z419" s="769"/>
      <c r="AA419" s="769"/>
      <c r="AB419" s="768"/>
      <c r="AC419" s="781" t="str">
        <f t="shared" si="58"/>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7">
        <v>24</v>
      </c>
      <c r="B420" s="137" t="str">
        <f t="array" ref="B420:C420">N103:O103</f>
        <v>Note:  10</v>
      </c>
      <c r="C420" s="58" t="str">
        <v>cm distance between patient and image receptor</v>
      </c>
      <c r="D420" s="4"/>
      <c r="E420" s="4"/>
      <c r="F420" s="111"/>
      <c r="G420" s="111"/>
      <c r="H420" s="111"/>
      <c r="I420" s="111"/>
      <c r="J420" s="111"/>
      <c r="K420" s="96"/>
      <c r="L420" s="957" t="s">
        <v>482</v>
      </c>
      <c r="M420" s="1113">
        <f>IF(N420&lt;&gt;"",N420,IF(OR(AB106=0,AB106=""),"",ROUND(AB106,2)))</f>
        <v>100</v>
      </c>
      <c r="N420" s="1061">
        <v>100</v>
      </c>
      <c r="O420" s="1163" t="s">
        <v>399</v>
      </c>
      <c r="P420" s="63"/>
      <c r="Q420" s="63"/>
      <c r="R420" s="63"/>
      <c r="S420" s="471" t="s">
        <v>386</v>
      </c>
      <c r="T420" s="63"/>
      <c r="U420" s="997" t="s">
        <v>447</v>
      </c>
      <c r="V420" s="1109" t="str">
        <f>IF(AB109="","??",AB109)</f>
        <v>??</v>
      </c>
      <c r="W420" s="81"/>
      <c r="X420" s="939" t="s">
        <v>482</v>
      </c>
      <c r="Y420" s="769"/>
      <c r="Z420" s="769"/>
      <c r="AA420" s="769"/>
      <c r="AB420" s="1410"/>
      <c r="AC420" s="781" t="str">
        <f t="shared" si="58"/>
        <v/>
      </c>
      <c r="AD420" s="1443">
        <f>O367</f>
        <v>0</v>
      </c>
      <c r="AE420" s="812" t="s">
        <v>1012</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7">
        <v>25</v>
      </c>
      <c r="B421" s="38"/>
      <c r="C421" s="375"/>
      <c r="D421" s="94"/>
      <c r="E421" s="94"/>
      <c r="F421" s="375"/>
      <c r="G421" s="375"/>
      <c r="H421" s="375"/>
      <c r="I421" s="375"/>
      <c r="J421" s="375"/>
      <c r="K421" s="99"/>
      <c r="L421" s="957" t="s">
        <v>482</v>
      </c>
      <c r="M421" s="1114" t="str">
        <f>IF(N421&lt;&gt;"",N421,IF(OR(AB107=0,AB107=""),"",ROUND(AB107,2)))</f>
        <v/>
      </c>
      <c r="N421" s="1060"/>
      <c r="O421" s="1163" t="s">
        <v>400</v>
      </c>
      <c r="P421" s="63"/>
      <c r="Q421" s="63"/>
      <c r="R421" s="63"/>
      <c r="S421" s="63"/>
      <c r="T421" s="63"/>
      <c r="U421" s="473"/>
      <c r="V421" s="1148"/>
      <c r="W421" s="81"/>
      <c r="X421" s="939" t="s">
        <v>482</v>
      </c>
      <c r="Y421" s="769"/>
      <c r="Z421" s="769"/>
      <c r="AA421" s="769"/>
      <c r="AB421" s="768"/>
      <c r="AC421" s="781" t="str">
        <f t="shared" si="58"/>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7">
        <v>26</v>
      </c>
      <c r="L422" s="957" t="s">
        <v>482</v>
      </c>
      <c r="M422" s="1162"/>
      <c r="N422" s="1160"/>
      <c r="O422" s="1161"/>
      <c r="P422" s="63"/>
      <c r="Q422" s="63"/>
      <c r="R422" s="63"/>
      <c r="S422" s="63"/>
      <c r="T422" s="202"/>
      <c r="U422" s="617" t="s">
        <v>690</v>
      </c>
      <c r="V422" s="1148"/>
      <c r="W422" s="81"/>
      <c r="X422" s="939" t="s">
        <v>482</v>
      </c>
      <c r="Y422" s="769"/>
      <c r="Z422" s="769"/>
      <c r="AA422" s="769"/>
      <c r="AB422" s="1410"/>
      <c r="AC422" s="781" t="str">
        <f t="shared" si="58"/>
        <v/>
      </c>
      <c r="AD422" s="1443">
        <f>O369</f>
        <v>0</v>
      </c>
      <c r="AE422" s="812" t="s">
        <v>1013</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7">
        <v>27</v>
      </c>
      <c r="L423" s="957" t="s">
        <v>482</v>
      </c>
      <c r="M423" s="155"/>
      <c r="N423" s="63"/>
      <c r="O423" s="63"/>
      <c r="P423" s="63"/>
      <c r="Q423" s="63"/>
      <c r="R423" s="63"/>
      <c r="S423" s="63"/>
      <c r="T423" s="956" t="s">
        <v>691</v>
      </c>
      <c r="U423" s="1170" t="str">
        <f>IF($U$425&lt;&gt;"",$U$425,IF(AND($M$420&lt;&gt;"",$M$421&lt;&gt;""),IF(TBCM_IN="cm",$M$420+$M$421,ROUND(($M$420+$M$421)/2.54,2)),""))</f>
        <v/>
      </c>
      <c r="V423" s="1173" t="s">
        <v>692</v>
      </c>
      <c r="W423" s="81"/>
      <c r="X423" s="939" t="s">
        <v>482</v>
      </c>
      <c r="Y423" s="769"/>
      <c r="Z423" s="769"/>
      <c r="AA423" s="432"/>
      <c r="AB423" s="768"/>
      <c r="AC423" s="781" t="str">
        <f t="shared" si="58"/>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7">
        <v>28</v>
      </c>
      <c r="L424" s="957" t="s">
        <v>482</v>
      </c>
      <c r="M424" s="155"/>
      <c r="N424" s="63"/>
      <c r="O424" s="63"/>
      <c r="P424" s="63"/>
      <c r="Q424" s="63"/>
      <c r="R424" s="63"/>
      <c r="S424" s="63"/>
      <c r="T424" s="1171" t="s">
        <v>693</v>
      </c>
      <c r="U424" s="1172" t="str">
        <f>IF(OR(AB110=0,AB110=""),"",AB110)</f>
        <v/>
      </c>
      <c r="V424" s="63"/>
      <c r="W424" s="81"/>
      <c r="X424" s="939" t="s">
        <v>482</v>
      </c>
      <c r="Y424" s="769"/>
      <c r="Z424" s="769"/>
      <c r="AA424" s="432"/>
      <c r="AB424" s="1410"/>
      <c r="AC424" s="781" t="str">
        <f t="shared" si="58"/>
        <v/>
      </c>
      <c r="AD424" s="1443">
        <f>O371</f>
        <v>0</v>
      </c>
      <c r="AE424" s="812" t="s">
        <v>1014</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7">
        <v>29</v>
      </c>
      <c r="B425" s="3"/>
      <c r="C425" s="3"/>
      <c r="D425" s="3"/>
      <c r="E425" s="3"/>
      <c r="F425" s="3"/>
      <c r="G425" s="3"/>
      <c r="H425" s="3"/>
      <c r="I425" s="3"/>
      <c r="J425" s="3"/>
      <c r="K425" s="63"/>
      <c r="L425" s="957" t="s">
        <v>482</v>
      </c>
      <c r="M425" s="155"/>
      <c r="N425" s="63"/>
      <c r="O425" s="63"/>
      <c r="P425" s="63"/>
      <c r="Q425" s="63"/>
      <c r="R425" s="63"/>
      <c r="S425" s="63"/>
      <c r="T425" s="1169" t="s">
        <v>696</v>
      </c>
      <c r="U425" s="1164"/>
      <c r="V425" s="63"/>
      <c r="W425" s="81"/>
      <c r="X425" s="939" t="s">
        <v>482</v>
      </c>
      <c r="Y425" s="769"/>
      <c r="Z425" s="769"/>
      <c r="AA425" s="432"/>
      <c r="AB425" s="768"/>
      <c r="AC425" s="781" t="str">
        <f t="shared" si="58"/>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7">
        <v>30</v>
      </c>
      <c r="B426" s="3"/>
      <c r="C426" s="3"/>
      <c r="D426" s="3"/>
      <c r="E426" s="3"/>
      <c r="F426" s="3"/>
      <c r="G426" s="3"/>
      <c r="H426" s="3"/>
      <c r="I426" s="3"/>
      <c r="J426" s="3"/>
      <c r="K426" s="63"/>
      <c r="L426" s="957" t="s">
        <v>482</v>
      </c>
      <c r="M426" s="112"/>
      <c r="N426" s="94"/>
      <c r="O426" s="94"/>
      <c r="P426" s="94"/>
      <c r="Q426" s="94"/>
      <c r="R426" s="94"/>
      <c r="S426" s="94"/>
      <c r="T426" s="94"/>
      <c r="U426" s="94"/>
      <c r="V426" s="94"/>
      <c r="W426" s="99"/>
      <c r="X426" s="939" t="s">
        <v>482</v>
      </c>
      <c r="Y426" s="769"/>
      <c r="Z426" s="769"/>
      <c r="AA426" s="432"/>
      <c r="AB426" s="1410"/>
      <c r="AC426" s="781" t="str">
        <f t="shared" si="58"/>
        <v/>
      </c>
      <c r="AD426" s="1443">
        <f>O373</f>
        <v>0</v>
      </c>
      <c r="AE426" s="812" t="s">
        <v>1015</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7">
        <v>31</v>
      </c>
      <c r="B427" s="3"/>
      <c r="C427" s="3"/>
      <c r="D427" s="3"/>
      <c r="E427" s="3"/>
      <c r="F427" s="3"/>
      <c r="G427" s="3"/>
      <c r="H427" s="3"/>
      <c r="I427" s="3"/>
      <c r="J427" s="3"/>
      <c r="K427" s="63"/>
      <c r="L427" s="957" t="s">
        <v>482</v>
      </c>
      <c r="M427" s="155"/>
      <c r="N427" s="63"/>
      <c r="O427" s="63"/>
      <c r="P427" s="63"/>
      <c r="Q427" s="63"/>
      <c r="R427" s="63"/>
      <c r="S427" s="63"/>
      <c r="T427" s="63"/>
      <c r="U427" s="63"/>
      <c r="V427" s="63"/>
      <c r="W427" s="81"/>
      <c r="X427" s="939" t="s">
        <v>482</v>
      </c>
      <c r="Y427" s="769"/>
      <c r="Z427" s="769"/>
      <c r="AA427" s="769"/>
      <c r="AB427" s="768"/>
      <c r="AC427" s="781" t="str">
        <f t="shared" si="58"/>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7">
        <v>32</v>
      </c>
      <c r="B428" s="3"/>
      <c r="C428" s="3"/>
      <c r="D428" s="3"/>
      <c r="E428" s="3"/>
      <c r="F428" s="3"/>
      <c r="G428" s="3"/>
      <c r="H428" s="3"/>
      <c r="I428" s="3"/>
      <c r="J428" s="3"/>
      <c r="K428" s="63"/>
      <c r="L428" s="957" t="s">
        <v>482</v>
      </c>
      <c r="M428" s="155"/>
      <c r="N428" s="63"/>
      <c r="O428" s="63"/>
      <c r="P428" s="63"/>
      <c r="Q428" s="63"/>
      <c r="R428" s="63"/>
      <c r="S428" s="63"/>
      <c r="T428" s="63"/>
      <c r="U428" s="63"/>
      <c r="V428" s="63"/>
      <c r="W428" s="81"/>
      <c r="X428" s="939" t="s">
        <v>482</v>
      </c>
      <c r="Y428" s="769"/>
      <c r="Z428" s="769"/>
      <c r="AA428" s="775" t="s">
        <v>723</v>
      </c>
      <c r="AB428" s="768"/>
      <c r="AC428" s="781" t="str">
        <f t="shared" si="58"/>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7">
        <v>33</v>
      </c>
      <c r="B429" s="3"/>
      <c r="C429" s="3"/>
      <c r="D429" s="3"/>
      <c r="E429" s="3"/>
      <c r="F429" s="3"/>
      <c r="G429" s="3"/>
      <c r="H429" s="3"/>
      <c r="I429" s="3"/>
      <c r="J429" s="3"/>
      <c r="K429" s="63"/>
      <c r="L429" s="957" t="s">
        <v>482</v>
      </c>
      <c r="M429" s="155"/>
      <c r="N429" s="63"/>
      <c r="O429" s="63"/>
      <c r="P429" s="63"/>
      <c r="Q429" s="63"/>
      <c r="R429" s="63"/>
      <c r="S429" s="63"/>
      <c r="T429" s="63"/>
      <c r="U429" s="63"/>
      <c r="V429" s="63"/>
      <c r="W429" s="81"/>
      <c r="X429" s="939" t="s">
        <v>482</v>
      </c>
      <c r="Y429" s="769"/>
      <c r="Z429" s="769"/>
      <c r="AA429" s="768" t="s">
        <v>505</v>
      </c>
      <c r="AB429" s="1410"/>
      <c r="AC429" s="781" t="str">
        <f t="shared" si="58"/>
        <v/>
      </c>
      <c r="AD429" s="1443" t="str">
        <f>IF(O476="","",O476)</f>
        <v/>
      </c>
      <c r="AE429" s="813" t="s">
        <v>1016</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7">
        <v>34</v>
      </c>
      <c r="B430" s="3"/>
      <c r="C430" s="3"/>
      <c r="D430" s="3"/>
      <c r="E430" s="3"/>
      <c r="F430" s="3"/>
      <c r="G430" s="3"/>
      <c r="H430" s="3"/>
      <c r="I430" s="3"/>
      <c r="J430" s="3"/>
      <c r="K430" s="63"/>
      <c r="L430" s="957" t="s">
        <v>482</v>
      </c>
      <c r="M430" s="1186" t="s">
        <v>396</v>
      </c>
      <c r="N430" s="63"/>
      <c r="O430" s="63"/>
      <c r="P430" s="63"/>
      <c r="Q430" s="63"/>
      <c r="R430" s="63"/>
      <c r="S430" s="63"/>
      <c r="T430" s="63"/>
      <c r="U430" s="63"/>
      <c r="V430" s="63"/>
      <c r="W430" s="81"/>
      <c r="X430" s="939" t="s">
        <v>482</v>
      </c>
      <c r="Y430" s="769"/>
      <c r="Z430" s="769"/>
      <c r="AA430" s="768" t="s">
        <v>640</v>
      </c>
      <c r="AB430" s="1410"/>
      <c r="AC430" s="781" t="str">
        <f t="shared" si="58"/>
        <v/>
      </c>
      <c r="AD430" s="1443" t="str">
        <f>IF(O488="","",O488)</f>
        <v/>
      </c>
      <c r="AE430" s="813" t="s">
        <v>1017</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7">
        <v>35</v>
      </c>
      <c r="B431" s="3"/>
      <c r="C431" s="3"/>
      <c r="D431" s="3"/>
      <c r="E431" s="3"/>
      <c r="F431" s="3"/>
      <c r="G431" s="3"/>
      <c r="H431" s="3"/>
      <c r="I431" s="3"/>
      <c r="J431" s="3"/>
      <c r="K431" s="63"/>
      <c r="L431" s="957" t="s">
        <v>482</v>
      </c>
      <c r="M431" s="155"/>
      <c r="N431" s="63"/>
      <c r="O431" s="63"/>
      <c r="P431" s="63"/>
      <c r="Q431" s="63"/>
      <c r="R431" s="63"/>
      <c r="S431" s="63"/>
      <c r="T431" s="63"/>
      <c r="U431" s="63"/>
      <c r="V431" s="63"/>
      <c r="W431" s="81"/>
      <c r="X431" s="939" t="s">
        <v>482</v>
      </c>
      <c r="Y431" s="769"/>
      <c r="Z431" s="769"/>
      <c r="AA431" s="768" t="s">
        <v>724</v>
      </c>
      <c r="AB431" s="1410"/>
      <c r="AC431" s="781" t="str">
        <f t="shared" si="58"/>
        <v/>
      </c>
      <c r="AD431" s="1443" t="str">
        <f>IF(O498="","",O498)</f>
        <v/>
      </c>
      <c r="AE431" s="813" t="s">
        <v>1018</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7">
        <v>36</v>
      </c>
      <c r="B432" s="3"/>
      <c r="C432" s="3"/>
      <c r="D432" s="3"/>
      <c r="E432" s="3"/>
      <c r="F432" s="3"/>
      <c r="G432" s="3"/>
      <c r="H432" s="3"/>
      <c r="I432" s="3"/>
      <c r="J432" s="3"/>
      <c r="K432" s="63"/>
      <c r="L432" s="957" t="s">
        <v>482</v>
      </c>
      <c r="M432" s="89"/>
      <c r="N432" s="72"/>
      <c r="O432" s="72"/>
      <c r="P432" s="72"/>
      <c r="Q432" s="72"/>
      <c r="R432" s="72"/>
      <c r="S432" s="72"/>
      <c r="T432" s="72"/>
      <c r="U432" s="72"/>
      <c r="V432" s="72"/>
      <c r="W432" s="90"/>
      <c r="X432" s="939" t="s">
        <v>482</v>
      </c>
      <c r="Y432" s="769"/>
      <c r="Z432" s="769"/>
      <c r="AA432" s="768" t="s">
        <v>725</v>
      </c>
      <c r="AB432" s="1410"/>
      <c r="AC432" s="781" t="str">
        <f t="shared" si="58"/>
        <v/>
      </c>
      <c r="AD432" s="1443" t="str">
        <f>IF(O510="","",O510)</f>
        <v/>
      </c>
      <c r="AE432" s="813" t="s">
        <v>1019</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7">
        <v>37</v>
      </c>
      <c r="B433" s="3"/>
      <c r="C433" s="3"/>
      <c r="D433" s="3"/>
      <c r="E433" s="3"/>
      <c r="F433" s="3"/>
      <c r="G433" s="3"/>
      <c r="H433" s="3"/>
      <c r="I433" s="3"/>
      <c r="J433" s="3"/>
      <c r="K433" s="63"/>
      <c r="L433" s="957" t="s">
        <v>482</v>
      </c>
      <c r="M433" s="256" t="s">
        <v>664</v>
      </c>
      <c r="N433" s="111"/>
      <c r="O433" s="111"/>
      <c r="P433" s="111"/>
      <c r="Q433" s="63"/>
      <c r="R433" s="240"/>
      <c r="S433" s="111"/>
      <c r="T433" s="63"/>
      <c r="U433" s="111"/>
      <c r="V433" s="111"/>
      <c r="W433" s="81"/>
      <c r="X433" s="939" t="s">
        <v>482</v>
      </c>
      <c r="Y433" s="769"/>
      <c r="Z433" s="769"/>
      <c r="AA433" s="768" t="s">
        <v>726</v>
      </c>
      <c r="AB433" s="1410"/>
      <c r="AC433" s="781" t="str">
        <f t="shared" si="58"/>
        <v/>
      </c>
      <c r="AD433" s="1443" t="str">
        <f>IF(O565="","",O565)</f>
        <v/>
      </c>
      <c r="AE433" s="813" t="s">
        <v>1020</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7">
        <v>38</v>
      </c>
      <c r="B434" s="3"/>
      <c r="C434" s="3"/>
      <c r="D434" s="3"/>
      <c r="E434" s="3"/>
      <c r="F434" s="3"/>
      <c r="G434" s="3"/>
      <c r="H434" s="3"/>
      <c r="I434" s="3"/>
      <c r="J434" s="3"/>
      <c r="K434" s="63"/>
      <c r="L434" s="957" t="s">
        <v>482</v>
      </c>
      <c r="M434" s="1118" t="str">
        <f>IF(N434&lt;&gt;"",N434,IF(OR(AB127=0,AB127=""),"",AB127))</f>
        <v/>
      </c>
      <c r="N434" s="982"/>
      <c r="O434" s="115" t="s">
        <v>718</v>
      </c>
      <c r="P434" s="56"/>
      <c r="Q434" s="56"/>
      <c r="R434" s="56"/>
      <c r="S434" s="56"/>
      <c r="T434" s="63"/>
      <c r="U434" s="56"/>
      <c r="V434" s="56"/>
      <c r="W434" s="81"/>
      <c r="X434" s="939" t="s">
        <v>482</v>
      </c>
      <c r="Y434" s="769"/>
      <c r="Z434" s="769"/>
      <c r="AA434" s="768" t="s">
        <v>727</v>
      </c>
      <c r="AB434" s="1410"/>
      <c r="AC434" s="781" t="str">
        <f t="shared" si="58"/>
        <v/>
      </c>
      <c r="AD434" s="1443" t="str">
        <f>IF(O582="","",O582)</f>
        <v/>
      </c>
      <c r="AE434" s="813" t="s">
        <v>1021</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7">
        <v>39</v>
      </c>
      <c r="B435" s="3"/>
      <c r="C435" s="3"/>
      <c r="D435" s="3"/>
      <c r="E435" s="3"/>
      <c r="F435" s="3"/>
      <c r="G435" s="3"/>
      <c r="H435" s="3"/>
      <c r="I435" s="3"/>
      <c r="J435" s="3"/>
      <c r="K435" s="63"/>
      <c r="L435" s="957" t="s">
        <v>482</v>
      </c>
      <c r="M435" s="155"/>
      <c r="N435" s="63"/>
      <c r="O435" s="63"/>
      <c r="P435" s="63"/>
      <c r="Q435" s="63"/>
      <c r="R435" s="63"/>
      <c r="S435" s="63"/>
      <c r="T435" s="63"/>
      <c r="U435" s="63"/>
      <c r="V435" s="63"/>
      <c r="W435" s="81"/>
      <c r="X435" s="939" t="s">
        <v>482</v>
      </c>
      <c r="Y435" s="769"/>
      <c r="Z435" s="769"/>
      <c r="AA435" s="768" t="s">
        <v>728</v>
      </c>
      <c r="AB435" s="1410"/>
      <c r="AC435" s="781" t="str">
        <f t="shared" si="58"/>
        <v/>
      </c>
      <c r="AD435" s="1443" t="str">
        <f>IF(O591="","",O591)</f>
        <v/>
      </c>
      <c r="AE435" s="813" t="s">
        <v>1022</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7">
        <v>40</v>
      </c>
      <c r="B436" s="3"/>
      <c r="C436" s="3"/>
      <c r="D436" s="3"/>
      <c r="E436" s="3"/>
      <c r="F436" s="3"/>
      <c r="G436" s="3"/>
      <c r="H436" s="3"/>
      <c r="I436" s="3"/>
      <c r="J436" s="3"/>
      <c r="K436" s="63"/>
      <c r="L436" s="957" t="s">
        <v>482</v>
      </c>
      <c r="M436" s="155"/>
      <c r="N436" s="63"/>
      <c r="O436" s="63"/>
      <c r="P436" s="63"/>
      <c r="Q436" s="63"/>
      <c r="R436" s="63"/>
      <c r="S436" s="63"/>
      <c r="T436" s="63"/>
      <c r="U436" s="63"/>
      <c r="V436" s="63"/>
      <c r="W436" s="81"/>
      <c r="X436" s="939" t="s">
        <v>482</v>
      </c>
      <c r="Y436" s="769"/>
      <c r="Z436" s="769"/>
      <c r="AA436" s="768" t="s">
        <v>729</v>
      </c>
      <c r="AB436" s="1410"/>
      <c r="AC436" s="781" t="str">
        <f t="shared" si="58"/>
        <v/>
      </c>
      <c r="AD436" s="1443" t="str">
        <f>IF(O628="","",O628)</f>
        <v/>
      </c>
      <c r="AE436" s="813" t="s">
        <v>1023</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7">
        <v>41</v>
      </c>
      <c r="B437" s="3"/>
      <c r="C437" s="3"/>
      <c r="D437" s="3"/>
      <c r="E437" s="3"/>
      <c r="F437" s="3"/>
      <c r="G437" s="3"/>
      <c r="H437" s="3"/>
      <c r="I437" s="3"/>
      <c r="J437" s="3"/>
      <c r="K437" s="63"/>
      <c r="L437" s="957" t="s">
        <v>482</v>
      </c>
      <c r="M437" s="155"/>
      <c r="N437" s="745" t="s">
        <v>671</v>
      </c>
      <c r="O437" s="744"/>
      <c r="P437" s="741" t="s">
        <v>531</v>
      </c>
      <c r="Q437" s="743" t="s">
        <v>532</v>
      </c>
      <c r="R437" s="975"/>
      <c r="S437" s="741" t="s">
        <v>531</v>
      </c>
      <c r="T437" s="743" t="s">
        <v>532</v>
      </c>
      <c r="U437" s="63"/>
      <c r="V437" s="63"/>
      <c r="W437" s="81"/>
      <c r="X437" s="939" t="s">
        <v>482</v>
      </c>
      <c r="Y437" s="769"/>
      <c r="Z437" s="769"/>
      <c r="AA437" s="768" t="s">
        <v>730</v>
      </c>
      <c r="AB437" s="1410"/>
      <c r="AC437" s="781" t="str">
        <f t="shared" si="58"/>
        <v/>
      </c>
      <c r="AD437" s="1443" t="str">
        <f>IF(O646="","",O646)</f>
        <v/>
      </c>
      <c r="AE437" s="813" t="s">
        <v>1024</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7">
        <v>42</v>
      </c>
      <c r="B438" s="3"/>
      <c r="C438" s="3"/>
      <c r="D438" s="3"/>
      <c r="E438" s="3"/>
      <c r="F438" s="3"/>
      <c r="G438" s="3"/>
      <c r="H438" s="3"/>
      <c r="I438" s="3"/>
      <c r="J438" s="3"/>
      <c r="K438" s="63"/>
      <c r="L438" s="957" t="s">
        <v>482</v>
      </c>
      <c r="M438" s="155"/>
      <c r="N438" s="742"/>
      <c r="O438" s="1165" t="s">
        <v>674</v>
      </c>
      <c r="P438" s="1121" t="str">
        <f>IF(S438&lt;&gt;"",S438,IF(OR(AB130=0,AB130=""),"",AB130))</f>
        <v/>
      </c>
      <c r="Q438" s="1121" t="str">
        <f>IF(T438&lt;&gt;"",T438,IF(OR(AB131=0,AB131=""),"",AB131))</f>
        <v/>
      </c>
      <c r="R438" s="746" t="s">
        <v>719</v>
      </c>
      <c r="S438" s="1059"/>
      <c r="T438" s="1059"/>
      <c r="U438" s="966" t="s">
        <v>696</v>
      </c>
      <c r="V438" s="63"/>
      <c r="W438" s="81"/>
      <c r="X438" s="939" t="s">
        <v>482</v>
      </c>
      <c r="Y438" s="769"/>
      <c r="Z438" s="769"/>
      <c r="AA438" s="768" t="s">
        <v>731</v>
      </c>
      <c r="AB438" s="1410"/>
      <c r="AC438" s="781" t="str">
        <f t="shared" si="58"/>
        <v/>
      </c>
      <c r="AD438" s="1443" t="str">
        <f>IF(O656="","",O656)</f>
        <v/>
      </c>
      <c r="AE438" s="813" t="s">
        <v>1025</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7">
        <v>43</v>
      </c>
      <c r="B439" s="3"/>
      <c r="C439" s="3"/>
      <c r="D439" s="3"/>
      <c r="E439" s="3"/>
      <c r="F439" s="3"/>
      <c r="G439" s="3"/>
      <c r="H439" s="3"/>
      <c r="I439" s="3"/>
      <c r="J439" s="3"/>
      <c r="K439" s="63"/>
      <c r="L439" s="957" t="s">
        <v>482</v>
      </c>
      <c r="M439" s="155"/>
      <c r="N439" s="740"/>
      <c r="O439" s="1166" t="s">
        <v>676</v>
      </c>
      <c r="P439" s="1122" t="str">
        <f>IF(S439&lt;&gt;"",S439,IF(OR(AB133=0,AB133=""),"",AB133))</f>
        <v/>
      </c>
      <c r="Q439" s="1122" t="str">
        <f>IF(T439&lt;&gt;"",T439,IF(OR(AB134=0,AB134=""),"",AB134))</f>
        <v/>
      </c>
      <c r="R439" s="747" t="s">
        <v>720</v>
      </c>
      <c r="S439" s="1059"/>
      <c r="T439" s="1059"/>
      <c r="U439" s="966" t="s">
        <v>696</v>
      </c>
      <c r="V439" s="63"/>
      <c r="W439" s="81"/>
      <c r="X439" s="939" t="s">
        <v>482</v>
      </c>
      <c r="Y439" s="769"/>
      <c r="Z439" s="769"/>
      <c r="AA439" s="768" t="s">
        <v>732</v>
      </c>
      <c r="AB439" s="1410"/>
      <c r="AC439" s="781" t="str">
        <f t="shared" si="58"/>
        <v/>
      </c>
      <c r="AD439" s="1443" t="str">
        <f>IF(O683="","",O683)</f>
        <v/>
      </c>
      <c r="AE439" s="813" t="s">
        <v>1026</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7">
        <v>44</v>
      </c>
      <c r="B440" s="3"/>
      <c r="C440" s="3"/>
      <c r="D440" s="3"/>
      <c r="E440" s="3"/>
      <c r="F440" s="3"/>
      <c r="G440" s="3"/>
      <c r="H440" s="3"/>
      <c r="I440" s="3"/>
      <c r="J440" s="3"/>
      <c r="K440" s="63"/>
      <c r="L440" s="957" t="s">
        <v>482</v>
      </c>
      <c r="M440" s="155"/>
      <c r="N440" s="740"/>
      <c r="O440" s="1166" t="s">
        <v>678</v>
      </c>
      <c r="P440" s="782" t="str">
        <f>IF(OR(P438="",P438=0,P439="",P439=0),"NA",P438/P439)</f>
        <v>NA</v>
      </c>
      <c r="Q440" s="782" t="str">
        <f>IF(OR(Q438="",Q438=0,Q439="",Q439=0),"NA",Q438/Q439)</f>
        <v>NA</v>
      </c>
      <c r="R440" s="748">
        <f>IF(AND(P440="NA",Q440="NA"),1,AVERAGE(P440:Q440))</f>
        <v>1</v>
      </c>
      <c r="S440" s="63"/>
      <c r="T440" s="63"/>
      <c r="U440" s="63"/>
      <c r="V440" s="63"/>
      <c r="W440" s="81"/>
      <c r="X440" s="939" t="s">
        <v>482</v>
      </c>
      <c r="Y440" s="769"/>
      <c r="Z440" s="769"/>
      <c r="AA440" s="768" t="s">
        <v>733</v>
      </c>
      <c r="AB440" s="1410"/>
      <c r="AC440" s="781" t="str">
        <f t="shared" si="58"/>
        <v/>
      </c>
      <c r="AD440" s="1443" t="str">
        <f>IF(O703="","",O703)</f>
        <v/>
      </c>
      <c r="AE440" s="813" t="s">
        <v>1027</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7">
        <v>45</v>
      </c>
      <c r="B441" s="63"/>
      <c r="C441" s="63"/>
      <c r="D441" s="63"/>
      <c r="E441" s="63"/>
      <c r="F441" s="63"/>
      <c r="G441" s="63"/>
      <c r="H441" s="63"/>
      <c r="I441" s="63"/>
      <c r="J441" s="63"/>
      <c r="K441" s="63"/>
      <c r="L441" s="957" t="s">
        <v>482</v>
      </c>
      <c r="M441" s="155"/>
      <c r="N441" s="63"/>
      <c r="O441" s="63"/>
      <c r="P441" s="63"/>
      <c r="Q441" s="63"/>
      <c r="R441" s="63"/>
      <c r="S441" s="63"/>
      <c r="T441" s="63"/>
      <c r="U441" s="63"/>
      <c r="V441" s="63"/>
      <c r="W441" s="81"/>
      <c r="X441" s="939" t="s">
        <v>482</v>
      </c>
      <c r="Y441" s="769"/>
      <c r="Z441" s="769"/>
      <c r="AA441" s="768" t="s">
        <v>734</v>
      </c>
      <c r="AB441" s="1410"/>
      <c r="AC441" s="781" t="str">
        <f t="shared" si="58"/>
        <v/>
      </c>
      <c r="AD441" s="1443" t="str">
        <f>IF(O719="","",O719)</f>
        <v/>
      </c>
      <c r="AE441" s="813" t="s">
        <v>1028</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7">
        <v>46</v>
      </c>
      <c r="B442" s="63"/>
      <c r="C442" s="63"/>
      <c r="D442" s="63"/>
      <c r="E442" s="63"/>
      <c r="F442" s="63"/>
      <c r="G442" s="63"/>
      <c r="H442" s="63"/>
      <c r="I442" s="63"/>
      <c r="J442" s="63"/>
      <c r="K442" s="63"/>
      <c r="L442" s="957" t="s">
        <v>482</v>
      </c>
      <c r="M442" s="155"/>
      <c r="N442" s="63"/>
      <c r="O442" s="63"/>
      <c r="P442" s="63"/>
      <c r="Q442" s="63"/>
      <c r="R442" s="63"/>
      <c r="S442" s="63"/>
      <c r="T442" s="63"/>
      <c r="U442" s="63"/>
      <c r="V442" s="63"/>
      <c r="W442" s="81"/>
      <c r="X442" s="939" t="s">
        <v>482</v>
      </c>
      <c r="Y442" s="769"/>
      <c r="Z442" s="769"/>
      <c r="AA442" s="768" t="s">
        <v>392</v>
      </c>
      <c r="AB442" s="1410"/>
      <c r="AC442" s="781" t="str">
        <f t="shared" si="58"/>
        <v/>
      </c>
      <c r="AD442" s="1443" t="str">
        <f>IF(O751="","",O751)</f>
        <v/>
      </c>
      <c r="AE442" s="813" t="s">
        <v>1029</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7">
        <v>47</v>
      </c>
      <c r="B443" s="3"/>
      <c r="C443" s="3"/>
      <c r="D443" s="3"/>
      <c r="E443" s="3"/>
      <c r="F443" s="3"/>
      <c r="G443" s="3"/>
      <c r="H443" s="3"/>
      <c r="I443" s="3"/>
      <c r="J443" s="3"/>
      <c r="K443" s="63"/>
      <c r="L443" s="957" t="s">
        <v>482</v>
      </c>
      <c r="M443" s="155"/>
      <c r="N443" s="63"/>
      <c r="O443" s="63"/>
      <c r="P443" s="63"/>
      <c r="Q443" s="63"/>
      <c r="R443" s="63"/>
      <c r="S443" s="63"/>
      <c r="T443" s="63"/>
      <c r="U443" s="63"/>
      <c r="V443" s="63"/>
      <c r="W443" s="81"/>
      <c r="X443" s="939" t="s">
        <v>482</v>
      </c>
      <c r="Y443" s="769"/>
      <c r="Z443" s="769"/>
      <c r="AA443" s="768" t="s">
        <v>393</v>
      </c>
      <c r="AB443" s="1410"/>
      <c r="AC443" s="781" t="str">
        <f t="shared" si="58"/>
        <v/>
      </c>
      <c r="AD443" s="1443" t="str">
        <f>IF(O753="","",O753)</f>
        <v/>
      </c>
      <c r="AE443" s="813" t="s">
        <v>1030</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7">
        <v>48</v>
      </c>
      <c r="B444" s="3"/>
      <c r="C444" s="3"/>
      <c r="D444" s="3"/>
      <c r="E444" s="3"/>
      <c r="F444" s="3"/>
      <c r="G444" s="3"/>
      <c r="H444" s="3"/>
      <c r="I444" s="3"/>
      <c r="J444" s="3"/>
      <c r="K444" s="63"/>
      <c r="L444" s="957" t="s">
        <v>482</v>
      </c>
      <c r="M444" s="155"/>
      <c r="N444" s="63"/>
      <c r="O444" s="63"/>
      <c r="P444" s="63"/>
      <c r="Q444" s="63"/>
      <c r="R444" s="1147" t="s">
        <v>388</v>
      </c>
      <c r="S444" s="471" t="s">
        <v>387</v>
      </c>
      <c r="T444" s="63"/>
      <c r="U444" s="63"/>
      <c r="V444" s="63"/>
      <c r="W444" s="81"/>
      <c r="X444" s="939" t="s">
        <v>482</v>
      </c>
      <c r="Y444" s="769"/>
      <c r="Z444" s="769"/>
      <c r="AA444" s="768" t="s">
        <v>394</v>
      </c>
      <c r="AB444" s="1410"/>
      <c r="AC444" s="781" t="str">
        <f t="shared" si="58"/>
        <v/>
      </c>
      <c r="AD444" s="1443" t="str">
        <f>IF(O770="","",O770)</f>
        <v/>
      </c>
      <c r="AE444" s="813" t="s">
        <v>1121</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7">
        <v>49</v>
      </c>
      <c r="B445" s="3"/>
      <c r="C445" s="3"/>
      <c r="D445" s="3"/>
      <c r="E445" s="3"/>
      <c r="F445" s="3"/>
      <c r="G445" s="3"/>
      <c r="H445" s="3"/>
      <c r="I445" s="3"/>
      <c r="J445" s="3"/>
      <c r="K445" s="63"/>
      <c r="L445" s="957" t="s">
        <v>482</v>
      </c>
      <c r="M445" s="155"/>
      <c r="N445" s="63"/>
      <c r="O445" s="63"/>
      <c r="P445" s="63"/>
      <c r="Q445" s="63"/>
      <c r="R445" s="63"/>
      <c r="S445" s="471" t="s">
        <v>386</v>
      </c>
      <c r="T445" s="63"/>
      <c r="U445" s="997" t="s">
        <v>693</v>
      </c>
      <c r="V445" s="1109" t="str">
        <f>IF(AB141="","??",AB141)</f>
        <v>??</v>
      </c>
      <c r="W445" s="81"/>
      <c r="X445" s="939" t="s">
        <v>482</v>
      </c>
      <c r="Y445" s="769"/>
      <c r="Z445" s="769"/>
      <c r="AA445" s="768" t="s">
        <v>395</v>
      </c>
      <c r="AB445" s="1410"/>
      <c r="AC445" s="781" t="str">
        <f t="shared" si="58"/>
        <v/>
      </c>
      <c r="AD445" s="1443" t="str">
        <f>IF(O772="","",O772)</f>
        <v/>
      </c>
      <c r="AE445" s="813" t="s">
        <v>1031</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7">
        <v>50</v>
      </c>
      <c r="B446" s="3"/>
      <c r="C446" s="3"/>
      <c r="D446" s="3"/>
      <c r="E446" s="3"/>
      <c r="F446" s="3"/>
      <c r="G446" s="3"/>
      <c r="H446" s="3"/>
      <c r="I446" s="3"/>
      <c r="J446" s="3"/>
      <c r="K446" s="63"/>
      <c r="L446" s="957" t="s">
        <v>482</v>
      </c>
      <c r="M446" s="155"/>
      <c r="N446" s="63"/>
      <c r="O446" s="63"/>
      <c r="P446" s="63"/>
      <c r="Q446" s="63"/>
      <c r="R446" s="63"/>
      <c r="S446" s="63"/>
      <c r="T446" s="63"/>
      <c r="U446" s="63"/>
      <c r="V446" s="63"/>
      <c r="W446" s="81"/>
      <c r="X446" s="939" t="s">
        <v>482</v>
      </c>
      <c r="Y446" s="769"/>
      <c r="Z446" s="769"/>
      <c r="AA446" s="768" t="s">
        <v>736</v>
      </c>
      <c r="AB446" s="1410"/>
      <c r="AC446" s="781" t="str">
        <f t="shared" si="58"/>
        <v/>
      </c>
      <c r="AD446" s="1443" t="str">
        <f>IF(O824="","",O824)</f>
        <v/>
      </c>
      <c r="AE446" s="813" t="s">
        <v>1032</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7">
        <v>51</v>
      </c>
      <c r="B447" s="3"/>
      <c r="C447" s="3"/>
      <c r="D447" s="3"/>
      <c r="E447" s="3"/>
      <c r="F447" s="3"/>
      <c r="G447" s="3"/>
      <c r="H447" s="3"/>
      <c r="I447" s="3"/>
      <c r="J447" s="3"/>
      <c r="K447" s="63"/>
      <c r="L447" s="957" t="s">
        <v>482</v>
      </c>
      <c r="M447" s="155"/>
      <c r="N447" s="63"/>
      <c r="O447" s="63"/>
      <c r="P447" s="63"/>
      <c r="Q447" s="63"/>
      <c r="R447" s="63"/>
      <c r="S447" s="63"/>
      <c r="T447" s="63"/>
      <c r="U447" s="617" t="s">
        <v>690</v>
      </c>
      <c r="V447" s="63"/>
      <c r="W447" s="81"/>
      <c r="X447" s="939" t="s">
        <v>482</v>
      </c>
      <c r="Y447" s="769"/>
      <c r="Z447" s="769"/>
      <c r="AA447" s="768" t="s">
        <v>737</v>
      </c>
      <c r="AB447" s="1410"/>
      <c r="AC447" s="781" t="str">
        <f t="shared" si="58"/>
        <v/>
      </c>
      <c r="AD447" s="1443" t="str">
        <f>IF(O877="","",O877)</f>
        <v/>
      </c>
      <c r="AE447" s="813" t="s">
        <v>1033</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7">
        <v>52</v>
      </c>
      <c r="B448" s="3"/>
      <c r="C448" s="3"/>
      <c r="D448" s="3"/>
      <c r="E448" s="3"/>
      <c r="F448" s="3"/>
      <c r="G448" s="3"/>
      <c r="H448" s="3"/>
      <c r="I448" s="3"/>
      <c r="J448" s="3"/>
      <c r="K448" s="63"/>
      <c r="L448" s="957" t="s">
        <v>482</v>
      </c>
      <c r="M448" s="155"/>
      <c r="N448" s="63"/>
      <c r="O448" s="63"/>
      <c r="P448" s="63"/>
      <c r="Q448" s="63"/>
      <c r="R448" s="63"/>
      <c r="S448" s="63"/>
      <c r="T448" s="63"/>
      <c r="U448" s="63"/>
      <c r="V448" s="1173" t="s">
        <v>692</v>
      </c>
      <c r="W448" s="81"/>
      <c r="X448" s="939" t="s">
        <v>482</v>
      </c>
      <c r="Y448" s="432"/>
      <c r="Z448" s="432"/>
      <c r="AA448" s="768" t="s">
        <v>738</v>
      </c>
      <c r="AB448" s="1410"/>
      <c r="AC448" s="781" t="str">
        <f t="shared" si="58"/>
        <v/>
      </c>
      <c r="AD448" s="1443" t="str">
        <f>IF(O892="","",O892)</f>
        <v/>
      </c>
      <c r="AE448" s="813" t="s">
        <v>1034</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7">
        <v>53</v>
      </c>
      <c r="B449" s="3"/>
      <c r="C449" s="3"/>
      <c r="D449" s="3"/>
      <c r="E449" s="3"/>
      <c r="F449" s="3"/>
      <c r="G449" s="3"/>
      <c r="H449" s="3"/>
      <c r="I449" s="3"/>
      <c r="J449" s="3"/>
      <c r="K449" s="63"/>
      <c r="L449" s="957" t="s">
        <v>482</v>
      </c>
      <c r="M449" s="112"/>
      <c r="N449" s="94"/>
      <c r="O449" s="94"/>
      <c r="P449" s="94"/>
      <c r="Q449" s="94"/>
      <c r="R449" s="94"/>
      <c r="S449" s="94"/>
      <c r="T449" s="94"/>
      <c r="U449" s="94"/>
      <c r="V449" s="94"/>
      <c r="W449" s="99"/>
      <c r="X449" s="939" t="s">
        <v>482</v>
      </c>
      <c r="Y449" s="769"/>
      <c r="Z449" s="769"/>
      <c r="AA449" s="768" t="s">
        <v>739</v>
      </c>
      <c r="AB449" s="1410"/>
      <c r="AC449" s="781" t="str">
        <f t="shared" si="58"/>
        <v/>
      </c>
      <c r="AD449" s="1443" t="str">
        <f>IF(O946="","",O946)</f>
        <v/>
      </c>
      <c r="AE449" s="813" t="s">
        <v>1035</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7">
        <v>54</v>
      </c>
      <c r="B450" s="3"/>
      <c r="C450" s="3"/>
      <c r="D450" s="3"/>
      <c r="E450" s="3"/>
      <c r="F450" s="3"/>
      <c r="G450" s="3"/>
      <c r="H450" s="3"/>
      <c r="I450" s="3"/>
      <c r="J450" s="3"/>
      <c r="K450" s="63"/>
      <c r="L450" s="957" t="s">
        <v>482</v>
      </c>
      <c r="M450" s="155"/>
      <c r="N450" s="63"/>
      <c r="O450" s="63"/>
      <c r="P450" s="63"/>
      <c r="Q450" s="63"/>
      <c r="R450" s="63"/>
      <c r="S450" s="63"/>
      <c r="T450" s="63"/>
      <c r="U450" s="63"/>
      <c r="V450" s="63"/>
      <c r="W450" s="81"/>
      <c r="X450" s="939" t="s">
        <v>482</v>
      </c>
      <c r="Y450" s="769"/>
      <c r="Z450" s="769"/>
      <c r="AA450" s="768" t="s">
        <v>740</v>
      </c>
      <c r="AB450" s="1410"/>
      <c r="AC450" s="781" t="str">
        <f t="shared" si="58"/>
        <v>Change</v>
      </c>
      <c r="AD450" s="1443" t="str">
        <f>IF(O1105="","",O1105)</f>
        <v>Criteria: lgM - Max difference 0.2 lgM for individual kV or thickness; 0.2 lgM overall</v>
      </c>
      <c r="AE450" s="813" t="s">
        <v>1036</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7">
        <v>55</v>
      </c>
      <c r="B451" s="3"/>
      <c r="C451" s="3"/>
      <c r="D451" s="3"/>
      <c r="E451" s="3"/>
      <c r="F451" s="3"/>
      <c r="G451" s="3"/>
      <c r="H451" s="3"/>
      <c r="I451" s="3"/>
      <c r="J451" s="3"/>
      <c r="K451" s="63"/>
      <c r="L451" s="957" t="s">
        <v>482</v>
      </c>
      <c r="M451" s="155"/>
      <c r="N451" s="63"/>
      <c r="O451" s="63"/>
      <c r="P451" s="63"/>
      <c r="Q451" s="63"/>
      <c r="R451" s="63"/>
      <c r="S451" s="63"/>
      <c r="T451" s="63"/>
      <c r="U451" s="63"/>
      <c r="V451" s="63"/>
      <c r="W451" s="81"/>
      <c r="X451" s="939" t="s">
        <v>482</v>
      </c>
      <c r="Y451" s="769"/>
      <c r="Z451" s="769"/>
      <c r="AA451" s="768" t="s">
        <v>741</v>
      </c>
      <c r="AB451" s="1410"/>
      <c r="AC451" s="781" t="str">
        <f t="shared" si="58"/>
        <v>Change</v>
      </c>
      <c r="AD451" s="1443" t="str">
        <f>IF(O1171="","",O1171)</f>
        <v>Criteria: lgM - Max difference 0.2 lgM for individual kV or thickness; 0.2 lgM overall</v>
      </c>
      <c r="AE451" s="813" t="s">
        <v>1037</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7">
        <v>56</v>
      </c>
      <c r="B452" s="3"/>
      <c r="C452" s="3"/>
      <c r="D452" s="3"/>
      <c r="E452" s="3"/>
      <c r="F452" s="3"/>
      <c r="G452" s="3"/>
      <c r="H452" s="3"/>
      <c r="I452" s="3"/>
      <c r="J452" s="3"/>
      <c r="K452" s="63"/>
      <c r="L452" s="957" t="s">
        <v>482</v>
      </c>
      <c r="M452" s="155"/>
      <c r="N452" s="63"/>
      <c r="O452" s="63"/>
      <c r="P452" s="63"/>
      <c r="Q452" s="63"/>
      <c r="R452" s="63"/>
      <c r="S452" s="63"/>
      <c r="T452" s="63"/>
      <c r="U452" s="63"/>
      <c r="V452" s="63"/>
      <c r="W452" s="81"/>
      <c r="X452" s="939" t="s">
        <v>482</v>
      </c>
      <c r="Y452" s="769"/>
      <c r="Z452" s="769"/>
      <c r="AA452" s="768" t="s">
        <v>742</v>
      </c>
      <c r="AB452" s="1410"/>
      <c r="AC452" s="781" t="str">
        <f t="shared" si="58"/>
        <v/>
      </c>
      <c r="AD452" s="1443" t="str">
        <f>IF(O98="","",O98)</f>
        <v/>
      </c>
      <c r="AE452" s="813"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7">
        <v>57</v>
      </c>
      <c r="B453" s="3"/>
      <c r="C453" s="3"/>
      <c r="D453" s="3"/>
      <c r="E453" s="3"/>
      <c r="F453" s="3"/>
      <c r="G453" s="3"/>
      <c r="H453" s="3"/>
      <c r="I453" s="3"/>
      <c r="J453" s="3"/>
      <c r="K453" s="63"/>
      <c r="L453" s="957" t="s">
        <v>482</v>
      </c>
      <c r="M453" s="155"/>
      <c r="N453" s="63"/>
      <c r="O453" s="63"/>
      <c r="P453" s="63"/>
      <c r="Q453" s="63"/>
      <c r="R453" s="63"/>
      <c r="S453" s="63"/>
      <c r="T453" s="63"/>
      <c r="U453" s="63"/>
      <c r="V453" s="63"/>
      <c r="W453" s="81"/>
      <c r="X453" s="939" t="s">
        <v>482</v>
      </c>
      <c r="Y453" s="769"/>
      <c r="Z453" s="769"/>
      <c r="AA453" s="768" t="s">
        <v>743</v>
      </c>
      <c r="AB453" s="1410"/>
      <c r="AC453" s="781" t="str">
        <f t="shared" si="58"/>
        <v/>
      </c>
      <c r="AD453" s="1443" t="str">
        <f>IF(O1301="","",O1301)</f>
        <v/>
      </c>
      <c r="AE453" s="813" t="s">
        <v>1038</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7">
        <v>58</v>
      </c>
      <c r="B454" s="3"/>
      <c r="C454" s="3"/>
      <c r="D454" s="3"/>
      <c r="E454" s="3"/>
      <c r="F454" s="3"/>
      <c r="G454" s="3"/>
      <c r="H454" s="3"/>
      <c r="I454" s="3"/>
      <c r="J454" s="3"/>
      <c r="K454" s="63"/>
      <c r="L454" s="957" t="s">
        <v>482</v>
      </c>
      <c r="M454" s="155"/>
      <c r="N454" s="63"/>
      <c r="O454" s="63"/>
      <c r="P454" s="63"/>
      <c r="Q454" s="63"/>
      <c r="R454" s="63"/>
      <c r="S454" s="63"/>
      <c r="T454" s="63"/>
      <c r="U454" s="63"/>
      <c r="V454" s="63"/>
      <c r="W454" s="81"/>
      <c r="X454" s="939" t="s">
        <v>482</v>
      </c>
      <c r="Y454" s="769"/>
      <c r="Z454" s="769"/>
      <c r="AA454" s="768" t="s">
        <v>744</v>
      </c>
      <c r="AB454" s="1416"/>
      <c r="AC454" s="781" t="str">
        <f t="shared" si="58"/>
        <v/>
      </c>
      <c r="AD454" s="1443" t="str">
        <f>IF(O1367="","",O1367)</f>
        <v/>
      </c>
      <c r="AE454" s="813" t="s">
        <v>1039</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7">
        <v>59</v>
      </c>
      <c r="B455" s="3"/>
      <c r="C455" s="3"/>
      <c r="D455" s="3"/>
      <c r="E455" s="3"/>
      <c r="F455" s="3"/>
      <c r="G455" s="3"/>
      <c r="H455" s="3"/>
      <c r="I455" s="3"/>
      <c r="J455" s="3"/>
      <c r="K455" s="63"/>
      <c r="L455" s="957" t="s">
        <v>482</v>
      </c>
      <c r="M455" s="155"/>
      <c r="N455" s="63"/>
      <c r="O455" s="63"/>
      <c r="P455" s="63"/>
      <c r="Q455" s="63"/>
      <c r="R455" s="63"/>
      <c r="S455" s="63"/>
      <c r="T455" s="63"/>
      <c r="U455" s="63"/>
      <c r="V455" s="63"/>
      <c r="W455" s="81"/>
      <c r="X455" s="939" t="s">
        <v>482</v>
      </c>
      <c r="Y455" s="769"/>
      <c r="Z455" s="769"/>
      <c r="AA455" s="432"/>
      <c r="AB455" s="706"/>
      <c r="AC455" s="781" t="str">
        <f t="shared" si="58"/>
        <v/>
      </c>
      <c r="AD455" s="1234"/>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7">
        <v>60</v>
      </c>
      <c r="B456" s="3"/>
      <c r="C456" s="3"/>
      <c r="D456" s="3"/>
      <c r="E456" s="3"/>
      <c r="F456" s="3"/>
      <c r="G456" s="3"/>
      <c r="H456" s="3"/>
      <c r="I456" s="3"/>
      <c r="J456" s="3"/>
      <c r="K456" s="63"/>
      <c r="L456" s="957" t="s">
        <v>482</v>
      </c>
      <c r="M456" s="155"/>
      <c r="N456" s="63"/>
      <c r="O456" s="63"/>
      <c r="P456" s="63"/>
      <c r="Q456" s="63"/>
      <c r="R456" s="63"/>
      <c r="S456" s="63"/>
      <c r="T456" s="63"/>
      <c r="U456" s="63"/>
      <c r="V456" s="63"/>
      <c r="W456" s="81"/>
      <c r="X456" s="939" t="s">
        <v>482</v>
      </c>
      <c r="Y456" s="769"/>
      <c r="Z456" s="769"/>
      <c r="AA456" s="768" t="s">
        <v>356</v>
      </c>
      <c r="AB456" s="1417"/>
      <c r="AC456" s="781" t="str">
        <f t="shared" si="58"/>
        <v>Change</v>
      </c>
      <c r="AD456" s="1443">
        <f t="shared" ref="AD456:AD462" si="69">U59</f>
        <v>1</v>
      </c>
      <c r="AE456" s="812" t="s">
        <v>1040</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7">
        <v>61</v>
      </c>
      <c r="B457" s="3"/>
      <c r="C457" s="3"/>
      <c r="D457" s="3"/>
      <c r="E457" s="3"/>
      <c r="F457" s="3"/>
      <c r="G457" s="3"/>
      <c r="H457" s="3"/>
      <c r="I457" s="3"/>
      <c r="J457" s="3"/>
      <c r="K457" s="63"/>
      <c r="L457" s="957" t="s">
        <v>482</v>
      </c>
      <c r="M457" s="155"/>
      <c r="N457" s="63"/>
      <c r="O457" s="63"/>
      <c r="P457" s="63"/>
      <c r="Q457" s="63"/>
      <c r="R457" s="63"/>
      <c r="S457" s="63"/>
      <c r="T457" s="63"/>
      <c r="U457" s="63"/>
      <c r="V457" s="63"/>
      <c r="W457" s="81"/>
      <c r="X457" s="939" t="s">
        <v>482</v>
      </c>
      <c r="Y457" s="769"/>
      <c r="Z457" s="769"/>
      <c r="AA457" s="769"/>
      <c r="AB457" s="1418"/>
      <c r="AC457" s="781" t="str">
        <f t="shared" si="58"/>
        <v>Change</v>
      </c>
      <c r="AD457" s="1443" t="str">
        <f t="shared" si="69"/>
        <v>AP</v>
      </c>
      <c r="AE457" s="812" t="s">
        <v>1041</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7">
        <v>62</v>
      </c>
      <c r="B458" s="3"/>
      <c r="C458" s="3"/>
      <c r="D458" s="3"/>
      <c r="E458" s="3"/>
      <c r="F458" s="3"/>
      <c r="G458" s="3"/>
      <c r="H458" s="3"/>
      <c r="I458" s="3"/>
      <c r="J458" s="3"/>
      <c r="K458" s="63"/>
      <c r="L458" s="957" t="s">
        <v>482</v>
      </c>
      <c r="M458" s="155"/>
      <c r="N458" s="63"/>
      <c r="O458" s="63"/>
      <c r="P458" s="63"/>
      <c r="Q458" s="63"/>
      <c r="R458" s="63"/>
      <c r="S458" s="63"/>
      <c r="T458" s="63"/>
      <c r="U458" s="63"/>
      <c r="V458" s="63"/>
      <c r="W458" s="81"/>
      <c r="X458" s="939" t="s">
        <v>482</v>
      </c>
      <c r="Y458" s="769"/>
      <c r="Z458" s="769"/>
      <c r="AA458" s="769"/>
      <c r="AB458" s="1418"/>
      <c r="AC458" s="781" t="str">
        <f t="shared" si="58"/>
        <v>Change</v>
      </c>
      <c r="AD458" s="1443" t="str">
        <f t="shared" si="69"/>
        <v>Front</v>
      </c>
      <c r="AE458" s="812" t="s">
        <v>1042</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7">
        <v>63</v>
      </c>
      <c r="B459" s="3"/>
      <c r="C459" s="1506" t="s">
        <v>1179</v>
      </c>
      <c r="D459" s="178" t="str">
        <f>IF(OR(Y1397="",W1397=""),"",SLOPE(Y1397:Y1404,W1397:W1404))</f>
        <v/>
      </c>
      <c r="F459" s="62" t="s">
        <v>1180</v>
      </c>
      <c r="G459" s="55" t="str">
        <f>IF(OR(Y1414="",W1414=""),"",SLOPE(Y1414:Y1419,W1414:W1419))</f>
        <v/>
      </c>
      <c r="I459" s="62" t="s">
        <v>1182</v>
      </c>
      <c r="J459" s="55" t="str">
        <f>IF(OR(AH1397="",AI1397=""),"",SLOPE(AI1397:AI1410,AH1397:AH1410))</f>
        <v/>
      </c>
      <c r="K459" s="63"/>
      <c r="L459" s="957" t="s">
        <v>482</v>
      </c>
      <c r="M459" s="155"/>
      <c r="N459" s="63"/>
      <c r="O459" s="63"/>
      <c r="P459" s="63"/>
      <c r="Q459" s="63"/>
      <c r="R459" s="63"/>
      <c r="S459" s="63"/>
      <c r="T459" s="63"/>
      <c r="U459" s="63"/>
      <c r="V459" s="63"/>
      <c r="W459" s="81"/>
      <c r="X459" s="939" t="s">
        <v>482</v>
      </c>
      <c r="Y459" s="769"/>
      <c r="Z459" s="769"/>
      <c r="AA459" s="954"/>
      <c r="AB459" s="1418"/>
      <c r="AC459" s="781" t="str">
        <f t="shared" si="58"/>
        <v>Change</v>
      </c>
      <c r="AD459" s="1443" t="str">
        <f t="shared" si="69"/>
        <v>Frontal</v>
      </c>
      <c r="AE459" s="812" t="s">
        <v>1043</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7">
        <v>64</v>
      </c>
      <c r="B460" s="1"/>
      <c r="C460" s="1"/>
      <c r="I460" s="1"/>
      <c r="J460" s="1"/>
      <c r="L460" s="957" t="s">
        <v>482</v>
      </c>
      <c r="M460" s="155"/>
      <c r="N460" s="63"/>
      <c r="O460" s="63"/>
      <c r="P460" s="63"/>
      <c r="Q460" s="63"/>
      <c r="R460" s="63"/>
      <c r="S460" s="63"/>
      <c r="T460" s="63"/>
      <c r="U460" s="63"/>
      <c r="V460" s="63"/>
      <c r="W460" s="81"/>
      <c r="X460" s="939" t="s">
        <v>482</v>
      </c>
      <c r="Y460" s="769"/>
      <c r="Z460" s="769"/>
      <c r="AA460" s="769"/>
      <c r="AB460" s="1418"/>
      <c r="AC460" s="781" t="str">
        <f t="shared" si="58"/>
        <v>Change</v>
      </c>
      <c r="AD460" s="1443" t="str">
        <f t="shared" si="69"/>
        <v>Ceph</v>
      </c>
      <c r="AE460" s="812" t="s">
        <v>1044</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7">
        <v>65</v>
      </c>
      <c r="B461" s="60" t="str">
        <f t="array" ref="B461:C462">$B$65:$C$66</f>
        <v>Date:</v>
      </c>
      <c r="C461" s="1664" t="str">
        <v/>
      </c>
      <c r="E461" s="59"/>
      <c r="F461" s="59"/>
      <c r="G461" s="59"/>
      <c r="H461" s="59"/>
      <c r="I461" s="60" t="str">
        <f t="array" ref="I461:J462">$I$65:$J$66</f>
        <v>Inspector:</v>
      </c>
      <c r="J461" s="554" t="str">
        <v>Eugene Mah</v>
      </c>
      <c r="L461" s="957" t="s">
        <v>482</v>
      </c>
      <c r="M461" s="155"/>
      <c r="N461" s="63"/>
      <c r="O461" s="63"/>
      <c r="P461" s="63"/>
      <c r="Q461" s="63"/>
      <c r="R461" s="63"/>
      <c r="S461" s="63"/>
      <c r="T461" s="63"/>
      <c r="U461" s="63"/>
      <c r="V461" s="63"/>
      <c r="W461" s="81"/>
      <c r="X461" s="939" t="s">
        <v>482</v>
      </c>
      <c r="Y461" s="769"/>
      <c r="Z461" s="769"/>
      <c r="AA461" s="769"/>
      <c r="AB461" s="1418"/>
      <c r="AC461" s="781" t="str">
        <f t="shared" si="58"/>
        <v>Change</v>
      </c>
      <c r="AD461" s="1443" t="str">
        <f t="shared" si="69"/>
        <v>Mobile</v>
      </c>
      <c r="AE461" s="812" t="s">
        <v>1045</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7">
        <v>66</v>
      </c>
      <c r="B462" s="60" t="str">
        <v>Room Number:</v>
      </c>
      <c r="C462" s="499" t="str">
        <v/>
      </c>
      <c r="E462" s="59"/>
      <c r="F462" s="59"/>
      <c r="G462" s="59"/>
      <c r="H462" s="59"/>
      <c r="I462" s="60" t="str">
        <v>Survey ID:</v>
      </c>
      <c r="J462" s="1404" t="str">
        <v/>
      </c>
      <c r="L462" s="957" t="s">
        <v>482</v>
      </c>
      <c r="M462" s="112"/>
      <c r="N462" s="94"/>
      <c r="O462" s="94"/>
      <c r="P462" s="94"/>
      <c r="Q462" s="94"/>
      <c r="R462" s="94"/>
      <c r="S462" s="94"/>
      <c r="T462" s="94"/>
      <c r="U462" s="94"/>
      <c r="V462" s="94"/>
      <c r="W462" s="99"/>
      <c r="X462" s="939" t="s">
        <v>482</v>
      </c>
      <c r="Y462" s="769"/>
      <c r="Z462" s="769"/>
      <c r="AA462" s="769"/>
      <c r="AB462" s="1418"/>
      <c r="AC462" s="781" t="str">
        <f t="shared" si="58"/>
        <v/>
      </c>
      <c r="AD462" s="1443" t="str">
        <f t="shared" si="69"/>
        <v/>
      </c>
      <c r="AE462" s="812" t="s">
        <v>1046</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7">
        <v>1</v>
      </c>
      <c r="B463" s="63"/>
      <c r="C463" s="63"/>
      <c r="D463" s="63"/>
      <c r="E463" s="63"/>
      <c r="G463" s="63"/>
      <c r="H463" s="63"/>
      <c r="I463" s="63"/>
      <c r="J463" s="63"/>
      <c r="K463" s="161" t="str">
        <f>$F$2</f>
        <v>Medical University of South Carolina</v>
      </c>
      <c r="L463" s="957" t="s">
        <v>482</v>
      </c>
      <c r="M463" s="111"/>
      <c r="N463" s="63"/>
      <c r="O463" s="63"/>
      <c r="P463" s="63"/>
      <c r="Q463" s="63"/>
      <c r="S463" s="63"/>
      <c r="T463" s="63"/>
      <c r="U463" s="63"/>
      <c r="V463" s="63"/>
      <c r="W463" s="161" t="str">
        <f>$F$2</f>
        <v>Medical University of South Carolina</v>
      </c>
      <c r="X463" s="939" t="s">
        <v>482</v>
      </c>
      <c r="Y463" s="432"/>
      <c r="Z463" s="432"/>
      <c r="AA463" s="769"/>
      <c r="AB463" s="706"/>
      <c r="AC463" s="781" t="str">
        <f t="shared" si="58"/>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7">
        <v>2</v>
      </c>
      <c r="B464" s="63"/>
      <c r="C464" s="63"/>
      <c r="D464" s="63"/>
      <c r="E464" s="63"/>
      <c r="F464" s="336" t="s">
        <v>636</v>
      </c>
      <c r="G464" s="63"/>
      <c r="H464" s="63"/>
      <c r="I464" s="63"/>
      <c r="J464" s="63"/>
      <c r="K464" s="162" t="str">
        <f>$F$5</f>
        <v>Radiographic System Compliance Inspection</v>
      </c>
      <c r="L464" s="957" t="s">
        <v>482</v>
      </c>
      <c r="N464" s="100"/>
      <c r="O464" s="100"/>
      <c r="P464" s="3"/>
      <c r="Q464" s="63"/>
      <c r="R464" s="336" t="str">
        <f>$F$464</f>
        <v>Measurement Data</v>
      </c>
      <c r="S464" s="63"/>
      <c r="T464" s="63"/>
      <c r="U464" s="63"/>
      <c r="V464" s="63"/>
      <c r="W464" s="162" t="str">
        <f>$F$5</f>
        <v>Radiographic System Compliance Inspection</v>
      </c>
      <c r="X464" s="939" t="s">
        <v>482</v>
      </c>
      <c r="Y464" s="432"/>
      <c r="Z464" s="432"/>
      <c r="AA464" s="768" t="s">
        <v>357</v>
      </c>
      <c r="AB464" s="1417"/>
      <c r="AC464" s="781" t="str">
        <f t="shared" ref="AC464:AC522" si="70">IF(AND(OR(AB464="",AB464=0),OR(AD464="",AD464=0)),"",IF(AB464&lt;&gt;AD464,"Change",""))</f>
        <v>Change</v>
      </c>
      <c r="AD464" s="1443">
        <f t="shared" ref="AD464:AD470" si="71">V59</f>
        <v>2</v>
      </c>
      <c r="AE464" s="812" t="s">
        <v>1047</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7">
        <v>3</v>
      </c>
      <c r="L465" s="957" t="s">
        <v>482</v>
      </c>
      <c r="X465" s="939" t="s">
        <v>482</v>
      </c>
      <c r="Y465" s="432"/>
      <c r="Z465" s="432"/>
      <c r="AA465" s="769"/>
      <c r="AB465" s="1418"/>
      <c r="AC465" s="781" t="str">
        <f t="shared" si="70"/>
        <v>Change</v>
      </c>
      <c r="AD465" s="1443">
        <f t="shared" si="71"/>
        <v>3</v>
      </c>
      <c r="AE465" s="812" t="s">
        <v>1048</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7">
        <v>4</v>
      </c>
      <c r="B466" s="89"/>
      <c r="C466" s="72"/>
      <c r="D466" s="72"/>
      <c r="E466" s="72"/>
      <c r="F466" s="72"/>
      <c r="G466" s="72"/>
      <c r="H466" s="72"/>
      <c r="I466" s="72"/>
      <c r="J466" s="72"/>
      <c r="K466" s="90"/>
      <c r="L466" s="957" t="s">
        <v>482</v>
      </c>
      <c r="M466" s="160" t="s">
        <v>488</v>
      </c>
      <c r="N466" s="72"/>
      <c r="O466" s="72"/>
      <c r="P466" s="72"/>
      <c r="Q466" s="72"/>
      <c r="R466" s="72"/>
      <c r="S466" s="72"/>
      <c r="T466" s="72"/>
      <c r="U466" s="72"/>
      <c r="V466" s="72"/>
      <c r="W466" s="90"/>
      <c r="X466" s="939" t="s">
        <v>482</v>
      </c>
      <c r="Y466" s="432"/>
      <c r="Z466" s="432"/>
      <c r="AA466" s="769"/>
      <c r="AB466" s="1418"/>
      <c r="AC466" s="781" t="str">
        <f t="shared" si="70"/>
        <v>Change</v>
      </c>
      <c r="AD466" s="1443" t="str">
        <f t="shared" si="71"/>
        <v>Lat</v>
      </c>
      <c r="AE466" s="812" t="s">
        <v>1049</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7">
        <v>5</v>
      </c>
      <c r="B467" s="128" t="s">
        <v>485</v>
      </c>
      <c r="C467" s="129"/>
      <c r="D467" s="63"/>
      <c r="E467" s="63"/>
      <c r="F467" s="240" t="s">
        <v>505</v>
      </c>
      <c r="G467" s="45"/>
      <c r="H467" s="45"/>
      <c r="I467" s="45"/>
      <c r="J467" s="523" t="s">
        <v>487</v>
      </c>
      <c r="K467" s="524"/>
      <c r="L467" s="957" t="s">
        <v>482</v>
      </c>
      <c r="M467" s="155"/>
      <c r="N467" s="63"/>
      <c r="O467" s="63"/>
      <c r="P467" s="63"/>
      <c r="Q467" s="3"/>
      <c r="R467" s="240" t="s">
        <v>505</v>
      </c>
      <c r="S467" s="3"/>
      <c r="T467" s="3"/>
      <c r="U467" s="3"/>
      <c r="V467" s="3"/>
      <c r="W467" s="81"/>
      <c r="X467" s="939" t="s">
        <v>482</v>
      </c>
      <c r="Y467" s="432"/>
      <c r="Z467" s="432"/>
      <c r="AA467" s="769"/>
      <c r="AB467" s="1418"/>
      <c r="AC467" s="781" t="str">
        <f t="shared" si="70"/>
        <v>Change</v>
      </c>
      <c r="AD467" s="1443" t="str">
        <f t="shared" si="71"/>
        <v>Lateral</v>
      </c>
      <c r="AE467" s="812" t="s">
        <v>1050</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7">
        <v>6</v>
      </c>
      <c r="B468" s="130" t="s">
        <v>1141</v>
      </c>
      <c r="C468" s="131"/>
      <c r="D468" s="58" t="s">
        <v>506</v>
      </c>
      <c r="E468" s="63"/>
      <c r="F468" s="63"/>
      <c r="G468" s="63"/>
      <c r="H468" s="63"/>
      <c r="I468" s="63"/>
      <c r="J468" s="154" t="str">
        <f t="shared" ref="J468:J474" si="72">IF($M468="","TBD",IF($M468=1,"YES",IF($M468=3,"NA","")))</f>
        <v>TBD</v>
      </c>
      <c r="K468" s="462" t="str">
        <f t="shared" ref="K468:K474" si="73">IF($M468=2,"NO","")</f>
        <v/>
      </c>
      <c r="L468" s="957" t="s">
        <v>482</v>
      </c>
      <c r="M468" s="864"/>
      <c r="N468" s="63"/>
      <c r="O468" s="58" t="s">
        <v>506</v>
      </c>
      <c r="P468" s="63"/>
      <c r="Q468" s="63"/>
      <c r="R468" s="63"/>
      <c r="S468" s="63"/>
      <c r="T468" s="63"/>
      <c r="U468" s="63"/>
      <c r="V468" s="63"/>
      <c r="W468" s="81"/>
      <c r="X468" s="939" t="s">
        <v>482</v>
      </c>
      <c r="Y468" s="432"/>
      <c r="Z468" s="432"/>
      <c r="AA468" s="769"/>
      <c r="AB468" s="1418"/>
      <c r="AC468" s="781" t="str">
        <f t="shared" si="70"/>
        <v>Change</v>
      </c>
      <c r="AD468" s="1443" t="str">
        <f t="shared" si="71"/>
        <v>Pan</v>
      </c>
      <c r="AE468" s="812" t="s">
        <v>1051</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7">
        <v>7</v>
      </c>
      <c r="B469" s="130"/>
      <c r="C469" s="156"/>
      <c r="D469" s="58" t="s">
        <v>507</v>
      </c>
      <c r="E469" s="63"/>
      <c r="F469" s="63"/>
      <c r="G469" s="63"/>
      <c r="H469" s="63"/>
      <c r="I469" s="63"/>
      <c r="J469" s="154" t="str">
        <f t="shared" si="72"/>
        <v>NA</v>
      </c>
      <c r="K469" s="462" t="str">
        <f t="shared" si="73"/>
        <v/>
      </c>
      <c r="L469" s="957" t="s">
        <v>482</v>
      </c>
      <c r="M469" s="1118">
        <f>IF(N469&lt;&gt;"",N469,IF(OR(AB86=0,AB86=""),3,AB86))</f>
        <v>3</v>
      </c>
      <c r="N469" s="982">
        <v>3</v>
      </c>
      <c r="O469" s="58" t="s">
        <v>507</v>
      </c>
      <c r="P469" s="63"/>
      <c r="Q469" s="63"/>
      <c r="R469" s="63"/>
      <c r="S469" s="63"/>
      <c r="T469" s="63"/>
      <c r="U469" s="63"/>
      <c r="V469" s="63"/>
      <c r="W469" s="81"/>
      <c r="X469" s="939" t="s">
        <v>482</v>
      </c>
      <c r="Y469" s="432"/>
      <c r="Z469" s="432"/>
      <c r="AA469" s="769"/>
      <c r="AB469" s="1418"/>
      <c r="AC469" s="781" t="str">
        <f t="shared" si="70"/>
        <v>Change</v>
      </c>
      <c r="AD469" s="1443" t="str">
        <f t="shared" si="71"/>
        <v>BCM</v>
      </c>
      <c r="AE469" s="812" t="s">
        <v>1052</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7">
        <v>8</v>
      </c>
      <c r="B470" s="130" t="s">
        <v>1142</v>
      </c>
      <c r="C470" s="131"/>
      <c r="D470" s="58" t="s">
        <v>508</v>
      </c>
      <c r="E470" s="58"/>
      <c r="F470" s="58"/>
      <c r="G470" s="58"/>
      <c r="H470" s="58"/>
      <c r="I470" s="58"/>
      <c r="J470" s="154" t="str">
        <f t="shared" si="72"/>
        <v>TBD</v>
      </c>
      <c r="K470" s="462" t="str">
        <f t="shared" si="73"/>
        <v/>
      </c>
      <c r="L470" s="957" t="s">
        <v>482</v>
      </c>
      <c r="M470" s="864"/>
      <c r="N470" s="58"/>
      <c r="O470" s="58" t="s">
        <v>508</v>
      </c>
      <c r="P470" s="58"/>
      <c r="Q470" s="58"/>
      <c r="R470" s="58"/>
      <c r="S470" s="58"/>
      <c r="T470" s="58"/>
      <c r="U470" s="58"/>
      <c r="V470" s="58"/>
      <c r="W470" s="81"/>
      <c r="X470" s="939" t="s">
        <v>482</v>
      </c>
      <c r="Y470" s="432"/>
      <c r="Z470" s="432"/>
      <c r="AA470" s="954"/>
      <c r="AB470" s="1418"/>
      <c r="AC470" s="781" t="str">
        <f t="shared" si="70"/>
        <v/>
      </c>
      <c r="AD470" s="1443" t="str">
        <f t="shared" si="71"/>
        <v/>
      </c>
      <c r="AE470" s="812" t="s">
        <v>1053</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7">
        <v>9</v>
      </c>
      <c r="B471" s="130" t="s">
        <v>1143</v>
      </c>
      <c r="C471" s="131"/>
      <c r="D471" s="118" t="s">
        <v>509</v>
      </c>
      <c r="E471" s="119"/>
      <c r="F471" s="119"/>
      <c r="G471" s="119"/>
      <c r="H471" s="119"/>
      <c r="I471" s="119"/>
      <c r="J471" s="154" t="str">
        <f t="shared" si="72"/>
        <v>TBD</v>
      </c>
      <c r="K471" s="462" t="str">
        <f t="shared" si="73"/>
        <v/>
      </c>
      <c r="L471" s="957" t="s">
        <v>482</v>
      </c>
      <c r="M471" s="864"/>
      <c r="N471" s="58"/>
      <c r="O471" s="118" t="s">
        <v>509</v>
      </c>
      <c r="P471" s="56"/>
      <c r="Q471" s="56"/>
      <c r="R471" s="56"/>
      <c r="S471" s="56"/>
      <c r="T471" s="56"/>
      <c r="U471" s="56"/>
      <c r="V471" s="56"/>
      <c r="W471" s="81"/>
      <c r="X471" s="939" t="s">
        <v>482</v>
      </c>
      <c r="Y471" s="432"/>
      <c r="Z471" s="432"/>
      <c r="AA471" s="432"/>
      <c r="AB471" s="706"/>
      <c r="AC471" s="781" t="str">
        <f t="shared" si="70"/>
        <v/>
      </c>
      <c r="AD471" s="1234"/>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7">
        <v>10</v>
      </c>
      <c r="B472" s="130" t="s">
        <v>1145</v>
      </c>
      <c r="C472" s="131"/>
      <c r="D472" s="58" t="s">
        <v>637</v>
      </c>
      <c r="E472" s="119"/>
      <c r="F472" s="119"/>
      <c r="G472" s="119"/>
      <c r="H472" s="119"/>
      <c r="I472" s="119"/>
      <c r="J472" s="154" t="str">
        <f t="shared" si="72"/>
        <v>TBD</v>
      </c>
      <c r="K472" s="462" t="str">
        <f t="shared" si="73"/>
        <v/>
      </c>
      <c r="L472" s="957" t="s">
        <v>482</v>
      </c>
      <c r="M472" s="864"/>
      <c r="N472" s="56"/>
      <c r="O472" s="58" t="s">
        <v>637</v>
      </c>
      <c r="P472" s="56"/>
      <c r="Q472" s="56"/>
      <c r="R472" s="56"/>
      <c r="S472" s="56"/>
      <c r="T472" s="56"/>
      <c r="U472" s="56"/>
      <c r="V472" s="56"/>
      <c r="W472" s="81"/>
      <c r="X472" s="939" t="s">
        <v>482</v>
      </c>
      <c r="Y472" s="432"/>
      <c r="Z472" s="432"/>
      <c r="AA472" s="768" t="s">
        <v>358</v>
      </c>
      <c r="AB472" s="1419"/>
      <c r="AC472" s="781" t="str">
        <f t="shared" si="70"/>
        <v/>
      </c>
      <c r="AD472" s="1445" t="str">
        <f>T482</f>
        <v/>
      </c>
      <c r="AE472" s="812" t="s">
        <v>1054</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7">
        <v>11</v>
      </c>
      <c r="B473" s="155"/>
      <c r="C473" s="63"/>
      <c r="D473" s="316" t="s">
        <v>639</v>
      </c>
      <c r="E473" s="63"/>
      <c r="F473" s="63"/>
      <c r="G473" s="63"/>
      <c r="H473" s="63"/>
      <c r="I473" s="63"/>
      <c r="J473" s="154" t="str">
        <f t="shared" si="72"/>
        <v>TBD</v>
      </c>
      <c r="K473" s="462" t="str">
        <f t="shared" si="73"/>
        <v/>
      </c>
      <c r="L473" s="957" t="s">
        <v>482</v>
      </c>
      <c r="M473" s="864"/>
      <c r="N473" s="58"/>
      <c r="O473" s="316" t="s">
        <v>639</v>
      </c>
      <c r="P473" s="63"/>
      <c r="Q473" s="63"/>
      <c r="R473" s="63"/>
      <c r="S473" s="63"/>
      <c r="T473" s="63"/>
      <c r="U473" s="63"/>
      <c r="V473" s="63"/>
      <c r="W473" s="81"/>
      <c r="X473" s="939" t="s">
        <v>482</v>
      </c>
      <c r="Y473" s="432"/>
      <c r="Z473" s="432"/>
      <c r="AA473" s="768" t="s">
        <v>359</v>
      </c>
      <c r="AB473" s="1420"/>
      <c r="AC473" s="781" t="str">
        <f t="shared" si="70"/>
        <v>Change</v>
      </c>
      <c r="AD473" s="1446" t="str">
        <f>U504</f>
        <v>TBD</v>
      </c>
      <c r="AE473" s="812" t="s">
        <v>1055</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7">
        <v>12</v>
      </c>
      <c r="B474" s="390" t="s">
        <v>1251</v>
      </c>
      <c r="C474" s="202"/>
      <c r="D474" s="316" t="s">
        <v>1258</v>
      </c>
      <c r="E474" s="63"/>
      <c r="F474" s="63"/>
      <c r="G474" s="63"/>
      <c r="H474" s="63"/>
      <c r="I474" s="63"/>
      <c r="J474" s="154" t="str">
        <f t="shared" si="72"/>
        <v>TBD</v>
      </c>
      <c r="K474" s="462" t="str">
        <f t="shared" si="73"/>
        <v/>
      </c>
      <c r="L474" s="957" t="s">
        <v>482</v>
      </c>
      <c r="M474" s="864"/>
      <c r="N474" s="56"/>
      <c r="O474" s="316" t="s">
        <v>1258</v>
      </c>
      <c r="P474" s="63"/>
      <c r="Q474" s="63"/>
      <c r="R474" s="63"/>
      <c r="S474" s="63"/>
      <c r="T474" s="63"/>
      <c r="U474" s="63"/>
      <c r="V474" s="63"/>
      <c r="W474" s="81"/>
      <c r="X474" s="939" t="s">
        <v>482</v>
      </c>
      <c r="Y474" s="432"/>
      <c r="Z474" s="432"/>
      <c r="AA474" s="768" t="s">
        <v>1157</v>
      </c>
      <c r="AB474" s="1422"/>
      <c r="AC474" s="781" t="str">
        <f>IF(AND(OR(AB474="",AB474=0),OR(AD474="",AD474=0)),"",IF(AB474&lt;&gt;AD474,"Change",""))</f>
        <v/>
      </c>
      <c r="AD474" s="1485"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7">
        <v>13</v>
      </c>
      <c r="B475" s="155"/>
      <c r="K475" s="96"/>
      <c r="L475" s="957" t="s">
        <v>482</v>
      </c>
      <c r="M475" s="155"/>
      <c r="W475" s="81"/>
      <c r="X475" s="939" t="s">
        <v>482</v>
      </c>
      <c r="Y475" s="432"/>
      <c r="Z475" s="432"/>
      <c r="AA475" s="768" t="s">
        <v>360</v>
      </c>
      <c r="AB475" s="1421"/>
      <c r="AC475" s="781" t="str">
        <f t="shared" si="70"/>
        <v>Change</v>
      </c>
      <c r="AD475" s="1446" t="str">
        <f>R537</f>
        <v>NA</v>
      </c>
      <c r="AE475" s="812" t="s">
        <v>1056</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7">
        <v>14</v>
      </c>
      <c r="B476" s="120" t="s">
        <v>629</v>
      </c>
      <c r="C476" s="1238" t="str">
        <f>IF(O476="","",IF(LEN(O476)&lt;=135,O476,IF(LEN(O476)&lt;=260,LEFT(O476,SEARCH(" ",O476,125)),LEFT(O476,SEARCH(" ",O476,130)))))</f>
        <v/>
      </c>
      <c r="D476" s="57"/>
      <c r="E476" s="57"/>
      <c r="F476" s="57"/>
      <c r="G476" s="57"/>
      <c r="H476" s="57"/>
      <c r="I476" s="57"/>
      <c r="J476" s="57"/>
      <c r="K476" s="96"/>
      <c r="L476" s="957" t="s">
        <v>482</v>
      </c>
      <c r="M476" s="121"/>
      <c r="N476" s="814" t="s">
        <v>629</v>
      </c>
      <c r="O476" s="994" t="str">
        <f>IF(O478&lt;&gt;"",O478,IF(OR(AB429=0,AB429=""),"",AB429))</f>
        <v/>
      </c>
      <c r="P476" s="55"/>
      <c r="Q476" s="55"/>
      <c r="R476" s="55"/>
      <c r="S476" s="55"/>
      <c r="T476" s="55"/>
      <c r="U476" s="55"/>
      <c r="V476" s="55"/>
      <c r="W476" s="122"/>
      <c r="X476" s="939" t="s">
        <v>482</v>
      </c>
      <c r="Y476" s="432"/>
      <c r="Z476" s="432"/>
      <c r="AA476" s="768" t="s">
        <v>361</v>
      </c>
      <c r="AB476" s="1422"/>
      <c r="AC476" s="781" t="str">
        <f t="shared" si="70"/>
        <v/>
      </c>
      <c r="AD476" s="1447" t="str">
        <f>IF(Q547="","",Q547)</f>
        <v/>
      </c>
      <c r="AE476" s="812" t="s">
        <v>1057</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7">
        <v>15</v>
      </c>
      <c r="B477" s="97"/>
      <c r="C477" s="1239" t="str">
        <f>IF(LEN(O476)&lt;=135,"",IF(LEN(O476)&lt;=260,RIGHT(O476,LEN(O476)-SEARCH(" ",O476,125)),MID(O476,SEARCH(" ",O476,130),IF(LEN(O476)&lt;=265,LEN(O476),SEARCH(" ",O476,255)-SEARCH(" ",O476,130)))))</f>
        <v/>
      </c>
      <c r="D477" s="57"/>
      <c r="E477" s="57"/>
      <c r="F477" s="57"/>
      <c r="G477" s="57"/>
      <c r="H477" s="57"/>
      <c r="I477" s="57"/>
      <c r="J477" s="57"/>
      <c r="K477" s="96"/>
      <c r="L477" s="957" t="s">
        <v>482</v>
      </c>
      <c r="M477" s="146"/>
      <c r="N477" s="855" t="s">
        <v>347</v>
      </c>
      <c r="O477" s="124"/>
      <c r="P477" s="1237">
        <f>LEN(O476)</f>
        <v>0</v>
      </c>
      <c r="Q477" s="124"/>
      <c r="R477" s="124"/>
      <c r="S477" s="124"/>
      <c r="T477" s="124"/>
      <c r="U477" s="124"/>
      <c r="V477" s="124"/>
      <c r="W477" s="125"/>
      <c r="X477" s="939" t="s">
        <v>482</v>
      </c>
      <c r="Y477" s="432"/>
      <c r="Z477" s="432"/>
      <c r="AA477" s="432"/>
      <c r="AB477" s="706"/>
      <c r="AC477" s="781" t="str">
        <f t="shared" si="70"/>
        <v/>
      </c>
      <c r="AD477" s="1234"/>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7">
        <v>16</v>
      </c>
      <c r="B478" s="97"/>
      <c r="C478" s="1239" t="str">
        <f>IF(LEN(O476)&lt;=265,"",RIGHT(O476,LEN(O476)-SEARCH(" ",O476,255)))</f>
        <v/>
      </c>
      <c r="D478" s="57"/>
      <c r="E478" s="57"/>
      <c r="F478" s="57"/>
      <c r="G478" s="57"/>
      <c r="H478" s="57"/>
      <c r="I478" s="57"/>
      <c r="J478" s="57"/>
      <c r="K478" s="96"/>
      <c r="L478" s="957" t="s">
        <v>482</v>
      </c>
      <c r="M478" s="270"/>
      <c r="N478" s="1378" t="s">
        <v>696</v>
      </c>
      <c r="O478" s="1380"/>
      <c r="P478" s="124"/>
      <c r="Q478" s="124"/>
      <c r="R478" s="55"/>
      <c r="S478" s="55"/>
      <c r="T478" s="55"/>
      <c r="U478" s="55"/>
      <c r="V478" s="55"/>
      <c r="W478" s="122"/>
      <c r="X478" s="939" t="s">
        <v>482</v>
      </c>
      <c r="Y478" s="432"/>
      <c r="Z478" s="432"/>
      <c r="AA478" s="768" t="s">
        <v>363</v>
      </c>
      <c r="AB478" s="1421"/>
      <c r="AC478" s="781" t="str">
        <f t="shared" si="70"/>
        <v/>
      </c>
      <c r="AD478" s="1447" t="str">
        <f>IF(Q608="","",Q608)</f>
        <v/>
      </c>
      <c r="AE478" s="812" t="s">
        <v>1058</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7">
        <v>17</v>
      </c>
      <c r="B479" s="97"/>
      <c r="C479" s="431"/>
      <c r="D479" s="119"/>
      <c r="E479" s="119"/>
      <c r="F479" s="119"/>
      <c r="G479" s="119"/>
      <c r="H479" s="119"/>
      <c r="I479" s="119"/>
      <c r="J479" s="119"/>
      <c r="K479" s="96"/>
      <c r="L479" s="957" t="s">
        <v>482</v>
      </c>
      <c r="M479" s="146"/>
      <c r="N479" s="56"/>
      <c r="O479" s="56"/>
      <c r="P479" s="56"/>
      <c r="Q479" s="56"/>
      <c r="R479" s="56"/>
      <c r="S479" s="56"/>
      <c r="T479" s="56"/>
      <c r="U479" s="56"/>
      <c r="V479" s="56"/>
      <c r="W479" s="79"/>
      <c r="X479" s="939" t="s">
        <v>482</v>
      </c>
      <c r="Y479" s="432"/>
      <c r="Z479" s="432"/>
      <c r="AA479" s="768"/>
      <c r="AB479" s="706"/>
      <c r="AC479" s="781" t="str">
        <f t="shared" si="70"/>
        <v/>
      </c>
      <c r="AD479" s="1234"/>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7">
        <v>18</v>
      </c>
      <c r="B480" s="242" t="s">
        <v>640</v>
      </c>
      <c r="C480" s="63"/>
      <c r="D480" s="141" t="s">
        <v>589</v>
      </c>
      <c r="E480" s="141" t="s">
        <v>589</v>
      </c>
      <c r="F480" s="63"/>
      <c r="G480" s="141" t="s">
        <v>641</v>
      </c>
      <c r="H480" s="63"/>
      <c r="I480" s="63"/>
      <c r="J480" s="63"/>
      <c r="K480" s="81"/>
      <c r="L480" s="957" t="s">
        <v>482</v>
      </c>
      <c r="M480" s="155"/>
      <c r="N480" s="63"/>
      <c r="P480" s="141" t="s">
        <v>1257</v>
      </c>
      <c r="Q480" s="141" t="s">
        <v>1252</v>
      </c>
      <c r="R480" s="141" t="s">
        <v>589</v>
      </c>
      <c r="S480" s="141" t="s">
        <v>641</v>
      </c>
      <c r="T480" s="63"/>
      <c r="U480" s="63"/>
      <c r="V480" s="63"/>
      <c r="W480" s="81"/>
      <c r="X480" s="939" t="s">
        <v>482</v>
      </c>
      <c r="Y480" s="432"/>
      <c r="Z480" s="432"/>
      <c r="AA480" s="768" t="s">
        <v>364</v>
      </c>
      <c r="AB480" s="1421"/>
      <c r="AC480" s="781" t="str">
        <f t="shared" si="70"/>
        <v>Change</v>
      </c>
      <c r="AD480" s="1447" t="str">
        <f>S950</f>
        <v>HVL @80 kVp (Max kV)</v>
      </c>
      <c r="AE480" s="812" t="s">
        <v>1059</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7">
        <v>19</v>
      </c>
      <c r="B481" s="242" t="s">
        <v>642</v>
      </c>
      <c r="C481" s="56"/>
      <c r="D481" s="183" t="s">
        <v>643</v>
      </c>
      <c r="E481" s="183" t="s">
        <v>644</v>
      </c>
      <c r="F481" s="63"/>
      <c r="G481" s="1682" t="s">
        <v>645</v>
      </c>
      <c r="H481" s="1693" t="s">
        <v>646</v>
      </c>
      <c r="I481" s="63"/>
      <c r="J481" s="63"/>
      <c r="K481" s="81"/>
      <c r="L481" s="957" t="s">
        <v>482</v>
      </c>
      <c r="M481" s="155"/>
      <c r="N481" s="245" t="s">
        <v>640</v>
      </c>
      <c r="P481" s="183" t="s">
        <v>643</v>
      </c>
      <c r="Q481" s="183" t="s">
        <v>643</v>
      </c>
      <c r="R481" s="183" t="s">
        <v>644</v>
      </c>
      <c r="S481" s="183" t="s">
        <v>645</v>
      </c>
      <c r="T481" s="1692" t="s">
        <v>646</v>
      </c>
      <c r="U481" s="63"/>
      <c r="V481" s="63"/>
      <c r="W481" s="81"/>
      <c r="X481" s="939" t="s">
        <v>482</v>
      </c>
      <c r="Y481" s="432"/>
      <c r="Z481" s="432"/>
      <c r="AA481" s="768" t="s">
        <v>365</v>
      </c>
      <c r="AB481" s="1422"/>
      <c r="AC481" s="781" t="str">
        <f t="shared" si="70"/>
        <v>Change</v>
      </c>
      <c r="AD481" s="1447" t="str">
        <f>S951</f>
        <v>TBD</v>
      </c>
      <c r="AE481" s="812" t="s">
        <v>1060</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7">
        <v>20</v>
      </c>
      <c r="B482" s="146"/>
      <c r="D482" s="193" t="str">
        <f>IF(Q482="","",Q482)</f>
        <v/>
      </c>
      <c r="E482" s="193" t="str">
        <f>IF(R482="","",R482)</f>
        <v/>
      </c>
      <c r="G482" s="1688" t="str">
        <f>S482</f>
        <v/>
      </c>
      <c r="H482" s="1694" t="str">
        <f>IF(K472="NO","NA",T482)</f>
        <v/>
      </c>
      <c r="I482" s="56"/>
      <c r="J482" s="56"/>
      <c r="K482" s="81"/>
      <c r="L482" s="957" t="s">
        <v>482</v>
      </c>
      <c r="M482" s="155"/>
      <c r="N482" s="245" t="s">
        <v>642</v>
      </c>
      <c r="P482" s="1687"/>
      <c r="Q482" s="1705" t="str">
        <f>IF(P482&lt;&gt;"",P482,IF(AB88="","",AB88))</f>
        <v/>
      </c>
      <c r="R482" s="1706"/>
      <c r="S482" s="1688" t="str">
        <f>IF(OR(Q482="",R482=""),"",ABS(Q482-R482)/R482)</f>
        <v/>
      </c>
      <c r="T482" s="1689" t="str">
        <f>IF(OR(M472=2,M472=3),"NA",IF(S482="","",IF(S482&lt;=0.02,"YES","NO")))</f>
        <v/>
      </c>
      <c r="U482" s="56"/>
      <c r="V482" s="63"/>
      <c r="W482" s="81"/>
      <c r="X482" s="939" t="s">
        <v>482</v>
      </c>
      <c r="Y482" s="432"/>
      <c r="Z482" s="432"/>
      <c r="AA482" s="937"/>
      <c r="AB482" s="706"/>
      <c r="AC482" s="781" t="str">
        <f t="shared" si="70"/>
        <v/>
      </c>
      <c r="AD482" s="1448"/>
      <c r="AE482" s="936"/>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7">
        <v>21</v>
      </c>
      <c r="B483" s="146"/>
      <c r="D483" s="193" t="str">
        <f t="shared" ref="D483:D484" si="74">IF(Q483="","",Q483)</f>
        <v/>
      </c>
      <c r="E483" s="193" t="str">
        <f t="shared" ref="E483" si="75">IF(R483="","",R483)</f>
        <v/>
      </c>
      <c r="G483" s="1688" t="str">
        <f t="shared" ref="G483" si="76">S483</f>
        <v/>
      </c>
      <c r="H483" s="1694" t="str">
        <f>IF(K472="NO","NA",T483)</f>
        <v/>
      </c>
      <c r="I483" s="56"/>
      <c r="J483" s="56"/>
      <c r="K483" s="81"/>
      <c r="L483" s="957" t="s">
        <v>482</v>
      </c>
      <c r="M483" s="155"/>
      <c r="P483" s="1687"/>
      <c r="Q483" s="1705" t="str">
        <f t="shared" ref="Q483:Q484" si="77">IF(P483&lt;&gt;"",P483,IF(AB89="","",AB89))</f>
        <v/>
      </c>
      <c r="R483" s="1706"/>
      <c r="S483" s="1688" t="str">
        <f>IF(OR(Q483="",R483=""),"",ABS(Q483-R483)/R483)</f>
        <v/>
      </c>
      <c r="T483" s="1690" t="str">
        <f>IF(OR(M472=2,M472=3),"NA",IF(S483="","",IF(S483&lt;=0.02,"YES","NO")))</f>
        <v/>
      </c>
      <c r="U483" s="56"/>
      <c r="V483" s="56"/>
      <c r="W483" s="81"/>
      <c r="X483" s="939" t="s">
        <v>482</v>
      </c>
      <c r="Y483" s="432"/>
      <c r="Z483" s="432"/>
      <c r="AA483" s="768" t="s">
        <v>366</v>
      </c>
      <c r="AB483" s="1421"/>
      <c r="AC483" s="781" t="str">
        <f t="shared" si="70"/>
        <v/>
      </c>
      <c r="AD483" s="1447" t="str">
        <f>IF(W1063="","",W1063)</f>
        <v/>
      </c>
      <c r="AE483" s="812" t="s">
        <v>1061</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7">
        <v>22</v>
      </c>
      <c r="B484" s="146"/>
      <c r="C484" s="56"/>
      <c r="D484" s="193" t="str">
        <f t="shared" si="74"/>
        <v/>
      </c>
      <c r="E484" s="193" t="str">
        <f>IF(R484="","",R484)</f>
        <v/>
      </c>
      <c r="F484" s="63"/>
      <c r="G484" s="1688" t="str">
        <f>S484</f>
        <v/>
      </c>
      <c r="H484" s="1695" t="str">
        <f>IF(K472="NO","NA",T484)</f>
        <v/>
      </c>
      <c r="K484" s="81"/>
      <c r="L484" s="957" t="s">
        <v>482</v>
      </c>
      <c r="M484" s="146"/>
      <c r="N484" s="56"/>
      <c r="P484" s="1687"/>
      <c r="Q484" s="1705" t="str">
        <f t="shared" si="77"/>
        <v/>
      </c>
      <c r="R484" s="1706"/>
      <c r="S484" s="1688" t="str">
        <f>IF(OR(Q484="",R484=""),"",ABS(Q484-R484)/R484)</f>
        <v/>
      </c>
      <c r="T484" s="1691" t="str">
        <f>IF(OR(M472=2,M472=3),"NA",IF(S484="","",IF(S484&lt;=0.02,"YES","NO")))</f>
        <v/>
      </c>
      <c r="W484" s="81"/>
      <c r="X484" s="939" t="s">
        <v>482</v>
      </c>
      <c r="Y484" s="432"/>
      <c r="Z484" s="432"/>
      <c r="AA484" s="768" t="s">
        <v>367</v>
      </c>
      <c r="AB484" s="1422"/>
      <c r="AC484" s="781" t="str">
        <f t="shared" si="70"/>
        <v/>
      </c>
      <c r="AD484" s="1447" t="str">
        <f>IF(W1129="","",W1129)</f>
        <v/>
      </c>
      <c r="AE484" s="812" t="s">
        <v>1062</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7">
        <v>23</v>
      </c>
      <c r="B485" s="146"/>
      <c r="C485" s="56"/>
      <c r="D485" s="63"/>
      <c r="E485" s="63"/>
      <c r="F485" s="63"/>
      <c r="G485" s="63"/>
      <c r="H485" s="63"/>
      <c r="I485" s="63"/>
      <c r="J485" s="63"/>
      <c r="K485" s="81"/>
      <c r="L485" s="957" t="s">
        <v>482</v>
      </c>
      <c r="M485" s="146"/>
      <c r="N485" s="56"/>
      <c r="O485" s="63"/>
      <c r="P485" s="63"/>
      <c r="Q485" s="63"/>
      <c r="S485" s="993" t="s">
        <v>447</v>
      </c>
      <c r="T485" s="1045" t="str">
        <f>IF(AB472="","",AB472)</f>
        <v/>
      </c>
      <c r="U485" s="63"/>
      <c r="V485" s="63"/>
      <c r="W485" s="81"/>
      <c r="X485" s="939" t="s">
        <v>482</v>
      </c>
      <c r="Y485" s="432"/>
      <c r="Z485" s="432"/>
      <c r="AA485" s="937"/>
      <c r="AB485" s="706"/>
      <c r="AC485" s="781" t="str">
        <f t="shared" si="70"/>
        <v/>
      </c>
      <c r="AD485" s="1448"/>
      <c r="AE485" s="936"/>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7">
        <v>24</v>
      </c>
      <c r="B486" s="243" t="s">
        <v>647</v>
      </c>
      <c r="C486" s="115" t="s">
        <v>648</v>
      </c>
      <c r="D486" s="63"/>
      <c r="E486" s="63"/>
      <c r="F486" s="63"/>
      <c r="G486" s="63"/>
      <c r="H486" s="63"/>
      <c r="I486" s="63"/>
      <c r="J486" s="63"/>
      <c r="K486" s="81"/>
      <c r="L486" s="957" t="s">
        <v>482</v>
      </c>
      <c r="M486" s="137"/>
      <c r="N486" s="162" t="s">
        <v>647</v>
      </c>
      <c r="O486" s="115" t="s">
        <v>648</v>
      </c>
      <c r="P486" s="56"/>
      <c r="Q486" s="56"/>
      <c r="R486" s="56"/>
      <c r="S486" s="56"/>
      <c r="T486" s="63"/>
      <c r="U486" s="58"/>
      <c r="V486" s="56"/>
      <c r="W486" s="81"/>
      <c r="X486" s="939" t="s">
        <v>482</v>
      </c>
      <c r="Y486" s="432"/>
      <c r="Z486" s="432"/>
      <c r="AA486" s="768" t="s">
        <v>368</v>
      </c>
      <c r="AB486" s="1423"/>
      <c r="AC486" s="781" t="str">
        <f t="shared" si="70"/>
        <v/>
      </c>
      <c r="AD486" s="1438">
        <f>R1432</f>
        <v>0</v>
      </c>
      <c r="AE486" s="812" t="s">
        <v>1063</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7">
        <v>25</v>
      </c>
      <c r="B487" s="121"/>
      <c r="C487" s="63"/>
      <c r="D487" s="56"/>
      <c r="E487" s="56"/>
      <c r="F487" s="56"/>
      <c r="G487" s="56"/>
      <c r="H487" s="56"/>
      <c r="I487" s="56"/>
      <c r="J487" s="56"/>
      <c r="K487" s="81"/>
      <c r="L487" s="957" t="s">
        <v>482</v>
      </c>
      <c r="M487" s="155"/>
      <c r="N487" s="63"/>
      <c r="O487" s="56"/>
      <c r="P487" s="56"/>
      <c r="Q487" s="56"/>
      <c r="R487" s="56"/>
      <c r="S487" s="56"/>
      <c r="T487" s="63"/>
      <c r="U487" s="56"/>
      <c r="V487" s="56"/>
      <c r="W487" s="81"/>
      <c r="X487" s="939" t="s">
        <v>482</v>
      </c>
      <c r="Y487" s="432"/>
      <c r="Z487" s="432"/>
      <c r="AA487" s="768" t="s">
        <v>369</v>
      </c>
      <c r="AB487" s="1424"/>
      <c r="AC487" s="781" t="str">
        <f t="shared" si="70"/>
        <v/>
      </c>
      <c r="AD487" s="1438">
        <f>T1432</f>
        <v>0</v>
      </c>
      <c r="AE487" s="812" t="s">
        <v>1064</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7">
        <v>26</v>
      </c>
      <c r="B488" s="120" t="s">
        <v>629</v>
      </c>
      <c r="C488" s="1238" t="str">
        <f>IF(O488="","",IF(LEN(O488)&lt;=135,O488,IF(LEN(O488)&lt;=260,LEFT(O488,SEARCH(" ",O488,125)),LEFT(O488,SEARCH(" ",O488,130)))))</f>
        <v/>
      </c>
      <c r="D488" s="57"/>
      <c r="E488" s="57"/>
      <c r="F488" s="57"/>
      <c r="G488" s="57"/>
      <c r="H488" s="57"/>
      <c r="I488" s="57"/>
      <c r="J488" s="57"/>
      <c r="K488" s="81"/>
      <c r="L488" s="957" t="s">
        <v>482</v>
      </c>
      <c r="M488" s="155"/>
      <c r="N488" s="814" t="s">
        <v>629</v>
      </c>
      <c r="O488" s="994" t="str">
        <f>IF(O490&lt;&gt;"",O490,IF(OR(AB430=0,AB430=""),"",AB430))</f>
        <v/>
      </c>
      <c r="P488" s="55"/>
      <c r="Q488" s="55"/>
      <c r="R488" s="55"/>
      <c r="S488" s="55"/>
      <c r="T488" s="55"/>
      <c r="U488" s="55"/>
      <c r="V488" s="55"/>
      <c r="W488" s="122"/>
      <c r="X488" s="939" t="s">
        <v>482</v>
      </c>
      <c r="Y488" s="432"/>
      <c r="Z488" s="432"/>
      <c r="AA488" s="768" t="s">
        <v>370</v>
      </c>
      <c r="AB488" s="1424"/>
      <c r="AC488" s="781" t="str">
        <f t="shared" si="70"/>
        <v/>
      </c>
      <c r="AD488" s="1438">
        <f>R1433</f>
        <v>0</v>
      </c>
      <c r="AE488" s="812" t="s">
        <v>1065</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7">
        <v>27</v>
      </c>
      <c r="B489" s="97"/>
      <c r="C489" s="1239" t="str">
        <f>IF(LEN(O488)&lt;=135,"",IF(LEN(O488)&lt;=260,RIGHT(O488,LEN(O488)-SEARCH(" ",O488,125)),MID(O488,SEARCH(" ",O488,130),IF(LEN(O488)&lt;=265,LEN(O488),SEARCH(" ",O488,255)-SEARCH(" ",O488,130)))))</f>
        <v/>
      </c>
      <c r="D489" s="57"/>
      <c r="E489" s="57"/>
      <c r="F489" s="57"/>
      <c r="G489" s="57"/>
      <c r="H489" s="57"/>
      <c r="I489" s="57"/>
      <c r="J489" s="57"/>
      <c r="K489" s="81"/>
      <c r="L489" s="957" t="s">
        <v>482</v>
      </c>
      <c r="M489" s="121"/>
      <c r="N489" s="855" t="s">
        <v>347</v>
      </c>
      <c r="O489" s="124"/>
      <c r="P489" s="1237">
        <f>LEN(O488)</f>
        <v>0</v>
      </c>
      <c r="Q489" s="124"/>
      <c r="R489" s="124"/>
      <c r="S489" s="124"/>
      <c r="T489" s="124"/>
      <c r="U489" s="124"/>
      <c r="V489" s="124"/>
      <c r="W489" s="125"/>
      <c r="X489" s="939" t="s">
        <v>482</v>
      </c>
      <c r="Y489" s="432"/>
      <c r="Z489" s="432"/>
      <c r="AA489" s="955" t="s">
        <v>371</v>
      </c>
      <c r="AB489" s="706"/>
      <c r="AC489" s="781" t="str">
        <f t="shared" si="70"/>
        <v/>
      </c>
      <c r="AD489" s="1234"/>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7">
        <v>28</v>
      </c>
      <c r="B490" s="97"/>
      <c r="C490" s="1239" t="str">
        <f>IF(LEN(O488)&lt;=265,"",RIGHT(O488,LEN(O488)-SEARCH(" ",O488,255)))</f>
        <v/>
      </c>
      <c r="D490" s="57"/>
      <c r="E490" s="57"/>
      <c r="F490" s="57"/>
      <c r="G490" s="57"/>
      <c r="H490" s="57"/>
      <c r="I490" s="57"/>
      <c r="J490" s="57"/>
      <c r="K490" s="81"/>
      <c r="L490" s="957" t="s">
        <v>482</v>
      </c>
      <c r="M490" s="146"/>
      <c r="N490" s="1378" t="s">
        <v>696</v>
      </c>
      <c r="O490" s="1380"/>
      <c r="P490" s="124"/>
      <c r="Q490" s="124"/>
      <c r="R490" s="55"/>
      <c r="S490" s="55"/>
      <c r="T490" s="55"/>
      <c r="U490" s="55"/>
      <c r="V490" s="55"/>
      <c r="W490" s="122"/>
      <c r="X490" s="939" t="s">
        <v>482</v>
      </c>
      <c r="Y490" s="432"/>
      <c r="Z490" s="432"/>
      <c r="AA490" s="768" t="str">
        <f t="shared" ref="AA490:AA499" si="78">IF(M87="","N/A",M87)</f>
        <v>CXR</v>
      </c>
      <c r="AB490" s="1425"/>
      <c r="AC490" s="781" t="str">
        <f t="shared" si="70"/>
        <v/>
      </c>
      <c r="AD490" s="1435" t="str">
        <f t="shared" ref="AD490:AD499" si="79">U87</f>
        <v/>
      </c>
      <c r="AE490" s="812" t="s">
        <v>1066</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7">
        <v>29</v>
      </c>
      <c r="B491" s="155"/>
      <c r="C491" s="63"/>
      <c r="D491" s="63"/>
      <c r="E491" s="63"/>
      <c r="F491" s="63"/>
      <c r="G491" s="63"/>
      <c r="H491" s="63"/>
      <c r="I491" s="63"/>
      <c r="J491" s="63"/>
      <c r="K491" s="81"/>
      <c r="L491" s="957" t="s">
        <v>482</v>
      </c>
      <c r="M491" s="155"/>
      <c r="N491" s="63"/>
      <c r="O491" s="63"/>
      <c r="P491" s="63"/>
      <c r="Q491" s="63"/>
      <c r="R491" s="63"/>
      <c r="S491" s="63"/>
      <c r="T491" s="63"/>
      <c r="U491" s="63"/>
      <c r="V491" s="63"/>
      <c r="W491" s="81"/>
      <c r="X491" s="939" t="s">
        <v>482</v>
      </c>
      <c r="Y491" s="432"/>
      <c r="Z491" s="432"/>
      <c r="AA491" s="768" t="str">
        <f t="shared" si="78"/>
        <v>Abdomen AP</v>
      </c>
      <c r="AB491" s="1426"/>
      <c r="AC491" s="781" t="str">
        <f t="shared" si="70"/>
        <v/>
      </c>
      <c r="AD491" s="1435" t="str">
        <f t="shared" si="79"/>
        <v/>
      </c>
      <c r="AE491" s="812" t="s">
        <v>1067</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7">
        <v>30</v>
      </c>
      <c r="B492" s="242" t="s">
        <v>649</v>
      </c>
      <c r="C492" s="56"/>
      <c r="D492" s="56"/>
      <c r="E492" s="56"/>
      <c r="F492" s="186" t="s">
        <v>650</v>
      </c>
      <c r="G492" s="187"/>
      <c r="H492" s="56"/>
      <c r="I492" s="56"/>
      <c r="J492" s="56"/>
      <c r="K492" s="81"/>
      <c r="L492" s="957" t="s">
        <v>482</v>
      </c>
      <c r="M492" s="155"/>
      <c r="N492" s="245" t="s">
        <v>649</v>
      </c>
      <c r="O492" s="56"/>
      <c r="P492" s="56"/>
      <c r="Q492" s="186" t="s">
        <v>650</v>
      </c>
      <c r="R492" s="187"/>
      <c r="S492" s="56"/>
      <c r="T492" s="63"/>
      <c r="U492" s="56"/>
      <c r="V492" s="56"/>
      <c r="W492" s="81"/>
      <c r="X492" s="939" t="s">
        <v>482</v>
      </c>
      <c r="Y492" s="432"/>
      <c r="Z492" s="432"/>
      <c r="AA492" s="768" t="str">
        <f t="shared" si="78"/>
        <v>Ribs</v>
      </c>
      <c r="AB492" s="1426"/>
      <c r="AC492" s="781" t="str">
        <f t="shared" si="70"/>
        <v/>
      </c>
      <c r="AD492" s="1435" t="str">
        <f t="shared" si="79"/>
        <v/>
      </c>
      <c r="AE492" s="812" t="s">
        <v>1068</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7">
        <v>31</v>
      </c>
      <c r="B493" s="242" t="s">
        <v>651</v>
      </c>
      <c r="C493" s="56"/>
      <c r="D493" s="56"/>
      <c r="E493" s="56"/>
      <c r="F493" s="183" t="s">
        <v>532</v>
      </c>
      <c r="G493" s="183" t="s">
        <v>531</v>
      </c>
      <c r="H493" s="56"/>
      <c r="I493" s="56"/>
      <c r="J493" s="56"/>
      <c r="K493" s="81"/>
      <c r="L493" s="957" t="s">
        <v>482</v>
      </c>
      <c r="M493" s="155"/>
      <c r="N493" s="245" t="s">
        <v>651</v>
      </c>
      <c r="O493" s="56"/>
      <c r="P493" s="56"/>
      <c r="Q493" s="31" t="s">
        <v>532</v>
      </c>
      <c r="R493" s="31" t="s">
        <v>531</v>
      </c>
      <c r="S493" s="56"/>
      <c r="T493" s="63"/>
      <c r="U493" s="56"/>
      <c r="V493" s="56"/>
      <c r="W493" s="81"/>
      <c r="X493" s="939" t="s">
        <v>482</v>
      </c>
      <c r="Y493" s="432"/>
      <c r="Z493" s="432"/>
      <c r="AA493" s="768" t="str">
        <f t="shared" si="78"/>
        <v>C-Spine AP</v>
      </c>
      <c r="AB493" s="1426"/>
      <c r="AC493" s="781" t="str">
        <f t="shared" si="70"/>
        <v/>
      </c>
      <c r="AD493" s="1435" t="str">
        <f t="shared" si="79"/>
        <v/>
      </c>
      <c r="AE493" s="812" t="s">
        <v>1069</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7">
        <v>32</v>
      </c>
      <c r="B494" s="155"/>
      <c r="C494" s="56"/>
      <c r="D494" s="56"/>
      <c r="E494" s="56"/>
      <c r="F494" s="142" t="str">
        <f>IF(Q494="","",Q494)</f>
        <v/>
      </c>
      <c r="G494" s="142" t="str">
        <f>IF(R494="","",R494)</f>
        <v/>
      </c>
      <c r="H494" s="56"/>
      <c r="I494" s="48" t="s">
        <v>646</v>
      </c>
      <c r="J494" s="175" t="str">
        <f>IF(V494="","",V494)</f>
        <v>TBD</v>
      </c>
      <c r="K494" s="81"/>
      <c r="L494" s="957" t="s">
        <v>482</v>
      </c>
      <c r="M494" s="146"/>
      <c r="N494" s="56"/>
      <c r="O494" s="56"/>
      <c r="P494" s="56"/>
      <c r="Q494" s="863"/>
      <c r="R494" s="863"/>
      <c r="S494" s="56"/>
      <c r="T494" s="63"/>
      <c r="U494" s="1040" t="s">
        <v>646</v>
      </c>
      <c r="V494" s="1021" t="str">
        <f>IF(Q494="NA","NA",IF(OR(Q494="",R494=""),"TBD",IF(AND(Q494&lt;=5,R494&lt;=5),"YES","NO")))</f>
        <v>TBD</v>
      </c>
      <c r="W494" s="81"/>
      <c r="X494" s="939" t="s">
        <v>482</v>
      </c>
      <c r="Y494" s="432"/>
      <c r="Z494" s="432"/>
      <c r="AA494" s="768" t="str">
        <f t="shared" si="78"/>
        <v>Skull</v>
      </c>
      <c r="AB494" s="1426"/>
      <c r="AC494" s="781" t="str">
        <f t="shared" si="70"/>
        <v/>
      </c>
      <c r="AD494" s="1435" t="str">
        <f t="shared" si="79"/>
        <v/>
      </c>
      <c r="AE494" s="812" t="s">
        <v>1070</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7">
        <v>33</v>
      </c>
      <c r="B495" s="146"/>
      <c r="C495" s="56"/>
      <c r="D495" s="56"/>
      <c r="E495" s="56"/>
      <c r="F495" s="63"/>
      <c r="G495" s="63"/>
      <c r="H495" s="63"/>
      <c r="I495" s="63"/>
      <c r="J495" s="63"/>
      <c r="K495" s="81"/>
      <c r="L495" s="957" t="s">
        <v>482</v>
      </c>
      <c r="M495" s="146"/>
      <c r="N495" s="56"/>
      <c r="O495" s="56"/>
      <c r="P495" s="995" t="s">
        <v>447</v>
      </c>
      <c r="Q495" s="1109" t="str">
        <f>IF(AB92="","",AB92)</f>
        <v/>
      </c>
      <c r="R495" s="1109" t="str">
        <f>IF(AB93="","",AB93)</f>
        <v/>
      </c>
      <c r="S495" s="63"/>
      <c r="T495" s="63"/>
      <c r="U495" s="63"/>
      <c r="V495" s="63"/>
      <c r="W495" s="81"/>
      <c r="X495" s="939" t="s">
        <v>482</v>
      </c>
      <c r="Y495" s="432"/>
      <c r="Z495" s="432"/>
      <c r="AA495" s="768" t="str">
        <f t="shared" si="78"/>
        <v>Foot</v>
      </c>
      <c r="AB495" s="1426"/>
      <c r="AC495" s="781" t="str">
        <f t="shared" si="70"/>
        <v/>
      </c>
      <c r="AD495" s="1435" t="str">
        <f t="shared" si="79"/>
        <v/>
      </c>
      <c r="AE495" s="812" t="s">
        <v>1071</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7">
        <v>34</v>
      </c>
      <c r="B496" s="243" t="s">
        <v>647</v>
      </c>
      <c r="C496" s="319" t="s">
        <v>653</v>
      </c>
      <c r="D496" s="56"/>
      <c r="E496" s="56"/>
      <c r="F496" s="56"/>
      <c r="G496" s="56"/>
      <c r="H496" s="63"/>
      <c r="I496" s="63"/>
      <c r="J496" s="56"/>
      <c r="K496" s="81"/>
      <c r="L496" s="957" t="s">
        <v>482</v>
      </c>
      <c r="M496" s="137"/>
      <c r="N496" s="162" t="s">
        <v>647</v>
      </c>
      <c r="O496" s="319" t="s">
        <v>653</v>
      </c>
      <c r="P496" s="56"/>
      <c r="Q496" s="56"/>
      <c r="R496" s="56"/>
      <c r="S496" s="56"/>
      <c r="T496" s="63"/>
      <c r="U496" s="58"/>
      <c r="V496" s="56"/>
      <c r="W496" s="81"/>
      <c r="X496" s="939" t="s">
        <v>482</v>
      </c>
      <c r="Y496" s="432"/>
      <c r="Z496" s="432"/>
      <c r="AA496" s="768" t="str">
        <f t="shared" si="78"/>
        <v>Knee</v>
      </c>
      <c r="AB496" s="1426"/>
      <c r="AC496" s="781" t="str">
        <f t="shared" si="70"/>
        <v/>
      </c>
      <c r="AD496" s="1435" t="str">
        <f t="shared" si="79"/>
        <v/>
      </c>
      <c r="AE496" s="812" t="s">
        <v>1072</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7">
        <v>35</v>
      </c>
      <c r="B497" s="155"/>
      <c r="C497" s="63"/>
      <c r="D497" s="56"/>
      <c r="E497" s="56"/>
      <c r="F497" s="56"/>
      <c r="G497" s="56"/>
      <c r="H497" s="56"/>
      <c r="I497" s="56"/>
      <c r="J497" s="56"/>
      <c r="K497" s="81"/>
      <c r="L497" s="957" t="s">
        <v>482</v>
      </c>
      <c r="M497" s="155"/>
      <c r="N497" s="63"/>
      <c r="O497" s="63"/>
      <c r="P497" s="63"/>
      <c r="Q497" s="63"/>
      <c r="R497" s="63"/>
      <c r="S497" s="63"/>
      <c r="T497" s="63"/>
      <c r="U497" s="63"/>
      <c r="V497" s="63"/>
      <c r="W497" s="81"/>
      <c r="X497" s="939" t="s">
        <v>482</v>
      </c>
      <c r="Y497" s="432"/>
      <c r="Z497" s="432"/>
      <c r="AA497" s="768" t="str">
        <f t="shared" si="78"/>
        <v>Pelvis AP</v>
      </c>
      <c r="AB497" s="1426"/>
      <c r="AC497" s="781" t="str">
        <f t="shared" si="70"/>
        <v/>
      </c>
      <c r="AD497" s="1435" t="str">
        <f t="shared" si="79"/>
        <v/>
      </c>
      <c r="AE497" s="812" t="s">
        <v>1073</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7">
        <v>36</v>
      </c>
      <c r="B498" s="120" t="s">
        <v>629</v>
      </c>
      <c r="C498" s="1238" t="str">
        <f>IF(O498="","",IF(LEN(O498)&lt;=135,O498,IF(LEN(O498)&lt;=260,LEFT(O498,SEARCH(" ",O498,125)),LEFT(O498,SEARCH(" ",O498,130)))))</f>
        <v/>
      </c>
      <c r="D498" s="57"/>
      <c r="E498" s="57"/>
      <c r="F498" s="57"/>
      <c r="G498" s="57"/>
      <c r="H498" s="57"/>
      <c r="I498" s="57"/>
      <c r="J498" s="57"/>
      <c r="K498" s="81"/>
      <c r="L498" s="957" t="s">
        <v>482</v>
      </c>
      <c r="M498" s="155"/>
      <c r="N498" s="814" t="s">
        <v>629</v>
      </c>
      <c r="O498" s="994" t="str">
        <f>IF(O500&lt;&gt;"",O500,IF(OR(AB431=0,AB431=""),"",AB431))</f>
        <v/>
      </c>
      <c r="P498" s="55"/>
      <c r="Q498" s="55"/>
      <c r="R498" s="55"/>
      <c r="S498" s="55"/>
      <c r="T498" s="55"/>
      <c r="U498" s="55"/>
      <c r="V498" s="55"/>
      <c r="W498" s="122"/>
      <c r="X498" s="939" t="s">
        <v>482</v>
      </c>
      <c r="Y498" s="432"/>
      <c r="Z498" s="432"/>
      <c r="AA498" s="768" t="str">
        <f t="shared" si="78"/>
        <v>Shoulder</v>
      </c>
      <c r="AB498" s="1426"/>
      <c r="AC498" s="781" t="str">
        <f t="shared" si="70"/>
        <v/>
      </c>
      <c r="AD498" s="1435" t="str">
        <f t="shared" si="79"/>
        <v/>
      </c>
      <c r="AE498" s="812" t="s">
        <v>1074</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7">
        <v>37</v>
      </c>
      <c r="B499" s="97"/>
      <c r="C499" s="1239" t="str">
        <f>IF(LEN(O498)&lt;=135,"",IF(LEN(O498)&lt;=260,RIGHT(O498,LEN(O498)-SEARCH(" ",O498,125)),MID(O498,SEARCH(" ",O498,130),IF(LEN(O498)&lt;=265,LEN(O498),SEARCH(" ",O498,255)-SEARCH(" ",O498,130)))))</f>
        <v/>
      </c>
      <c r="D499" s="57"/>
      <c r="E499" s="57"/>
      <c r="F499" s="57"/>
      <c r="G499" s="57"/>
      <c r="H499" s="57"/>
      <c r="I499" s="57"/>
      <c r="J499" s="57"/>
      <c r="K499" s="81"/>
      <c r="L499" s="957" t="s">
        <v>482</v>
      </c>
      <c r="M499" s="121"/>
      <c r="N499" s="855" t="s">
        <v>347</v>
      </c>
      <c r="O499" s="124"/>
      <c r="P499" s="1237">
        <f>LEN(O498)</f>
        <v>0</v>
      </c>
      <c r="Q499" s="124"/>
      <c r="R499" s="124"/>
      <c r="S499" s="124"/>
      <c r="T499" s="124"/>
      <c r="U499" s="124"/>
      <c r="V499" s="124"/>
      <c r="W499" s="125"/>
      <c r="X499" s="939" t="s">
        <v>482</v>
      </c>
      <c r="Y499" s="432"/>
      <c r="Z499" s="432"/>
      <c r="AA499" s="768" t="str">
        <f t="shared" si="78"/>
        <v>LS Spine AP</v>
      </c>
      <c r="AB499" s="1426"/>
      <c r="AC499" s="781" t="str">
        <f t="shared" si="70"/>
        <v/>
      </c>
      <c r="AD499" s="1435" t="str">
        <f t="shared" si="79"/>
        <v/>
      </c>
      <c r="AE499" s="812" t="s">
        <v>1075</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7">
        <v>38</v>
      </c>
      <c r="B500" s="97"/>
      <c r="C500" s="1238" t="str">
        <f>IF(LEN(O498)&lt;=265,"",RIGHT(O498,LEN(O498)-SEARCH(" ",O498,255)))</f>
        <v/>
      </c>
      <c r="D500" s="57"/>
      <c r="E500" s="57"/>
      <c r="F500" s="57"/>
      <c r="G500" s="57"/>
      <c r="H500" s="57"/>
      <c r="I500" s="57"/>
      <c r="J500" s="57"/>
      <c r="K500" s="81"/>
      <c r="L500" s="957" t="s">
        <v>482</v>
      </c>
      <c r="M500" s="146"/>
      <c r="N500" s="1378" t="s">
        <v>696</v>
      </c>
      <c r="O500" s="1380"/>
      <c r="P500" s="124"/>
      <c r="Q500" s="124"/>
      <c r="R500" s="55"/>
      <c r="S500" s="55"/>
      <c r="T500" s="55"/>
      <c r="U500" s="55"/>
      <c r="V500" s="55"/>
      <c r="W500" s="122"/>
      <c r="X500" s="939" t="s">
        <v>482</v>
      </c>
      <c r="Y500" s="432"/>
      <c r="Z500" s="432"/>
      <c r="AA500" s="768"/>
      <c r="AB500" s="706"/>
      <c r="AC500" s="781" t="str">
        <f t="shared" si="70"/>
        <v/>
      </c>
      <c r="AD500" s="1234"/>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7">
        <v>39</v>
      </c>
      <c r="B501" s="155"/>
      <c r="C501" s="63"/>
      <c r="D501" s="63"/>
      <c r="E501" s="63"/>
      <c r="F501" s="63"/>
      <c r="G501" s="63"/>
      <c r="H501" s="63"/>
      <c r="I501" s="63"/>
      <c r="J501" s="63"/>
      <c r="K501" s="81"/>
      <c r="L501" s="957" t="s">
        <v>482</v>
      </c>
      <c r="M501" s="155"/>
      <c r="N501" s="63"/>
      <c r="O501" s="63"/>
      <c r="P501" s="63"/>
      <c r="Q501" s="63"/>
      <c r="R501" s="63"/>
      <c r="S501" s="63"/>
      <c r="T501" s="63"/>
      <c r="U501" s="63"/>
      <c r="V501" s="63"/>
      <c r="W501" s="81"/>
      <c r="X501" s="939" t="s">
        <v>482</v>
      </c>
      <c r="Y501" s="432"/>
      <c r="Z501" s="432"/>
      <c r="AA501" s="775" t="s">
        <v>372</v>
      </c>
      <c r="AB501" s="1417"/>
      <c r="AC501" s="781" t="str">
        <f t="shared" si="70"/>
        <v/>
      </c>
      <c r="AD501" s="1443">
        <f>O170</f>
        <v>0</v>
      </c>
      <c r="AE501" s="812" t="s">
        <v>1076</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7">
        <v>40</v>
      </c>
      <c r="B502" s="242" t="s">
        <v>654</v>
      </c>
      <c r="C502" s="45"/>
      <c r="D502" s="63"/>
      <c r="E502" s="156" t="str">
        <f>Q502</f>
        <v>Measurements (lux) at 100cm*</v>
      </c>
      <c r="F502" s="156"/>
      <c r="G502" s="63"/>
      <c r="H502" s="63"/>
      <c r="I502" s="156" t="s">
        <v>655</v>
      </c>
      <c r="J502" s="202"/>
      <c r="K502" s="81"/>
      <c r="L502" s="957" t="s">
        <v>482</v>
      </c>
      <c r="M502" s="155"/>
      <c r="N502" s="245" t="s">
        <v>654</v>
      </c>
      <c r="O502" s="45"/>
      <c r="P502" s="63"/>
      <c r="Q502" s="156" t="str">
        <f>IF(OR(O507="",O507=2),"Measurements (lux) at 100cm*",IF(O507=1,"Measurements (Ft-cd) at 100cm*"))</f>
        <v>Measurements (lux) at 100cm*</v>
      </c>
      <c r="R502" s="156"/>
      <c r="S502" s="63"/>
      <c r="T502" s="63"/>
      <c r="U502" s="156" t="s">
        <v>655</v>
      </c>
      <c r="V502" s="202"/>
      <c r="W502" s="81"/>
      <c r="X502" s="939" t="s">
        <v>482</v>
      </c>
      <c r="Y502" s="432"/>
      <c r="Z502" s="432"/>
      <c r="AA502" s="769"/>
      <c r="AB502" s="706"/>
      <c r="AC502" s="781" t="str">
        <f t="shared" si="70"/>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7">
        <v>41</v>
      </c>
      <c r="B503" s="242" t="s">
        <v>656</v>
      </c>
      <c r="C503" s="63"/>
      <c r="D503" s="283" t="s">
        <v>657</v>
      </c>
      <c r="E503" s="283" t="s">
        <v>658</v>
      </c>
      <c r="F503" s="283" t="s">
        <v>659</v>
      </c>
      <c r="G503" s="340" t="s">
        <v>660</v>
      </c>
      <c r="H503" s="45"/>
      <c r="I503" s="191" t="str">
        <f>U503</f>
        <v>(lux)</v>
      </c>
      <c r="J503" s="200"/>
      <c r="K503" s="81"/>
      <c r="L503" s="957" t="s">
        <v>482</v>
      </c>
      <c r="M503" s="155"/>
      <c r="N503" s="245" t="s">
        <v>656</v>
      </c>
      <c r="O503" s="63"/>
      <c r="P503" s="188" t="s">
        <v>657</v>
      </c>
      <c r="Q503" s="188" t="s">
        <v>658</v>
      </c>
      <c r="R503" s="188" t="s">
        <v>659</v>
      </c>
      <c r="S503" s="189" t="s">
        <v>660</v>
      </c>
      <c r="T503" s="63"/>
      <c r="U503" s="191" t="str">
        <f>IF(OR(O507="",O507=2),"(lux)",IF(O507=1,"(ft-cd)"))</f>
        <v>(lux)</v>
      </c>
      <c r="V503" s="200"/>
      <c r="W503" s="81"/>
      <c r="X503" s="939" t="s">
        <v>482</v>
      </c>
      <c r="Y503" s="432"/>
      <c r="Z503" s="432"/>
      <c r="AA503" s="769"/>
      <c r="AB503" s="1417"/>
      <c r="AC503" s="781" t="str">
        <f t="shared" si="70"/>
        <v/>
      </c>
      <c r="AD503" s="1443">
        <f>O172</f>
        <v>0</v>
      </c>
      <c r="AE503" s="812" t="s">
        <v>1077</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7">
        <v>42</v>
      </c>
      <c r="B504" s="197"/>
      <c r="C504" s="63"/>
      <c r="D504" s="22" t="str">
        <f>IF(P504="","",P504)</f>
        <v/>
      </c>
      <c r="E504" s="22" t="str">
        <f>IF(Q504="","",Q504)</f>
        <v/>
      </c>
      <c r="F504" s="22" t="str">
        <f>IF(R504="","",R504)</f>
        <v/>
      </c>
      <c r="G504" s="22" t="str">
        <f>IF(S504="","",S504)</f>
        <v/>
      </c>
      <c r="H504" s="45"/>
      <c r="I504" s="1773" t="str">
        <f>IF(U504="","",U504)</f>
        <v>TBD</v>
      </c>
      <c r="J504" s="1774"/>
      <c r="K504" s="81"/>
      <c r="L504" s="957" t="s">
        <v>482</v>
      </c>
      <c r="M504" s="197"/>
      <c r="N504" s="63"/>
      <c r="O504" s="63"/>
      <c r="P504" s="1044"/>
      <c r="Q504" s="1044"/>
      <c r="R504" s="1044"/>
      <c r="S504" s="892"/>
      <c r="T504" s="63"/>
      <c r="U504" s="1181" t="str">
        <f>IF(OR(V506="NA",P504="NA"),"NA",IF(OR(P504="",Q504="",R504="",S504=""),"TBD",AVERAGE(P504:S504)))</f>
        <v>TBD</v>
      </c>
      <c r="V504" s="1182"/>
      <c r="W504" s="81"/>
      <c r="X504" s="939" t="s">
        <v>482</v>
      </c>
      <c r="Y504" s="432"/>
      <c r="Z504" s="432"/>
      <c r="AA504" s="769"/>
      <c r="AB504" s="706"/>
      <c r="AC504" s="781" t="str">
        <f t="shared" si="70"/>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7">
        <v>43</v>
      </c>
      <c r="B505" s="197"/>
      <c r="C505" s="63"/>
      <c r="D505" s="58" t="s">
        <v>661</v>
      </c>
      <c r="E505" s="63"/>
      <c r="F505" s="63"/>
      <c r="G505" s="63"/>
      <c r="H505" s="63"/>
      <c r="I505" s="63"/>
      <c r="J505" s="63"/>
      <c r="K505" s="81"/>
      <c r="L505" s="957" t="s">
        <v>482</v>
      </c>
      <c r="M505" s="197"/>
      <c r="N505" s="63"/>
      <c r="O505" s="63"/>
      <c r="P505" s="58" t="s">
        <v>661</v>
      </c>
      <c r="Q505" s="63"/>
      <c r="R505" s="63"/>
      <c r="S505" s="63"/>
      <c r="W505" s="81"/>
      <c r="X505" s="939" t="s">
        <v>482</v>
      </c>
      <c r="Y505" s="432"/>
      <c r="Z505" s="432"/>
      <c r="AA505" s="769"/>
      <c r="AB505" s="1417"/>
      <c r="AC505" s="781" t="str">
        <f t="shared" si="70"/>
        <v/>
      </c>
      <c r="AD505" s="1443">
        <f>O174</f>
        <v>0</v>
      </c>
      <c r="AE505" s="812" t="s">
        <v>1078</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7">
        <v>44</v>
      </c>
      <c r="B506" s="243" t="s">
        <v>647</v>
      </c>
      <c r="C506" s="115" t="str">
        <f>O508</f>
        <v>Average light field illumination &gt;= 160 lux.</v>
      </c>
      <c r="D506" s="63"/>
      <c r="E506" s="63"/>
      <c r="F506" s="63"/>
      <c r="G506" s="63"/>
      <c r="H506" s="63"/>
      <c r="I506" s="48" t="s">
        <v>646</v>
      </c>
      <c r="J506" s="175" t="str">
        <f>IF(V506="","",V506)</f>
        <v>TBD</v>
      </c>
      <c r="K506" s="81"/>
      <c r="L506" s="957" t="s">
        <v>482</v>
      </c>
      <c r="M506" s="155"/>
      <c r="N506" s="617" t="s">
        <v>1155</v>
      </c>
      <c r="O506" s="1484" t="str">
        <f>IF(O507&lt;&gt;"",O507,IF(OR(AB474=0,AB474=""),"",AB474))</f>
        <v/>
      </c>
      <c r="P506" s="966" t="s">
        <v>1156</v>
      </c>
      <c r="Q506" s="63"/>
      <c r="R506" s="63"/>
      <c r="S506" s="63"/>
      <c r="T506" s="63"/>
      <c r="U506" s="1040" t="s">
        <v>646</v>
      </c>
      <c r="V506" s="1021" t="str">
        <f>IF(OR(M473=2,M473=3,P504="NA"),"NA",IF(OR(P504="",Q504="",R504="",S504=""),"TBD",IF(O507=1,IF(AVERAGE(P504:S504)&gt;=15,"YES","NO"),IF(OR(O507="",O507=2),IF(AVERAGE(P504:S504)&gt;160,"YES","NO")))))</f>
        <v>TBD</v>
      </c>
      <c r="W506" s="81"/>
      <c r="X506" s="939" t="s">
        <v>482</v>
      </c>
      <c r="Y506" s="432"/>
      <c r="Z506" s="432"/>
      <c r="AA506" s="769"/>
      <c r="AB506" s="706"/>
      <c r="AC506" s="781" t="str">
        <f t="shared" si="70"/>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7">
        <v>45</v>
      </c>
      <c r="B507" s="155"/>
      <c r="C507" s="62" t="s">
        <v>79</v>
      </c>
      <c r="D507" s="124" t="str">
        <f>IF($O$687="","",$O$687)</f>
        <v>Piranha CB2-17090320</v>
      </c>
      <c r="E507" s="287"/>
      <c r="F507" s="1699"/>
      <c r="G507" s="62" t="s">
        <v>1234</v>
      </c>
      <c r="H507" s="1680">
        <f>IF(H692="","",H692)</f>
        <v>43014</v>
      </c>
      <c r="I507" s="63"/>
      <c r="J507" s="62" t="s">
        <v>1246</v>
      </c>
      <c r="K507" s="1681">
        <f>IF(K692="","",K692)</f>
        <v>43744</v>
      </c>
      <c r="L507" s="957" t="s">
        <v>482</v>
      </c>
      <c r="M507" s="137"/>
      <c r="O507" s="982"/>
      <c r="W507" s="81"/>
      <c r="X507" s="939" t="s">
        <v>482</v>
      </c>
      <c r="Y507" s="432"/>
      <c r="Z507" s="432"/>
      <c r="AA507" s="769"/>
      <c r="AB507" s="1417"/>
      <c r="AC507" s="781" t="str">
        <f t="shared" si="70"/>
        <v/>
      </c>
      <c r="AD507" s="1443">
        <f>O176</f>
        <v>0</v>
      </c>
      <c r="AE507" s="812" t="s">
        <v>1079</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7">
        <v>46</v>
      </c>
      <c r="B508" s="155"/>
      <c r="C508" s="63"/>
      <c r="D508" s="63"/>
      <c r="E508" s="63"/>
      <c r="F508" s="63"/>
      <c r="G508" s="63"/>
      <c r="H508" s="63"/>
      <c r="I508" s="63"/>
      <c r="J508" s="63"/>
      <c r="K508" s="81"/>
      <c r="L508" s="957" t="s">
        <v>482</v>
      </c>
      <c r="M508" s="155"/>
      <c r="N508" s="162" t="s">
        <v>647</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9" t="s">
        <v>482</v>
      </c>
      <c r="Y508" s="432"/>
      <c r="Z508" s="432"/>
      <c r="AA508" s="769"/>
      <c r="AB508" s="706"/>
      <c r="AC508" s="781" t="str">
        <f t="shared" si="70"/>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7">
        <v>47</v>
      </c>
      <c r="B509" s="120" t="s">
        <v>629</v>
      </c>
      <c r="C509" s="1238" t="str">
        <f>IF(O510="","",IF(LEN(O510)&lt;=135,O510,IF(LEN(O510)&lt;=260,LEFT(O510,SEARCH(" ",O510,125)),LEFT(O510,SEARCH(" ",O510,130)))))</f>
        <v/>
      </c>
      <c r="D509" s="57"/>
      <c r="E509" s="57"/>
      <c r="F509" s="57"/>
      <c r="G509" s="57"/>
      <c r="H509" s="57"/>
      <c r="I509" s="57"/>
      <c r="J509" s="57"/>
      <c r="K509" s="96"/>
      <c r="L509" s="957" t="s">
        <v>482</v>
      </c>
      <c r="M509" s="155"/>
      <c r="N509" s="63"/>
      <c r="O509" s="63"/>
      <c r="P509" s="63"/>
      <c r="Q509" s="63"/>
      <c r="R509" s="63"/>
      <c r="S509" s="63"/>
      <c r="T509" s="995" t="s">
        <v>447</v>
      </c>
      <c r="U509" s="1764" t="str">
        <f>IF(OR(AB473=0,AB473=""),"",AB473)</f>
        <v/>
      </c>
      <c r="V509" s="1765"/>
      <c r="W509" s="81"/>
      <c r="X509" s="939" t="s">
        <v>482</v>
      </c>
      <c r="Y509" s="432"/>
      <c r="Z509" s="432"/>
      <c r="AA509" s="769"/>
      <c r="AB509" s="1417"/>
      <c r="AC509" s="781" t="str">
        <f t="shared" si="70"/>
        <v/>
      </c>
      <c r="AD509" s="1443">
        <f>O178</f>
        <v>0</v>
      </c>
      <c r="AE509" s="812" t="s">
        <v>1080</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7">
        <v>48</v>
      </c>
      <c r="B510" s="97"/>
      <c r="C510" s="1239" t="str">
        <f>IF(LEN(O510)&lt;=135,"",IF(LEN(O510)&lt;=260,RIGHT(O510,LEN(O510)-SEARCH(" ",O510,125)),MID(O510,SEARCH(" ",O510,130),IF(LEN(O510)&lt;=265,LEN(O510),SEARCH(" ",O510,255)-SEARCH(" ",O510,130)))))</f>
        <v/>
      </c>
      <c r="D510" s="57"/>
      <c r="E510" s="57"/>
      <c r="F510" s="57"/>
      <c r="G510" s="57"/>
      <c r="H510" s="57"/>
      <c r="I510" s="57"/>
      <c r="J510" s="57"/>
      <c r="K510" s="96"/>
      <c r="L510" s="957" t="s">
        <v>482</v>
      </c>
      <c r="M510" s="121"/>
      <c r="N510" s="814" t="s">
        <v>629</v>
      </c>
      <c r="O510" s="994" t="str">
        <f>IF(O512&lt;&gt;"",O512,IF(OR(AB432=0,AB432=""),"",AB432))</f>
        <v/>
      </c>
      <c r="P510" s="55"/>
      <c r="Q510" s="55"/>
      <c r="R510" s="55"/>
      <c r="S510" s="55"/>
      <c r="T510" s="55"/>
      <c r="U510" s="55"/>
      <c r="V510" s="55"/>
      <c r="W510" s="122"/>
      <c r="X510" s="939" t="s">
        <v>482</v>
      </c>
      <c r="Y510" s="432"/>
      <c r="Z510" s="432"/>
      <c r="AA510" s="769"/>
      <c r="AB510" s="706"/>
      <c r="AC510" s="781" t="str">
        <f t="shared" si="70"/>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7">
        <v>49</v>
      </c>
      <c r="B511" s="97"/>
      <c r="C511" s="1238" t="str">
        <f>IF(LEN(O510)&lt;=265,"",RIGHT(O510,LEN(O510)-SEARCH(" ",O510,255)))</f>
        <v/>
      </c>
      <c r="D511" s="57"/>
      <c r="E511" s="57"/>
      <c r="F511" s="57"/>
      <c r="G511" s="57"/>
      <c r="H511" s="57"/>
      <c r="I511" s="57"/>
      <c r="J511" s="57"/>
      <c r="K511" s="96"/>
      <c r="L511" s="957" t="s">
        <v>482</v>
      </c>
      <c r="M511" s="146"/>
      <c r="N511" s="855" t="s">
        <v>347</v>
      </c>
      <c r="O511" s="124"/>
      <c r="P511" s="1237">
        <f>LEN(O510)</f>
        <v>0</v>
      </c>
      <c r="Q511" s="124"/>
      <c r="R511" s="124"/>
      <c r="S511" s="124"/>
      <c r="T511" s="124"/>
      <c r="U511" s="124"/>
      <c r="V511" s="124"/>
      <c r="W511" s="125"/>
      <c r="X511" s="939" t="s">
        <v>482</v>
      </c>
      <c r="Y511" s="432"/>
      <c r="Z511" s="432"/>
      <c r="AA511" s="769"/>
      <c r="AB511" s="1417"/>
      <c r="AC511" s="781" t="str">
        <f t="shared" si="70"/>
        <v/>
      </c>
      <c r="AD511" s="1443">
        <f>O180</f>
        <v>0</v>
      </c>
      <c r="AE511" s="812" t="s">
        <v>1081</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7">
        <v>50</v>
      </c>
      <c r="B512" s="155"/>
      <c r="C512" s="63"/>
      <c r="D512" s="63"/>
      <c r="E512" s="63"/>
      <c r="F512" s="63"/>
      <c r="G512" s="63"/>
      <c r="H512" s="63"/>
      <c r="I512" s="63"/>
      <c r="J512" s="63"/>
      <c r="K512" s="81"/>
      <c r="L512" s="957" t="s">
        <v>482</v>
      </c>
      <c r="M512" s="155"/>
      <c r="N512" s="1378" t="s">
        <v>696</v>
      </c>
      <c r="O512" s="1380"/>
      <c r="P512" s="124"/>
      <c r="Q512" s="124"/>
      <c r="R512" s="55"/>
      <c r="S512" s="55"/>
      <c r="T512" s="55"/>
      <c r="U512" s="55"/>
      <c r="V512" s="55"/>
      <c r="W512" s="122"/>
      <c r="X512" s="939" t="s">
        <v>482</v>
      </c>
      <c r="Y512" s="432"/>
      <c r="Z512" s="432"/>
      <c r="AA512" s="769"/>
      <c r="AB512" s="706"/>
      <c r="AC512" s="781" t="str">
        <f t="shared" si="70"/>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7">
        <v>51</v>
      </c>
      <c r="B513" s="242"/>
      <c r="C513" s="111"/>
      <c r="D513" s="111"/>
      <c r="E513" s="156"/>
      <c r="F513" s="131"/>
      <c r="G513" s="111"/>
      <c r="H513" s="111"/>
      <c r="I513" s="111"/>
      <c r="J513" s="111"/>
      <c r="K513" s="96"/>
      <c r="L513" s="957" t="s">
        <v>482</v>
      </c>
      <c r="M513" s="155"/>
      <c r="W513" s="79"/>
      <c r="X513" s="939" t="s">
        <v>482</v>
      </c>
      <c r="Y513" s="432"/>
      <c r="Z513" s="432"/>
      <c r="AA513" s="769"/>
      <c r="AB513" s="1417"/>
      <c r="AC513" s="781" t="str">
        <f t="shared" si="70"/>
        <v/>
      </c>
      <c r="AD513" s="1443">
        <f>O182</f>
        <v>0</v>
      </c>
      <c r="AE513" s="812" t="s">
        <v>1082</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7">
        <v>52</v>
      </c>
      <c r="B514" s="242"/>
      <c r="C514" s="111"/>
      <c r="D514" s="129"/>
      <c r="E514" s="131"/>
      <c r="F514" s="129"/>
      <c r="G514" s="131"/>
      <c r="H514" s="111"/>
      <c r="I514" s="156"/>
      <c r="J514" s="61"/>
      <c r="K514" s="96"/>
      <c r="L514" s="957" t="s">
        <v>482</v>
      </c>
      <c r="M514" s="155"/>
      <c r="W514" s="79"/>
      <c r="X514" s="939" t="s">
        <v>482</v>
      </c>
      <c r="Y514" s="432"/>
      <c r="Z514" s="432"/>
      <c r="AA514" s="769"/>
      <c r="AB514" s="706"/>
      <c r="AC514" s="781" t="str">
        <f t="shared" si="70"/>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7">
        <v>53</v>
      </c>
      <c r="B515" s="76"/>
      <c r="C515" s="111"/>
      <c r="D515" s="157"/>
      <c r="E515" s="157"/>
      <c r="F515" s="157"/>
      <c r="G515" s="156"/>
      <c r="H515" s="111"/>
      <c r="I515" s="156"/>
      <c r="J515" s="61"/>
      <c r="K515" s="96"/>
      <c r="L515" s="957" t="s">
        <v>482</v>
      </c>
      <c r="M515" s="76"/>
      <c r="W515" s="79"/>
      <c r="X515" s="939" t="s">
        <v>482</v>
      </c>
      <c r="Y515" s="432"/>
      <c r="Z515" s="432"/>
      <c r="AA515" s="769"/>
      <c r="AB515" s="1417"/>
      <c r="AC515" s="781" t="str">
        <f t="shared" si="70"/>
        <v/>
      </c>
      <c r="AD515" s="1443">
        <f>O184</f>
        <v>0</v>
      </c>
      <c r="AE515" s="812" t="s">
        <v>1083</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7">
        <v>54</v>
      </c>
      <c r="B516" s="76"/>
      <c r="C516" s="111"/>
      <c r="D516" s="58"/>
      <c r="E516" s="111"/>
      <c r="F516" s="111"/>
      <c r="G516" s="111"/>
      <c r="H516" s="111"/>
      <c r="I516" s="111"/>
      <c r="J516" s="111"/>
      <c r="K516" s="96"/>
      <c r="L516" s="957" t="s">
        <v>482</v>
      </c>
      <c r="M516" s="76"/>
      <c r="W516" s="79"/>
      <c r="X516" s="939" t="s">
        <v>482</v>
      </c>
      <c r="Y516" s="432"/>
      <c r="Z516" s="432"/>
      <c r="AA516" s="769"/>
      <c r="AB516" s="706"/>
      <c r="AC516" s="781" t="str">
        <f t="shared" si="70"/>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7">
        <v>55</v>
      </c>
      <c r="B517" s="76"/>
      <c r="C517" s="111"/>
      <c r="D517" s="63"/>
      <c r="E517" s="63"/>
      <c r="F517" s="63"/>
      <c r="G517" s="63"/>
      <c r="H517" s="111"/>
      <c r="I517" s="41"/>
      <c r="J517" s="56"/>
      <c r="K517" s="96"/>
      <c r="L517" s="957" t="s">
        <v>482</v>
      </c>
      <c r="M517" s="76"/>
      <c r="W517" s="79"/>
      <c r="X517" s="939" t="s">
        <v>482</v>
      </c>
      <c r="Y517" s="432"/>
      <c r="Z517" s="432"/>
      <c r="AA517" s="769"/>
      <c r="AB517" s="1417"/>
      <c r="AC517" s="781" t="str">
        <f t="shared" si="70"/>
        <v/>
      </c>
      <c r="AD517" s="1443">
        <f>O186</f>
        <v>0</v>
      </c>
      <c r="AE517" s="812" t="s">
        <v>1084</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7">
        <v>56</v>
      </c>
      <c r="B518" s="243"/>
      <c r="C518" s="115"/>
      <c r="D518" s="111"/>
      <c r="E518" s="111"/>
      <c r="F518" s="111"/>
      <c r="G518" s="63"/>
      <c r="H518" s="63"/>
      <c r="I518" s="63"/>
      <c r="J518" s="63"/>
      <c r="K518" s="96"/>
      <c r="L518" s="957" t="s">
        <v>482</v>
      </c>
      <c r="M518" s="137"/>
      <c r="W518" s="79"/>
      <c r="X518" s="939" t="s">
        <v>482</v>
      </c>
      <c r="Z518" s="432"/>
      <c r="AA518" s="768"/>
      <c r="AB518" s="706"/>
      <c r="AC518" s="781" t="str">
        <f t="shared" si="70"/>
        <v/>
      </c>
      <c r="AD518" s="811"/>
      <c r="AE518" s="812"/>
    </row>
    <row r="519" spans="1:58" ht="11.25" customHeight="1">
      <c r="A519" s="857">
        <v>57</v>
      </c>
      <c r="B519" s="155"/>
      <c r="C519" s="63"/>
      <c r="D519" s="63"/>
      <c r="E519" s="63"/>
      <c r="F519" s="63"/>
      <c r="G519" s="63"/>
      <c r="H519" s="63"/>
      <c r="I519" s="63"/>
      <c r="J519" s="63"/>
      <c r="K519" s="81"/>
      <c r="L519" s="957" t="s">
        <v>482</v>
      </c>
      <c r="M519" s="155"/>
      <c r="W519" s="79"/>
      <c r="X519" s="939" t="s">
        <v>482</v>
      </c>
      <c r="Z519" s="432"/>
      <c r="AA519" s="955" t="s">
        <v>373</v>
      </c>
      <c r="AB519" s="706"/>
      <c r="AC519" s="781" t="str">
        <f t="shared" si="70"/>
        <v/>
      </c>
      <c r="AD519" s="769"/>
      <c r="AE519" s="812"/>
    </row>
    <row r="520" spans="1:58" ht="11.25" customHeight="1">
      <c r="A520" s="857">
        <v>58</v>
      </c>
      <c r="B520" s="120"/>
      <c r="C520" s="500"/>
      <c r="D520" s="119"/>
      <c r="E520" s="119"/>
      <c r="F520" s="119"/>
      <c r="G520" s="119"/>
      <c r="H520" s="119"/>
      <c r="I520" s="119"/>
      <c r="J520" s="119"/>
      <c r="K520" s="96"/>
      <c r="L520" s="957" t="s">
        <v>482</v>
      </c>
      <c r="M520" s="155"/>
      <c r="N520" s="182"/>
      <c r="O520" s="501"/>
      <c r="P520" s="56"/>
      <c r="Q520" s="56"/>
      <c r="R520" s="56"/>
      <c r="S520" s="56"/>
      <c r="T520" s="56"/>
      <c r="U520" s="56"/>
      <c r="V520" s="56"/>
      <c r="W520" s="79"/>
      <c r="X520" s="939" t="s">
        <v>482</v>
      </c>
      <c r="Z520" s="432"/>
      <c r="AA520" s="768" t="s">
        <v>374</v>
      </c>
      <c r="AB520" s="1423"/>
      <c r="AC520" s="781" t="str">
        <f t="shared" si="70"/>
        <v/>
      </c>
      <c r="AD520" s="1438" t="str">
        <f>O1225</f>
        <v/>
      </c>
      <c r="AE520" s="812" t="s">
        <v>1085</v>
      </c>
    </row>
    <row r="521" spans="1:58" ht="11.25" customHeight="1">
      <c r="A521" s="857">
        <v>59</v>
      </c>
      <c r="B521" s="97"/>
      <c r="C521" s="500"/>
      <c r="D521" s="119"/>
      <c r="E521" s="119"/>
      <c r="F521" s="119"/>
      <c r="G521" s="119"/>
      <c r="H521" s="119"/>
      <c r="I521" s="119"/>
      <c r="J521" s="119"/>
      <c r="K521" s="96"/>
      <c r="L521" s="957" t="s">
        <v>482</v>
      </c>
      <c r="M521" s="121"/>
      <c r="N521" s="58"/>
      <c r="O521" s="58"/>
      <c r="P521" s="58"/>
      <c r="Q521" s="58"/>
      <c r="R521" s="58"/>
      <c r="S521" s="58"/>
      <c r="T521" s="58"/>
      <c r="U521" s="58"/>
      <c r="V521" s="58"/>
      <c r="W521" s="80"/>
      <c r="X521" s="939" t="s">
        <v>482</v>
      </c>
      <c r="Z521" s="432"/>
      <c r="AA521" s="768" t="s">
        <v>375</v>
      </c>
      <c r="AB521" s="1424"/>
      <c r="AC521" s="781" t="str">
        <f t="shared" si="70"/>
        <v/>
      </c>
      <c r="AD521" s="1438">
        <f>W1261</f>
        <v>0</v>
      </c>
      <c r="AE521" s="812" t="s">
        <v>1086</v>
      </c>
    </row>
    <row r="522" spans="1:58" ht="11.25" customHeight="1">
      <c r="A522" s="857">
        <v>60</v>
      </c>
      <c r="B522" s="97"/>
      <c r="C522" s="500"/>
      <c r="D522" s="119"/>
      <c r="E522" s="119"/>
      <c r="F522" s="119"/>
      <c r="G522" s="119"/>
      <c r="H522" s="119"/>
      <c r="I522" s="119"/>
      <c r="J522" s="119"/>
      <c r="K522" s="96"/>
      <c r="L522" s="957" t="s">
        <v>482</v>
      </c>
      <c r="M522" s="146"/>
      <c r="N522" s="56"/>
      <c r="O522" s="58"/>
      <c r="P522" s="58"/>
      <c r="Q522" s="58"/>
      <c r="R522" s="56"/>
      <c r="S522" s="56"/>
      <c r="T522" s="56"/>
      <c r="U522" s="56"/>
      <c r="V522" s="56"/>
      <c r="W522" s="79"/>
      <c r="X522" s="939" t="s">
        <v>482</v>
      </c>
      <c r="AA522" s="768" t="s">
        <v>376</v>
      </c>
      <c r="AB522" s="1424"/>
      <c r="AC522" s="781" t="str">
        <f t="shared" si="70"/>
        <v/>
      </c>
      <c r="AD522" s="1438">
        <f>W1327</f>
        <v>0</v>
      </c>
      <c r="AE522" s="812" t="s">
        <v>1087</v>
      </c>
    </row>
    <row r="523" spans="1:58" ht="11.25" customHeight="1" thickBot="1">
      <c r="A523" s="857">
        <v>61</v>
      </c>
      <c r="B523" s="244"/>
      <c r="C523" s="94"/>
      <c r="D523" s="94"/>
      <c r="E523" s="94"/>
      <c r="F523" s="94"/>
      <c r="G523" s="94"/>
      <c r="H523" s="94"/>
      <c r="I523" s="94"/>
      <c r="J523" s="94"/>
      <c r="K523" s="99"/>
      <c r="L523" s="957" t="s">
        <v>482</v>
      </c>
      <c r="M523" s="112"/>
      <c r="N523" s="94"/>
      <c r="O523" s="94"/>
      <c r="P523" s="94"/>
      <c r="Q523" s="94"/>
      <c r="R523" s="94"/>
      <c r="S523" s="94"/>
      <c r="T523" s="94"/>
      <c r="U523" s="94"/>
      <c r="V523" s="94"/>
      <c r="W523" s="99"/>
      <c r="X523" s="939" t="s">
        <v>482</v>
      </c>
      <c r="AA523" s="432"/>
      <c r="AB523" s="1234"/>
      <c r="AD523" s="1234"/>
    </row>
    <row r="524" spans="1:58" ht="11.25" customHeight="1" thickTop="1">
      <c r="A524" s="857">
        <v>62</v>
      </c>
      <c r="L524" s="957" t="s">
        <v>482</v>
      </c>
      <c r="X524" s="939" t="s">
        <v>482</v>
      </c>
      <c r="AA524" s="955" t="s">
        <v>427</v>
      </c>
      <c r="AB524" s="697"/>
      <c r="AC524" s="781" t="str">
        <f>IF(AND(OR(AB524="",AB524=0),OR(AD524="",AD524=0)),"",IF(AB524&lt;&gt;AD524,"Change",""))</f>
        <v/>
      </c>
      <c r="AD524" s="769"/>
      <c r="AE524" s="812"/>
    </row>
    <row r="525" spans="1:58" ht="11.25" customHeight="1">
      <c r="A525" s="857">
        <v>63</v>
      </c>
      <c r="L525" s="957" t="s">
        <v>482</v>
      </c>
      <c r="X525" s="939" t="s">
        <v>482</v>
      </c>
      <c r="AA525" s="768" t="s">
        <v>687</v>
      </c>
      <c r="AB525" s="1423"/>
      <c r="AC525" s="781" t="str">
        <f>IF(AND(OR(AB525="",AB525=0),OR(AD525="",AD525=0)),"",IF(AB525&lt;&gt;AD525,"Change",""))</f>
        <v>Change</v>
      </c>
      <c r="AD525" s="1438" t="str">
        <f>IF(OR(M1003=0,M1003=""),"",M1003)</f>
        <v>101.6 cm</v>
      </c>
      <c r="AE525" s="812" t="s">
        <v>416</v>
      </c>
    </row>
    <row r="526" spans="1:58" ht="11.25" customHeight="1">
      <c r="A526" s="857">
        <v>64</v>
      </c>
      <c r="L526" s="957" t="s">
        <v>482</v>
      </c>
      <c r="X526" s="939" t="s">
        <v>482</v>
      </c>
      <c r="AA526" s="768" t="s">
        <v>295</v>
      </c>
      <c r="AB526" s="1424"/>
      <c r="AC526" s="781" t="str">
        <f>IF(AND(OR(AB526="",AB526=0),OR(AD526="",AD526=0)),"",IF(AB526&lt;&gt;AD526,"Change",""))</f>
        <v>Change</v>
      </c>
      <c r="AD526" s="1429" t="str">
        <f>IF(OR(N1003=0,N1003=""),"",N1003)</f>
        <v>C</v>
      </c>
      <c r="AE526" s="812" t="s">
        <v>614</v>
      </c>
    </row>
    <row r="527" spans="1:58" ht="11.25" customHeight="1">
      <c r="A527" s="857">
        <v>65</v>
      </c>
      <c r="B527" s="60" t="str">
        <f t="array" ref="B527:C528">$B$65:$C$66</f>
        <v>Date:</v>
      </c>
      <c r="C527" s="1664" t="str">
        <v/>
      </c>
      <c r="D527" s="65"/>
      <c r="E527" s="194"/>
      <c r="F527" s="194"/>
      <c r="G527" s="194"/>
      <c r="H527" s="194"/>
      <c r="I527" s="704" t="str">
        <f t="array" ref="I527:J528">$I$65:$J$66</f>
        <v>Inspector:</v>
      </c>
      <c r="J527" s="554" t="str">
        <v>Eugene Mah</v>
      </c>
      <c r="L527" s="957" t="s">
        <v>482</v>
      </c>
      <c r="M527" s="194"/>
      <c r="N527" s="194"/>
      <c r="O527" s="194"/>
      <c r="P527" s="194"/>
      <c r="Q527" s="194"/>
      <c r="R527" s="194"/>
      <c r="S527" s="194"/>
      <c r="T527" s="194"/>
      <c r="U527" s="194"/>
      <c r="V527" s="194"/>
      <c r="W527" s="194"/>
      <c r="X527" s="939" t="s">
        <v>482</v>
      </c>
      <c r="AA527" s="768" t="s">
        <v>683</v>
      </c>
      <c r="AB527" s="1424"/>
      <c r="AC527" s="781" t="str">
        <f>IF(AND(OR(AB527="",AB527=0),OR(AD527="",AD527=0)),"",IF(AB527&lt;&gt;AD527,"Change",""))</f>
        <v>Change</v>
      </c>
      <c r="AD527" s="1438">
        <f>IF(OR(M1008=0,M1008=""),"",M1008)</f>
        <v>80</v>
      </c>
      <c r="AE527" s="812" t="s">
        <v>417</v>
      </c>
    </row>
    <row r="528" spans="1:58" ht="11.25" customHeight="1">
      <c r="A528" s="857">
        <v>66</v>
      </c>
      <c r="B528" s="60" t="str">
        <v>Room Number:</v>
      </c>
      <c r="C528" s="499" t="str">
        <v/>
      </c>
      <c r="D528" s="119"/>
      <c r="E528" s="194"/>
      <c r="F528" s="194"/>
      <c r="G528" s="194"/>
      <c r="H528" s="194"/>
      <c r="I528" s="704" t="str">
        <v>Survey ID:</v>
      </c>
      <c r="J528" s="1406" t="str">
        <v/>
      </c>
      <c r="L528" s="957" t="s">
        <v>482</v>
      </c>
      <c r="M528" s="194"/>
      <c r="N528" s="194"/>
      <c r="O528" s="194"/>
      <c r="P528" s="194"/>
      <c r="Q528" s="194"/>
      <c r="R528" s="194"/>
      <c r="S528" s="194"/>
      <c r="T528" s="194"/>
      <c r="U528" s="194"/>
      <c r="V528" s="194"/>
      <c r="W528" s="194"/>
      <c r="X528" s="939" t="s">
        <v>482</v>
      </c>
      <c r="AA528" s="768" t="s">
        <v>415</v>
      </c>
      <c r="AB528" s="1426"/>
      <c r="AC528" s="781" t="str">
        <f>IF(AND(OR(AB528="",AB528=0),OR(AD528="",AD528=0)),"",IF(AB528&lt;&gt;AD528,"Change",""))</f>
        <v>Change</v>
      </c>
      <c r="AD528" s="1449">
        <f>IF(OR(N1008=0,N1008=""),"",N1008)</f>
        <v>7.8740157480314963</v>
      </c>
      <c r="AE528" s="812" t="s">
        <v>615</v>
      </c>
    </row>
    <row r="529" spans="1:31" ht="11.25" customHeight="1">
      <c r="A529" s="857">
        <v>1</v>
      </c>
      <c r="B529" s="63"/>
      <c r="C529" s="63"/>
      <c r="D529" s="63"/>
      <c r="E529" s="63"/>
      <c r="G529" s="63"/>
      <c r="H529" s="63"/>
      <c r="I529" s="63"/>
      <c r="J529" s="63"/>
      <c r="K529" s="161" t="str">
        <f>$F$2</f>
        <v>Medical University of South Carolina</v>
      </c>
      <c r="L529" s="957" t="s">
        <v>482</v>
      </c>
      <c r="M529" s="111"/>
      <c r="N529" s="63"/>
      <c r="O529" s="63"/>
      <c r="P529" s="63"/>
      <c r="Q529" s="63"/>
      <c r="S529" s="63"/>
      <c r="T529" s="63"/>
      <c r="U529" s="63"/>
      <c r="V529" s="63"/>
      <c r="W529" s="161" t="str">
        <f>$F$2</f>
        <v>Medical University of South Carolina</v>
      </c>
      <c r="X529" s="939" t="s">
        <v>482</v>
      </c>
      <c r="AB529" s="1234"/>
      <c r="AD529" s="1234"/>
    </row>
    <row r="530" spans="1:31" ht="11.25" customHeight="1" thickBot="1">
      <c r="A530" s="857">
        <v>2</v>
      </c>
      <c r="B530" s="63"/>
      <c r="C530" s="63"/>
      <c r="D530" s="63"/>
      <c r="E530" s="63"/>
      <c r="F530" s="336" t="str">
        <f>$F$464</f>
        <v>Measurement Data</v>
      </c>
      <c r="G530" s="63"/>
      <c r="H530" s="63"/>
      <c r="I530" s="63"/>
      <c r="J530" s="63"/>
      <c r="K530" s="162" t="str">
        <f>$F$5</f>
        <v>Radiographic System Compliance Inspection</v>
      </c>
      <c r="L530" s="957" t="s">
        <v>482</v>
      </c>
      <c r="N530" s="100"/>
      <c r="O530" s="100"/>
      <c r="P530" s="3"/>
      <c r="Q530" s="63"/>
      <c r="R530" s="336" t="str">
        <f>$F$464</f>
        <v>Measurement Data</v>
      </c>
      <c r="S530" s="63"/>
      <c r="T530" s="63"/>
      <c r="U530" s="63"/>
      <c r="V530" s="63"/>
      <c r="W530" s="162" t="str">
        <f>$F$5</f>
        <v>Radiographic System Compliance Inspection</v>
      </c>
      <c r="X530" s="939" t="s">
        <v>482</v>
      </c>
      <c r="AA530" s="955" t="s">
        <v>428</v>
      </c>
      <c r="AB530" s="697"/>
      <c r="AC530" s="781" t="str">
        <f>IF(AND(OR(AB530="",AB530=0),OR(AD530="",AD530=0)),"",IF(AB530&lt;&gt;AD530,"Change",""))</f>
        <v/>
      </c>
      <c r="AD530" s="769"/>
      <c r="AE530" s="812"/>
    </row>
    <row r="531" spans="1:31" ht="11.25" customHeight="1" thickTop="1" thickBot="1">
      <c r="A531" s="857">
        <v>3</v>
      </c>
      <c r="B531" s="89"/>
      <c r="C531" s="72"/>
      <c r="D531" s="72"/>
      <c r="E531" s="72"/>
      <c r="F531" s="251"/>
      <c r="G531" s="72"/>
      <c r="H531" s="72"/>
      <c r="I531" s="72"/>
      <c r="J531" s="72"/>
      <c r="K531" s="90"/>
      <c r="L531" s="957" t="s">
        <v>482</v>
      </c>
      <c r="M531" s="89"/>
      <c r="N531" s="72"/>
      <c r="O531" s="72"/>
      <c r="P531" s="72"/>
      <c r="Q531" s="72"/>
      <c r="R531" s="72"/>
      <c r="S531" s="72"/>
      <c r="T531" s="72"/>
      <c r="U531" s="1156"/>
      <c r="V531" s="72"/>
      <c r="W531" s="90"/>
      <c r="X531" s="939" t="s">
        <v>482</v>
      </c>
      <c r="AA531" s="768" t="s">
        <v>687</v>
      </c>
      <c r="AB531" s="1423"/>
      <c r="AC531" s="781" t="str">
        <f>IF(AND(OR(AB531="",AB531=0),OR(AD531="",AD531=0)),"",IF(AB531&lt;&gt;AD531,"Change",""))</f>
        <v>Change</v>
      </c>
      <c r="AD531" s="1437" t="str">
        <f>IF(OR(Q1063=0,Q1063=""),"",Q1063)</f>
        <v>101.6 cm</v>
      </c>
      <c r="AE531" s="812" t="s">
        <v>423</v>
      </c>
    </row>
    <row r="532" spans="1:31" ht="11.25" customHeight="1" thickTop="1" thickBot="1">
      <c r="A532" s="857">
        <v>4</v>
      </c>
      <c r="B532" s="155"/>
      <c r="C532" s="63"/>
      <c r="D532" s="63"/>
      <c r="E532" s="63"/>
      <c r="F532" s="240" t="s">
        <v>515</v>
      </c>
      <c r="G532" s="266"/>
      <c r="H532" s="752"/>
      <c r="I532" s="753"/>
      <c r="J532" s="754" t="s">
        <v>663</v>
      </c>
      <c r="K532" s="755" t="str">
        <f>IF(R416=1,"NA",R416)</f>
        <v>NA</v>
      </c>
      <c r="L532" s="957" t="s">
        <v>482</v>
      </c>
      <c r="M532" s="155"/>
      <c r="P532" s="1347" t="str">
        <f>IF(M409=2,"**SKIP**","**TEST**")</f>
        <v>**TEST**</v>
      </c>
      <c r="R532" s="1159" t="s">
        <v>385</v>
      </c>
      <c r="W532" s="81"/>
      <c r="X532" s="939" t="s">
        <v>482</v>
      </c>
      <c r="AA532" s="768" t="s">
        <v>295</v>
      </c>
      <c r="AB532" s="1424"/>
      <c r="AC532" s="781" t="str">
        <f>IF(AND(OR(AB532="",AB532=0),OR(AD532="",AD532=0)),"",IF(AB532&lt;&gt;AD532,"Change",""))</f>
        <v>Change</v>
      </c>
      <c r="AD532" s="1450" t="str">
        <f>IF(OR(Q1064=0,Q1064=""),"",Q1064)</f>
        <v>C</v>
      </c>
      <c r="AE532" s="812" t="s">
        <v>424</v>
      </c>
    </row>
    <row r="533" spans="1:31" ht="11.25" customHeight="1" thickTop="1">
      <c r="A533" s="857">
        <v>5</v>
      </c>
      <c r="B533" s="155"/>
      <c r="C533" s="63"/>
      <c r="D533" s="63"/>
      <c r="E533" s="63"/>
      <c r="F533" s="63"/>
      <c r="G533" s="756"/>
      <c r="H533" s="757" t="s">
        <v>665</v>
      </c>
      <c r="I533" s="758"/>
      <c r="J533" s="759"/>
      <c r="K533" s="760"/>
      <c r="L533" s="957" t="s">
        <v>482</v>
      </c>
      <c r="M533" s="457" t="s">
        <v>682</v>
      </c>
      <c r="N533" s="63"/>
      <c r="O533" s="63"/>
      <c r="P533" s="63"/>
      <c r="Q533" s="63"/>
      <c r="R533" s="63"/>
      <c r="S533" s="832" t="s">
        <v>389</v>
      </c>
      <c r="T533" s="63"/>
      <c r="U533" s="831"/>
      <c r="V533" s="63"/>
      <c r="W533" s="619"/>
      <c r="X533" s="939" t="s">
        <v>482</v>
      </c>
      <c r="AA533" s="768" t="s">
        <v>683</v>
      </c>
      <c r="AB533" s="1424"/>
      <c r="AC533" s="781" t="str">
        <f>IF(AND(OR(AB533="",AB533=0),OR(AD533="",AD533=0)),"",IF(AB533&lt;&gt;AD533,"Change",""))</f>
        <v>Change</v>
      </c>
      <c r="AD533" s="1438">
        <f>IF(OR(Q1065=0,Q1065=""),"",Q1065)</f>
        <v>80</v>
      </c>
      <c r="AE533" s="812" t="s">
        <v>425</v>
      </c>
    </row>
    <row r="534" spans="1:31" ht="11.25" customHeight="1" thickBot="1">
      <c r="A534" s="857">
        <v>6</v>
      </c>
      <c r="B534" s="242"/>
      <c r="C534" s="56"/>
      <c r="D534" s="56"/>
      <c r="E534" s="56"/>
      <c r="F534" s="56"/>
      <c r="G534" s="456"/>
      <c r="H534" s="761" t="s">
        <v>667</v>
      </c>
      <c r="I534" s="762"/>
      <c r="J534" s="763"/>
      <c r="K534" s="764"/>
      <c r="L534" s="957" t="s">
        <v>482</v>
      </c>
      <c r="M534" s="155"/>
      <c r="N534" s="63"/>
      <c r="O534" s="63"/>
      <c r="P534" s="63"/>
      <c r="Q534" s="63"/>
      <c r="R534" s="63"/>
      <c r="S534" s="832" t="s">
        <v>390</v>
      </c>
      <c r="T534" s="832"/>
      <c r="U534" s="831"/>
      <c r="V534" s="63"/>
      <c r="W534" s="619"/>
      <c r="X534" s="939" t="s">
        <v>482</v>
      </c>
      <c r="AA534" s="768" t="s">
        <v>415</v>
      </c>
      <c r="AB534" s="1426"/>
      <c r="AC534" s="781" t="str">
        <f>IF(AND(OR(AB534="",AB534=0),OR(AD534="",AD534=0)),"",IF(AB534&lt;&gt;AD534,"Change",""))</f>
        <v>Change</v>
      </c>
      <c r="AD534" s="1449">
        <f>IF(OR(Q1066=0,Q1066=""),"",Q1066)</f>
        <v>7.8740157480314963</v>
      </c>
      <c r="AE534" s="812" t="s">
        <v>426</v>
      </c>
    </row>
    <row r="535" spans="1:31" ht="11.25" customHeight="1" thickTop="1" thickBot="1">
      <c r="A535" s="857">
        <v>9</v>
      </c>
      <c r="B535" s="386" t="s">
        <v>668</v>
      </c>
      <c r="C535" s="456"/>
      <c r="D535" s="63"/>
      <c r="E535" s="156" t="s">
        <v>669</v>
      </c>
      <c r="F535" s="156"/>
      <c r="G535" s="56" t="s">
        <v>645</v>
      </c>
      <c r="H535" s="749"/>
      <c r="I535" s="750"/>
      <c r="J535" s="765" t="s">
        <v>670</v>
      </c>
      <c r="K535" s="751" t="str">
        <f>IF(M421="","NA",M421&amp;" cm")</f>
        <v>NA</v>
      </c>
      <c r="L535" s="957" t="s">
        <v>482</v>
      </c>
      <c r="M535" s="155"/>
      <c r="N535" s="63"/>
      <c r="O535" s="156" t="s">
        <v>669</v>
      </c>
      <c r="P535" s="156"/>
      <c r="Q535" s="63"/>
      <c r="R535" s="56" t="s">
        <v>645</v>
      </c>
      <c r="S535" s="198"/>
      <c r="T535" s="833" t="s">
        <v>681</v>
      </c>
      <c r="U535" s="56"/>
      <c r="V535" s="63"/>
      <c r="W535" s="952" t="s">
        <v>680</v>
      </c>
      <c r="X535" s="939" t="s">
        <v>482</v>
      </c>
      <c r="AB535" s="1234"/>
      <c r="AD535" s="1234"/>
    </row>
    <row r="536" spans="1:31" ht="11.25" customHeight="1" thickTop="1" thickBot="1">
      <c r="A536" s="857">
        <v>8</v>
      </c>
      <c r="B536" s="155"/>
      <c r="C536" s="63"/>
      <c r="D536" s="63"/>
      <c r="E536" s="191" t="s">
        <v>672</v>
      </c>
      <c r="F536" s="192"/>
      <c r="G536" s="183" t="s">
        <v>673</v>
      </c>
      <c r="H536" s="56"/>
      <c r="I536" s="56"/>
      <c r="J536" s="56"/>
      <c r="K536" s="79"/>
      <c r="L536" s="957" t="s">
        <v>482</v>
      </c>
      <c r="M536" s="155"/>
      <c r="N536" s="63"/>
      <c r="O536" s="191" t="s">
        <v>672</v>
      </c>
      <c r="P536" s="192"/>
      <c r="Q536" s="63"/>
      <c r="R536" s="141" t="s">
        <v>673</v>
      </c>
      <c r="S536" s="198"/>
      <c r="T536" s="56"/>
      <c r="U536" s="56"/>
      <c r="V536" s="63"/>
      <c r="W536" s="953" t="s">
        <v>681</v>
      </c>
      <c r="X536" s="939" t="s">
        <v>482</v>
      </c>
      <c r="AA536" s="955" t="s">
        <v>429</v>
      </c>
      <c r="AB536" s="697"/>
      <c r="AC536" s="781" t="str">
        <f>IF(AND(OR(AB536="",AB536=0),OR(AD536="",AD536=0)),"",IF(AB536&lt;&gt;AD536,"Change",""))</f>
        <v/>
      </c>
      <c r="AD536" s="769"/>
      <c r="AE536" s="812"/>
    </row>
    <row r="537" spans="1:31" ht="11.25" customHeight="1" thickBot="1">
      <c r="A537" s="857">
        <v>9</v>
      </c>
      <c r="B537" s="155"/>
      <c r="C537" s="63"/>
      <c r="D537" s="63"/>
      <c r="E537" s="184" t="str">
        <f>IF(O537="","",O537)</f>
        <v/>
      </c>
      <c r="F537" s="185"/>
      <c r="G537" s="193" t="str">
        <f>IF(R537="","",R537)</f>
        <v>NA</v>
      </c>
      <c r="H537" s="56"/>
      <c r="I537" s="48" t="s">
        <v>646</v>
      </c>
      <c r="J537" s="175" t="str">
        <f>IF(U537="","",U537)</f>
        <v>NA</v>
      </c>
      <c r="K537" s="79"/>
      <c r="L537" s="957" t="s">
        <v>482</v>
      </c>
      <c r="M537" s="155"/>
      <c r="N537" s="63"/>
      <c r="O537" s="1768"/>
      <c r="P537" s="1769"/>
      <c r="Q537" s="996"/>
      <c r="R537" s="1183" t="str">
        <f>IF(OR($M$409&lt;&gt;1,$O$537="NA"),"NA",IF(OR($M$420="",$M$420=0,$M$421="",$M$421=0,$O$537=""),"TBD",(180/PI())*ATAN(($O$537/152)*IF($T$535="Upper",IF($M$410=1,1,($M$420/($M$420+$M$421))),IF($M$410=1,(($M$420-15.2)/$M$420),((($M$420+$M$421)-(15.2+$M$421))/($M$420+$M$421)))))))</f>
        <v>NA</v>
      </c>
      <c r="S537" s="198"/>
      <c r="T537" s="1040" t="s">
        <v>646</v>
      </c>
      <c r="U537" s="1021" t="str">
        <f>IF($R$537="NA","NA",IF($R$537="TBD","TBD",IF($R$537&lt;=2,"YES","NO")))</f>
        <v>NA</v>
      </c>
      <c r="V537" s="63"/>
      <c r="W537" s="81"/>
      <c r="X537" s="939" t="s">
        <v>482</v>
      </c>
      <c r="AA537" s="768" t="s">
        <v>687</v>
      </c>
      <c r="AB537" s="1423"/>
      <c r="AC537" s="781" t="str">
        <f>IF(AND(OR(AB537="",AB537=0),OR(AD537="",AD537=0)),"",IF(AB537&lt;&gt;AD537,"Change",""))</f>
        <v>Change</v>
      </c>
      <c r="AD537" s="1450" t="str">
        <f>IF(OR(R1127=0,R1127=""),"",R1127)</f>
        <v>101.6 cm</v>
      </c>
      <c r="AE537" s="812" t="s">
        <v>419</v>
      </c>
    </row>
    <row r="538" spans="1:31" ht="11.25" customHeight="1">
      <c r="A538" s="857">
        <v>10</v>
      </c>
      <c r="B538" s="155"/>
      <c r="C538" s="63"/>
      <c r="D538" s="63"/>
      <c r="E538" s="56"/>
      <c r="F538" s="56"/>
      <c r="G538" s="56"/>
      <c r="H538" s="56"/>
      <c r="I538" s="56"/>
      <c r="J538" s="56"/>
      <c r="K538" s="79"/>
      <c r="L538" s="957" t="s">
        <v>482</v>
      </c>
      <c r="M538" s="155"/>
      <c r="N538" s="63"/>
      <c r="O538" s="56"/>
      <c r="P538" s="56"/>
      <c r="Q538" s="993" t="s">
        <v>447</v>
      </c>
      <c r="R538" s="1149" t="str">
        <f>IF(OR(AB475=0,AB475=""),"",AB475)</f>
        <v/>
      </c>
      <c r="S538" s="56"/>
      <c r="T538" s="56"/>
      <c r="U538" s="56"/>
      <c r="V538" s="63"/>
      <c r="W538" s="81"/>
      <c r="X538" s="939" t="s">
        <v>482</v>
      </c>
      <c r="AA538" s="768" t="s">
        <v>295</v>
      </c>
      <c r="AB538" s="1424"/>
      <c r="AC538" s="781" t="str">
        <f>IF(AND(OR(AB538="",AB538=0),OR(AD538="",AD538=0)),"",IF(AB538&lt;&gt;AD538,"Change",""))</f>
        <v>Change</v>
      </c>
      <c r="AD538" s="1438" t="str">
        <f>IF(OR(R1128=0,R1128=""),"",R1128)</f>
        <v>C</v>
      </c>
      <c r="AE538" s="812" t="s">
        <v>420</v>
      </c>
    </row>
    <row r="539" spans="1:31" ht="11.25" customHeight="1">
      <c r="A539" s="857">
        <v>11</v>
      </c>
      <c r="B539" s="243" t="s">
        <v>647</v>
      </c>
      <c r="C539" s="115" t="s">
        <v>679</v>
      </c>
      <c r="D539" s="56"/>
      <c r="E539" s="56"/>
      <c r="F539" s="63"/>
      <c r="G539" s="63"/>
      <c r="H539" s="56"/>
      <c r="I539" s="56"/>
      <c r="J539" s="56"/>
      <c r="K539" s="79"/>
      <c r="L539" s="957" t="s">
        <v>482</v>
      </c>
      <c r="M539" s="155"/>
      <c r="N539" s="162" t="s">
        <v>647</v>
      </c>
      <c r="O539" s="115" t="s">
        <v>679</v>
      </c>
      <c r="P539" s="56"/>
      <c r="Q539" s="56"/>
      <c r="R539" s="58"/>
      <c r="S539" s="63"/>
      <c r="T539" s="56"/>
      <c r="U539" s="56"/>
      <c r="V539" s="56"/>
      <c r="W539" s="81"/>
      <c r="X539" s="939" t="s">
        <v>482</v>
      </c>
      <c r="AA539" s="768" t="s">
        <v>683</v>
      </c>
      <c r="AB539" s="1424"/>
      <c r="AC539" s="781" t="str">
        <f>IF(AND(OR(AB539="",AB539=0),OR(AD539="",AD539=0)),"",IF(AB539&lt;&gt;AD539,"Change",""))</f>
        <v>Change</v>
      </c>
      <c r="AD539" s="1438">
        <f>IF(OR(R1129=0,R1129=""),"",R1129)</f>
        <v>80</v>
      </c>
      <c r="AE539" s="812" t="s">
        <v>421</v>
      </c>
    </row>
    <row r="540" spans="1:31" ht="11.25" customHeight="1">
      <c r="A540" s="857">
        <v>12</v>
      </c>
      <c r="B540" s="155"/>
      <c r="C540" s="63"/>
      <c r="D540" s="63"/>
      <c r="E540" s="63"/>
      <c r="F540" s="63"/>
      <c r="G540" s="63"/>
      <c r="H540" s="63"/>
      <c r="I540" s="63"/>
      <c r="J540" s="63"/>
      <c r="K540" s="81"/>
      <c r="L540" s="957" t="s">
        <v>482</v>
      </c>
      <c r="M540" s="155"/>
      <c r="N540" s="63"/>
      <c r="O540" s="63"/>
      <c r="P540" s="63"/>
      <c r="Q540" s="63"/>
      <c r="R540" s="63"/>
      <c r="S540" s="63"/>
      <c r="T540" s="63"/>
      <c r="U540" s="63"/>
      <c r="V540" s="63"/>
      <c r="W540" s="81"/>
      <c r="X540" s="939" t="s">
        <v>482</v>
      </c>
      <c r="AA540" s="768" t="s">
        <v>415</v>
      </c>
      <c r="AB540" s="1426"/>
      <c r="AC540" s="781" t="str">
        <f>IF(AND(OR(AB540="",AB540=0),OR(AD540="",AD540=0)),"",IF(AB540&lt;&gt;AD540,"Change",""))</f>
        <v>Change</v>
      </c>
      <c r="AD540" s="1449">
        <f>IF(OR(R1130=0,R1130=""),"",R1130)</f>
        <v>7.8740157480314963</v>
      </c>
      <c r="AE540" s="812" t="s">
        <v>422</v>
      </c>
    </row>
    <row r="541" spans="1:31" ht="11.25" customHeight="1">
      <c r="A541" s="857">
        <v>13</v>
      </c>
      <c r="B541" s="386" t="s">
        <v>682</v>
      </c>
      <c r="C541" s="253"/>
      <c r="D541" s="157"/>
      <c r="E541" s="119"/>
      <c r="F541" s="63"/>
      <c r="G541" s="63"/>
      <c r="H541" s="63"/>
      <c r="I541" s="63"/>
      <c r="J541" s="63"/>
      <c r="K541" s="81"/>
      <c r="L541" s="957" t="s">
        <v>482</v>
      </c>
      <c r="M541" s="457" t="s">
        <v>391</v>
      </c>
      <c r="N541" s="63"/>
      <c r="O541" s="63"/>
      <c r="P541" s="63"/>
      <c r="Q541" s="63"/>
      <c r="R541" s="63"/>
      <c r="S541" s="63"/>
      <c r="T541" s="993" t="s">
        <v>447</v>
      </c>
      <c r="U541" s="1046" t="str">
        <f>IF(OR(AB115=0,AB115=""),"",AB115)</f>
        <v/>
      </c>
      <c r="V541" s="1303"/>
      <c r="W541" s="81"/>
      <c r="X541" s="939" t="s">
        <v>482</v>
      </c>
      <c r="AB541" s="1234"/>
      <c r="AD541" s="1234"/>
    </row>
    <row r="542" spans="1:31" ht="11.25" customHeight="1">
      <c r="A542" s="857">
        <v>14</v>
      </c>
      <c r="B542" s="155"/>
      <c r="C542" s="63"/>
      <c r="D542" s="63"/>
      <c r="E542" s="63"/>
      <c r="F542" s="63"/>
      <c r="G542" s="63"/>
      <c r="H542" s="63"/>
      <c r="I542" s="63"/>
      <c r="J542" s="63"/>
      <c r="K542" s="81"/>
      <c r="L542" s="957" t="s">
        <v>482</v>
      </c>
      <c r="M542" s="155"/>
      <c r="N542" s="182" t="s">
        <v>683</v>
      </c>
      <c r="O542" s="1115">
        <f>IF(O543&lt;&gt;"",O543,IF(OR(AB112=0,AB112=""),"",AB112))</f>
        <v>80</v>
      </c>
      <c r="P542" s="182" t="s">
        <v>684</v>
      </c>
      <c r="Q542" s="1115" t="str">
        <f>IF(Q543&lt;&gt;"",Q543,IF(OR(AB113=0,AB113=""),"",AB113))</f>
        <v/>
      </c>
      <c r="R542" s="182" t="s">
        <v>685</v>
      </c>
      <c r="S542" s="1151" t="str">
        <f>IF(S543&lt;&gt;"",S543,IF(OR(AB114=0,AB114=""),"",AB114))</f>
        <v/>
      </c>
      <c r="T542" s="182" t="s">
        <v>686</v>
      </c>
      <c r="U542" s="1150">
        <f>IF(AND(OR(U543=0,U543=""),OR(Q542=0,Q542=""),OR(S542=0,S542=""),OR(U541=0,U541="")),0.5,IF(U543&lt;&gt;"","See below",IF(AND(Q542&lt;&gt;"",S542&lt;&gt;""),Q542*S542,U541)))</f>
        <v>0.5</v>
      </c>
      <c r="V542" s="63"/>
      <c r="W542" s="81"/>
      <c r="X542" s="939" t="s">
        <v>482</v>
      </c>
      <c r="AA542" s="955" t="s">
        <v>1092</v>
      </c>
      <c r="AB542" s="1187"/>
      <c r="AD542" s="1234"/>
    </row>
    <row r="543" spans="1:31" ht="11.25" customHeight="1">
      <c r="A543" s="857">
        <v>15</v>
      </c>
      <c r="B543" s="120" t="s">
        <v>683</v>
      </c>
      <c r="C543" s="57">
        <f>IF(O542="","",O542)</f>
        <v>80</v>
      </c>
      <c r="D543" s="182" t="s">
        <v>684</v>
      </c>
      <c r="E543" s="57" t="str">
        <f>IF($U$543&lt;&gt;"","",IF(Q542="","",Q542))</f>
        <v/>
      </c>
      <c r="F543" s="182" t="s">
        <v>685</v>
      </c>
      <c r="G543" s="57" t="str">
        <f>IF($U$543&lt;&gt;"","",IF(S542="","",S542))</f>
        <v/>
      </c>
      <c r="H543" s="182" t="s">
        <v>686</v>
      </c>
      <c r="I543" s="57">
        <f>IF(U542="","",IF(U543="",U542,U543))</f>
        <v>0.5</v>
      </c>
      <c r="J543" s="182" t="s">
        <v>687</v>
      </c>
      <c r="K543" s="232" t="str">
        <f>IF(U423="","",U423&amp;" "&amp;TBCM_IN)</f>
        <v/>
      </c>
      <c r="L543" s="957" t="s">
        <v>482</v>
      </c>
      <c r="M543" s="155"/>
      <c r="N543" s="1063" t="s">
        <v>105</v>
      </c>
      <c r="O543" s="1059">
        <v>80</v>
      </c>
      <c r="P543" s="1063" t="s">
        <v>105</v>
      </c>
      <c r="Q543" s="1059"/>
      <c r="R543" s="1063" t="s">
        <v>105</v>
      </c>
      <c r="S543" s="1062"/>
      <c r="T543" s="1158" t="s">
        <v>105</v>
      </c>
      <c r="U543" s="1157"/>
      <c r="V543" s="63"/>
      <c r="W543" s="81"/>
      <c r="X543" s="939" t="s">
        <v>482</v>
      </c>
      <c r="AA543" s="768"/>
      <c r="AB543" s="1427"/>
      <c r="AC543" s="781" t="str">
        <f t="shared" ref="AC543:AC548" si="80">IF(AND(OR(AB543="",AB543=0),OR(AD543="",AD543=0)),"",IF(AB543&lt;&gt;AD543,"Change",""))</f>
        <v/>
      </c>
      <c r="AD543" s="1443" t="str">
        <f t="shared" ref="AD543:AD548" si="81">IF(OR(T1="",T1=0),"",T1)</f>
        <v/>
      </c>
      <c r="AE543" s="786" t="s">
        <v>1093</v>
      </c>
    </row>
    <row r="544" spans="1:31" ht="11.25" customHeight="1" thickBot="1">
      <c r="A544" s="857">
        <v>16</v>
      </c>
      <c r="B544" s="155"/>
      <c r="C544" s="63"/>
      <c r="D544" s="63"/>
      <c r="E544" s="63"/>
      <c r="F544" s="63"/>
      <c r="G544" s="63"/>
      <c r="H544" s="63"/>
      <c r="I544" s="63"/>
      <c r="J544" s="63"/>
      <c r="K544" s="81"/>
      <c r="L544" s="957" t="s">
        <v>482</v>
      </c>
      <c r="M544" s="137"/>
      <c r="N544" s="63"/>
      <c r="O544" s="63"/>
      <c r="P544" s="63"/>
      <c r="Q544" s="63"/>
      <c r="R544" s="63"/>
      <c r="S544" s="63"/>
      <c r="T544" s="63"/>
      <c r="U544" s="63"/>
      <c r="V544" s="63"/>
      <c r="W544" s="81"/>
      <c r="X544" s="939" t="s">
        <v>482</v>
      </c>
      <c r="AB544" s="1427"/>
      <c r="AC544" s="781" t="str">
        <f t="shared" si="80"/>
        <v/>
      </c>
      <c r="AD544" s="1443" t="str">
        <f t="shared" si="81"/>
        <v/>
      </c>
      <c r="AE544" s="786" t="s">
        <v>1094</v>
      </c>
    </row>
    <row r="545" spans="1:33" ht="11.25" customHeight="1">
      <c r="A545" s="857">
        <v>17</v>
      </c>
      <c r="B545" s="155"/>
      <c r="C545" s="249" t="s">
        <v>689</v>
      </c>
      <c r="D545" s="131"/>
      <c r="E545" s="63"/>
      <c r="F545" s="63"/>
      <c r="G545" s="63"/>
      <c r="H545" s="63"/>
      <c r="I545" s="63"/>
      <c r="J545" s="56"/>
      <c r="K545" s="81"/>
      <c r="L545" s="957" t="s">
        <v>482</v>
      </c>
      <c r="M545" s="618"/>
      <c r="N545" s="687" t="s">
        <v>695</v>
      </c>
      <c r="O545" s="616"/>
      <c r="P545" s="616"/>
      <c r="Q545" s="1152" t="s">
        <v>689</v>
      </c>
      <c r="R545" s="1153"/>
      <c r="S545" s="63"/>
      <c r="T545" s="63"/>
      <c r="U545" s="63"/>
      <c r="V545" s="63"/>
      <c r="W545" s="81"/>
      <c r="X545" s="939" t="s">
        <v>482</v>
      </c>
      <c r="AB545" s="1427"/>
      <c r="AC545" s="781" t="str">
        <f t="shared" si="80"/>
        <v/>
      </c>
      <c r="AD545" s="1443" t="str">
        <f t="shared" si="81"/>
        <v/>
      </c>
      <c r="AE545" s="786" t="s">
        <v>1095</v>
      </c>
    </row>
    <row r="546" spans="1:33" ht="11.25" customHeight="1" thickBot="1">
      <c r="A546" s="857">
        <v>18</v>
      </c>
      <c r="B546" s="155"/>
      <c r="C546" s="250" t="str">
        <f>"Distance ("&amp;TBCM_IN&amp;")"</f>
        <v>Distance (cm)</v>
      </c>
      <c r="D546" s="190"/>
      <c r="E546" s="63"/>
      <c r="F546" s="63"/>
      <c r="G546" s="63"/>
      <c r="H546" s="63"/>
      <c r="I546" s="191" t="s">
        <v>689</v>
      </c>
      <c r="J546" s="190"/>
      <c r="K546" s="81"/>
      <c r="L546" s="957" t="s">
        <v>482</v>
      </c>
      <c r="M546" s="864"/>
      <c r="N546" s="686" t="s">
        <v>697</v>
      </c>
      <c r="O546" s="616"/>
      <c r="P546" s="616"/>
      <c r="Q546" s="1154" t="str">
        <f>"Distance ("&amp;TBCM_IN&amp;")"</f>
        <v>Distance (cm)</v>
      </c>
      <c r="R546" s="1155"/>
      <c r="S546" s="63"/>
      <c r="T546" s="191" t="s">
        <v>689</v>
      </c>
      <c r="U546" s="190"/>
      <c r="V546" s="63"/>
      <c r="W546" s="81"/>
      <c r="X546" s="939" t="s">
        <v>482</v>
      </c>
      <c r="AB546" s="1427"/>
      <c r="AC546" s="781" t="str">
        <f t="shared" si="80"/>
        <v/>
      </c>
      <c r="AD546" s="1443" t="str">
        <f t="shared" si="81"/>
        <v/>
      </c>
      <c r="AE546" s="786" t="s">
        <v>1096</v>
      </c>
    </row>
    <row r="547" spans="1:33" ht="11.25" customHeight="1" thickBot="1">
      <c r="A547" s="857">
        <v>19</v>
      </c>
      <c r="B547" s="155"/>
      <c r="C547" s="246">
        <f>IF(M546&lt;&gt;"","NA",Q547)</f>
        <v>0</v>
      </c>
      <c r="D547" s="201"/>
      <c r="E547" s="63"/>
      <c r="F547" s="63"/>
      <c r="G547" s="63"/>
      <c r="H547" s="63"/>
      <c r="I547" s="247" t="s">
        <v>646</v>
      </c>
      <c r="J547" s="248" t="str">
        <f>U547</f>
        <v>TBD</v>
      </c>
      <c r="K547" s="81"/>
      <c r="L547" s="957" t="s">
        <v>482</v>
      </c>
      <c r="M547" s="864"/>
      <c r="N547" s="686" t="s">
        <v>703</v>
      </c>
      <c r="O547" s="616"/>
      <c r="P547" s="616"/>
      <c r="Q547" s="1766"/>
      <c r="R547" s="1767"/>
      <c r="S547" s="63"/>
      <c r="T547" s="1040" t="s">
        <v>646</v>
      </c>
      <c r="U547" s="1021" t="str">
        <f>IF(OR($Q$547="NA",$M$409=2),"NA",IF($M$546=1,"YES",IF($M$546=2,"NO",IF(Q547="","TBD",IF(TBCM_IN="cm",IF(Q547&gt;0.02*U423,"NO","YES"),IF(Q547&gt;0.02*U423,"NO","YES"))))))</f>
        <v>TBD</v>
      </c>
      <c r="V547" s="63"/>
      <c r="W547" s="81"/>
      <c r="X547" s="939" t="s">
        <v>482</v>
      </c>
      <c r="AB547" s="1427"/>
      <c r="AC547" s="781" t="str">
        <f t="shared" si="80"/>
        <v/>
      </c>
      <c r="AD547" s="1443" t="str">
        <f t="shared" si="81"/>
        <v/>
      </c>
      <c r="AE547" s="786" t="s">
        <v>1097</v>
      </c>
    </row>
    <row r="548" spans="1:33" ht="11.25" customHeight="1" thickBot="1">
      <c r="A548" s="857">
        <v>20</v>
      </c>
      <c r="B548" s="155"/>
      <c r="C548" s="119"/>
      <c r="D548" s="63"/>
      <c r="E548" s="63"/>
      <c r="F548" s="63"/>
      <c r="G548" s="63"/>
      <c r="H548" s="63"/>
      <c r="I548" s="41"/>
      <c r="J548" s="63"/>
      <c r="K548" s="81"/>
      <c r="L548" s="957" t="s">
        <v>482</v>
      </c>
      <c r="M548" s="864"/>
      <c r="N548" s="686" t="s">
        <v>705</v>
      </c>
      <c r="O548" s="616"/>
      <c r="P548" s="616"/>
      <c r="Q548" s="1043" t="s">
        <v>447</v>
      </c>
      <c r="R548" s="1284" t="str">
        <f>IF(OR(AB476=0,AB476=""),"",AB476)</f>
        <v/>
      </c>
      <c r="S548" s="63"/>
      <c r="T548" s="63"/>
      <c r="U548" s="63"/>
      <c r="V548" s="63"/>
      <c r="W548" s="81"/>
      <c r="X548" s="939" t="s">
        <v>482</v>
      </c>
      <c r="AB548" s="1427"/>
      <c r="AC548" s="781" t="str">
        <f t="shared" si="80"/>
        <v/>
      </c>
      <c r="AD548" s="1443" t="str">
        <f t="shared" si="81"/>
        <v/>
      </c>
      <c r="AE548" s="786" t="s">
        <v>1098</v>
      </c>
    </row>
    <row r="549" spans="1:33" ht="11.25" customHeight="1">
      <c r="A549" s="857">
        <v>21</v>
      </c>
      <c r="B549" s="243" t="s">
        <v>647</v>
      </c>
      <c r="C549" s="115" t="s">
        <v>694</v>
      </c>
      <c r="D549" s="63"/>
      <c r="E549" s="63"/>
      <c r="F549" s="63"/>
      <c r="G549" s="63"/>
      <c r="H549" s="63"/>
      <c r="I549" s="63"/>
      <c r="J549" s="63"/>
      <c r="K549" s="81"/>
      <c r="L549" s="957" t="s">
        <v>482</v>
      </c>
      <c r="M549" s="155"/>
      <c r="N549" s="162" t="s">
        <v>647</v>
      </c>
      <c r="O549" s="115" t="s">
        <v>35</v>
      </c>
      <c r="P549" s="63"/>
      <c r="Q549" s="63"/>
      <c r="R549" s="63"/>
      <c r="S549" s="63"/>
      <c r="T549" s="63"/>
      <c r="U549" s="63"/>
      <c r="V549" s="63"/>
      <c r="W549" s="81"/>
      <c r="X549" s="939" t="s">
        <v>482</v>
      </c>
      <c r="AC549"/>
      <c r="AD549"/>
      <c r="AE549"/>
    </row>
    <row r="550" spans="1:33" ht="11.25" customHeight="1" thickBot="1">
      <c r="A550" s="857">
        <v>22</v>
      </c>
      <c r="B550" s="155"/>
      <c r="C550" s="63"/>
      <c r="D550" s="63"/>
      <c r="E550" s="63"/>
      <c r="F550" s="63"/>
      <c r="G550" s="63"/>
      <c r="H550" s="63"/>
      <c r="I550" s="63"/>
      <c r="J550" s="63"/>
      <c r="K550" s="81"/>
      <c r="L550" s="957" t="s">
        <v>482</v>
      </c>
      <c r="M550" s="155"/>
      <c r="N550" s="63"/>
      <c r="O550" s="63"/>
      <c r="P550" s="63"/>
      <c r="Q550" s="63"/>
      <c r="R550" s="63"/>
      <c r="S550" s="63"/>
      <c r="T550" s="63"/>
      <c r="U550" s="63"/>
      <c r="V550" s="63"/>
      <c r="W550" s="81"/>
      <c r="X550" s="939" t="s">
        <v>482</v>
      </c>
      <c r="AC550"/>
      <c r="AD550"/>
      <c r="AE550"/>
    </row>
    <row r="551" spans="1:33" ht="11.25" customHeight="1">
      <c r="A551" s="857">
        <v>23</v>
      </c>
      <c r="B551" s="1295" t="s">
        <v>698</v>
      </c>
      <c r="C551" s="1296"/>
      <c r="D551" s="1297" t="s">
        <v>699</v>
      </c>
      <c r="E551" s="1296"/>
      <c r="F551" s="1297" t="s">
        <v>700</v>
      </c>
      <c r="G551" s="1292"/>
      <c r="H551" s="225" t="s">
        <v>701</v>
      </c>
      <c r="I551" s="1290"/>
      <c r="J551" s="1291" t="s">
        <v>702</v>
      </c>
      <c r="K551" s="1302"/>
      <c r="L551" s="957" t="s">
        <v>482</v>
      </c>
      <c r="M551" s="323" t="s">
        <v>698</v>
      </c>
      <c r="N551" s="218"/>
      <c r="O551" s="322" t="s">
        <v>699</v>
      </c>
      <c r="P551" s="218"/>
      <c r="Q551" s="322" t="s">
        <v>700</v>
      </c>
      <c r="R551" s="324"/>
      <c r="S551" s="63"/>
      <c r="T551" s="272" t="s">
        <v>701</v>
      </c>
      <c r="U551" s="157"/>
      <c r="V551" s="129" t="s">
        <v>702</v>
      </c>
      <c r="W551" s="233"/>
      <c r="X551" s="939" t="s">
        <v>482</v>
      </c>
      <c r="AC551"/>
      <c r="AD551"/>
      <c r="AE551"/>
    </row>
    <row r="552" spans="1:33" ht="11.25" customHeight="1" thickBot="1">
      <c r="A552" s="857">
        <v>24</v>
      </c>
      <c r="B552" s="205" t="str">
        <f>"("&amp;TBCM_IN&amp;")"</f>
        <v>(cm)</v>
      </c>
      <c r="C552" s="218"/>
      <c r="D552" s="217" t="str">
        <f>"("&amp;TBCM_IN&amp;")"</f>
        <v>(cm)</v>
      </c>
      <c r="E552" s="218"/>
      <c r="F552" s="217" t="str">
        <f>"("&amp;TBCM_IN&amp;")"</f>
        <v>(cm)</v>
      </c>
      <c r="G552" s="324"/>
      <c r="H552" s="210" t="s">
        <v>704</v>
      </c>
      <c r="I552" s="207"/>
      <c r="J552" s="211" t="s">
        <v>704</v>
      </c>
      <c r="K552" s="233"/>
      <c r="L552" s="957" t="s">
        <v>482</v>
      </c>
      <c r="M552" s="205" t="str">
        <f>"("&amp;TBCM_IN&amp;")"</f>
        <v>(cm)</v>
      </c>
      <c r="N552" s="218"/>
      <c r="O552" s="217" t="str">
        <f>"("&amp;TBCM_IN&amp;")"</f>
        <v>(cm)</v>
      </c>
      <c r="P552" s="218"/>
      <c r="Q552" s="217" t="str">
        <f>"("&amp;TBCM_IN&amp;")"</f>
        <v>(cm)</v>
      </c>
      <c r="R552" s="324"/>
      <c r="S552" s="63"/>
      <c r="T552" s="186" t="s">
        <v>704</v>
      </c>
      <c r="U552" s="207"/>
      <c r="V552" s="211" t="s">
        <v>704</v>
      </c>
      <c r="W552" s="233"/>
      <c r="X552" s="939" t="s">
        <v>482</v>
      </c>
      <c r="AC552"/>
      <c r="AD552"/>
      <c r="AE552"/>
    </row>
    <row r="553" spans="1:33" ht="11.25" customHeight="1" thickBot="1">
      <c r="A553" s="857">
        <v>25</v>
      </c>
      <c r="B553" s="206" t="s">
        <v>531</v>
      </c>
      <c r="C553" s="213" t="s">
        <v>532</v>
      </c>
      <c r="D553" s="214" t="s">
        <v>531</v>
      </c>
      <c r="E553" s="213" t="s">
        <v>532</v>
      </c>
      <c r="F553" s="214" t="s">
        <v>531</v>
      </c>
      <c r="G553" s="216" t="s">
        <v>532</v>
      </c>
      <c r="H553" s="212" t="s">
        <v>531</v>
      </c>
      <c r="I553" s="213" t="s">
        <v>532</v>
      </c>
      <c r="J553" s="214" t="s">
        <v>531</v>
      </c>
      <c r="K553" s="234" t="s">
        <v>532</v>
      </c>
      <c r="L553" s="957" t="s">
        <v>482</v>
      </c>
      <c r="M553" s="325" t="s">
        <v>531</v>
      </c>
      <c r="N553" s="326" t="s">
        <v>532</v>
      </c>
      <c r="O553" s="327" t="s">
        <v>531</v>
      </c>
      <c r="P553" s="326" t="s">
        <v>532</v>
      </c>
      <c r="Q553" s="327" t="s">
        <v>531</v>
      </c>
      <c r="R553" s="328" t="s">
        <v>532</v>
      </c>
      <c r="S553" s="746" t="str">
        <f t="array" ref="S553:S555">Gen_form!$R$414:$R$416</f>
        <v>CR</v>
      </c>
      <c r="T553" s="328" t="s">
        <v>531</v>
      </c>
      <c r="U553" s="326" t="s">
        <v>532</v>
      </c>
      <c r="V553" s="327" t="s">
        <v>531</v>
      </c>
      <c r="W553" s="331" t="s">
        <v>532</v>
      </c>
      <c r="X553" s="939" t="s">
        <v>482</v>
      </c>
      <c r="AC553"/>
      <c r="AD553"/>
      <c r="AE553"/>
    </row>
    <row r="554" spans="1:33" ht="11.25" customHeight="1" thickBot="1">
      <c r="A554" s="857">
        <v>26</v>
      </c>
      <c r="B554" s="519" t="str">
        <f t="shared" ref="B554:G555" si="82">IF(M554="","",M554)</f>
        <v/>
      </c>
      <c r="C554" s="507" t="str">
        <f t="shared" si="82"/>
        <v/>
      </c>
      <c r="D554" s="506" t="str">
        <f t="shared" si="82"/>
        <v/>
      </c>
      <c r="E554" s="507" t="str">
        <f t="shared" si="82"/>
        <v/>
      </c>
      <c r="F554" s="506" t="str">
        <f t="shared" si="82"/>
        <v/>
      </c>
      <c r="G554" s="511" t="str">
        <f t="shared" si="82"/>
        <v/>
      </c>
      <c r="H554" s="219" t="str">
        <f t="shared" ref="H554:K555" si="83">IF(T554="","",T554)</f>
        <v>NA</v>
      </c>
      <c r="I554" s="220" t="str">
        <f t="shared" si="83"/>
        <v>NA</v>
      </c>
      <c r="J554" s="221" t="str">
        <f t="shared" si="83"/>
        <v>NA</v>
      </c>
      <c r="K554" s="235" t="str">
        <f t="shared" si="83"/>
        <v>NA</v>
      </c>
      <c r="L554" s="957" t="s">
        <v>482</v>
      </c>
      <c r="M554" s="1116" t="str">
        <f>IF(M560&lt;&gt;"",M560,IF(OR(AB118=0,AB118=""),"",AB118))</f>
        <v/>
      </c>
      <c r="N554" s="1117" t="str">
        <f>IF(N560&lt;&gt;"",N560,IF(OR(AB119=0,AB119=""),"",AB119))</f>
        <v/>
      </c>
      <c r="O554" s="865"/>
      <c r="P554" s="866"/>
      <c r="Q554" s="865"/>
      <c r="R554" s="863"/>
      <c r="S554" s="747" t="str">
        <v>Avg. CF</v>
      </c>
      <c r="T554" s="848" t="str">
        <f>IF(OR($M$547&lt;&gt;"",$M$409&lt;&gt;1,$M$470=2,$M$470=3),"NA",IF(OR($U$423="",M554="",M554=0,O554="",O554=0),"NA",ABS(M554-O554)/$U$423))</f>
        <v>NA</v>
      </c>
      <c r="U554" s="847" t="str">
        <f>IF(OR($M$547&lt;&gt;"",$M$409&lt;&gt;1,$M$470=2,$M$470=3),"NA",IF(OR($U$423="",N554="",N554=0,P554="",P554=0),"NA",ABS(N554-P554)/$U$423))</f>
        <v>NA</v>
      </c>
      <c r="V554" s="846" t="str">
        <f>IF(OR($M$548&lt;&gt;"",$M$409&lt;&gt;1,$M$473=2,$M$473=3),"NA",IF(OR($U$423="",O554="",Q554=""),"NA",ABS(O554-Q554)/$U$423))</f>
        <v>NA</v>
      </c>
      <c r="W554" s="852" t="str">
        <f>IF(OR($M$548&lt;&gt;"",$M$409&lt;&gt;1,$M$473=2,$M$473=3),"NA",IF(OR($U$423="",P554="",R554=""),"NA",ABS(P554-R554)/$U$423))</f>
        <v>NA</v>
      </c>
      <c r="X554" s="939" t="s">
        <v>482</v>
      </c>
      <c r="AC554"/>
      <c r="AD554"/>
      <c r="AE554"/>
      <c r="AG554" s="1304"/>
    </row>
    <row r="555" spans="1:33" ht="11.25" customHeight="1" thickBot="1">
      <c r="A555" s="857">
        <v>27</v>
      </c>
      <c r="B555" s="519" t="str">
        <f t="shared" si="82"/>
        <v/>
      </c>
      <c r="C555" s="507" t="str">
        <f t="shared" si="82"/>
        <v/>
      </c>
      <c r="D555" s="506" t="str">
        <f t="shared" si="82"/>
        <v/>
      </c>
      <c r="E555" s="507" t="str">
        <f t="shared" si="82"/>
        <v/>
      </c>
      <c r="F555" s="506" t="str">
        <f t="shared" si="82"/>
        <v/>
      </c>
      <c r="G555" s="511" t="str">
        <f t="shared" si="82"/>
        <v/>
      </c>
      <c r="H555" s="219" t="str">
        <f t="shared" si="83"/>
        <v>NA</v>
      </c>
      <c r="I555" s="220" t="str">
        <f t="shared" si="83"/>
        <v>NA</v>
      </c>
      <c r="J555" s="221" t="str">
        <f t="shared" si="83"/>
        <v>NA</v>
      </c>
      <c r="K555" s="235" t="str">
        <f t="shared" si="83"/>
        <v>NA</v>
      </c>
      <c r="L555" s="957" t="s">
        <v>482</v>
      </c>
      <c r="M555" s="1116" t="str">
        <f>IF(M561&lt;&gt;"",M561,IF(OR(AB120=0,AB120=""),"",AB120))</f>
        <v/>
      </c>
      <c r="N555" s="1117" t="str">
        <f>IF(N561&lt;&gt;"",N561,IF(OR(AB121=0,AB121=""),"",AB121))</f>
        <v/>
      </c>
      <c r="O555" s="865"/>
      <c r="P555" s="866"/>
      <c r="Q555" s="865"/>
      <c r="R555" s="863"/>
      <c r="S555" s="748">
        <v>1</v>
      </c>
      <c r="T555" s="851" t="str">
        <f>IF(OR(M555="",M555=0,O555="",O555=0,$M$547&lt;&gt;"",$M$409&lt;&gt;1,$M$470=2,$M$470=3),"NA",IF($U$423="","TBD",ABS(M555-O555)/$U$423))</f>
        <v>NA</v>
      </c>
      <c r="U555" s="850" t="str">
        <f>IF(OR(N555="",N555=0,P555="",P555=0,$M$547&lt;&gt;"",$M$409&lt;&gt;1,$M$470=2,$M$470=3),"NA",IF(OR($U$423="",$U$423=0),"NA",ABS(N555-P555)/$U$423))</f>
        <v>NA</v>
      </c>
      <c r="V555" s="849" t="str">
        <f>IF(OR(M555="",M555=0,Q555="",Q555=0,$M$548&lt;&gt;"",$M$409&lt;&gt;1,$M$473=2,$M$473=3),"NA",IF(OR($U$423="",O555="",Q555=""),"NA",ABS(O555-Q555)/$U$423))</f>
        <v>NA</v>
      </c>
      <c r="W555" s="853" t="str">
        <f>IF(OR(N555="",N555=0,R555="",R555=0,$M$548&lt;&gt;"",$M$409&lt;&gt;1,$M$473=2,$M$473=3),"NA",IF(OR($U$423="",P555="",R555=""),"NA",ABS(P555-R555)/$U$423))</f>
        <v>NA</v>
      </c>
      <c r="X555" s="939" t="s">
        <v>482</v>
      </c>
      <c r="AC555"/>
      <c r="AD555"/>
      <c r="AE555"/>
      <c r="AG555" s="1304"/>
    </row>
    <row r="556" spans="1:33" ht="11.25" customHeight="1" thickBot="1">
      <c r="A556" s="857">
        <v>28</v>
      </c>
      <c r="B556" s="203" t="s">
        <v>706</v>
      </c>
      <c r="C556" s="63"/>
      <c r="D556" s="63"/>
      <c r="E556" s="63"/>
      <c r="F556" s="63"/>
      <c r="G556" s="63"/>
      <c r="H556" s="63"/>
      <c r="I556" s="63"/>
      <c r="J556" s="63"/>
      <c r="K556" s="81"/>
      <c r="L556" s="957" t="s">
        <v>482</v>
      </c>
      <c r="M556" s="203" t="s">
        <v>706</v>
      </c>
      <c r="N556" s="119"/>
      <c r="O556" s="119"/>
      <c r="P556" s="119"/>
      <c r="Q556" s="119"/>
      <c r="R556" s="196"/>
      <c r="S556" s="119"/>
      <c r="T556" s="63"/>
      <c r="U556" s="63"/>
      <c r="V556" s="63"/>
      <c r="W556" s="81"/>
      <c r="X556" s="939" t="s">
        <v>482</v>
      </c>
      <c r="AC556"/>
      <c r="AD556"/>
      <c r="AE556"/>
      <c r="AG556" s="1304"/>
    </row>
    <row r="557" spans="1:33" ht="11.25" customHeight="1" thickBot="1">
      <c r="A557" s="857">
        <v>29</v>
      </c>
      <c r="B557" s="204" t="s">
        <v>707</v>
      </c>
      <c r="C557" s="63"/>
      <c r="D557" s="63"/>
      <c r="E557" s="63"/>
      <c r="F557" s="63"/>
      <c r="G557" s="63"/>
      <c r="H557" s="226"/>
      <c r="I557" s="227" t="s">
        <v>708</v>
      </c>
      <c r="J557" s="225"/>
      <c r="K557" s="236"/>
      <c r="L557" s="957" t="s">
        <v>482</v>
      </c>
      <c r="M557" s="204" t="s">
        <v>707</v>
      </c>
      <c r="N557" s="63"/>
      <c r="O557" s="63"/>
      <c r="P557" s="63"/>
      <c r="Q557" s="63"/>
      <c r="R557" s="63"/>
      <c r="S557" s="63"/>
      <c r="T557" s="1108"/>
      <c r="U557" s="1770" t="s">
        <v>708</v>
      </c>
      <c r="V557" s="1770"/>
      <c r="W557" s="1107"/>
      <c r="X557" s="939" t="s">
        <v>482</v>
      </c>
      <c r="AC557"/>
      <c r="AD557"/>
      <c r="AE557"/>
      <c r="AG557" s="1304"/>
    </row>
    <row r="558" spans="1:33" ht="11.25" customHeight="1">
      <c r="A558" s="857">
        <v>30</v>
      </c>
      <c r="B558" s="139"/>
      <c r="C558" s="119"/>
      <c r="D558" s="119"/>
      <c r="E558" s="63"/>
      <c r="F558" s="230" t="str">
        <f>"Indicated Field Size ("&amp;TBCM_IN&amp;")"</f>
        <v>Indicated Field Size (cm)</v>
      </c>
      <c r="G558" s="231"/>
      <c r="H558" s="211" t="s">
        <v>701</v>
      </c>
      <c r="I558" s="207"/>
      <c r="J558" s="209" t="s">
        <v>702</v>
      </c>
      <c r="K558" s="332"/>
      <c r="L558" s="957" t="s">
        <v>482</v>
      </c>
      <c r="M558" s="1004" t="s">
        <v>709</v>
      </c>
      <c r="N558" s="999"/>
      <c r="O558" s="63"/>
      <c r="P558" s="63"/>
      <c r="Q558" s="63"/>
      <c r="R558" s="230" t="str">
        <f>"Indicated Field Size ("&amp;TBCM_IN&amp;")"</f>
        <v>Indicated Field Size (cm)</v>
      </c>
      <c r="S558" s="329"/>
      <c r="T558" s="1028" t="s">
        <v>701</v>
      </c>
      <c r="U558" s="1029"/>
      <c r="V558" s="1030" t="s">
        <v>702</v>
      </c>
      <c r="W558" s="1031"/>
      <c r="X558" s="939" t="s">
        <v>482</v>
      </c>
      <c r="AC558"/>
      <c r="AD558"/>
      <c r="AE558"/>
      <c r="AG558" s="1304"/>
    </row>
    <row r="559" spans="1:33" ht="11.25" customHeight="1" thickBot="1">
      <c r="A559" s="857">
        <v>31</v>
      </c>
      <c r="B559" s="137"/>
      <c r="C559" s="58"/>
      <c r="D559" s="198"/>
      <c r="E559" s="63"/>
      <c r="F559" s="214" t="s">
        <v>531</v>
      </c>
      <c r="G559" s="213" t="s">
        <v>532</v>
      </c>
      <c r="H559" s="214" t="s">
        <v>531</v>
      </c>
      <c r="I559" s="213" t="s">
        <v>532</v>
      </c>
      <c r="J559" s="214" t="s">
        <v>531</v>
      </c>
      <c r="K559" s="234" t="s">
        <v>532</v>
      </c>
      <c r="L559" s="957" t="s">
        <v>482</v>
      </c>
      <c r="M559" s="325" t="s">
        <v>531</v>
      </c>
      <c r="N559" s="1001" t="s">
        <v>532</v>
      </c>
      <c r="O559" s="63"/>
      <c r="P559" s="63"/>
      <c r="Q559" s="63"/>
      <c r="R559" s="327" t="s">
        <v>531</v>
      </c>
      <c r="S559" s="326" t="s">
        <v>532</v>
      </c>
      <c r="T559" s="1032" t="s">
        <v>531</v>
      </c>
      <c r="U559" s="1033" t="s">
        <v>532</v>
      </c>
      <c r="V559" s="1032" t="s">
        <v>531</v>
      </c>
      <c r="W559" s="1034" t="s">
        <v>532</v>
      </c>
      <c r="X559" s="939" t="s">
        <v>482</v>
      </c>
      <c r="AB559" s="1187"/>
      <c r="AD559" s="1234"/>
      <c r="AG559" s="1304"/>
    </row>
    <row r="560" spans="1:33" ht="11.25" customHeight="1" thickBot="1">
      <c r="A560" s="857">
        <v>32</v>
      </c>
      <c r="B560" s="139"/>
      <c r="C560" s="119"/>
      <c r="D560" s="119"/>
      <c r="E560" s="63"/>
      <c r="F560" s="506" t="str">
        <f t="shared" ref="F560:K561" si="84">R560</f>
        <v/>
      </c>
      <c r="G560" s="507" t="str">
        <f t="shared" si="84"/>
        <v/>
      </c>
      <c r="H560" s="223" t="str">
        <f t="shared" si="84"/>
        <v>NA</v>
      </c>
      <c r="I560" s="228" t="str">
        <f t="shared" si="84"/>
        <v>NA</v>
      </c>
      <c r="J560" s="223" t="str">
        <f t="shared" si="84"/>
        <v>NA</v>
      </c>
      <c r="K560" s="150" t="str">
        <f t="shared" si="84"/>
        <v>NA</v>
      </c>
      <c r="L560" s="957" t="s">
        <v>482</v>
      </c>
      <c r="M560" s="983"/>
      <c r="N560" s="1000"/>
      <c r="O560" s="63"/>
      <c r="P560" s="63"/>
      <c r="Q560" s="63"/>
      <c r="R560" s="506" t="str">
        <f>IF(M554=0,"",M554)</f>
        <v/>
      </c>
      <c r="S560" s="507" t="str">
        <f>IF(N554=0,"",N554)</f>
        <v/>
      </c>
      <c r="T560" s="1021" t="str">
        <f>IF($M$547=1,"YES",IF($M$547=2,"NO",IF(OR(T554="NA",$M$409&lt;&gt;1,$M$470=2,$M$470=3),"NA",IF(T554="TBD","TBD",IF(T554&gt;0.02,"NO","YES")))))</f>
        <v>NA</v>
      </c>
      <c r="U560" s="1021" t="str">
        <f>IF($M$547=1,"YES",IF($M$547=2,"NO",IF(OR(U554="NA",$M$409&lt;&gt;1,$M$470=2,$M$470=3),"NA",IF(U554="TBD","TBD",IF(U554&gt;0.02,"NO","YES")))))</f>
        <v>NA</v>
      </c>
      <c r="V560" s="1021" t="str">
        <f>IF($M$548=1,"YES",IF($M$548=2,"NO",IF(OR(V554="NA",$M$409&lt;&gt;1,$M$473=2,$M$473=3),"NA",IF(V554="TBD","TBD",IF(V554&gt;0.02,"NO","YES")))))</f>
        <v>NA</v>
      </c>
      <c r="W560" s="1042" t="str">
        <f>IF($M$548=1,"YES",IF($M$548=2,"NO",IF(OR(W554="NA",$M$409&lt;&gt;1,$M$473=2,$M$473=3),"NA",IF(W554="TBD","TBD",IF(W554&gt;0.02,"NO","YES")))))</f>
        <v>NA</v>
      </c>
      <c r="X560" s="939" t="s">
        <v>482</v>
      </c>
    </row>
    <row r="561" spans="1:30" ht="11.25" customHeight="1" thickBot="1">
      <c r="A561" s="857">
        <v>33</v>
      </c>
      <c r="B561" s="155"/>
      <c r="C561" s="63"/>
      <c r="D561" s="63"/>
      <c r="E561" s="63"/>
      <c r="F561" s="508" t="str">
        <f t="shared" si="84"/>
        <v/>
      </c>
      <c r="G561" s="509" t="str">
        <f t="shared" si="84"/>
        <v/>
      </c>
      <c r="H561" s="224" t="str">
        <f t="shared" si="84"/>
        <v>NA</v>
      </c>
      <c r="I561" s="229" t="str">
        <f t="shared" si="84"/>
        <v>NA</v>
      </c>
      <c r="J561" s="224" t="str">
        <f t="shared" si="84"/>
        <v>NA</v>
      </c>
      <c r="K561" s="237" t="str">
        <f t="shared" si="84"/>
        <v>NA</v>
      </c>
      <c r="L561" s="957" t="s">
        <v>482</v>
      </c>
      <c r="M561" s="983"/>
      <c r="N561" s="984"/>
      <c r="O561" s="63"/>
      <c r="P561" s="63"/>
      <c r="Q561" s="63"/>
      <c r="R561" s="508" t="str">
        <f>IF(M555=0,"",M555)</f>
        <v/>
      </c>
      <c r="S561" s="509" t="str">
        <f>IF(N555=0,"",N555)</f>
        <v/>
      </c>
      <c r="T561" s="1021" t="str">
        <f>IF(T555="NA","NA",IF(T555="TBD","TBD",IF(T555&gt;0.02,"NO","YES")))</f>
        <v>NA</v>
      </c>
      <c r="U561" s="1021" t="str">
        <f>IF(U555="NA","NA",IF(U555="TBD","TBD",IF(U555&gt;0.02,"NO","YES")))</f>
        <v>NA</v>
      </c>
      <c r="V561" s="1021" t="str">
        <f>IF(V555="NA","NA",IF(V555="TBD","TBD",IF(V555&gt;0.02,"NO","YES")))</f>
        <v>NA</v>
      </c>
      <c r="W561" s="1042" t="str">
        <f>IF(W555="NA","NA",IF(W555="TBD","TBD",IF(W555&gt;0.02,"NO","YES")))</f>
        <v>NA</v>
      </c>
      <c r="X561" s="939" t="s">
        <v>482</v>
      </c>
    </row>
    <row r="562" spans="1:30" ht="11.25" customHeight="1">
      <c r="A562" s="857">
        <v>34</v>
      </c>
      <c r="B562" s="155"/>
      <c r="C562" s="63"/>
      <c r="D562" s="63"/>
      <c r="E562" s="63"/>
      <c r="F562" s="63"/>
      <c r="G562" s="63"/>
      <c r="H562" s="63"/>
      <c r="I562" s="63"/>
      <c r="J562" s="63"/>
      <c r="K562" s="81"/>
      <c r="L562" s="957" t="s">
        <v>482</v>
      </c>
      <c r="M562" s="155"/>
      <c r="N562" s="63"/>
      <c r="O562" s="63"/>
      <c r="P562" s="63"/>
      <c r="Q562" s="63"/>
      <c r="R562" s="63"/>
      <c r="S562" s="63"/>
      <c r="T562" s="63"/>
      <c r="U562" s="63"/>
      <c r="V562" s="63"/>
      <c r="W562" s="81"/>
      <c r="X562" s="939" t="s">
        <v>482</v>
      </c>
    </row>
    <row r="563" spans="1:30" ht="11.25" customHeight="1">
      <c r="A563" s="857">
        <v>35</v>
      </c>
      <c r="B563" s="243" t="s">
        <v>647</v>
      </c>
      <c r="C563" s="238" t="s">
        <v>710</v>
      </c>
      <c r="D563" s="198"/>
      <c r="E563" s="63"/>
      <c r="F563" s="63"/>
      <c r="G563" s="198"/>
      <c r="H563" s="198"/>
      <c r="I563" s="198"/>
      <c r="J563" s="198"/>
      <c r="K563" s="199"/>
      <c r="L563" s="957" t="s">
        <v>482</v>
      </c>
      <c r="M563" s="137"/>
      <c r="N563" s="162" t="s">
        <v>647</v>
      </c>
      <c r="O563" s="238" t="s">
        <v>710</v>
      </c>
      <c r="P563" s="63"/>
      <c r="Q563" s="63"/>
      <c r="R563" s="118"/>
      <c r="S563" s="63"/>
      <c r="T563" s="63"/>
      <c r="U563" s="119"/>
      <c r="V563" s="119"/>
      <c r="W563" s="81"/>
      <c r="X563" s="939" t="s">
        <v>482</v>
      </c>
    </row>
    <row r="564" spans="1:30" ht="11.25" customHeight="1">
      <c r="A564" s="857">
        <v>36</v>
      </c>
      <c r="B564" s="254"/>
      <c r="C564" s="115" t="s">
        <v>520</v>
      </c>
      <c r="D564" s="198"/>
      <c r="E564" s="63"/>
      <c r="F564" s="63"/>
      <c r="G564" s="198"/>
      <c r="H564" s="198"/>
      <c r="I564" s="198"/>
      <c r="J564" s="198"/>
      <c r="K564" s="199"/>
      <c r="L564" s="957" t="s">
        <v>482</v>
      </c>
      <c r="M564" s="139"/>
      <c r="N564" s="239"/>
      <c r="O564" s="115" t="s">
        <v>520</v>
      </c>
      <c r="P564" s="63"/>
      <c r="Q564" s="63"/>
      <c r="R564" s="58"/>
      <c r="S564" s="63"/>
      <c r="T564" s="63"/>
      <c r="U564" s="119"/>
      <c r="V564" s="119"/>
      <c r="W564" s="81"/>
      <c r="X564" s="939" t="s">
        <v>482</v>
      </c>
    </row>
    <row r="565" spans="1:30" ht="11.25" customHeight="1">
      <c r="A565" s="857">
        <v>37</v>
      </c>
      <c r="B565" s="120" t="s">
        <v>629</v>
      </c>
      <c r="C565" s="1238" t="str">
        <f>IF(O565="","",IF(LEN(O565)&lt;=135,O565,IF(LEN(O565)&lt;=260,LEFT(O565,SEARCH(" ",O565,125)),LEFT(O565,SEARCH(" ",O565,130)))))</f>
        <v/>
      </c>
      <c r="D565" s="57"/>
      <c r="E565" s="57"/>
      <c r="F565" s="57"/>
      <c r="G565" s="57"/>
      <c r="H565" s="57"/>
      <c r="I565" s="57"/>
      <c r="J565" s="57"/>
      <c r="K565" s="96"/>
      <c r="L565" s="957" t="s">
        <v>482</v>
      </c>
      <c r="M565" s="155"/>
      <c r="N565" s="814" t="s">
        <v>629</v>
      </c>
      <c r="O565" s="994" t="str">
        <f>IF(O567&lt;&gt;"",O567,IF(OR(AB433=0,AB433=""),"",AB433))</f>
        <v/>
      </c>
      <c r="P565" s="55"/>
      <c r="Q565" s="55"/>
      <c r="R565" s="55"/>
      <c r="S565" s="55"/>
      <c r="T565" s="55"/>
      <c r="U565" s="55"/>
      <c r="V565" s="55"/>
      <c r="W565" s="122"/>
      <c r="X565" s="939" t="s">
        <v>482</v>
      </c>
    </row>
    <row r="566" spans="1:30" ht="11.25" customHeight="1">
      <c r="A566" s="857">
        <v>38</v>
      </c>
      <c r="B566" s="97"/>
      <c r="C566" s="1239" t="str">
        <f>IF(LEN(O565)&lt;=135,"",IF(LEN(O565)&lt;=260,RIGHT(O565,LEN(O565)-SEARCH(" ",O565,125)),MID(O565,SEARCH(" ",O565,130),IF(LEN(O565)&lt;=265,LEN(O565),SEARCH(" ",O565,255)-SEARCH(" ",O565,130)))))</f>
        <v/>
      </c>
      <c r="D566" s="57"/>
      <c r="E566" s="57"/>
      <c r="F566" s="57"/>
      <c r="G566" s="57"/>
      <c r="H566" s="57"/>
      <c r="I566" s="57"/>
      <c r="J566" s="57"/>
      <c r="K566" s="96"/>
      <c r="L566" s="957" t="s">
        <v>482</v>
      </c>
      <c r="M566" s="121"/>
      <c r="N566" s="855" t="s">
        <v>347</v>
      </c>
      <c r="O566" s="124"/>
      <c r="P566" s="1237">
        <f>LEN(O565)</f>
        <v>0</v>
      </c>
      <c r="Q566" s="124"/>
      <c r="R566" s="124"/>
      <c r="S566" s="124"/>
      <c r="T566" s="124"/>
      <c r="U566" s="124"/>
      <c r="V566" s="124"/>
      <c r="W566" s="125"/>
      <c r="X566" s="939" t="s">
        <v>482</v>
      </c>
    </row>
    <row r="567" spans="1:30" ht="11.25" customHeight="1">
      <c r="A567" s="857">
        <v>39</v>
      </c>
      <c r="B567" s="97"/>
      <c r="C567" s="1238" t="str">
        <f>IF(LEN(O565)&lt;=265,"",RIGHT(O565,LEN(O565)-SEARCH(" ",O565,255)))</f>
        <v/>
      </c>
      <c r="D567" s="57"/>
      <c r="E567" s="57"/>
      <c r="F567" s="57"/>
      <c r="G567" s="57"/>
      <c r="H567" s="57"/>
      <c r="I567" s="57"/>
      <c r="J567" s="57"/>
      <c r="K567" s="96"/>
      <c r="L567" s="957" t="s">
        <v>482</v>
      </c>
      <c r="M567" s="146"/>
      <c r="N567" s="1378" t="s">
        <v>696</v>
      </c>
      <c r="O567" s="1380"/>
      <c r="P567" s="124"/>
      <c r="Q567" s="124"/>
      <c r="R567" s="55"/>
      <c r="S567" s="55"/>
      <c r="T567" s="55"/>
      <c r="U567" s="55"/>
      <c r="V567" s="55"/>
      <c r="W567" s="122"/>
      <c r="X567" s="939" t="s">
        <v>482</v>
      </c>
    </row>
    <row r="568" spans="1:30" ht="11.25" customHeight="1">
      <c r="A568" s="857">
        <v>40</v>
      </c>
      <c r="B568" s="155"/>
      <c r="C568" s="63"/>
      <c r="D568" s="63"/>
      <c r="E568" s="63"/>
      <c r="F568" s="63"/>
      <c r="G568" s="63"/>
      <c r="H568" s="63"/>
      <c r="I568" s="63"/>
      <c r="J568" s="63"/>
      <c r="K568" s="81"/>
      <c r="L568" s="957" t="s">
        <v>482</v>
      </c>
      <c r="M568" s="155"/>
      <c r="N568" s="63"/>
      <c r="O568" s="63"/>
      <c r="P568" s="63"/>
      <c r="Q568" s="63"/>
      <c r="R568" s="63"/>
      <c r="S568" s="63"/>
      <c r="T568" s="63"/>
      <c r="U568" s="63"/>
      <c r="V568" s="63"/>
      <c r="W568" s="81"/>
      <c r="X568" s="939" t="s">
        <v>482</v>
      </c>
    </row>
    <row r="569" spans="1:30" ht="11.25" customHeight="1">
      <c r="A569" s="857">
        <v>41</v>
      </c>
      <c r="B569" s="386" t="s">
        <v>711</v>
      </c>
      <c r="C569" s="61"/>
      <c r="D569" s="61"/>
      <c r="E569" s="266"/>
      <c r="F569" s="63"/>
      <c r="G569" s="63"/>
      <c r="H569" s="63"/>
      <c r="I569" s="63"/>
      <c r="J569" s="63"/>
      <c r="K569" s="81"/>
      <c r="L569" s="957" t="s">
        <v>482</v>
      </c>
      <c r="M569" s="155"/>
      <c r="N569" s="63"/>
      <c r="O569" s="63"/>
      <c r="P569" s="63"/>
      <c r="Q569" s="63"/>
      <c r="R569" s="63"/>
      <c r="S569" s="63"/>
      <c r="T569" s="63"/>
      <c r="U569" s="63"/>
      <c r="V569" s="63"/>
      <c r="W569" s="81"/>
      <c r="X569" s="939" t="s">
        <v>482</v>
      </c>
    </row>
    <row r="570" spans="1:30" ht="11.25" customHeight="1">
      <c r="A570" s="857">
        <v>42</v>
      </c>
      <c r="B570" s="155"/>
      <c r="C570" s="61"/>
      <c r="D570" s="63"/>
      <c r="E570" s="63"/>
      <c r="F570" s="63"/>
      <c r="G570" s="63"/>
      <c r="H570" s="63"/>
      <c r="I570" s="63"/>
      <c r="J570" s="117" t="s">
        <v>487</v>
      </c>
      <c r="K570" s="81"/>
      <c r="L570" s="957" t="s">
        <v>482</v>
      </c>
      <c r="M570" s="386" t="s">
        <v>711</v>
      </c>
      <c r="N570" s="61"/>
      <c r="O570" s="61"/>
      <c r="P570" s="61"/>
      <c r="Q570" s="63"/>
      <c r="R570" s="63"/>
      <c r="S570" s="63"/>
      <c r="T570" s="63"/>
      <c r="U570" s="63"/>
      <c r="V570" s="63"/>
      <c r="W570" s="81"/>
      <c r="X570" s="939" t="s">
        <v>482</v>
      </c>
    </row>
    <row r="571" spans="1:30" ht="11.25" customHeight="1">
      <c r="A571" s="857">
        <v>43</v>
      </c>
      <c r="B571" s="155"/>
      <c r="C571" s="61"/>
      <c r="D571" s="63"/>
      <c r="E571" s="58" t="s">
        <v>712</v>
      </c>
      <c r="F571" s="63"/>
      <c r="G571" s="63"/>
      <c r="H571" s="63"/>
      <c r="I571" s="63"/>
      <c r="J571" s="154" t="str">
        <f>IF(M409=2,"NA",IF($M572="","TBD",IF($M572=1,"YES",IF($M572=3,"NA",""))))</f>
        <v>TBD</v>
      </c>
      <c r="K571" s="135" t="str">
        <f>IF($M572=2,"NO","")</f>
        <v/>
      </c>
      <c r="L571" s="957" t="s">
        <v>482</v>
      </c>
      <c r="M571" s="256" t="s">
        <v>713</v>
      </c>
      <c r="N571" s="63"/>
      <c r="O571" s="63"/>
      <c r="P571" s="63"/>
      <c r="Q571" s="63"/>
      <c r="R571" s="63"/>
      <c r="S571" s="63"/>
      <c r="T571" s="63"/>
      <c r="U571" s="63"/>
      <c r="V571" s="63"/>
      <c r="W571" s="81"/>
      <c r="X571" s="939" t="s">
        <v>482</v>
      </c>
    </row>
    <row r="572" spans="1:30" ht="11.25" customHeight="1" thickBot="1">
      <c r="A572" s="857">
        <v>44</v>
      </c>
      <c r="B572" s="155"/>
      <c r="C572" s="63"/>
      <c r="D572" s="63"/>
      <c r="E572" s="63"/>
      <c r="F572" s="63"/>
      <c r="G572" s="63"/>
      <c r="H572" s="63"/>
      <c r="I572" s="63"/>
      <c r="J572" s="63"/>
      <c r="K572" s="81"/>
      <c r="L572" s="957" t="s">
        <v>482</v>
      </c>
      <c r="M572" s="1118" t="str">
        <f>IF(N572&lt;&gt;"",N572,IF(OR(AB123=0,AB123=""),"",AB123))</f>
        <v/>
      </c>
      <c r="N572" s="982"/>
      <c r="O572" s="58" t="s">
        <v>714</v>
      </c>
      <c r="P572" s="63"/>
      <c r="Q572" s="63"/>
      <c r="R572" s="63"/>
      <c r="S572" s="63"/>
      <c r="T572" s="63"/>
      <c r="U572" s="63"/>
      <c r="V572" s="63"/>
      <c r="W572" s="81"/>
      <c r="X572" s="939" t="s">
        <v>482</v>
      </c>
    </row>
    <row r="573" spans="1:30" ht="11.25" customHeight="1">
      <c r="A573" s="857">
        <v>45</v>
      </c>
      <c r="B573" s="1295" t="str">
        <f>"Cassette/Film Size ("&amp;TBCM_IN&amp;")"</f>
        <v>Cassette/Film Size (cm)</v>
      </c>
      <c r="C573" s="1296"/>
      <c r="D573" s="1297" t="str">
        <f>"Measured* Radiation ("&amp;TBCM_IN&amp;")"</f>
        <v>Measured* Radiation (cm)</v>
      </c>
      <c r="E573" s="1296"/>
      <c r="F573" s="1776" t="s">
        <v>704</v>
      </c>
      <c r="G573" s="1777"/>
      <c r="H573" s="1778"/>
      <c r="I573" s="1755" t="s">
        <v>708</v>
      </c>
      <c r="J573" s="1756"/>
      <c r="K573" s="1757"/>
      <c r="L573" s="957" t="s">
        <v>482</v>
      </c>
      <c r="M573" s="155"/>
      <c r="N573" s="321" t="str">
        <f>"Cassette/Film Size ("&amp;TBCM_IN&amp;")"</f>
        <v>Cassette/Film Size (cm)</v>
      </c>
      <c r="O573" s="218"/>
      <c r="P573" s="322" t="str">
        <f>"Measured* Radiation ("&amp;TBCM_IN&amp;")"</f>
        <v>Measured* Radiation (cm)</v>
      </c>
      <c r="Q573" s="218"/>
      <c r="R573" s="1760" t="s">
        <v>704</v>
      </c>
      <c r="S573" s="1739"/>
      <c r="T573" s="1761"/>
      <c r="U573" s="1752" t="s">
        <v>708</v>
      </c>
      <c r="V573" s="1753"/>
      <c r="W573" s="1754"/>
      <c r="X573" s="939" t="s">
        <v>482</v>
      </c>
      <c r="AA573" s="1187"/>
      <c r="AB573" s="1187"/>
      <c r="AC573" s="1234"/>
      <c r="AD573" s="1234"/>
    </row>
    <row r="574" spans="1:30" ht="11.25" customHeight="1" thickBot="1">
      <c r="A574" s="857">
        <v>46</v>
      </c>
      <c r="B574" s="206" t="s">
        <v>531</v>
      </c>
      <c r="C574" s="213" t="s">
        <v>532</v>
      </c>
      <c r="D574" s="214" t="s">
        <v>531</v>
      </c>
      <c r="E574" s="259" t="s">
        <v>532</v>
      </c>
      <c r="F574" s="214" t="s">
        <v>531</v>
      </c>
      <c r="G574" s="189" t="s">
        <v>532</v>
      </c>
      <c r="H574" s="189" t="s">
        <v>41</v>
      </c>
      <c r="I574" s="262" t="s">
        <v>531</v>
      </c>
      <c r="J574" s="189" t="s">
        <v>532</v>
      </c>
      <c r="K574" s="738" t="s">
        <v>41</v>
      </c>
      <c r="L574" s="957" t="s">
        <v>482</v>
      </c>
      <c r="M574" s="155"/>
      <c r="N574" s="328" t="s">
        <v>531</v>
      </c>
      <c r="O574" s="326" t="s">
        <v>532</v>
      </c>
      <c r="P574" s="327" t="s">
        <v>531</v>
      </c>
      <c r="Q574" s="330" t="s">
        <v>532</v>
      </c>
      <c r="R574" s="327" t="s">
        <v>531</v>
      </c>
      <c r="S574" s="328" t="s">
        <v>532</v>
      </c>
      <c r="T574" s="328" t="s">
        <v>41</v>
      </c>
      <c r="U574" s="1035" t="s">
        <v>531</v>
      </c>
      <c r="V574" s="1033" t="s">
        <v>532</v>
      </c>
      <c r="W574" s="1396" t="s">
        <v>41</v>
      </c>
      <c r="X574" s="939" t="s">
        <v>482</v>
      </c>
      <c r="AA574" s="1187"/>
      <c r="AB574" s="1187"/>
      <c r="AC574" s="1234"/>
      <c r="AD574" s="1234"/>
    </row>
    <row r="575" spans="1:30" ht="11.25" customHeight="1" thickBot="1">
      <c r="A575" s="857">
        <v>47</v>
      </c>
      <c r="B575" s="726" t="str">
        <f t="shared" ref="B575:K576" si="85">IF(N575="","",N575)</f>
        <v>NA</v>
      </c>
      <c r="C575" s="333" t="str">
        <f t="shared" si="85"/>
        <v>NA</v>
      </c>
      <c r="D575" s="506" t="str">
        <f t="shared" si="85"/>
        <v>NA</v>
      </c>
      <c r="E575" s="518" t="str">
        <f t="shared" si="85"/>
        <v>NA</v>
      </c>
      <c r="F575" s="221" t="str">
        <f t="shared" si="85"/>
        <v>NA</v>
      </c>
      <c r="G575" s="222" t="str">
        <f t="shared" si="85"/>
        <v>NA</v>
      </c>
      <c r="H575" s="222" t="str">
        <f t="shared" si="85"/>
        <v>NA</v>
      </c>
      <c r="I575" s="208" t="str">
        <f t="shared" si="85"/>
        <v>NA</v>
      </c>
      <c r="J575" s="258" t="str">
        <f t="shared" si="85"/>
        <v>NA</v>
      </c>
      <c r="K575" s="1402" t="str">
        <f t="shared" si="85"/>
        <v>NA</v>
      </c>
      <c r="L575" s="957" t="s">
        <v>482</v>
      </c>
      <c r="M575" s="155"/>
      <c r="N575" s="1119" t="str">
        <f>IF(AND($M$572&lt;&gt;1,OR(N578=0,N578="")),"NA",IF(N578&lt;&gt;"",N578,IF(TBCM_IN&lt;&gt;"cm",10,24)))</f>
        <v>NA</v>
      </c>
      <c r="O575" s="1119" t="str">
        <f>IF(AND($M$572&lt;&gt;1,OR(O578=0,O578="")),"NA",IF(O578&lt;&gt;"",O578,IF(TBCM_IN&lt;&gt;"cm",12,30)))</f>
        <v>NA</v>
      </c>
      <c r="P575" s="1073" t="str">
        <f>IF(P578&lt;&gt;"",P578,IF(OR(O554="",$M$572&lt;&gt;1),"NA",O554))</f>
        <v>NA</v>
      </c>
      <c r="Q575" s="1074"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1" t="str">
        <f>IF($M$572=2,"NO",IF(R575="NA","NA",IF(OR(R575="SID?",R575="TBD"),"TBD",IF(ABS(R575)&gt;0.02,"NO","YES"))))</f>
        <v>NA</v>
      </c>
      <c r="V575" s="1021" t="str">
        <f>IF($M$572=2,"NO",IF(S575="NA","NA",IF(OR(S575="SID?",S575="TBD"),"TBD",IF(ABS(S575)&gt;0.02,"NO","YES"))))</f>
        <v>NA</v>
      </c>
      <c r="W575" s="1042" t="str">
        <f>IF($M$572=2,"NO",IF(T575="NA","NA",IF(OR(T575="SID?",T575="TBD"),"TBD",IF(ABS(T575)&gt;0.03,"NO","YES"))))</f>
        <v>NA</v>
      </c>
      <c r="X575" s="939" t="s">
        <v>482</v>
      </c>
      <c r="AA575" s="1187"/>
      <c r="AB575" s="1187"/>
      <c r="AC575" s="1234"/>
      <c r="AD575" s="1234"/>
    </row>
    <row r="576" spans="1:30" ht="11.25" customHeight="1" thickBot="1">
      <c r="A576" s="857">
        <v>48</v>
      </c>
      <c r="B576" s="726" t="str">
        <f t="shared" si="85"/>
        <v>NA</v>
      </c>
      <c r="C576" s="333" t="str">
        <f t="shared" si="85"/>
        <v>NA</v>
      </c>
      <c r="D576" s="506" t="str">
        <f t="shared" si="85"/>
        <v>NA</v>
      </c>
      <c r="E576" s="518" t="str">
        <f t="shared" si="85"/>
        <v>NA</v>
      </c>
      <c r="F576" s="221" t="str">
        <f t="shared" si="85"/>
        <v>NA</v>
      </c>
      <c r="G576" s="222" t="str">
        <f t="shared" si="85"/>
        <v>NA</v>
      </c>
      <c r="H576" s="222" t="str">
        <f t="shared" si="85"/>
        <v>NA</v>
      </c>
      <c r="I576" s="260" t="str">
        <f t="shared" si="85"/>
        <v>NA</v>
      </c>
      <c r="J576" s="340" t="str">
        <f t="shared" si="85"/>
        <v>NA</v>
      </c>
      <c r="K576" s="1403" t="str">
        <f t="shared" si="85"/>
        <v>NA</v>
      </c>
      <c r="L576" s="957" t="s">
        <v>482</v>
      </c>
      <c r="M576" s="155"/>
      <c r="N576" s="1119" t="str">
        <f>IF(AND($M$572&lt;&gt;1,OR(N579=0,N579="")),"NA",IF(N579&lt;&gt;"",N579,IF(TBCM_IN&lt;&gt;"cm",14,35)))</f>
        <v>NA</v>
      </c>
      <c r="O576" s="1119" t="str">
        <f>IF(AND($M$572&lt;&gt;1,OR(O579=0,O579="")),"NA",IF(O579&lt;&gt;"",O579,IF(TBCM_IN&lt;&gt;"cm",17,43)))</f>
        <v>NA</v>
      </c>
      <c r="P576" s="1073" t="str">
        <f>IF(P579&lt;&gt;"",P579,IF(OR(O555="",$M$572&lt;&gt;1),"NA",O555))</f>
        <v>NA</v>
      </c>
      <c r="Q576" s="1074"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1" t="str">
        <f>IF($M$572=2,"NO",IF(R576="NA","NA",IF(OR(R576="SID?",R576="TBD"),"TBD",IF(ABS(R576)&gt;0.02,"NO","YES"))))</f>
        <v>NA</v>
      </c>
      <c r="V576" s="1021" t="str">
        <f>IF($M$572=2,"NO",IF(S576="NA","NA",IF(OR(S576="SID?",S576="TBD"),"TBD",IF(ABS(S576)&gt;0.02,"NO","YES"))))</f>
        <v>NA</v>
      </c>
      <c r="W576" s="1042" t="str">
        <f>IF($M$572=2,"NO",IF(T576="NA","NA",IF(OR(T576="SID?",T576="TBD"),"TBD",IF(ABS(T576)&gt;0.03,"NO","YES"))))</f>
        <v>NA</v>
      </c>
      <c r="X576" s="939" t="s">
        <v>482</v>
      </c>
      <c r="AA576" s="1187"/>
      <c r="AB576" s="1187"/>
      <c r="AC576" s="1234"/>
      <c r="AD576" s="1234"/>
    </row>
    <row r="577" spans="1:30" ht="11.25" customHeight="1">
      <c r="A577" s="857">
        <v>49</v>
      </c>
      <c r="B577" s="155"/>
      <c r="C577" s="257" t="s">
        <v>706</v>
      </c>
      <c r="D577" s="63"/>
      <c r="E577" s="63"/>
      <c r="F577" s="63"/>
      <c r="G577" s="63"/>
      <c r="H577" s="63"/>
      <c r="I577" s="63"/>
      <c r="J577" s="63"/>
      <c r="K577" s="81"/>
      <c r="L577" s="957" t="s">
        <v>482</v>
      </c>
      <c r="M577" s="155"/>
      <c r="N577" s="257" t="s">
        <v>706</v>
      </c>
      <c r="O577" s="63"/>
      <c r="P577" s="63"/>
      <c r="Q577" s="63"/>
      <c r="R577" s="63"/>
      <c r="S577" s="63"/>
      <c r="T577" s="63"/>
      <c r="U577" s="63"/>
      <c r="V577" s="63"/>
      <c r="W577" s="81"/>
      <c r="X577" s="939" t="s">
        <v>482</v>
      </c>
      <c r="AA577" s="1187"/>
      <c r="AB577" s="1187"/>
      <c r="AC577" s="1234"/>
      <c r="AD577" s="1234"/>
    </row>
    <row r="578" spans="1:30" ht="11.25" customHeight="1">
      <c r="A578" s="857">
        <v>50</v>
      </c>
      <c r="B578" s="155"/>
      <c r="C578" s="63"/>
      <c r="D578" s="63"/>
      <c r="E578" s="63"/>
      <c r="F578" s="63"/>
      <c r="G578" s="63"/>
      <c r="H578" s="63"/>
      <c r="I578" s="63"/>
      <c r="J578" s="63"/>
      <c r="K578" s="81"/>
      <c r="L578" s="957" t="s">
        <v>482</v>
      </c>
      <c r="M578" s="1017" t="s">
        <v>696</v>
      </c>
      <c r="N578" s="1067"/>
      <c r="O578" s="1067"/>
      <c r="P578" s="1066"/>
      <c r="Q578" s="1066"/>
      <c r="R578" s="56"/>
      <c r="S578" s="1068"/>
      <c r="T578" s="56"/>
      <c r="U578" s="56"/>
      <c r="V578" s="56"/>
      <c r="W578" s="79"/>
      <c r="X578" s="939" t="s">
        <v>482</v>
      </c>
      <c r="AA578" s="1187"/>
      <c r="AB578" s="1187"/>
      <c r="AC578" s="1234"/>
      <c r="AD578" s="1234"/>
    </row>
    <row r="579" spans="1:30" ht="11.25" customHeight="1">
      <c r="A579" s="857">
        <v>51</v>
      </c>
      <c r="B579" s="243" t="s">
        <v>647</v>
      </c>
      <c r="C579" s="238" t="s">
        <v>49</v>
      </c>
      <c r="D579" s="118"/>
      <c r="E579" s="119"/>
      <c r="F579" s="119"/>
      <c r="G579" s="119"/>
      <c r="H579" s="119"/>
      <c r="I579" s="119"/>
      <c r="J579" s="154"/>
      <c r="K579" s="135" t="str">
        <f>IF(M581=2,"NO","")</f>
        <v/>
      </c>
      <c r="L579" s="957" t="s">
        <v>482</v>
      </c>
      <c r="M579" s="1018" t="s">
        <v>378</v>
      </c>
      <c r="N579" s="1067"/>
      <c r="O579" s="1067"/>
      <c r="P579" s="1066"/>
      <c r="Q579" s="1066"/>
      <c r="R579" s="63"/>
      <c r="S579" s="63"/>
      <c r="T579" s="63"/>
      <c r="U579" s="63"/>
      <c r="V579" s="63"/>
      <c r="W579" s="81"/>
      <c r="X579" s="939" t="s">
        <v>482</v>
      </c>
      <c r="AA579" s="1187"/>
      <c r="AB579" s="1187"/>
      <c r="AC579" s="1234"/>
      <c r="AD579" s="1234"/>
    </row>
    <row r="580" spans="1:30" ht="11.25" customHeight="1">
      <c r="A580" s="857">
        <v>52</v>
      </c>
      <c r="B580" s="155"/>
      <c r="C580" s="966" t="s">
        <v>48</v>
      </c>
      <c r="D580" s="63"/>
      <c r="E580" s="63"/>
      <c r="F580" s="63"/>
      <c r="G580" s="63"/>
      <c r="H580" s="63"/>
      <c r="I580" s="63"/>
      <c r="J580" s="63"/>
      <c r="K580" s="81"/>
      <c r="L580" s="957" t="s">
        <v>482</v>
      </c>
      <c r="M580" s="155"/>
      <c r="N580" s="162" t="s">
        <v>647</v>
      </c>
      <c r="O580" s="238" t="s">
        <v>49</v>
      </c>
      <c r="P580" s="63"/>
      <c r="Q580" s="63"/>
      <c r="R580" s="63"/>
      <c r="S580" s="63"/>
      <c r="T580" s="63"/>
      <c r="U580" s="63"/>
      <c r="V580" s="63"/>
      <c r="W580" s="81"/>
      <c r="X580" s="939" t="s">
        <v>482</v>
      </c>
      <c r="AA580" s="1187"/>
      <c r="AB580" s="1187"/>
      <c r="AC580" s="1234"/>
      <c r="AD580" s="1234"/>
    </row>
    <row r="581" spans="1:30" ht="11.25" customHeight="1">
      <c r="A581" s="857">
        <v>53</v>
      </c>
      <c r="B581" s="120" t="s">
        <v>629</v>
      </c>
      <c r="C581" s="1238" t="str">
        <f>IF(O582="","",IF(LEN(O582)&lt;=135,O582,IF(LEN(O582)&lt;=260,LEFT(O582,SEARCH(" ",O582,125)),LEFT(O582,SEARCH(" ",O582,130)))))</f>
        <v/>
      </c>
      <c r="D581" s="57"/>
      <c r="E581" s="57"/>
      <c r="F581" s="57"/>
      <c r="G581" s="57"/>
      <c r="H581" s="57"/>
      <c r="I581" s="57"/>
      <c r="J581" s="57"/>
      <c r="K581" s="96"/>
      <c r="L581" s="957" t="s">
        <v>482</v>
      </c>
      <c r="M581" s="267"/>
      <c r="N581" s="63"/>
      <c r="O581" s="966" t="s">
        <v>48</v>
      </c>
      <c r="P581" s="119"/>
      <c r="Q581" s="119"/>
      <c r="R581" s="58"/>
      <c r="S581" s="58"/>
      <c r="T581" s="58"/>
      <c r="U581" s="58"/>
      <c r="V581" s="58"/>
      <c r="W581" s="80"/>
      <c r="X581" s="939" t="s">
        <v>482</v>
      </c>
      <c r="AA581" s="1187"/>
      <c r="AB581" s="1187"/>
      <c r="AC581" s="1234"/>
      <c r="AD581" s="1234"/>
    </row>
    <row r="582" spans="1:30" ht="11.25" customHeight="1">
      <c r="A582" s="857">
        <v>54</v>
      </c>
      <c r="B582" s="97"/>
      <c r="C582" s="1239" t="str">
        <f>IF(LEN(O582)&lt;=135,"",IF(LEN(O582)&lt;=260,RIGHT(O582,LEN(O582)-SEARCH(" ",O582,125)),MID(O582,SEARCH(" ",O582,130),IF(LEN(O582)&lt;=265,LEN(O582),SEARCH(" ",O582,255)-SEARCH(" ",O582,130)))))</f>
        <v/>
      </c>
      <c r="D582" s="57"/>
      <c r="E582" s="57"/>
      <c r="F582" s="57"/>
      <c r="G582" s="57"/>
      <c r="H582" s="57"/>
      <c r="I582" s="57"/>
      <c r="J582" s="57"/>
      <c r="K582" s="96"/>
      <c r="L582" s="957" t="s">
        <v>482</v>
      </c>
      <c r="M582" s="155"/>
      <c r="N582" s="814" t="s">
        <v>629</v>
      </c>
      <c r="O582" s="994" t="str">
        <f>IF(O584&lt;&gt;"",O584,IF(OR(AB434=0,AB434=""),"",AB434))</f>
        <v/>
      </c>
      <c r="P582" s="55"/>
      <c r="Q582" s="55"/>
      <c r="R582" s="55"/>
      <c r="S582" s="55"/>
      <c r="T582" s="55"/>
      <c r="U582" s="55"/>
      <c r="V582" s="55"/>
      <c r="W582" s="122"/>
      <c r="X582" s="939" t="s">
        <v>482</v>
      </c>
      <c r="AA582" s="1187"/>
      <c r="AB582" s="1187"/>
      <c r="AC582" s="1234"/>
      <c r="AD582" s="1234"/>
    </row>
    <row r="583" spans="1:30" ht="11.25" customHeight="1">
      <c r="A583" s="857">
        <v>55</v>
      </c>
      <c r="B583" s="97"/>
      <c r="C583" s="1238" t="str">
        <f>IF(LEN(O582)&lt;=265,"",RIGHT(O582,LEN(O582)-SEARCH(" ",O582,255)))</f>
        <v/>
      </c>
      <c r="D583" s="57"/>
      <c r="E583" s="57"/>
      <c r="F583" s="57"/>
      <c r="G583" s="57"/>
      <c r="H583" s="57"/>
      <c r="I583" s="57"/>
      <c r="J583" s="57"/>
      <c r="K583" s="96"/>
      <c r="L583" s="957" t="s">
        <v>482</v>
      </c>
      <c r="M583" s="121"/>
      <c r="N583" s="855" t="s">
        <v>347</v>
      </c>
      <c r="O583" s="124"/>
      <c r="P583" s="1237">
        <f>LEN(O582)</f>
        <v>0</v>
      </c>
      <c r="Q583" s="124"/>
      <c r="R583" s="124"/>
      <c r="S583" s="124"/>
      <c r="T583" s="124"/>
      <c r="U583" s="124"/>
      <c r="V583" s="124"/>
      <c r="W583" s="125"/>
      <c r="X583" s="939" t="s">
        <v>482</v>
      </c>
      <c r="AA583" s="1187"/>
      <c r="AB583" s="1187"/>
      <c r="AC583" s="1234"/>
      <c r="AD583" s="1234"/>
    </row>
    <row r="584" spans="1:30" ht="11.25" customHeight="1">
      <c r="A584" s="857">
        <v>56</v>
      </c>
      <c r="B584" s="155"/>
      <c r="D584" s="63"/>
      <c r="E584" s="63"/>
      <c r="F584" s="63"/>
      <c r="G584" s="63"/>
      <c r="H584" s="63"/>
      <c r="I584" s="63"/>
      <c r="J584" s="63"/>
      <c r="K584" s="81"/>
      <c r="L584" s="957" t="s">
        <v>482</v>
      </c>
      <c r="M584" s="146"/>
      <c r="N584" s="1378" t="s">
        <v>696</v>
      </c>
      <c r="O584" s="1380"/>
      <c r="P584" s="63"/>
      <c r="Q584" s="63"/>
      <c r="R584" s="63"/>
      <c r="S584" s="63"/>
      <c r="T584" s="63"/>
      <c r="U584" s="63"/>
      <c r="V584" s="63"/>
      <c r="W584" s="81"/>
      <c r="X584" s="939" t="s">
        <v>482</v>
      </c>
    </row>
    <row r="585" spans="1:30" ht="11.25" customHeight="1">
      <c r="A585" s="857">
        <v>57</v>
      </c>
      <c r="B585" s="252" t="s">
        <v>485</v>
      </c>
      <c r="C585" s="129"/>
      <c r="D585" s="63"/>
      <c r="E585" s="253" t="s">
        <v>716</v>
      </c>
      <c r="F585" s="61"/>
      <c r="G585" s="45"/>
      <c r="H585" s="45"/>
      <c r="I585" s="45"/>
      <c r="J585" s="523" t="s">
        <v>487</v>
      </c>
      <c r="K585" s="524"/>
      <c r="L585" s="957" t="s">
        <v>482</v>
      </c>
      <c r="M585" s="155"/>
      <c r="N585" s="63"/>
      <c r="O585" s="63"/>
      <c r="P585" s="63"/>
      <c r="Q585" s="63"/>
      <c r="R585" s="63"/>
      <c r="S585" s="63"/>
      <c r="T585" s="63"/>
      <c r="U585" s="63"/>
      <c r="V585" s="63"/>
      <c r="W585" s="81"/>
      <c r="X585" s="939" t="s">
        <v>482</v>
      </c>
    </row>
    <row r="586" spans="1:30" ht="11.25" customHeight="1">
      <c r="A586" s="857">
        <v>58</v>
      </c>
      <c r="B586" s="130"/>
      <c r="C586" s="131"/>
      <c r="D586" s="118" t="s">
        <v>523</v>
      </c>
      <c r="E586" s="119"/>
      <c r="F586" s="119"/>
      <c r="G586" s="119"/>
      <c r="H586" s="119"/>
      <c r="I586" s="119"/>
      <c r="J586" s="154" t="str">
        <f>IF($M$409=2,"NA",IF($M588="","TBD",IF($M588=1,"YES",IF($M588=3,"NA",""))))</f>
        <v>TBD</v>
      </c>
      <c r="K586" s="135" t="str">
        <f>IF($M$409=2,"",IF($M588=2,"NO",""))</f>
        <v/>
      </c>
      <c r="L586" s="957" t="s">
        <v>482</v>
      </c>
      <c r="M586" s="155"/>
      <c r="N586" s="63"/>
      <c r="O586" s="63"/>
      <c r="P586" s="63"/>
      <c r="Q586" s="63"/>
      <c r="R586" s="63"/>
      <c r="S586" s="63"/>
      <c r="T586" s="63"/>
      <c r="U586" s="63"/>
      <c r="V586" s="63"/>
      <c r="W586" s="81"/>
      <c r="X586" s="939" t="s">
        <v>482</v>
      </c>
    </row>
    <row r="587" spans="1:30" ht="11.25" customHeight="1">
      <c r="A587" s="857">
        <v>59</v>
      </c>
      <c r="B587" s="121"/>
      <c r="C587" s="58"/>
      <c r="D587" s="58" t="s">
        <v>1164</v>
      </c>
      <c r="E587" s="63"/>
      <c r="F587" s="63"/>
      <c r="G587" s="63"/>
      <c r="H587" s="63"/>
      <c r="I587" s="63"/>
      <c r="J587" s="154" t="str">
        <f>IF($M$409=2,"NA",IF($M589="","TBD",IF($M589=1,"Stationary",IF($M589=2,"Reciprocating",IF($M589=3,"NA","")))))</f>
        <v>TBD</v>
      </c>
      <c r="K587" s="135"/>
      <c r="L587" s="957" t="s">
        <v>482</v>
      </c>
      <c r="M587" s="256" t="s">
        <v>488</v>
      </c>
      <c r="N587" s="63"/>
      <c r="O587" s="266"/>
      <c r="P587" s="63"/>
      <c r="Q587" s="253" t="s">
        <v>716</v>
      </c>
      <c r="R587" s="61"/>
      <c r="S587" s="63"/>
      <c r="T587" s="63"/>
      <c r="U587" s="63"/>
      <c r="V587" s="63"/>
      <c r="W587" s="81"/>
      <c r="X587" s="939" t="s">
        <v>482</v>
      </c>
    </row>
    <row r="588" spans="1:30" ht="11.25" customHeight="1">
      <c r="A588" s="857">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7" t="s">
        <v>482</v>
      </c>
      <c r="M588" s="864"/>
      <c r="N588" s="58"/>
      <c r="O588" s="118" t="s">
        <v>523</v>
      </c>
      <c r="P588" s="119"/>
      <c r="Q588" s="119"/>
      <c r="R588" s="119"/>
      <c r="S588" s="119"/>
      <c r="T588" s="119"/>
      <c r="U588" s="56"/>
      <c r="V588" s="56"/>
      <c r="W588" s="79"/>
      <c r="X588" s="939" t="s">
        <v>482</v>
      </c>
    </row>
    <row r="589" spans="1:30" ht="11.25" customHeight="1">
      <c r="A589" s="857">
        <v>61</v>
      </c>
      <c r="B589" s="120" t="s">
        <v>629</v>
      </c>
      <c r="C589" s="1238" t="str">
        <f>IF(O591="","",IF(LEN(O591)&lt;=135,O591,IF(LEN(O591)&lt;=260,LEFT(O591,SEARCH(" ",O591,125)),LEFT(O591,SEARCH(" ",O591,130)))))</f>
        <v/>
      </c>
      <c r="D589" s="493"/>
      <c r="E589" s="493"/>
      <c r="F589" s="493"/>
      <c r="G589" s="493"/>
      <c r="H589" s="493"/>
      <c r="I589" s="493"/>
      <c r="J589" s="493"/>
      <c r="K589" s="96"/>
      <c r="L589" s="957" t="s">
        <v>482</v>
      </c>
      <c r="M589" s="1120" t="str">
        <f>IF(N589&lt;&gt;"",N589,IF(OR(AB124=0,AB124=""),"",AB124))</f>
        <v/>
      </c>
      <c r="N589" s="982"/>
      <c r="O589" s="58" t="s">
        <v>717</v>
      </c>
      <c r="P589" s="63"/>
      <c r="R589" s="63"/>
      <c r="S589" s="63"/>
      <c r="T589" s="63"/>
      <c r="U589" s="63"/>
      <c r="V589" s="63"/>
      <c r="W589" s="81"/>
      <c r="X589" s="939" t="s">
        <v>482</v>
      </c>
    </row>
    <row r="590" spans="1:30" ht="11.25" customHeight="1">
      <c r="A590" s="857">
        <v>62</v>
      </c>
      <c r="B590" s="97"/>
      <c r="C590" s="1239" t="str">
        <f>IF(LEN(O591)&lt;=135,"",IF(LEN(O591)&lt;=260,RIGHT(O591,LEN(O591)-SEARCH(" ",O591,125)),MID(O591,SEARCH(" ",O591,130),IF(LEN(O591)&lt;=265,LEN(O591),SEARCH(" ",O591,255)-SEARCH(" ",O591,130)))))</f>
        <v/>
      </c>
      <c r="D590" s="493"/>
      <c r="E590" s="493"/>
      <c r="F590" s="493"/>
      <c r="G590" s="493"/>
      <c r="H590" s="493"/>
      <c r="I590" s="493"/>
      <c r="J590" s="493"/>
      <c r="K590" s="96"/>
      <c r="L590" s="957" t="s">
        <v>482</v>
      </c>
      <c r="M590" s="864"/>
      <c r="N590" s="58"/>
      <c r="O590" s="58" t="str">
        <f>IF(M589=1,"","Radiographic image is free of grid lines.")</f>
        <v>Radiographic image is free of grid lines.</v>
      </c>
      <c r="P590" s="58"/>
      <c r="Q590" s="58"/>
      <c r="R590" s="58"/>
      <c r="S590" s="58"/>
      <c r="T590" s="58"/>
      <c r="U590" s="58"/>
      <c r="V590" s="58"/>
      <c r="W590" s="80"/>
      <c r="X590" s="939" t="s">
        <v>482</v>
      </c>
    </row>
    <row r="591" spans="1:30" ht="11.25" customHeight="1">
      <c r="A591" s="857">
        <v>63</v>
      </c>
      <c r="B591" s="155"/>
      <c r="C591" s="1238" t="str">
        <f>IF(LEN(O591)&lt;=265,"",RIGHT(O591,LEN(O591)-SEARCH(" ",O591,255)))</f>
        <v/>
      </c>
      <c r="D591" s="493"/>
      <c r="E591" s="493"/>
      <c r="F591" s="493"/>
      <c r="G591" s="493"/>
      <c r="H591" s="493"/>
      <c r="I591" s="493"/>
      <c r="J591" s="493"/>
      <c r="K591" s="81"/>
      <c r="L591" s="957" t="s">
        <v>482</v>
      </c>
      <c r="M591" s="155"/>
      <c r="N591" s="814" t="s">
        <v>629</v>
      </c>
      <c r="O591" s="994" t="str">
        <f>IF(O593&lt;&gt;"",O593,IF(OR(AB435=0,AB435=""),"",AB435))</f>
        <v/>
      </c>
      <c r="P591" s="55"/>
      <c r="Q591" s="55"/>
      <c r="R591" s="55"/>
      <c r="S591" s="55"/>
      <c r="T591" s="55"/>
      <c r="U591" s="55"/>
      <c r="V591" s="55"/>
      <c r="W591" s="122"/>
      <c r="X591" s="939" t="s">
        <v>482</v>
      </c>
    </row>
    <row r="592" spans="1:30" ht="11.25" customHeight="1" thickBot="1">
      <c r="A592" s="857">
        <v>64</v>
      </c>
      <c r="B592" s="255"/>
      <c r="C592" s="180"/>
      <c r="D592" s="181"/>
      <c r="E592" s="181"/>
      <c r="F592" s="181"/>
      <c r="G592" s="181"/>
      <c r="H592" s="181"/>
      <c r="I592" s="181"/>
      <c r="J592" s="181"/>
      <c r="K592" s="84"/>
      <c r="L592" s="957" t="s">
        <v>482</v>
      </c>
      <c r="M592" s="121"/>
      <c r="N592" s="855" t="s">
        <v>347</v>
      </c>
      <c r="O592" s="124"/>
      <c r="P592" s="1237">
        <f>LEN(O591)</f>
        <v>0</v>
      </c>
      <c r="Q592" s="124"/>
      <c r="R592" s="124"/>
      <c r="S592" s="124"/>
      <c r="T592" s="124"/>
      <c r="U592" s="124"/>
      <c r="V592" s="124"/>
      <c r="W592" s="125"/>
      <c r="X592" s="939" t="s">
        <v>482</v>
      </c>
    </row>
    <row r="593" spans="1:24" ht="11.25" customHeight="1" thickTop="1">
      <c r="A593" s="857">
        <v>65</v>
      </c>
      <c r="B593" s="60" t="str">
        <f t="array" ref="B593:C594">$B$65:$C$66</f>
        <v>Date:</v>
      </c>
      <c r="C593" s="1664" t="str">
        <v/>
      </c>
      <c r="D593" s="65"/>
      <c r="E593" s="138"/>
      <c r="F593" s="138"/>
      <c r="G593" s="138"/>
      <c r="H593" s="138"/>
      <c r="I593" s="60" t="str">
        <f t="array" ref="I593:J594">$I$65:$J$66</f>
        <v>Inspector:</v>
      </c>
      <c r="J593" s="554" t="str">
        <v>Eugene Mah</v>
      </c>
      <c r="L593" s="957" t="s">
        <v>482</v>
      </c>
      <c r="M593" s="146"/>
      <c r="N593" s="1378" t="s">
        <v>696</v>
      </c>
      <c r="O593" s="1380"/>
      <c r="P593" s="124"/>
      <c r="Q593" s="124"/>
      <c r="R593" s="55"/>
      <c r="S593" s="55"/>
      <c r="T593" s="55"/>
      <c r="U593" s="55"/>
      <c r="V593" s="55"/>
      <c r="W593" s="122"/>
      <c r="X593" s="939" t="s">
        <v>482</v>
      </c>
    </row>
    <row r="594" spans="1:24" ht="11.25" customHeight="1" thickBot="1">
      <c r="A594" s="857">
        <v>66</v>
      </c>
      <c r="B594" s="60" t="str">
        <v>Room Number:</v>
      </c>
      <c r="C594" s="499" t="str">
        <v/>
      </c>
      <c r="D594" s="111"/>
      <c r="E594" s="138"/>
      <c r="F594" s="138"/>
      <c r="G594" s="138"/>
      <c r="H594" s="138"/>
      <c r="I594" s="60" t="str">
        <v>Survey ID:</v>
      </c>
      <c r="J594" s="1404" t="str">
        <v/>
      </c>
      <c r="L594" s="957" t="s">
        <v>482</v>
      </c>
      <c r="M594" s="164"/>
      <c r="N594" s="83"/>
      <c r="O594" s="83"/>
      <c r="P594" s="83"/>
      <c r="Q594" s="83"/>
      <c r="R594" s="83"/>
      <c r="S594" s="83"/>
      <c r="T594" s="83"/>
      <c r="U594" s="83"/>
      <c r="V594" s="83"/>
      <c r="W594" s="84"/>
      <c r="X594" s="939" t="s">
        <v>482</v>
      </c>
    </row>
    <row r="595" spans="1:24" ht="11.25" customHeight="1" thickTop="1">
      <c r="A595" s="857">
        <v>1</v>
      </c>
      <c r="B595" s="63"/>
      <c r="C595" s="63"/>
      <c r="D595" s="63"/>
      <c r="E595" s="63"/>
      <c r="G595" s="63"/>
      <c r="H595" s="63"/>
      <c r="I595" s="63"/>
      <c r="J595" s="63"/>
      <c r="K595" s="161" t="str">
        <f>$F$2</f>
        <v>Medical University of South Carolina</v>
      </c>
      <c r="L595" s="957" t="s">
        <v>482</v>
      </c>
      <c r="M595" s="111"/>
      <c r="N595" s="63"/>
      <c r="O595" s="63"/>
      <c r="P595" s="63"/>
      <c r="Q595" s="63"/>
      <c r="S595" s="63"/>
      <c r="T595" s="63"/>
      <c r="U595" s="63"/>
      <c r="V595" s="63"/>
      <c r="W595" s="161" t="str">
        <f>$F$2</f>
        <v>Medical University of South Carolina</v>
      </c>
      <c r="X595" s="939" t="s">
        <v>482</v>
      </c>
    </row>
    <row r="596" spans="1:24" ht="11.25" customHeight="1" thickBot="1">
      <c r="A596" s="857">
        <v>2</v>
      </c>
      <c r="B596" s="63"/>
      <c r="C596" s="63"/>
      <c r="D596" s="63"/>
      <c r="E596" s="63"/>
      <c r="F596" s="336" t="str">
        <f>$F$464</f>
        <v>Measurement Data</v>
      </c>
      <c r="G596" s="63"/>
      <c r="H596" s="63"/>
      <c r="I596" s="63"/>
      <c r="J596" s="63"/>
      <c r="K596" s="162" t="str">
        <f>$F$5</f>
        <v>Radiographic System Compliance Inspection</v>
      </c>
      <c r="L596" s="957" t="s">
        <v>482</v>
      </c>
      <c r="N596" s="100"/>
      <c r="O596" s="100"/>
      <c r="P596" s="3"/>
      <c r="Q596" s="63"/>
      <c r="R596" s="336" t="str">
        <f>$F$464</f>
        <v>Measurement Data</v>
      </c>
      <c r="S596" s="63"/>
      <c r="T596" s="63"/>
      <c r="U596" s="63"/>
      <c r="V596" s="63"/>
      <c r="W596" s="162" t="str">
        <f>$F$5</f>
        <v>Radiographic System Compliance Inspection</v>
      </c>
      <c r="X596" s="939" t="s">
        <v>482</v>
      </c>
    </row>
    <row r="597" spans="1:24" ht="11.25" customHeight="1" thickTop="1" thickBot="1">
      <c r="A597" s="857">
        <v>3</v>
      </c>
      <c r="L597" s="957" t="s">
        <v>482</v>
      </c>
      <c r="M597" s="89"/>
      <c r="N597" s="72"/>
      <c r="O597" s="72"/>
      <c r="P597" s="72"/>
      <c r="Q597" s="251"/>
      <c r="R597" s="72"/>
      <c r="S597" s="72"/>
      <c r="T597" s="72"/>
      <c r="U597" s="72"/>
      <c r="V597" s="72"/>
      <c r="W597" s="90"/>
      <c r="X597" s="939" t="s">
        <v>482</v>
      </c>
    </row>
    <row r="598" spans="1:24" ht="11.25" customHeight="1" thickTop="1" thickBot="1">
      <c r="A598" s="857">
        <v>4</v>
      </c>
      <c r="B598" s="89"/>
      <c r="C598" s="72"/>
      <c r="D598" s="72"/>
      <c r="E598" s="72"/>
      <c r="F598" s="251"/>
      <c r="G598" s="72"/>
      <c r="H598" s="72"/>
      <c r="I598" s="72"/>
      <c r="J598" s="72"/>
      <c r="K598" s="90"/>
      <c r="L598" s="957" t="s">
        <v>482</v>
      </c>
      <c r="M598" s="155"/>
      <c r="N598" s="63"/>
      <c r="O598" s="63"/>
      <c r="P598" s="1347" t="str">
        <f>IF(M434=2,"**SKIP**","**TEST**")</f>
        <v>**TEST**</v>
      </c>
      <c r="Q598" s="63"/>
      <c r="R598" s="1178" t="s">
        <v>396</v>
      </c>
      <c r="S598" s="63"/>
      <c r="T598" s="63"/>
      <c r="U598" s="63"/>
      <c r="V598" s="63"/>
      <c r="W598" s="81"/>
      <c r="X598" s="939" t="s">
        <v>482</v>
      </c>
    </row>
    <row r="599" spans="1:24" ht="11.25" customHeight="1">
      <c r="A599" s="857">
        <v>5</v>
      </c>
      <c r="B599" s="76"/>
      <c r="C599" s="111"/>
      <c r="D599" s="111"/>
      <c r="E599" s="111"/>
      <c r="F599" s="240" t="s">
        <v>527</v>
      </c>
      <c r="G599" s="111"/>
      <c r="H599" s="111"/>
      <c r="I599" s="111"/>
      <c r="J599" s="111"/>
      <c r="K599" s="96"/>
      <c r="L599" s="957" t="s">
        <v>482</v>
      </c>
      <c r="M599" s="155"/>
      <c r="N599" s="63"/>
      <c r="O599" s="63"/>
      <c r="P599" s="63"/>
      <c r="Q599" s="63"/>
      <c r="R599" s="63"/>
      <c r="S599" s="63"/>
      <c r="T599" s="63"/>
      <c r="U599" s="63"/>
      <c r="V599" s="63"/>
      <c r="W599" s="81"/>
      <c r="X599" s="939" t="s">
        <v>482</v>
      </c>
    </row>
    <row r="600" spans="1:24" ht="11.25" customHeight="1">
      <c r="A600" s="857">
        <v>6</v>
      </c>
      <c r="B600" s="76"/>
      <c r="C600" s="111"/>
      <c r="D600" s="111"/>
      <c r="E600" s="111"/>
      <c r="F600" s="240"/>
      <c r="G600" s="111"/>
      <c r="H600" s="111"/>
      <c r="I600" s="111"/>
      <c r="J600" s="111"/>
      <c r="K600" s="96"/>
      <c r="L600" s="957" t="s">
        <v>482</v>
      </c>
      <c r="M600" s="457" t="s">
        <v>391</v>
      </c>
      <c r="N600" s="63"/>
      <c r="O600" s="63"/>
      <c r="P600" s="63"/>
      <c r="Q600" s="63"/>
      <c r="R600" s="63"/>
      <c r="S600" s="63"/>
      <c r="T600" s="1065" t="s">
        <v>693</v>
      </c>
      <c r="U600" s="1228" t="str">
        <f>IF(OR(AB139=0,AB139=""),"",AB139)</f>
        <v/>
      </c>
      <c r="V600" s="63"/>
      <c r="W600" s="81"/>
      <c r="X600" s="939" t="s">
        <v>482</v>
      </c>
    </row>
    <row r="601" spans="1:24" ht="11.25" customHeight="1">
      <c r="A601" s="857">
        <v>7</v>
      </c>
      <c r="B601" s="76"/>
      <c r="C601" s="111"/>
      <c r="D601" s="111"/>
      <c r="E601" s="111"/>
      <c r="F601" s="240"/>
      <c r="G601" s="111"/>
      <c r="H601" s="111"/>
      <c r="I601" s="111"/>
      <c r="J601" s="111"/>
      <c r="K601" s="96"/>
      <c r="L601" s="957" t="s">
        <v>482</v>
      </c>
      <c r="M601" s="155"/>
      <c r="N601" s="1175" t="s">
        <v>683</v>
      </c>
      <c r="O601" s="1123">
        <f>IF(O602&lt;&gt;"",O602,IF(OR(AB136=0,AB136=""),"",AB136))</f>
        <v>80</v>
      </c>
      <c r="P601" s="182" t="s">
        <v>684</v>
      </c>
      <c r="Q601" s="1123" t="str">
        <f>IF(Q602&lt;&gt;"",Q602,IF(OR(AB137=0,AB137=""),"",AB137))</f>
        <v/>
      </c>
      <c r="R601" s="182" t="s">
        <v>685</v>
      </c>
      <c r="S601" s="1174" t="str">
        <f>IF(S602&lt;&gt;"",S602,IF(OR(AB138=0,AB138=""),"",AB138))</f>
        <v/>
      </c>
      <c r="T601" s="182" t="s">
        <v>686</v>
      </c>
      <c r="U601" s="624">
        <f>IF(AND(OR(U602=0,U602=""),OR(Q601=0,Q601=""),OR(S601=0,S601=""),OR(U600=0,U600="")),2,IF(U602&lt;&gt;"","See below",IF(AND(Q601&lt;&gt;"",S601&lt;&gt;""),Q601*S601,U600)))</f>
        <v>2</v>
      </c>
      <c r="V601" s="473"/>
      <c r="W601" s="481"/>
      <c r="X601" s="939" t="s">
        <v>482</v>
      </c>
    </row>
    <row r="602" spans="1:24" ht="11.25" customHeight="1">
      <c r="A602" s="857">
        <v>8</v>
      </c>
      <c r="B602" s="386" t="s">
        <v>682</v>
      </c>
      <c r="C602" s="253"/>
      <c r="D602" s="157"/>
      <c r="E602" s="119"/>
      <c r="F602" s="63"/>
      <c r="G602" s="63"/>
      <c r="H602" s="63"/>
      <c r="I602" s="63"/>
      <c r="J602" s="63"/>
      <c r="K602" s="81"/>
      <c r="L602" s="957" t="s">
        <v>482</v>
      </c>
      <c r="M602" s="155"/>
      <c r="N602" s="1176" t="s">
        <v>105</v>
      </c>
      <c r="O602" s="1059">
        <v>80</v>
      </c>
      <c r="P602" s="1063" t="s">
        <v>105</v>
      </c>
      <c r="Q602" s="1059"/>
      <c r="R602" s="1063" t="s">
        <v>105</v>
      </c>
      <c r="S602" s="1062"/>
      <c r="T602" s="1063" t="s">
        <v>105</v>
      </c>
      <c r="U602" s="1064"/>
      <c r="V602" s="63"/>
      <c r="W602" s="81"/>
      <c r="X602" s="939" t="s">
        <v>482</v>
      </c>
    </row>
    <row r="603" spans="1:24" ht="11.25" customHeight="1">
      <c r="A603" s="857">
        <v>9</v>
      </c>
      <c r="B603" s="155"/>
      <c r="C603" s="63"/>
      <c r="D603" s="63"/>
      <c r="E603" s="63"/>
      <c r="F603" s="63"/>
      <c r="G603" s="63"/>
      <c r="H603" s="63"/>
      <c r="I603" s="63"/>
      <c r="J603" s="63"/>
      <c r="K603" s="81"/>
      <c r="L603" s="957" t="s">
        <v>482</v>
      </c>
      <c r="M603" s="155"/>
      <c r="N603" s="63"/>
      <c r="O603" s="63"/>
      <c r="P603" s="63"/>
      <c r="Q603" s="63"/>
      <c r="R603" s="63"/>
      <c r="S603" s="63"/>
      <c r="T603" s="63"/>
      <c r="U603" s="63"/>
      <c r="V603" s="315"/>
      <c r="W603" s="81"/>
      <c r="X603" s="939" t="s">
        <v>482</v>
      </c>
    </row>
    <row r="604" spans="1:24" ht="11.25" customHeight="1">
      <c r="A604" s="857">
        <v>10</v>
      </c>
      <c r="B604" s="120" t="s">
        <v>683</v>
      </c>
      <c r="C604" s="57">
        <f>IF(O601="","",O601)</f>
        <v>80</v>
      </c>
      <c r="D604" s="182" t="s">
        <v>684</v>
      </c>
      <c r="E604" s="57" t="str">
        <f>IF($U$602&lt;&gt;"","",IF(Q601="","",Q601))</f>
        <v/>
      </c>
      <c r="F604" s="182" t="s">
        <v>685</v>
      </c>
      <c r="G604" s="57" t="str">
        <f>IF($U$602&lt;&gt;"","",IF(S601="","",S601))</f>
        <v/>
      </c>
      <c r="H604" s="182" t="s">
        <v>686</v>
      </c>
      <c r="I604" s="57">
        <f>IF(U601="","",IF(U602="",U601,U602))</f>
        <v>2</v>
      </c>
      <c r="J604" s="182"/>
      <c r="K604" s="483"/>
      <c r="L604" s="957" t="s">
        <v>482</v>
      </c>
      <c r="M604" s="155"/>
      <c r="N604" s="63"/>
      <c r="O604" s="63"/>
      <c r="P604" s="63"/>
      <c r="Q604" s="63"/>
      <c r="R604" s="63"/>
      <c r="S604" s="63"/>
      <c r="T604" s="63"/>
      <c r="U604" s="63"/>
      <c r="V604" s="63"/>
      <c r="W604" s="81"/>
      <c r="X604" s="939" t="s">
        <v>482</v>
      </c>
    </row>
    <row r="605" spans="1:24" ht="11.25" customHeight="1" thickBot="1">
      <c r="A605" s="857">
        <v>11</v>
      </c>
      <c r="B605" s="155"/>
      <c r="C605" s="63"/>
      <c r="D605" s="63"/>
      <c r="E605" s="63"/>
      <c r="F605" s="63"/>
      <c r="G605" s="63"/>
      <c r="H605" s="63"/>
      <c r="I605" s="63"/>
      <c r="J605" s="63"/>
      <c r="K605" s="81"/>
      <c r="L605" s="957" t="s">
        <v>482</v>
      </c>
      <c r="M605" s="386" t="s">
        <v>682</v>
      </c>
      <c r="N605" s="63"/>
      <c r="O605" s="63"/>
      <c r="P605" s="63"/>
      <c r="Q605" s="63"/>
      <c r="R605" s="63"/>
      <c r="S605" s="63"/>
      <c r="T605" s="63"/>
      <c r="U605" s="63"/>
      <c r="V605" s="63"/>
      <c r="W605" s="81"/>
      <c r="X605" s="939" t="s">
        <v>482</v>
      </c>
    </row>
    <row r="606" spans="1:24" ht="11.25" customHeight="1">
      <c r="A606" s="857">
        <v>12</v>
      </c>
      <c r="B606" s="155"/>
      <c r="C606" s="249" t="s">
        <v>689</v>
      </c>
      <c r="D606" s="131"/>
      <c r="E606" s="63"/>
      <c r="F606" s="63"/>
      <c r="G606" s="63"/>
      <c r="H606" s="63"/>
      <c r="I606" s="63"/>
      <c r="J606" s="56"/>
      <c r="K606" s="81"/>
      <c r="L606" s="957" t="s">
        <v>482</v>
      </c>
      <c r="M606" s="618"/>
      <c r="N606" s="687" t="s">
        <v>695</v>
      </c>
      <c r="O606" s="616"/>
      <c r="P606" s="63"/>
      <c r="Q606" s="1152" t="s">
        <v>689</v>
      </c>
      <c r="R606" s="1153"/>
      <c r="S606" s="63"/>
      <c r="T606" s="63"/>
      <c r="U606" s="63"/>
      <c r="V606" s="63"/>
      <c r="W606" s="81"/>
      <c r="X606" s="939" t="s">
        <v>482</v>
      </c>
    </row>
    <row r="607" spans="1:24" ht="11.25" customHeight="1" thickBot="1">
      <c r="A607" s="857">
        <v>13</v>
      </c>
      <c r="B607" s="155"/>
      <c r="C607" s="250" t="str">
        <f>"Distance ("&amp;WBCM_IN&amp;")"</f>
        <v>Distance (cm)</v>
      </c>
      <c r="D607" s="190"/>
      <c r="E607" s="63"/>
      <c r="F607" s="63"/>
      <c r="G607" s="63"/>
      <c r="H607" s="63"/>
      <c r="I607" s="191" t="s">
        <v>689</v>
      </c>
      <c r="J607" s="190"/>
      <c r="K607" s="81"/>
      <c r="L607" s="957" t="s">
        <v>482</v>
      </c>
      <c r="M607" s="864"/>
      <c r="N607" s="686" t="s">
        <v>697</v>
      </c>
      <c r="O607" s="616"/>
      <c r="P607" s="63"/>
      <c r="Q607" s="1154" t="str">
        <f>"Distance ("&amp;WBCM_IN&amp;")"</f>
        <v>Distance (cm)</v>
      </c>
      <c r="R607" s="1155"/>
      <c r="S607" s="63"/>
      <c r="T607" s="1771" t="s">
        <v>689</v>
      </c>
      <c r="U607" s="1772"/>
      <c r="V607" s="63"/>
      <c r="W607" s="81"/>
      <c r="X607" s="939" t="s">
        <v>482</v>
      </c>
    </row>
    <row r="608" spans="1:24" ht="11.25" customHeight="1" thickBot="1">
      <c r="A608" s="857">
        <v>14</v>
      </c>
      <c r="B608" s="155"/>
      <c r="C608" s="246">
        <f>Q608</f>
        <v>0</v>
      </c>
      <c r="D608" s="201"/>
      <c r="E608" s="63"/>
      <c r="F608" s="63"/>
      <c r="G608" s="63"/>
      <c r="H608" s="63"/>
      <c r="I608" s="247" t="s">
        <v>646</v>
      </c>
      <c r="J608" s="248" t="str">
        <f>U608</f>
        <v>TBD</v>
      </c>
      <c r="K608" s="81"/>
      <c r="L608" s="957" t="s">
        <v>482</v>
      </c>
      <c r="M608" s="864"/>
      <c r="N608" s="686" t="s">
        <v>703</v>
      </c>
      <c r="O608" s="616"/>
      <c r="P608" s="63"/>
      <c r="Q608" s="1758"/>
      <c r="R608" s="1759"/>
      <c r="S608" s="63"/>
      <c r="T608" s="1040" t="s">
        <v>646</v>
      </c>
      <c r="U608" s="1021" t="str">
        <f>IF(OR($M$434=2,$Q$608="NA"),"NA",IF($M$607=1,"YES",IF($M$607=2,"NO",IF($Q$608="","TBD",IF(WBCM_IN="cm",IF($Q$608&gt;0.02*M616,"NO","YES"),IF($Q$608&gt;0.02*M616,"NO","YES"))))))</f>
        <v>TBD</v>
      </c>
      <c r="V608" s="63"/>
      <c r="W608" s="81"/>
      <c r="X608" s="939" t="s">
        <v>482</v>
      </c>
    </row>
    <row r="609" spans="1:24" ht="11.25" customHeight="1">
      <c r="A609" s="857">
        <v>15</v>
      </c>
      <c r="B609" s="155"/>
      <c r="C609" s="119"/>
      <c r="D609" s="63"/>
      <c r="E609" s="63"/>
      <c r="F609" s="63"/>
      <c r="G609" s="63"/>
      <c r="H609" s="63"/>
      <c r="I609" s="41"/>
      <c r="J609" s="63"/>
      <c r="K609" s="81"/>
      <c r="L609" s="957" t="s">
        <v>482</v>
      </c>
      <c r="M609" s="864"/>
      <c r="N609" s="686" t="s">
        <v>705</v>
      </c>
      <c r="O609" s="616"/>
      <c r="P609" s="63"/>
      <c r="Q609" s="993" t="s">
        <v>447</v>
      </c>
      <c r="R609" s="1229" t="str">
        <f>IF(AB478="","",AB478)</f>
        <v/>
      </c>
      <c r="S609" s="63"/>
      <c r="T609" s="63"/>
      <c r="U609" s="63"/>
      <c r="V609" s="63"/>
      <c r="W609" s="81"/>
      <c r="X609" s="939" t="s">
        <v>482</v>
      </c>
    </row>
    <row r="610" spans="1:24" ht="11.25" customHeight="1">
      <c r="A610" s="857">
        <v>16</v>
      </c>
      <c r="B610" s="243" t="s">
        <v>647</v>
      </c>
      <c r="C610" s="115" t="s">
        <v>694</v>
      </c>
      <c r="D610" s="63"/>
      <c r="E610" s="63"/>
      <c r="F610" s="63"/>
      <c r="G610" s="63"/>
      <c r="H610" s="63"/>
      <c r="I610" s="63"/>
      <c r="J610" s="63"/>
      <c r="K610" s="81"/>
      <c r="L610" s="957" t="s">
        <v>482</v>
      </c>
      <c r="M610" s="155"/>
      <c r="N610" s="162" t="s">
        <v>647</v>
      </c>
      <c r="O610" s="115" t="s">
        <v>35</v>
      </c>
      <c r="P610" s="63"/>
      <c r="Q610" s="63"/>
      <c r="R610" s="63"/>
      <c r="S610" s="63"/>
      <c r="T610" s="63"/>
      <c r="U610" s="63"/>
      <c r="V610" s="63"/>
      <c r="W610" s="81"/>
      <c r="X610" s="939" t="s">
        <v>482</v>
      </c>
    </row>
    <row r="611" spans="1:24" ht="11.25" customHeight="1" thickBot="1">
      <c r="A611" s="857">
        <v>17</v>
      </c>
      <c r="B611" s="155"/>
      <c r="C611" s="63"/>
      <c r="D611" s="63"/>
      <c r="E611" s="63"/>
      <c r="F611" s="63"/>
      <c r="G611" s="63"/>
      <c r="H611" s="63"/>
      <c r="I611" s="63"/>
      <c r="J611" s="63"/>
      <c r="K611" s="81"/>
      <c r="L611" s="957" t="s">
        <v>482</v>
      </c>
      <c r="M611" s="155"/>
      <c r="N611" s="63"/>
      <c r="O611" s="63"/>
      <c r="P611" s="63"/>
      <c r="Q611" s="63"/>
      <c r="R611" s="63"/>
      <c r="S611" s="63"/>
      <c r="T611" s="63"/>
      <c r="U611" s="63"/>
      <c r="V611" s="63"/>
      <c r="W611" s="81"/>
      <c r="X611" s="939" t="s">
        <v>482</v>
      </c>
    </row>
    <row r="612" spans="1:24" ht="11.25" customHeight="1">
      <c r="A612" s="857">
        <v>18</v>
      </c>
      <c r="B612" s="155"/>
      <c r="C612" s="1294"/>
      <c r="D612" s="1295" t="s">
        <v>698</v>
      </c>
      <c r="E612" s="1296"/>
      <c r="F612" s="1297" t="s">
        <v>699</v>
      </c>
      <c r="G612" s="1296"/>
      <c r="H612" s="1297" t="s">
        <v>700</v>
      </c>
      <c r="I612" s="1292"/>
      <c r="J612" s="63"/>
      <c r="K612" s="81"/>
      <c r="L612" s="957" t="s">
        <v>482</v>
      </c>
      <c r="M612" s="155"/>
      <c r="N612" s="63"/>
      <c r="O612" s="63"/>
      <c r="P612" s="63"/>
      <c r="Q612" s="63"/>
      <c r="R612" s="63"/>
      <c r="S612" s="63"/>
      <c r="T612" s="63"/>
      <c r="U612" s="63"/>
      <c r="V612" s="63"/>
      <c r="W612" s="81"/>
      <c r="X612" s="939" t="s">
        <v>482</v>
      </c>
    </row>
    <row r="613" spans="1:24" ht="11.25" customHeight="1">
      <c r="A613" s="857">
        <v>19</v>
      </c>
      <c r="B613" s="155"/>
      <c r="C613" s="487" t="s">
        <v>589</v>
      </c>
      <c r="D613" s="217" t="str">
        <f>"("&amp;WBCM_IN&amp;")"</f>
        <v>(cm)</v>
      </c>
      <c r="E613" s="218"/>
      <c r="F613" s="217" t="str">
        <f>"("&amp;WBCM_IN&amp;")"</f>
        <v>(cm)</v>
      </c>
      <c r="G613" s="218"/>
      <c r="H613" s="217" t="str">
        <f>"("&amp;WBCM_IN&amp;")"</f>
        <v>(cm)</v>
      </c>
      <c r="I613" s="215"/>
      <c r="J613" s="63"/>
      <c r="K613" s="81"/>
      <c r="L613" s="957" t="s">
        <v>482</v>
      </c>
      <c r="M613" s="146" t="s">
        <v>721</v>
      </c>
      <c r="N613" s="322" t="s">
        <v>698</v>
      </c>
      <c r="O613" s="218"/>
      <c r="P613" s="322" t="s">
        <v>699</v>
      </c>
      <c r="Q613" s="218"/>
      <c r="R613" s="322" t="s">
        <v>700</v>
      </c>
      <c r="S613" s="324"/>
      <c r="T613" s="272" t="s">
        <v>701</v>
      </c>
      <c r="U613" s="157"/>
      <c r="V613" s="129" t="s">
        <v>702</v>
      </c>
      <c r="W613" s="233"/>
      <c r="X613" s="939" t="s">
        <v>482</v>
      </c>
    </row>
    <row r="614" spans="1:24" ht="11.25" customHeight="1" thickBot="1">
      <c r="A614" s="857">
        <v>20</v>
      </c>
      <c r="B614" s="155"/>
      <c r="C614" s="488" t="str">
        <f>"("&amp;IF(WBCM_IN="","",WBCM_IN)&amp;")"</f>
        <v>(cm)</v>
      </c>
      <c r="D614" s="214" t="s">
        <v>531</v>
      </c>
      <c r="E614" s="213" t="s">
        <v>532</v>
      </c>
      <c r="F614" s="214" t="s">
        <v>531</v>
      </c>
      <c r="G614" s="213" t="s">
        <v>532</v>
      </c>
      <c r="H614" s="214" t="s">
        <v>531</v>
      </c>
      <c r="I614" s="216" t="s">
        <v>532</v>
      </c>
      <c r="J614" s="63"/>
      <c r="K614" s="81"/>
      <c r="L614" s="957" t="s">
        <v>482</v>
      </c>
      <c r="M614" s="146" t="s">
        <v>589</v>
      </c>
      <c r="N614" s="217" t="str">
        <f>"("&amp;WBCM_IN&amp;")"</f>
        <v>(cm)</v>
      </c>
      <c r="O614" s="218"/>
      <c r="P614" s="217" t="str">
        <f>"("&amp;WBCM_IN&amp;")"</f>
        <v>(cm)</v>
      </c>
      <c r="Q614" s="218"/>
      <c r="R614" s="217" t="str">
        <f>"("&amp;WBCM_IN&amp;")"</f>
        <v>(cm)</v>
      </c>
      <c r="S614" s="324"/>
      <c r="T614" s="186" t="s">
        <v>704</v>
      </c>
      <c r="U614" s="207"/>
      <c r="V614" s="211" t="s">
        <v>704</v>
      </c>
      <c r="W614" s="233"/>
      <c r="X614" s="939" t="s">
        <v>482</v>
      </c>
    </row>
    <row r="615" spans="1:24" ht="11.25" customHeight="1" thickBot="1">
      <c r="A615" s="857">
        <v>21</v>
      </c>
      <c r="B615" s="155"/>
      <c r="C615" s="510" t="str">
        <f t="shared" ref="C615:I616" si="86">IF(M616="","",M616)</f>
        <v/>
      </c>
      <c r="D615" s="506" t="str">
        <f t="shared" si="86"/>
        <v/>
      </c>
      <c r="E615" s="507" t="str">
        <f t="shared" si="86"/>
        <v/>
      </c>
      <c r="F615" s="506" t="str">
        <f t="shared" si="86"/>
        <v/>
      </c>
      <c r="G615" s="507" t="str">
        <f t="shared" si="86"/>
        <v/>
      </c>
      <c r="H615" s="506">
        <f t="shared" si="86"/>
        <v>14</v>
      </c>
      <c r="I615" s="511">
        <f t="shared" si="86"/>
        <v>18</v>
      </c>
      <c r="J615" s="63"/>
      <c r="K615" s="81"/>
      <c r="L615" s="957" t="s">
        <v>482</v>
      </c>
      <c r="M615" s="436" t="str">
        <f>"("&amp;IF(WBCM_IN="","",WBCM_IN)&amp;")"</f>
        <v>(cm)</v>
      </c>
      <c r="N615" s="327" t="s">
        <v>531</v>
      </c>
      <c r="O615" s="326" t="s">
        <v>722</v>
      </c>
      <c r="P615" s="327" t="s">
        <v>531</v>
      </c>
      <c r="Q615" s="326" t="s">
        <v>722</v>
      </c>
      <c r="R615" s="327" t="s">
        <v>531</v>
      </c>
      <c r="S615" s="328" t="s">
        <v>722</v>
      </c>
      <c r="T615" s="328" t="s">
        <v>531</v>
      </c>
      <c r="U615" s="326" t="s">
        <v>722</v>
      </c>
      <c r="V615" s="327" t="s">
        <v>531</v>
      </c>
      <c r="W615" s="331" t="s">
        <v>722</v>
      </c>
      <c r="X615" s="939" t="s">
        <v>482</v>
      </c>
    </row>
    <row r="616" spans="1:24" ht="11.25" customHeight="1" thickBot="1">
      <c r="A616" s="857">
        <v>22</v>
      </c>
      <c r="B616" s="155"/>
      <c r="C616" s="512" t="str">
        <f t="shared" si="86"/>
        <v/>
      </c>
      <c r="D616" s="513" t="str">
        <f t="shared" si="86"/>
        <v/>
      </c>
      <c r="E616" s="514" t="str">
        <f t="shared" si="86"/>
        <v/>
      </c>
      <c r="F616" s="513" t="str">
        <f t="shared" si="86"/>
        <v/>
      </c>
      <c r="G616" s="514" t="str">
        <f t="shared" si="86"/>
        <v/>
      </c>
      <c r="H616" s="513" t="str">
        <f t="shared" si="86"/>
        <v/>
      </c>
      <c r="I616" s="515" t="str">
        <f t="shared" si="86"/>
        <v/>
      </c>
      <c r="J616" s="63"/>
      <c r="K616" s="81"/>
      <c r="L616" s="957" t="s">
        <v>482</v>
      </c>
      <c r="M616" s="1114" t="str">
        <f>IF(M622&lt;&gt;"",M622,IF(OR(AB142=0,AB142=""),"",ROUND(AB142,2)))</f>
        <v/>
      </c>
      <c r="N616" s="1124" t="str">
        <f>IF(N622&lt;&gt;"",N622,IF(OR(AB146=0,AB146=""),"",AB146))</f>
        <v/>
      </c>
      <c r="O616" s="1125" t="str">
        <f>IF(O622&lt;&gt;"",O622,IF(OR(AB147=0,AB147=""),"",AB147))</f>
        <v/>
      </c>
      <c r="P616" s="865"/>
      <c r="Q616" s="866"/>
      <c r="R616" s="865">
        <v>14</v>
      </c>
      <c r="S616" s="863">
        <v>18</v>
      </c>
      <c r="T616" s="848" t="str">
        <f>IF(OR($M$608&lt;&gt;"",$M$434&lt;&gt;1,$M$470=2,$M$470=3,$M$616=0,$M$616=""),"NA",IF(OR(N616="",P616=""),"NA",ABS(N616-P616)/$M$616))</f>
        <v>NA</v>
      </c>
      <c r="U616" s="847" t="str">
        <f>IF(OR($M$608&lt;&gt;"",$M$434&lt;&gt;1,$M$470=2,$M$470=3,$M$616=0,$M$616=""),"NA",IF(OR(O616="",Q616=""),"NA",ABS(O616-Q616)/$M$616))</f>
        <v>NA</v>
      </c>
      <c r="V616" s="846" t="str">
        <f>IF(OR($M$609&lt;&gt;"",$M$434&lt;&gt;1,$M$473=2,$M$473=3,$M$616=0,$M$616=""),"NA",IF(OR(P616="",R616=""),"NA",ABS(P616-R616)/$M$616))</f>
        <v>NA</v>
      </c>
      <c r="W616" s="852" t="str">
        <f>IF(OR($M$609&lt;&gt;"",$M$434&lt;&gt;1,$M$473=2,$M$473=3,$M$616=0,$M$616=""),"NA",IF(OR(Q616="",S616=""),"NA",ABS(Q616-S616)/$M$616))</f>
        <v>NA</v>
      </c>
      <c r="X616" s="939" t="s">
        <v>482</v>
      </c>
    </row>
    <row r="617" spans="1:24" ht="11.25" customHeight="1" thickBot="1">
      <c r="A617" s="857">
        <v>23</v>
      </c>
      <c r="B617" s="155"/>
      <c r="C617" s="257" t="s">
        <v>706</v>
      </c>
      <c r="D617" s="63"/>
      <c r="E617" s="63"/>
      <c r="F617" s="63"/>
      <c r="G617" s="63"/>
      <c r="H617" s="63"/>
      <c r="I617" s="63"/>
      <c r="J617" s="63"/>
      <c r="K617" s="81"/>
      <c r="L617" s="957" t="s">
        <v>482</v>
      </c>
      <c r="M617" s="1114" t="str">
        <f>IF(M623&lt;&gt;"",M623,IF(OR(AB143=0,AB143=""),"",ROUND(AB143,2)))</f>
        <v/>
      </c>
      <c r="N617" s="1124" t="str">
        <f>IF(N623&lt;&gt;"",N623,IF(OR(AB148=0,AB148=""),"",AB148))</f>
        <v/>
      </c>
      <c r="O617" s="1125" t="str">
        <f>IF(O623&lt;&gt;"",O623,IF(OR(AB149=0,AB149=""),"",AB149))</f>
        <v/>
      </c>
      <c r="P617" s="865"/>
      <c r="Q617" s="866"/>
      <c r="R617" s="865"/>
      <c r="S617" s="863"/>
      <c r="T617" s="851" t="str">
        <f>IF(OR($M$608&lt;&gt;"",$M$434&lt;&gt;1,$M$470=2,$M$470=3,$M$617=0,$M$617=""),"NA",IF(OR(N617="",P617=""),"NA",ABS(N617-P617)/$M$617))</f>
        <v>NA</v>
      </c>
      <c r="U617" s="850" t="str">
        <f>IF(OR($M$608&lt;&gt;"",$M$434&lt;&gt;1,$M$470=2,$M$470=3,$M$617=0,$M$617=""),"NA",IF(OR(O617="",Q617=""),"NA",ABS(O617-Q617)/$M$617))</f>
        <v>NA</v>
      </c>
      <c r="V617" s="849" t="str">
        <f>IF(OR($M$609&lt;&gt;"",$M$434&lt;&gt;1,$M$473=2,$M$473=3,$M$617=0,$M$617=""),"NA",IF(OR(P617="",R617=""),"NA",ABS(P617-R617)/$M$617))</f>
        <v>NA</v>
      </c>
      <c r="W617" s="853" t="str">
        <f>IF(OR($M$609&lt;&gt;"",$M$434&lt;&gt;1,$M$473=2,$M$473=3,$M$617=0,$M$617=""),"NA",IF(OR(Q617="",S617=""),"NA",ABS(Q617-S617)/$M$617))</f>
        <v>NA</v>
      </c>
      <c r="X617" s="939" t="s">
        <v>482</v>
      </c>
    </row>
    <row r="618" spans="1:24" ht="11.25" customHeight="1" thickBot="1">
      <c r="A618" s="857">
        <v>24</v>
      </c>
      <c r="B618" s="155"/>
      <c r="C618" s="4" t="s">
        <v>707</v>
      </c>
      <c r="D618" s="63"/>
      <c r="E618" s="63"/>
      <c r="F618" s="63"/>
      <c r="G618" s="63"/>
      <c r="H618" s="63"/>
      <c r="I618" s="63"/>
      <c r="J618" s="63"/>
      <c r="K618" s="81"/>
      <c r="L618" s="957" t="s">
        <v>482</v>
      </c>
      <c r="M618" s="203" t="s">
        <v>706</v>
      </c>
      <c r="N618" s="119"/>
      <c r="O618" s="119"/>
      <c r="P618" s="119"/>
      <c r="Q618" s="119"/>
      <c r="R618" s="196"/>
      <c r="S618" s="119"/>
      <c r="T618" s="63"/>
      <c r="U618" s="63"/>
      <c r="V618" s="63"/>
      <c r="W618" s="81"/>
      <c r="X618" s="939" t="s">
        <v>482</v>
      </c>
    </row>
    <row r="619" spans="1:24" ht="11.25" customHeight="1" thickBot="1">
      <c r="A619" s="857">
        <v>25</v>
      </c>
      <c r="B619" s="1289" t="s">
        <v>701</v>
      </c>
      <c r="C619" s="1290"/>
      <c r="D619" s="1291" t="s">
        <v>702</v>
      </c>
      <c r="E619" s="1292"/>
      <c r="F619" s="1293"/>
      <c r="G619" s="464"/>
      <c r="H619" s="226"/>
      <c r="I619" s="227" t="s">
        <v>708</v>
      </c>
      <c r="J619" s="225"/>
      <c r="K619" s="236"/>
      <c r="L619" s="957" t="s">
        <v>482</v>
      </c>
      <c r="M619" s="204" t="s">
        <v>707</v>
      </c>
      <c r="N619" s="63"/>
      <c r="O619" s="63"/>
      <c r="P619" s="63"/>
      <c r="Q619" s="63"/>
      <c r="R619" s="63"/>
      <c r="S619" s="63"/>
      <c r="T619" s="1108"/>
      <c r="U619" s="1770" t="s">
        <v>708</v>
      </c>
      <c r="V619" s="1770"/>
      <c r="W619" s="1107"/>
      <c r="X619" s="939" t="s">
        <v>482</v>
      </c>
    </row>
    <row r="620" spans="1:24" ht="11.25" customHeight="1">
      <c r="A620" s="857">
        <v>26</v>
      </c>
      <c r="B620" s="390" t="s">
        <v>704</v>
      </c>
      <c r="C620" s="207"/>
      <c r="D620" s="211" t="s">
        <v>704</v>
      </c>
      <c r="E620" s="484"/>
      <c r="F620" s="486" t="str">
        <f>"Indicated Field Size ("&amp;WBCM_IN&amp;")"</f>
        <v>Indicated Field Size (cm)</v>
      </c>
      <c r="G620" s="231"/>
      <c r="H620" s="211" t="s">
        <v>701</v>
      </c>
      <c r="I620" s="207"/>
      <c r="J620" s="209" t="s">
        <v>702</v>
      </c>
      <c r="K620" s="332"/>
      <c r="L620" s="957" t="s">
        <v>482</v>
      </c>
      <c r="M620" s="1004" t="s">
        <v>709</v>
      </c>
      <c r="N620" s="1005"/>
      <c r="O620" s="999"/>
      <c r="P620" s="63"/>
      <c r="Q620" s="63"/>
      <c r="R620" s="230" t="str">
        <f>"Indicated Field Size ("&amp;WBCM_IN&amp;")"</f>
        <v>Indicated Field Size (cm)</v>
      </c>
      <c r="S620" s="329"/>
      <c r="T620" s="1028" t="s">
        <v>701</v>
      </c>
      <c r="U620" s="1029"/>
      <c r="V620" s="1030" t="s">
        <v>702</v>
      </c>
      <c r="W620" s="1031"/>
      <c r="X620" s="939" t="s">
        <v>482</v>
      </c>
    </row>
    <row r="621" spans="1:24" ht="11.25" customHeight="1" thickBot="1">
      <c r="A621" s="857">
        <v>27</v>
      </c>
      <c r="B621" s="206" t="s">
        <v>531</v>
      </c>
      <c r="C621" s="213" t="s">
        <v>532</v>
      </c>
      <c r="D621" s="214" t="s">
        <v>531</v>
      </c>
      <c r="E621" s="216" t="s">
        <v>532</v>
      </c>
      <c r="F621" s="212" t="s">
        <v>531</v>
      </c>
      <c r="G621" s="213" t="s">
        <v>532</v>
      </c>
      <c r="H621" s="214" t="s">
        <v>531</v>
      </c>
      <c r="I621" s="213" t="s">
        <v>532</v>
      </c>
      <c r="J621" s="214" t="s">
        <v>531</v>
      </c>
      <c r="K621" s="234" t="s">
        <v>532</v>
      </c>
      <c r="L621" s="957" t="s">
        <v>482</v>
      </c>
      <c r="M621" s="325" t="s">
        <v>589</v>
      </c>
      <c r="N621" s="328" t="s">
        <v>531</v>
      </c>
      <c r="O621" s="328" t="s">
        <v>722</v>
      </c>
      <c r="P621" s="63"/>
      <c r="Q621" s="63"/>
      <c r="R621" s="327" t="s">
        <v>531</v>
      </c>
      <c r="S621" s="326" t="s">
        <v>722</v>
      </c>
      <c r="T621" s="1032" t="s">
        <v>531</v>
      </c>
      <c r="U621" s="1033" t="s">
        <v>722</v>
      </c>
      <c r="V621" s="1032" t="s">
        <v>531</v>
      </c>
      <c r="W621" s="1034" t="s">
        <v>722</v>
      </c>
      <c r="X621" s="939" t="s">
        <v>482</v>
      </c>
    </row>
    <row r="622" spans="1:24" ht="11.25" customHeight="1" thickBot="1">
      <c r="A622" s="857">
        <v>28</v>
      </c>
      <c r="B622" s="489" t="str">
        <f t="shared" ref="B622:E623" si="87">IF(T616="","",T616)</f>
        <v>NA</v>
      </c>
      <c r="C622" s="220" t="str">
        <f t="shared" si="87"/>
        <v>NA</v>
      </c>
      <c r="D622" s="221" t="str">
        <f t="shared" si="87"/>
        <v>NA</v>
      </c>
      <c r="E622" s="485" t="str">
        <f t="shared" si="87"/>
        <v>NA</v>
      </c>
      <c r="F622" s="516" t="str">
        <f t="shared" ref="F622:K623" si="88">R622</f>
        <v/>
      </c>
      <c r="G622" s="507" t="str">
        <f t="shared" si="88"/>
        <v/>
      </c>
      <c r="H622" s="223" t="str">
        <f t="shared" si="88"/>
        <v>NA</v>
      </c>
      <c r="I622" s="228" t="str">
        <f t="shared" si="88"/>
        <v>NA</v>
      </c>
      <c r="J622" s="223" t="str">
        <f t="shared" si="88"/>
        <v>NA</v>
      </c>
      <c r="K622" s="150" t="str">
        <f t="shared" si="88"/>
        <v>NA</v>
      </c>
      <c r="L622" s="957" t="s">
        <v>482</v>
      </c>
      <c r="M622" s="983"/>
      <c r="N622" s="985"/>
      <c r="O622" s="984"/>
      <c r="P622" s="63"/>
      <c r="Q622" s="63"/>
      <c r="R622" s="506" t="str">
        <f>IF(N616="","",N616)</f>
        <v/>
      </c>
      <c r="S622" s="507" t="str">
        <f>IF(O616="","",O616)</f>
        <v/>
      </c>
      <c r="T622" s="1021" t="str">
        <f>IF($M$608=1,"YES",IF($M$608=2,"NO",IF(OR(T616="NA",$M$434&lt;&gt;1,$M$470=2,$M$470=3),"NA",IF(T616="TBD","TBD",IF(T616&gt;0.02,"NO","YES")))))</f>
        <v>NA</v>
      </c>
      <c r="U622" s="1021" t="str">
        <f>IF($M$608=1,"YES",IF($M$608=2,"NO",IF(OR(U616="NA",$M$434&lt;&gt;1,$M$470=2,$M$470=3),"NA",IF(U616="TBD","TBD",IF(U616&gt;0.02,"NO","YES")))))</f>
        <v>NA</v>
      </c>
      <c r="V622" s="1021" t="str">
        <f>IF($M$609=1,"YES",IF($M$609=2,"NO",IF(OR(V616="NA",$M$434&lt;&gt;1,$M$473=2,$M$473=3),"NA",IF(V616="TBD","TBD",IF(V616&gt;0.02,"NO","YES")))))</f>
        <v>NA</v>
      </c>
      <c r="W622" s="1042" t="str">
        <f>IF($M$609=1,"YES",IF($M$609=2,"NO",IF(OR(W616="NA",$M$434&lt;&gt;1,$M$473=2,$M$473=3),"NA",IF(W616="TBD","TBD",IF(W616&gt;0.02,"NO","YES")))))</f>
        <v>NA</v>
      </c>
      <c r="X622" s="939" t="s">
        <v>482</v>
      </c>
    </row>
    <row r="623" spans="1:24" ht="11.25" customHeight="1" thickBot="1">
      <c r="A623" s="857">
        <v>29</v>
      </c>
      <c r="B623" s="489" t="str">
        <f t="shared" si="87"/>
        <v>NA</v>
      </c>
      <c r="C623" s="220" t="str">
        <f t="shared" si="87"/>
        <v>NA</v>
      </c>
      <c r="D623" s="221" t="str">
        <f t="shared" si="87"/>
        <v>NA</v>
      </c>
      <c r="E623" s="485" t="str">
        <f t="shared" si="87"/>
        <v>NA</v>
      </c>
      <c r="F623" s="517" t="str">
        <f t="shared" si="88"/>
        <v/>
      </c>
      <c r="G623" s="509" t="str">
        <f t="shared" si="88"/>
        <v/>
      </c>
      <c r="H623" s="224" t="str">
        <f t="shared" si="88"/>
        <v>NA</v>
      </c>
      <c r="I623" s="229" t="str">
        <f t="shared" si="88"/>
        <v>NA</v>
      </c>
      <c r="J623" s="224" t="str">
        <f t="shared" si="88"/>
        <v>NA</v>
      </c>
      <c r="K623" s="291" t="str">
        <f t="shared" si="88"/>
        <v>NA</v>
      </c>
      <c r="L623" s="957" t="s">
        <v>482</v>
      </c>
      <c r="M623" s="983"/>
      <c r="N623" s="985"/>
      <c r="O623" s="984"/>
      <c r="P623" s="63"/>
      <c r="Q623" s="63"/>
      <c r="R623" s="508" t="str">
        <f>IF(N617="","",N617)</f>
        <v/>
      </c>
      <c r="S623" s="509" t="str">
        <f>IF(O617="","",O617)</f>
        <v/>
      </c>
      <c r="T623" s="1021" t="str">
        <f>IF(T617="NA","NA",IF(T617="TBD","TBD",IF(T617&gt;0.02,"NO","YES")))</f>
        <v>NA</v>
      </c>
      <c r="U623" s="1021" t="str">
        <f>IF(U617="NA","NA",IF(U617="TBD","TBD",IF(U617&gt;0.02,"NO","YES")))</f>
        <v>NA</v>
      </c>
      <c r="V623" s="1021" t="str">
        <f>IF(V617="NA","NA",IF(V617="TBD","TBD",IF(V617&gt;0.02,"NO","YES")))</f>
        <v>NA</v>
      </c>
      <c r="W623" s="1042" t="str">
        <f>IF(W617="NA","NA",IF(W617="TBD","TBD",IF(W617&gt;0.02,"NO","YES")))</f>
        <v>NA</v>
      </c>
      <c r="X623" s="939" t="s">
        <v>482</v>
      </c>
    </row>
    <row r="624" spans="1:24" ht="11.25" customHeight="1">
      <c r="A624" s="857">
        <v>30</v>
      </c>
      <c r="B624" s="243" t="s">
        <v>647</v>
      </c>
      <c r="C624" s="238" t="s">
        <v>710</v>
      </c>
      <c r="D624" s="198"/>
      <c r="E624" s="63"/>
      <c r="F624" s="63"/>
      <c r="G624" s="198"/>
      <c r="H624" s="198"/>
      <c r="I624" s="198"/>
      <c r="J624" s="198"/>
      <c r="K624" s="199"/>
      <c r="L624" s="957" t="s">
        <v>482</v>
      </c>
      <c r="M624" s="155"/>
      <c r="N624" s="63"/>
      <c r="O624" s="63"/>
      <c r="P624" s="63"/>
      <c r="Q624" s="63"/>
      <c r="R624" s="63"/>
      <c r="S624" s="63"/>
      <c r="T624" s="63"/>
      <c r="U624" s="63"/>
      <c r="V624" s="63"/>
      <c r="W624" s="81"/>
      <c r="X624" s="939" t="s">
        <v>482</v>
      </c>
    </row>
    <row r="625" spans="1:46" ht="11.25" customHeight="1">
      <c r="A625" s="857">
        <v>31</v>
      </c>
      <c r="B625" s="254"/>
      <c r="C625" s="115" t="s">
        <v>520</v>
      </c>
      <c r="D625" s="198"/>
      <c r="E625" s="63"/>
      <c r="F625" s="63"/>
      <c r="G625" s="198"/>
      <c r="H625" s="198"/>
      <c r="I625" s="198"/>
      <c r="J625" s="198"/>
      <c r="K625" s="199"/>
      <c r="L625" s="957" t="s">
        <v>482</v>
      </c>
      <c r="M625" s="137"/>
      <c r="N625" s="162" t="s">
        <v>647</v>
      </c>
      <c r="O625" s="238" t="s">
        <v>710</v>
      </c>
      <c r="P625" s="63"/>
      <c r="Q625" s="63"/>
      <c r="R625" s="118"/>
      <c r="S625" s="63"/>
      <c r="T625" s="63"/>
      <c r="U625" s="119"/>
      <c r="V625" s="119"/>
      <c r="W625" s="81"/>
      <c r="X625" s="939" t="s">
        <v>482</v>
      </c>
    </row>
    <row r="626" spans="1:46" ht="11.25" customHeight="1">
      <c r="A626" s="857">
        <v>32</v>
      </c>
      <c r="B626" s="155"/>
      <c r="C626" s="63"/>
      <c r="D626" s="63"/>
      <c r="E626" s="63"/>
      <c r="F626" s="63"/>
      <c r="G626" s="63"/>
      <c r="H626" s="63"/>
      <c r="I626" s="63"/>
      <c r="J626" s="63"/>
      <c r="K626" s="81"/>
      <c r="L626" s="957" t="s">
        <v>482</v>
      </c>
      <c r="M626" s="139"/>
      <c r="N626" s="239"/>
      <c r="O626" s="115" t="s">
        <v>520</v>
      </c>
      <c r="P626" s="63"/>
      <c r="Q626" s="63"/>
      <c r="R626" s="58"/>
      <c r="S626" s="63"/>
      <c r="T626" s="63"/>
      <c r="U626" s="119"/>
      <c r="V626" s="119"/>
      <c r="W626" s="81"/>
      <c r="X626" s="939" t="s">
        <v>482</v>
      </c>
    </row>
    <row r="627" spans="1:46" ht="11.25" customHeight="1">
      <c r="A627" s="857">
        <v>33</v>
      </c>
      <c r="B627" s="120" t="s">
        <v>629</v>
      </c>
      <c r="C627" s="1238" t="str">
        <f>IF(O628="","",IF(LEN(O628)&lt;=135,O628,IF(LEN(O628)&lt;=260,LEFT(O628,SEARCH(" ",O628,125)),LEFT(O628,SEARCH(" ",O628,130)))))</f>
        <v/>
      </c>
      <c r="D627" s="57"/>
      <c r="E627" s="57"/>
      <c r="F627" s="57"/>
      <c r="G627" s="57"/>
      <c r="H627" s="57"/>
      <c r="I627" s="57"/>
      <c r="J627" s="57"/>
      <c r="K627" s="96"/>
      <c r="L627" s="957" t="s">
        <v>482</v>
      </c>
      <c r="M627" s="155"/>
      <c r="N627" s="63"/>
      <c r="P627" s="63"/>
      <c r="Q627" s="63"/>
      <c r="R627" s="63"/>
      <c r="S627" s="63"/>
      <c r="T627" s="63"/>
      <c r="U627" s="63"/>
      <c r="V627" s="63"/>
      <c r="W627" s="81"/>
      <c r="X627" s="939" t="s">
        <v>482</v>
      </c>
    </row>
    <row r="628" spans="1:46" ht="11.25" customHeight="1">
      <c r="A628" s="857">
        <v>34</v>
      </c>
      <c r="B628" s="97"/>
      <c r="C628" s="1239" t="str">
        <f>IF(LEN(O628)&lt;=135,"",IF(LEN(O628)&lt;=260,RIGHT(O628,LEN(O628)-SEARCH(" ",O628,125)),MID(O628,SEARCH(" ",O628,130),IF(LEN(O628)&lt;=265,LEN(O628),SEARCH(" ",O628,255)-SEARCH(" ",O628,130)))))</f>
        <v/>
      </c>
      <c r="D628" s="57"/>
      <c r="E628" s="57"/>
      <c r="F628" s="57"/>
      <c r="G628" s="57"/>
      <c r="H628" s="57"/>
      <c r="I628" s="57"/>
      <c r="J628" s="57"/>
      <c r="K628" s="96"/>
      <c r="L628" s="957" t="s">
        <v>482</v>
      </c>
      <c r="M628" s="155"/>
      <c r="N628" s="814" t="s">
        <v>629</v>
      </c>
      <c r="O628" s="994" t="str">
        <f>IF(O630&lt;&gt;"",O630,IF(OR(AB436=0,AB436=""),"",AB436))</f>
        <v/>
      </c>
      <c r="P628" s="55"/>
      <c r="Q628" s="55"/>
      <c r="R628" s="55"/>
      <c r="S628" s="55"/>
      <c r="T628" s="55"/>
      <c r="U628" s="55"/>
      <c r="V628" s="55"/>
      <c r="W628" s="122"/>
      <c r="X628" s="939" t="s">
        <v>482</v>
      </c>
    </row>
    <row r="629" spans="1:46" ht="11.25" customHeight="1">
      <c r="A629" s="857">
        <v>35</v>
      </c>
      <c r="B629" s="97"/>
      <c r="C629" s="1238" t="str">
        <f>IF(LEN(O628)&lt;=265,"",RIGHT(O628,LEN(O628)-SEARCH(" ",O628,255)))</f>
        <v/>
      </c>
      <c r="D629" s="57"/>
      <c r="E629" s="57"/>
      <c r="F629" s="57"/>
      <c r="G629" s="57"/>
      <c r="H629" s="57"/>
      <c r="I629" s="57"/>
      <c r="J629" s="57"/>
      <c r="K629" s="96"/>
      <c r="L629" s="957" t="s">
        <v>482</v>
      </c>
      <c r="M629" s="121"/>
      <c r="N629" s="855" t="s">
        <v>347</v>
      </c>
      <c r="O629" s="124"/>
      <c r="P629" s="1237">
        <f>LEN(O628)</f>
        <v>0</v>
      </c>
      <c r="Q629" s="124"/>
      <c r="R629" s="124"/>
      <c r="S629" s="124"/>
      <c r="T629" s="124"/>
      <c r="U629" s="124"/>
      <c r="V629" s="124"/>
      <c r="W629" s="125"/>
      <c r="X629" s="939" t="s">
        <v>482</v>
      </c>
    </row>
    <row r="630" spans="1:46" ht="11.25" customHeight="1">
      <c r="A630" s="857">
        <v>36</v>
      </c>
      <c r="B630" s="155"/>
      <c r="C630" s="63"/>
      <c r="D630" s="63"/>
      <c r="E630" s="63"/>
      <c r="F630" s="63"/>
      <c r="G630" s="63"/>
      <c r="H630" s="63"/>
      <c r="I630" s="63"/>
      <c r="J630" s="63"/>
      <c r="K630" s="81"/>
      <c r="L630" s="957" t="s">
        <v>482</v>
      </c>
      <c r="M630" s="146"/>
      <c r="N630" s="1378" t="s">
        <v>696</v>
      </c>
      <c r="O630" s="1380"/>
      <c r="P630" s="124"/>
      <c r="Q630" s="124"/>
      <c r="R630" s="55"/>
      <c r="S630" s="55"/>
      <c r="T630" s="55"/>
      <c r="U630" s="55"/>
      <c r="V630" s="55"/>
      <c r="W630" s="122"/>
      <c r="X630" s="939" t="s">
        <v>482</v>
      </c>
    </row>
    <row r="631" spans="1:46" ht="11.25" customHeight="1">
      <c r="A631" s="857">
        <v>37</v>
      </c>
      <c r="B631" s="386" t="s">
        <v>711</v>
      </c>
      <c r="C631" s="61"/>
      <c r="D631" s="61"/>
      <c r="E631" s="266"/>
      <c r="F631" s="63"/>
      <c r="G631" s="63"/>
      <c r="H631" s="63"/>
      <c r="I631" s="63"/>
      <c r="J631" s="63"/>
      <c r="K631" s="81"/>
      <c r="L631" s="957" t="s">
        <v>482</v>
      </c>
      <c r="M631" s="155"/>
      <c r="N631" s="63"/>
      <c r="O631" s="63"/>
      <c r="P631" s="63"/>
      <c r="Q631" s="63"/>
      <c r="R631" s="63"/>
      <c r="S631" s="63"/>
      <c r="T631" s="63"/>
      <c r="U631" s="63"/>
      <c r="V631" s="63"/>
      <c r="W631" s="81"/>
      <c r="X631" s="939" t="s">
        <v>482</v>
      </c>
    </row>
    <row r="632" spans="1:46" ht="11.25" customHeight="1">
      <c r="A632" s="857">
        <v>38</v>
      </c>
      <c r="B632" s="155"/>
      <c r="C632" s="61"/>
      <c r="D632" s="63"/>
      <c r="E632" s="63"/>
      <c r="F632" s="63"/>
      <c r="G632" s="63"/>
      <c r="H632" s="63"/>
      <c r="I632" s="63"/>
      <c r="J632" s="523" t="s">
        <v>487</v>
      </c>
      <c r="K632" s="524"/>
      <c r="L632" s="957" t="s">
        <v>482</v>
      </c>
      <c r="M632" s="155"/>
      <c r="N632" s="63"/>
      <c r="O632" s="63"/>
      <c r="P632" s="63"/>
      <c r="Q632" s="63"/>
      <c r="R632" s="63"/>
      <c r="S632" s="63"/>
      <c r="T632" s="63"/>
      <c r="U632" s="63"/>
      <c r="V632" s="63"/>
      <c r="W632" s="81"/>
      <c r="X632" s="939" t="s">
        <v>482</v>
      </c>
    </row>
    <row r="633" spans="1:46" ht="11.25" customHeight="1" thickBot="1">
      <c r="A633" s="857">
        <v>39</v>
      </c>
      <c r="B633" s="155"/>
      <c r="C633" s="61"/>
      <c r="D633" s="63"/>
      <c r="E633" s="58" t="s">
        <v>712</v>
      </c>
      <c r="F633" s="63"/>
      <c r="G633" s="63"/>
      <c r="H633" s="63"/>
      <c r="I633" s="63"/>
      <c r="J633" s="154" t="str">
        <f>IF(M434=2,"NA",IF($M635="","TBD",IF($M635=1,"YES",IF($M635=3,"NA",""))))</f>
        <v>TBD</v>
      </c>
      <c r="K633" s="135" t="str">
        <f>IF($M635=2,"NO","")</f>
        <v/>
      </c>
      <c r="L633" s="957" t="s">
        <v>482</v>
      </c>
      <c r="M633" s="386" t="s">
        <v>711</v>
      </c>
      <c r="N633" s="61"/>
      <c r="O633" s="61"/>
      <c r="P633" s="61"/>
      <c r="Q633" s="63"/>
      <c r="R633" s="63"/>
      <c r="S633" s="63"/>
      <c r="T633" s="63"/>
      <c r="U633" s="63"/>
      <c r="V633" s="63"/>
      <c r="W633" s="81"/>
      <c r="X633" s="939" t="s">
        <v>482</v>
      </c>
    </row>
    <row r="634" spans="1:46" ht="11.25" customHeight="1" thickBot="1">
      <c r="A634" s="857">
        <v>40</v>
      </c>
      <c r="B634" s="155"/>
      <c r="C634" s="63"/>
      <c r="D634" s="63"/>
      <c r="E634" s="63"/>
      <c r="F634" s="63"/>
      <c r="G634" s="63"/>
      <c r="H634" s="63"/>
      <c r="I634" s="63"/>
      <c r="J634" s="63"/>
      <c r="K634" s="81"/>
      <c r="L634" s="957" t="s">
        <v>482</v>
      </c>
      <c r="M634" s="256" t="s">
        <v>713</v>
      </c>
      <c r="N634" s="63"/>
      <c r="O634" s="63"/>
      <c r="P634" s="63"/>
      <c r="Q634" s="63"/>
      <c r="R634" s="63"/>
      <c r="S634" s="63"/>
      <c r="T634" s="63"/>
      <c r="U634" s="63"/>
      <c r="V634" s="63"/>
      <c r="W634" s="81"/>
      <c r="X634" s="939" t="s">
        <v>482</v>
      </c>
      <c r="AC634" s="1483">
        <v>3</v>
      </c>
      <c r="AD634" s="1466" t="s">
        <v>1154</v>
      </c>
      <c r="AE634"/>
      <c r="AF634"/>
      <c r="AG634"/>
      <c r="AH634" s="1541" t="s">
        <v>64</v>
      </c>
      <c r="AI634" s="1542"/>
      <c r="AJ634" s="1542"/>
      <c r="AK634" s="1543"/>
      <c r="AL634" s="1541" t="s">
        <v>63</v>
      </c>
      <c r="AM634" s="1542"/>
      <c r="AN634" s="1543"/>
      <c r="AO634" s="1541" t="s">
        <v>1149</v>
      </c>
      <c r="AP634" s="1542"/>
      <c r="AQ634" s="1542"/>
      <c r="AR634" s="1542"/>
      <c r="AS634" s="1542"/>
      <c r="AT634" s="1543"/>
    </row>
    <row r="635" spans="1:46" ht="11.25" customHeight="1">
      <c r="A635" s="857">
        <v>41</v>
      </c>
      <c r="B635" s="1298" t="s">
        <v>589</v>
      </c>
      <c r="C635" s="1299" t="str">
        <f>"Cassette/Film Size ("&amp;WBCM_IN&amp;")"</f>
        <v>Cassette/Film Size (cm)</v>
      </c>
      <c r="D635" s="1296"/>
      <c r="E635" s="1297" t="str">
        <f>"Measured* Radiation ("&amp;WBCM_IN&amp;")"</f>
        <v>Measured* Radiation (cm)</v>
      </c>
      <c r="F635" s="1296"/>
      <c r="G635" s="1300" t="s">
        <v>704</v>
      </c>
      <c r="H635" s="1301"/>
      <c r="I635" s="1301"/>
      <c r="J635" s="261" t="s">
        <v>708</v>
      </c>
      <c r="K635" s="263"/>
      <c r="L635" s="957" t="s">
        <v>482</v>
      </c>
      <c r="M635" s="1118" t="str">
        <f>IF(N635&lt;&gt;"",N635,IF(OR(AB151=0,AB151=""),"",AB151))</f>
        <v/>
      </c>
      <c r="N635" s="982"/>
      <c r="O635" s="58" t="s">
        <v>712</v>
      </c>
      <c r="P635" s="63"/>
      <c r="Q635" s="63"/>
      <c r="R635" s="63"/>
      <c r="S635" s="63"/>
      <c r="T635" s="63"/>
      <c r="U635" s="63"/>
      <c r="V635" s="63"/>
      <c r="W635" s="81"/>
      <c r="X635" s="939" t="s">
        <v>482</v>
      </c>
      <c r="AC635"/>
      <c r="AD635"/>
      <c r="AE635"/>
      <c r="AF635"/>
      <c r="AG635"/>
      <c r="AH635" s="600"/>
      <c r="AI635" s="3"/>
      <c r="AJ635" s="682" t="s">
        <v>384</v>
      </c>
      <c r="AK635" s="404"/>
      <c r="AL635" s="33"/>
      <c r="AM635" s="682" t="s">
        <v>384</v>
      </c>
      <c r="AN635" s="404"/>
      <c r="AO635" s="600"/>
      <c r="AP635" s="63"/>
      <c r="AQ635" s="63"/>
      <c r="AR635" s="63"/>
      <c r="AS635" s="63"/>
      <c r="AT635" s="467"/>
    </row>
    <row r="636" spans="1:46" ht="11.25" customHeight="1" thickBot="1">
      <c r="A636" s="857">
        <v>42</v>
      </c>
      <c r="B636" s="284" t="str">
        <f>"("&amp;IF(WBCM_IN="","",WBCM_IN)&amp;")"</f>
        <v>(cm)</v>
      </c>
      <c r="C636" s="189" t="s">
        <v>531</v>
      </c>
      <c r="D636" s="213" t="s">
        <v>532</v>
      </c>
      <c r="E636" s="214" t="s">
        <v>531</v>
      </c>
      <c r="F636" s="259" t="s">
        <v>532</v>
      </c>
      <c r="G636" s="214" t="s">
        <v>531</v>
      </c>
      <c r="H636" s="189" t="s">
        <v>532</v>
      </c>
      <c r="I636" s="259" t="s">
        <v>41</v>
      </c>
      <c r="J636" s="262" t="s">
        <v>531</v>
      </c>
      <c r="K636" s="234" t="s">
        <v>532</v>
      </c>
      <c r="L636" s="957" t="s">
        <v>482</v>
      </c>
      <c r="M636" s="155"/>
      <c r="N636" s="63"/>
      <c r="O636" s="63"/>
      <c r="P636" s="63"/>
      <c r="Q636" s="63"/>
      <c r="R636" s="63"/>
      <c r="S636" s="63"/>
      <c r="T636" s="63"/>
      <c r="U636" s="63"/>
      <c r="V636" s="63"/>
      <c r="W636" s="81"/>
      <c r="X636" s="939" t="s">
        <v>482</v>
      </c>
      <c r="AC636" s="698" t="s">
        <v>81</v>
      </c>
      <c r="AD636" s="698" t="s">
        <v>82</v>
      </c>
      <c r="AE636" s="698" t="s">
        <v>542</v>
      </c>
      <c r="AF636" s="698" t="s">
        <v>83</v>
      </c>
      <c r="AG636" s="791" t="s">
        <v>85</v>
      </c>
      <c r="AH636" s="1453" t="s">
        <v>103</v>
      </c>
      <c r="AI636" s="1468" t="s">
        <v>104</v>
      </c>
      <c r="AJ636" s="682" t="s">
        <v>542</v>
      </c>
      <c r="AK636" s="1499" t="s">
        <v>1165</v>
      </c>
      <c r="AL636" s="1495" t="s">
        <v>1165</v>
      </c>
      <c r="AM636" s="682" t="s">
        <v>542</v>
      </c>
      <c r="AN636" s="1454" t="s">
        <v>104</v>
      </c>
      <c r="AO636" s="1516" t="s">
        <v>539</v>
      </c>
      <c r="AP636" s="1517" t="s">
        <v>1150</v>
      </c>
      <c r="AQ636" s="1517" t="s">
        <v>1151</v>
      </c>
      <c r="AR636" s="1517" t="s">
        <v>1181</v>
      </c>
      <c r="AS636" s="1517" t="s">
        <v>1152</v>
      </c>
      <c r="AT636" s="1518" t="s">
        <v>1153</v>
      </c>
    </row>
    <row r="637" spans="1:46" ht="11.25" customHeight="1" thickTop="1">
      <c r="A637" s="857">
        <v>43</v>
      </c>
      <c r="B637" s="520" t="str">
        <f t="shared" ref="B637:I638" si="89">IF(M639="","",M639)</f>
        <v>NA</v>
      </c>
      <c r="C637" s="334" t="str">
        <f t="shared" si="89"/>
        <v>NA</v>
      </c>
      <c r="D637" s="333" t="str">
        <f t="shared" si="89"/>
        <v>NA</v>
      </c>
      <c r="E637" s="506" t="str">
        <f t="shared" si="89"/>
        <v>NA</v>
      </c>
      <c r="F637" s="518" t="str">
        <f t="shared" si="89"/>
        <v>NA</v>
      </c>
      <c r="G637" s="221" t="str">
        <f t="shared" si="89"/>
        <v>NA</v>
      </c>
      <c r="H637" s="222" t="str">
        <f t="shared" si="89"/>
        <v>NA</v>
      </c>
      <c r="I637" s="222" t="str">
        <f t="shared" si="89"/>
        <v>NA</v>
      </c>
      <c r="J637" s="208" t="str">
        <f>IF(U639="","",U639)</f>
        <v>NA</v>
      </c>
      <c r="K637" s="264" t="str">
        <f>IF(V639="","",V639)</f>
        <v>NA</v>
      </c>
      <c r="L637" s="957" t="s">
        <v>482</v>
      </c>
      <c r="M637" s="146" t="s">
        <v>589</v>
      </c>
      <c r="N637" s="321" t="str">
        <f>"Cassette/Film Size ("&amp;WBCM_IN&amp;")"</f>
        <v>Cassette/Film Size (cm)</v>
      </c>
      <c r="O637" s="218"/>
      <c r="P637" s="322" t="str">
        <f>"Measured* Radiation ("&amp;WBCM_IN&amp;")"</f>
        <v>Measured* Radiation (cm)</v>
      </c>
      <c r="Q637" s="218"/>
      <c r="R637" s="1760" t="s">
        <v>704</v>
      </c>
      <c r="S637" s="1739"/>
      <c r="T637" s="1761"/>
      <c r="U637" s="1752" t="s">
        <v>708</v>
      </c>
      <c r="V637" s="1753"/>
      <c r="W637" s="1754"/>
      <c r="X637" s="939" t="s">
        <v>482</v>
      </c>
      <c r="AC637" s="1507">
        <v>60</v>
      </c>
      <c r="AD637" s="1507">
        <v>400</v>
      </c>
      <c r="AE637" s="1508">
        <v>0.05</v>
      </c>
      <c r="AF637" s="1509">
        <f t="shared" ref="AF637:AF638" si="90">IF(LFMAS="mAs",AD637*AE637,0)</f>
        <v>0</v>
      </c>
      <c r="AG637" s="1510">
        <v>0</v>
      </c>
      <c r="AH637" s="1511"/>
      <c r="AI637" s="1512"/>
      <c r="AJ637" s="1513"/>
      <c r="AK637" s="1514"/>
      <c r="AL637" s="1515"/>
      <c r="AM637" s="1513"/>
      <c r="AN637" s="1514"/>
      <c r="AO637" s="1564"/>
      <c r="AP637" s="1565"/>
      <c r="AQ637" s="1565"/>
      <c r="AR637" s="1565"/>
      <c r="AS637" s="1554"/>
      <c r="AT637" s="1555"/>
    </row>
    <row r="638" spans="1:46" ht="11.25" customHeight="1" thickBot="1">
      <c r="A638" s="857">
        <v>44</v>
      </c>
      <c r="B638" s="520" t="str">
        <f t="shared" si="89"/>
        <v>NA</v>
      </c>
      <c r="C638" s="334" t="str">
        <f t="shared" si="89"/>
        <v>NA</v>
      </c>
      <c r="D638" s="333" t="str">
        <f t="shared" si="89"/>
        <v>NA</v>
      </c>
      <c r="E638" s="506" t="str">
        <f t="shared" si="89"/>
        <v>NA</v>
      </c>
      <c r="F638" s="518" t="str">
        <f t="shared" si="89"/>
        <v>NA</v>
      </c>
      <c r="G638" s="221" t="str">
        <f t="shared" si="89"/>
        <v>NA</v>
      </c>
      <c r="H638" s="222" t="str">
        <f t="shared" si="89"/>
        <v>NA</v>
      </c>
      <c r="I638" s="222" t="str">
        <f t="shared" si="89"/>
        <v>NA</v>
      </c>
      <c r="J638" s="260" t="str">
        <f>IF(U640="","",U640)</f>
        <v>NA</v>
      </c>
      <c r="K638" s="265" t="str">
        <f>IF(V640="","",V640)</f>
        <v>NA</v>
      </c>
      <c r="L638" s="957" t="s">
        <v>482</v>
      </c>
      <c r="M638" s="284" t="str">
        <f>"("&amp;IF(WBCM_IN="","",WBCM_IN)&amp;")"</f>
        <v>(cm)</v>
      </c>
      <c r="N638" s="328" t="s">
        <v>531</v>
      </c>
      <c r="O638" s="326" t="s">
        <v>722</v>
      </c>
      <c r="P638" s="327" t="s">
        <v>531</v>
      </c>
      <c r="Q638" s="330" t="s">
        <v>722</v>
      </c>
      <c r="R638" s="327" t="s">
        <v>531</v>
      </c>
      <c r="S638" s="328" t="s">
        <v>722</v>
      </c>
      <c r="T638" s="328" t="s">
        <v>41</v>
      </c>
      <c r="U638" s="1035" t="s">
        <v>531</v>
      </c>
      <c r="V638" s="1033" t="s">
        <v>722</v>
      </c>
      <c r="W638" s="1396" t="s">
        <v>41</v>
      </c>
      <c r="X638" s="939" t="s">
        <v>482</v>
      </c>
      <c r="AC638" s="924">
        <v>60</v>
      </c>
      <c r="AD638" s="924">
        <v>400</v>
      </c>
      <c r="AE638" s="925">
        <v>0.05</v>
      </c>
      <c r="AF638" s="923">
        <f t="shared" si="90"/>
        <v>0</v>
      </c>
      <c r="AG638" s="1470">
        <v>0</v>
      </c>
      <c r="AH638" s="1652"/>
      <c r="AI638" s="1653"/>
      <c r="AJ638" s="1653"/>
      <c r="AK638" s="1654"/>
      <c r="AL638" s="1655"/>
      <c r="AM638" s="1653"/>
      <c r="AN638" s="1654"/>
      <c r="AO638" s="1656"/>
      <c r="AP638" s="1657"/>
      <c r="AQ638" s="1657"/>
      <c r="AR638" s="1657"/>
      <c r="AS638" s="1658"/>
      <c r="AT638" s="1659"/>
    </row>
    <row r="639" spans="1:46" ht="11.25" customHeight="1" thickBot="1">
      <c r="A639" s="857">
        <v>45</v>
      </c>
      <c r="B639" s="155"/>
      <c r="C639" s="257" t="s">
        <v>706</v>
      </c>
      <c r="D639" s="63"/>
      <c r="E639" s="63"/>
      <c r="F639" s="63"/>
      <c r="G639" s="63"/>
      <c r="H639" s="63"/>
      <c r="I639" s="63"/>
      <c r="J639" s="63"/>
      <c r="K639" s="81"/>
      <c r="L639" s="957" t="s">
        <v>482</v>
      </c>
      <c r="M639" s="1126" t="str">
        <f>IF(M642&lt;&gt;"",M642,IF(OR(M616=0,M616="",$M$635&lt;&gt;1),"NA",M616))</f>
        <v>NA</v>
      </c>
      <c r="N639" s="1119" t="str">
        <f>IF(OR(M639="NA",AND($M$635&lt;&gt;1,OR(N642=0,N642=""))),"NA",IF(N642&lt;&gt;"",N642,IF(WBCM_IN&lt;&gt;"cm",10,24)))</f>
        <v>NA</v>
      </c>
      <c r="O639" s="1119" t="str">
        <f>IF(OR(N639="NA",AND($M$635&lt;&gt;1,OR(O642=0,O642=""))),"NA",IF(O642&lt;&gt;"",O642,IF(WBCM_IN&lt;&gt;"cm",12,30)))</f>
        <v>NA</v>
      </c>
      <c r="P639" s="1075" t="str">
        <f>IF(P642&lt;&gt;"",P642,IF(OR(P616="",$M$635&lt;&gt;1),"NA",P616))</f>
        <v>NA</v>
      </c>
      <c r="Q639" s="1076"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1" t="str">
        <f>IF($M$635=2,"NO",IF(R639="NA","NA",IF(OR(R639="SID?",R639="TBD"),"TBD",IF(ABS(R639)&gt;0.02,"NO","YES"))))</f>
        <v>NA</v>
      </c>
      <c r="V639" s="1021" t="str">
        <f>IF($M$635=2,"NO",IF(S639="NA","NA",IF(OR(S639="SID?",S639="TBD"),"TBD",IF(ABS(S639)&gt;0.02,"NO","YES"))))</f>
        <v>NA</v>
      </c>
      <c r="W639" s="1042" t="str">
        <f>IF($M$635=2,"NO",IF(T639="NA","NA",IF(OR(T639="SID?",T639="TBD"),"TBD",IF(ABS(T639)&gt;0.03,"NO","YES"))))</f>
        <v>NA</v>
      </c>
      <c r="X639" s="939" t="s">
        <v>482</v>
      </c>
      <c r="AC639" s="924">
        <v>80</v>
      </c>
      <c r="AD639" s="924">
        <v>400</v>
      </c>
      <c r="AE639" s="925">
        <v>0.05</v>
      </c>
      <c r="AF639" s="923">
        <f t="shared" ref="AF639:AF654" si="91">IF(LFMAS="mAs",AD639*AE639,0)</f>
        <v>0</v>
      </c>
      <c r="AG639" s="1470">
        <v>0</v>
      </c>
      <c r="AH639" s="1473"/>
      <c r="AI639" s="932"/>
      <c r="AJ639" s="932"/>
      <c r="AK639" s="1456"/>
      <c r="AL639" s="1455"/>
      <c r="AM639" s="932"/>
      <c r="AN639" s="1456"/>
      <c r="AO639" s="1568"/>
      <c r="AP639" s="1569"/>
      <c r="AQ639" s="1569"/>
      <c r="AR639" s="1569"/>
      <c r="AS639" s="1558"/>
      <c r="AT639" s="1559"/>
    </row>
    <row r="640" spans="1:46" ht="11.25" customHeight="1" thickBot="1">
      <c r="A640" s="857">
        <v>46</v>
      </c>
      <c r="B640" s="155"/>
      <c r="C640" s="63"/>
      <c r="D640" s="63"/>
      <c r="E640" s="63"/>
      <c r="F640" s="63"/>
      <c r="G640" s="63"/>
      <c r="H640" s="63"/>
      <c r="I640" s="63"/>
      <c r="J640" s="63"/>
      <c r="K640" s="81"/>
      <c r="L640" s="957" t="s">
        <v>482</v>
      </c>
      <c r="M640" s="1126" t="str">
        <f>IF(M643&lt;&gt;"",M643,IF(OR(M617=0,M617="",$M$635&lt;&gt;1),"NA",M617))</f>
        <v>NA</v>
      </c>
      <c r="N640" s="1119" t="str">
        <f>IF(OR(M640="NA",AND($M$635&lt;&gt;1,OR(N643=0,N643=""))),"NA",IF(N643&lt;&gt;"",N643,IF(WBCM_IN&lt;&gt;"cm",14,35)))</f>
        <v>NA</v>
      </c>
      <c r="O640" s="1119" t="str">
        <f>IF(OR(N640="NA",AND($M$635&lt;&gt;1,OR(O643=0,O643=""))),"NA",IF(O643&lt;&gt;"",O643,IF(WBCM_IN&lt;&gt;"cm",17,43)))</f>
        <v>NA</v>
      </c>
      <c r="P640" s="1075" t="str">
        <f>IF(P643&lt;&gt;"",P643,IF(OR(P617="",$M$635&lt;&gt;1),"NA",P617))</f>
        <v>NA</v>
      </c>
      <c r="Q640" s="1076"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1" t="str">
        <f>IF($M$635=2,"NO",IF(R640="NA","NA",IF(OR(R640="SID?",R640="TBD"),"TBD",IF(ABS(R640)&gt;0.02,"NO","YES"))))</f>
        <v>NA</v>
      </c>
      <c r="V640" s="1021" t="str">
        <f>IF($M$635=2,"NO",IF(S640="NA","NA",IF(OR(S640="SID?",S640="TBD"),"TBD",IF(ABS(S640)&gt;0.02,"NO","YES"))))</f>
        <v>NA</v>
      </c>
      <c r="W640" s="1042" t="str">
        <f>IF($M$635=2,"NO",IF(T640="NA","NA",IF(OR(T640="SID?",T640="TBD"),"TBD",IF(ABS(T640)&gt;0.03,"NO","YES"))))</f>
        <v>NA</v>
      </c>
      <c r="X640" s="939" t="s">
        <v>482</v>
      </c>
      <c r="AC640" s="924">
        <v>80</v>
      </c>
      <c r="AD640" s="924">
        <v>400</v>
      </c>
      <c r="AE640" s="925">
        <v>0.05</v>
      </c>
      <c r="AF640" s="923">
        <f t="shared" si="91"/>
        <v>0</v>
      </c>
      <c r="AG640" s="1470">
        <v>0</v>
      </c>
      <c r="AH640" s="1473"/>
      <c r="AI640" s="932"/>
      <c r="AJ640" s="932"/>
      <c r="AK640" s="1456"/>
      <c r="AL640" s="1455"/>
      <c r="AM640" s="932"/>
      <c r="AN640" s="1456"/>
      <c r="AO640" s="1568"/>
      <c r="AP640" s="1569"/>
      <c r="AQ640" s="1569"/>
      <c r="AR640" s="1569"/>
      <c r="AS640" s="1558"/>
      <c r="AT640" s="1559"/>
    </row>
    <row r="641" spans="1:46" ht="11.25" customHeight="1">
      <c r="A641" s="857">
        <v>47</v>
      </c>
      <c r="B641" s="243" t="s">
        <v>647</v>
      </c>
      <c r="C641" s="238" t="s">
        <v>49</v>
      </c>
      <c r="D641" s="118"/>
      <c r="E641" s="119"/>
      <c r="F641" s="119"/>
      <c r="G641" s="119"/>
      <c r="H641" s="119"/>
      <c r="I641" s="119"/>
      <c r="J641" s="154"/>
      <c r="K641" s="135" t="str">
        <f>IF(M643=2,"NO","")</f>
        <v/>
      </c>
      <c r="L641" s="957" t="s">
        <v>482</v>
      </c>
      <c r="M641" s="155"/>
      <c r="N641" s="257" t="s">
        <v>706</v>
      </c>
      <c r="O641" s="63"/>
      <c r="P641" s="63"/>
      <c r="Q641" s="63"/>
      <c r="R641" s="63"/>
      <c r="S641" s="63"/>
      <c r="T641" s="63"/>
      <c r="U641" s="63"/>
      <c r="V641" s="63"/>
      <c r="W641" s="81"/>
      <c r="X641" s="939" t="s">
        <v>482</v>
      </c>
      <c r="AC641" s="924">
        <v>80</v>
      </c>
      <c r="AD641" s="924">
        <v>400</v>
      </c>
      <c r="AE641" s="925">
        <v>0.05</v>
      </c>
      <c r="AF641" s="923">
        <f t="shared" si="91"/>
        <v>0</v>
      </c>
      <c r="AG641" s="1470">
        <v>0</v>
      </c>
      <c r="AH641" s="1473"/>
      <c r="AI641" s="932"/>
      <c r="AJ641" s="932"/>
      <c r="AK641" s="1456"/>
      <c r="AL641" s="1455"/>
      <c r="AM641" s="932"/>
      <c r="AN641" s="1456"/>
      <c r="AO641" s="1568"/>
      <c r="AP641" s="1569"/>
      <c r="AQ641" s="1569"/>
      <c r="AR641" s="1569"/>
      <c r="AS641" s="1558"/>
      <c r="AT641" s="1559"/>
    </row>
    <row r="642" spans="1:46" ht="11.25" customHeight="1">
      <c r="A642" s="857">
        <v>48</v>
      </c>
      <c r="B642" s="155"/>
      <c r="C642" s="966" t="s">
        <v>48</v>
      </c>
      <c r="D642" s="63"/>
      <c r="E642" s="63"/>
      <c r="F642" s="63"/>
      <c r="G642" s="63"/>
      <c r="H642" s="63"/>
      <c r="I642" s="63"/>
      <c r="J642" s="63"/>
      <c r="K642" s="81"/>
      <c r="L642" s="957" t="s">
        <v>482</v>
      </c>
      <c r="M642" s="976"/>
      <c r="N642" s="977"/>
      <c r="O642" s="977"/>
      <c r="P642" s="1066"/>
      <c r="Q642" s="1066"/>
      <c r="R642" s="1015" t="s">
        <v>696</v>
      </c>
      <c r="S642" s="63"/>
      <c r="T642" s="63"/>
      <c r="U642" s="63"/>
      <c r="V642" s="63"/>
      <c r="W642" s="81"/>
      <c r="X642" s="939" t="s">
        <v>482</v>
      </c>
      <c r="AC642" s="1096">
        <v>80</v>
      </c>
      <c r="AD642" s="1096">
        <v>400</v>
      </c>
      <c r="AE642" s="1097">
        <v>0.05</v>
      </c>
      <c r="AF642" s="1095">
        <f t="shared" si="91"/>
        <v>0</v>
      </c>
      <c r="AG642" s="1471">
        <v>0</v>
      </c>
      <c r="AH642" s="1474"/>
      <c r="AI642" s="1103"/>
      <c r="AJ642" s="1103"/>
      <c r="AK642" s="1458"/>
      <c r="AL642" s="1457"/>
      <c r="AM642" s="1103"/>
      <c r="AN642" s="1458"/>
      <c r="AO642" s="1566"/>
      <c r="AP642" s="1567"/>
      <c r="AQ642" s="1567"/>
      <c r="AR642" s="1567"/>
      <c r="AS642" s="1556"/>
      <c r="AT642" s="1557"/>
    </row>
    <row r="643" spans="1:46" ht="11.25" customHeight="1">
      <c r="A643" s="857">
        <v>49</v>
      </c>
      <c r="B643" s="120"/>
      <c r="C643" s="63"/>
      <c r="D643" s="63"/>
      <c r="E643" s="63"/>
      <c r="F643" s="63"/>
      <c r="G643" s="63"/>
      <c r="H643" s="63"/>
      <c r="I643" s="63"/>
      <c r="J643" s="63"/>
      <c r="K643" s="81"/>
      <c r="L643" s="957" t="s">
        <v>482</v>
      </c>
      <c r="M643" s="976"/>
      <c r="N643" s="977"/>
      <c r="O643" s="977"/>
      <c r="P643" s="1066"/>
      <c r="Q643" s="1066"/>
      <c r="R643" s="1016" t="s">
        <v>378</v>
      </c>
      <c r="S643" s="119"/>
      <c r="T643" s="119"/>
      <c r="U643" s="56"/>
      <c r="V643" s="56"/>
      <c r="W643" s="79"/>
      <c r="X643" s="939" t="s">
        <v>482</v>
      </c>
      <c r="AC643" s="1096">
        <v>80</v>
      </c>
      <c r="AD643" s="1096">
        <v>400</v>
      </c>
      <c r="AE643" s="1097">
        <v>0.05</v>
      </c>
      <c r="AF643" s="1095">
        <f t="shared" si="91"/>
        <v>0</v>
      </c>
      <c r="AG643" s="1471">
        <v>0</v>
      </c>
      <c r="AH643" s="1474"/>
      <c r="AI643" s="1103"/>
      <c r="AJ643" s="1103"/>
      <c r="AK643" s="1458"/>
      <c r="AL643" s="1457"/>
      <c r="AM643" s="1103"/>
      <c r="AN643" s="1458"/>
      <c r="AO643" s="1566"/>
      <c r="AP643" s="1567"/>
      <c r="AQ643" s="1567"/>
      <c r="AR643" s="1567"/>
      <c r="AS643" s="1556"/>
      <c r="AT643" s="1557"/>
    </row>
    <row r="644" spans="1:46" ht="11.25" customHeight="1">
      <c r="A644" s="857">
        <v>50</v>
      </c>
      <c r="B644" s="97" t="s">
        <v>629</v>
      </c>
      <c r="C644" s="1238" t="str">
        <f>IF(O646="","",IF(LEN(O646)&lt;=135,O646,IF(LEN(O646)&lt;=260,LEFT(O646,SEARCH(" ",O646,125)),LEFT(O646,SEARCH(" ",O646,130)))))</f>
        <v/>
      </c>
      <c r="D644" s="57"/>
      <c r="E644" s="57"/>
      <c r="F644" s="57"/>
      <c r="G644" s="57"/>
      <c r="H644" s="57"/>
      <c r="I644" s="57"/>
      <c r="J644" s="57"/>
      <c r="K644" s="81"/>
      <c r="L644" s="957" t="s">
        <v>482</v>
      </c>
      <c r="M644" s="268"/>
      <c r="N644" s="162" t="s">
        <v>647</v>
      </c>
      <c r="O644" s="238" t="s">
        <v>49</v>
      </c>
      <c r="P644" s="63"/>
      <c r="Q644" s="63"/>
      <c r="R644" s="63"/>
      <c r="S644" s="63"/>
      <c r="T644" s="63"/>
      <c r="U644" s="63"/>
      <c r="V644" s="63"/>
      <c r="W644" s="81"/>
      <c r="X644" s="939" t="s">
        <v>482</v>
      </c>
      <c r="AC644" s="1096">
        <v>80</v>
      </c>
      <c r="AD644" s="1096">
        <v>400</v>
      </c>
      <c r="AE644" s="1097">
        <v>0.05</v>
      </c>
      <c r="AF644" s="1095">
        <f t="shared" si="91"/>
        <v>0</v>
      </c>
      <c r="AG644" s="1471">
        <v>3</v>
      </c>
      <c r="AH644" s="1474"/>
      <c r="AI644" s="1102"/>
      <c r="AJ644" s="1103"/>
      <c r="AK644" s="1458"/>
      <c r="AL644" s="1459"/>
      <c r="AM644" s="1103"/>
      <c r="AN644" s="1458"/>
      <c r="AO644" s="1566"/>
      <c r="AP644" s="1567"/>
      <c r="AQ644" s="1567"/>
      <c r="AR644" s="1567"/>
      <c r="AS644" s="1556"/>
      <c r="AT644" s="1557"/>
    </row>
    <row r="645" spans="1:46" ht="11.25" customHeight="1">
      <c r="A645" s="857">
        <v>51</v>
      </c>
      <c r="B645" s="97"/>
      <c r="C645" s="1239" t="str">
        <f>IF(LEN(O646)&lt;=135,"",IF(LEN(O646)&lt;=260,RIGHT(O646,LEN(O646)-SEARCH(" ",O646,125)),MID(O646,SEARCH(" ",O646,130),IF(LEN(O646)&lt;=265,LEN(O646),SEARCH(" ",O646,255)-SEARCH(" ",O646,130)))))</f>
        <v/>
      </c>
      <c r="D645" s="57"/>
      <c r="E645" s="57"/>
      <c r="F645" s="57"/>
      <c r="G645" s="57"/>
      <c r="H645" s="57"/>
      <c r="I645" s="57"/>
      <c r="J645" s="57"/>
      <c r="K645" s="81"/>
      <c r="L645" s="957" t="s">
        <v>482</v>
      </c>
      <c r="M645" s="155"/>
      <c r="O645" s="966" t="s">
        <v>48</v>
      </c>
      <c r="W645" s="81"/>
      <c r="X645" s="939" t="s">
        <v>482</v>
      </c>
      <c r="AC645" s="1096">
        <v>80</v>
      </c>
      <c r="AD645" s="1096">
        <v>400</v>
      </c>
      <c r="AE645" s="1097">
        <v>0.05</v>
      </c>
      <c r="AF645" s="1095">
        <f t="shared" si="91"/>
        <v>0</v>
      </c>
      <c r="AG645" s="1471">
        <v>3</v>
      </c>
      <c r="AH645" s="1474"/>
      <c r="AI645" s="1102"/>
      <c r="AJ645" s="1103"/>
      <c r="AK645" s="1458"/>
      <c r="AL645" s="1459"/>
      <c r="AM645" s="1103"/>
      <c r="AN645" s="1458"/>
      <c r="AO645" s="1566"/>
      <c r="AP645" s="1567"/>
      <c r="AQ645" s="1567"/>
      <c r="AR645" s="1567"/>
      <c r="AS645" s="1556"/>
      <c r="AT645" s="1557"/>
    </row>
    <row r="646" spans="1:46" ht="11.25" customHeight="1">
      <c r="A646" s="857">
        <v>52</v>
      </c>
      <c r="B646" s="155"/>
      <c r="C646" s="1238" t="str">
        <f>IF(LEN(O646)&lt;=265,"",RIGHT(O646,LEN(O646)-SEARCH(" ",O646,255)))</f>
        <v/>
      </c>
      <c r="D646" s="57"/>
      <c r="E646" s="57"/>
      <c r="F646" s="57"/>
      <c r="G646" s="57"/>
      <c r="H646" s="57"/>
      <c r="I646" s="57"/>
      <c r="J646" s="57"/>
      <c r="K646" s="81"/>
      <c r="L646" s="957" t="s">
        <v>482</v>
      </c>
      <c r="M646" s="121"/>
      <c r="N646" s="814" t="s">
        <v>629</v>
      </c>
      <c r="O646" s="994" t="str">
        <f>IF(O648&lt;&gt;"",O648,IF(OR(AB437=0,AB437=""),"",AB437))</f>
        <v/>
      </c>
      <c r="P646" s="55"/>
      <c r="Q646" s="55"/>
      <c r="R646" s="55"/>
      <c r="S646" s="55"/>
      <c r="T646" s="55"/>
      <c r="U646" s="55"/>
      <c r="V646" s="55"/>
      <c r="W646" s="122"/>
      <c r="X646" s="939" t="s">
        <v>482</v>
      </c>
      <c r="Y646" s="608"/>
      <c r="Z646" s="608"/>
      <c r="AA646" s="608"/>
      <c r="AB646" s="608"/>
      <c r="AC646" s="1096">
        <v>80</v>
      </c>
      <c r="AD646" s="1096">
        <v>400</v>
      </c>
      <c r="AE646" s="1097">
        <v>0.05</v>
      </c>
      <c r="AF646" s="1095">
        <f t="shared" si="91"/>
        <v>0</v>
      </c>
      <c r="AG646" s="1471">
        <v>3.5</v>
      </c>
      <c r="AH646" s="1474"/>
      <c r="AI646" s="1102"/>
      <c r="AJ646" s="1103"/>
      <c r="AK646" s="1458"/>
      <c r="AL646" s="1459"/>
      <c r="AM646" s="1103"/>
      <c r="AN646" s="1458"/>
      <c r="AO646" s="1566"/>
      <c r="AP646" s="1567"/>
      <c r="AQ646" s="1567"/>
      <c r="AR646" s="1567"/>
      <c r="AS646" s="1556"/>
      <c r="AT646" s="1557"/>
    </row>
    <row r="647" spans="1:46" ht="11.25" customHeight="1">
      <c r="A647" s="857">
        <v>53</v>
      </c>
      <c r="B647" s="155"/>
      <c r="D647" s="63"/>
      <c r="E647" s="63"/>
      <c r="F647" s="63"/>
      <c r="G647" s="63"/>
      <c r="H647" s="63"/>
      <c r="I647" s="63"/>
      <c r="J647" s="63"/>
      <c r="K647" s="81"/>
      <c r="L647" s="957" t="s">
        <v>482</v>
      </c>
      <c r="M647" s="146"/>
      <c r="N647" s="855" t="s">
        <v>347</v>
      </c>
      <c r="O647" s="124"/>
      <c r="P647" s="1237">
        <f>LEN(O646)</f>
        <v>0</v>
      </c>
      <c r="Q647" s="124"/>
      <c r="R647" s="124"/>
      <c r="S647" s="124"/>
      <c r="T647" s="124"/>
      <c r="U647" s="124"/>
      <c r="V647" s="124"/>
      <c r="W647" s="125"/>
      <c r="X647" s="939" t="s">
        <v>482</v>
      </c>
      <c r="Y647" s="608"/>
      <c r="Z647" s="608"/>
      <c r="AA647" s="608"/>
      <c r="AB647" s="608"/>
      <c r="AC647" s="1096">
        <v>80</v>
      </c>
      <c r="AD647" s="1096">
        <v>400</v>
      </c>
      <c r="AE647" s="1097">
        <v>0.05</v>
      </c>
      <c r="AF647" s="1095">
        <f t="shared" si="91"/>
        <v>0</v>
      </c>
      <c r="AG647" s="1471">
        <v>3.5</v>
      </c>
      <c r="AH647" s="1474"/>
      <c r="AI647" s="1102"/>
      <c r="AJ647" s="1103"/>
      <c r="AK647" s="1458"/>
      <c r="AL647" s="1459"/>
      <c r="AM647" s="1103"/>
      <c r="AN647" s="1458"/>
      <c r="AO647" s="1566"/>
      <c r="AP647" s="1567"/>
      <c r="AQ647" s="1567"/>
      <c r="AR647" s="1567"/>
      <c r="AS647" s="1556"/>
      <c r="AT647" s="1557"/>
    </row>
    <row r="648" spans="1:46" ht="11.25" customHeight="1">
      <c r="A648" s="857">
        <v>54</v>
      </c>
      <c r="B648" s="252" t="s">
        <v>485</v>
      </c>
      <c r="C648" s="129"/>
      <c r="D648" s="63"/>
      <c r="E648" s="253" t="s">
        <v>716</v>
      </c>
      <c r="F648" s="61"/>
      <c r="G648" s="45"/>
      <c r="H648" s="45"/>
      <c r="I648" s="45"/>
      <c r="J648" s="523" t="s">
        <v>487</v>
      </c>
      <c r="K648" s="524"/>
      <c r="L648" s="957" t="s">
        <v>482</v>
      </c>
      <c r="M648" s="155"/>
      <c r="N648" s="1378" t="s">
        <v>696</v>
      </c>
      <c r="O648" s="1380"/>
      <c r="P648" s="58"/>
      <c r="Q648" s="58"/>
      <c r="R648" s="56"/>
      <c r="S648" s="56"/>
      <c r="T648" s="56"/>
      <c r="U648" s="56"/>
      <c r="V648" s="56"/>
      <c r="W648" s="79"/>
      <c r="X648" s="939" t="s">
        <v>482</v>
      </c>
      <c r="Y648" s="608"/>
      <c r="Z648" s="608"/>
      <c r="AA648" s="608"/>
      <c r="AB648" s="608"/>
      <c r="AC648" s="1096">
        <v>80</v>
      </c>
      <c r="AD648" s="1096">
        <v>400</v>
      </c>
      <c r="AE648" s="1097">
        <v>0.05</v>
      </c>
      <c r="AF648" s="1095">
        <f t="shared" si="91"/>
        <v>0</v>
      </c>
      <c r="AG648" s="1471">
        <v>2.5</v>
      </c>
      <c r="AH648" s="1474"/>
      <c r="AI648" s="1102"/>
      <c r="AJ648" s="1103"/>
      <c r="AK648" s="1458"/>
      <c r="AL648" s="1459"/>
      <c r="AM648" s="1103"/>
      <c r="AN648" s="1458"/>
      <c r="AO648" s="1566"/>
      <c r="AP648" s="1567"/>
      <c r="AQ648" s="1567"/>
      <c r="AR648" s="1567"/>
      <c r="AS648" s="1556"/>
      <c r="AT648" s="1557"/>
    </row>
    <row r="649" spans="1:46" ht="11.25" customHeight="1">
      <c r="A649" s="857">
        <v>55</v>
      </c>
      <c r="B649" s="130"/>
      <c r="C649" s="131"/>
      <c r="D649" s="118" t="s">
        <v>523</v>
      </c>
      <c r="E649" s="119"/>
      <c r="F649" s="119"/>
      <c r="G649" s="119"/>
      <c r="H649" s="119"/>
      <c r="I649" s="119"/>
      <c r="J649" s="154" t="str">
        <f>IF($M$434=2,"NA",IF($M652="","TBD",IF($M652=1,"YES",IF($M652=3,"NA",""))))</f>
        <v>TBD</v>
      </c>
      <c r="K649" s="135" t="str">
        <f>IF($M$434=2,"",IF($M652=2,"NO",""))</f>
        <v/>
      </c>
      <c r="L649" s="957" t="s">
        <v>482</v>
      </c>
      <c r="M649" s="155"/>
      <c r="N649" s="63"/>
      <c r="O649" s="63"/>
      <c r="P649" s="63"/>
      <c r="Q649" s="63"/>
      <c r="R649" s="63"/>
      <c r="S649" s="63"/>
      <c r="T649" s="63"/>
      <c r="U649" s="63"/>
      <c r="V649" s="63"/>
      <c r="W649" s="81"/>
      <c r="X649" s="939" t="s">
        <v>482</v>
      </c>
      <c r="Y649" s="608"/>
      <c r="Z649" s="608"/>
      <c r="AA649" s="608"/>
      <c r="AB649" s="608"/>
      <c r="AC649" s="1096">
        <v>80</v>
      </c>
      <c r="AD649" s="1096">
        <v>400</v>
      </c>
      <c r="AE649" s="1097">
        <v>0.05</v>
      </c>
      <c r="AF649" s="1095">
        <f t="shared" si="91"/>
        <v>0</v>
      </c>
      <c r="AG649" s="1471">
        <v>2.5</v>
      </c>
      <c r="AH649" s="1474"/>
      <c r="AI649" s="1102"/>
      <c r="AJ649" s="1103"/>
      <c r="AK649" s="1458"/>
      <c r="AL649" s="1459"/>
      <c r="AM649" s="1103"/>
      <c r="AN649" s="1458"/>
      <c r="AO649" s="1566"/>
      <c r="AP649" s="1567"/>
      <c r="AQ649" s="1567"/>
      <c r="AR649" s="1567"/>
      <c r="AS649" s="1556"/>
      <c r="AT649" s="1557"/>
    </row>
    <row r="650" spans="1:46" ht="11.25" customHeight="1">
      <c r="A650" s="857">
        <v>56</v>
      </c>
      <c r="B650" s="121"/>
      <c r="C650" s="58"/>
      <c r="D650" s="58" t="s">
        <v>1164</v>
      </c>
      <c r="E650" s="63"/>
      <c r="F650" s="63"/>
      <c r="G650" s="63"/>
      <c r="H650" s="63"/>
      <c r="I650" s="63"/>
      <c r="J650" s="154" t="str">
        <f>IF($M$409=2,"NA",IF($M653="","TBD",IF($M653=1,"Stationary",IF($M653=2,"Reciprocating",IF($M653=3,"NA","")))))</f>
        <v>TBD</v>
      </c>
      <c r="K650" s="135"/>
      <c r="L650" s="957" t="s">
        <v>482</v>
      </c>
      <c r="M650" s="155"/>
      <c r="N650" s="63"/>
      <c r="O650" s="266"/>
      <c r="P650" s="63"/>
      <c r="Q650" s="63"/>
      <c r="R650" s="1177" t="s">
        <v>716</v>
      </c>
      <c r="S650" s="63"/>
      <c r="T650" s="63"/>
      <c r="U650" s="63"/>
      <c r="V650" s="63"/>
      <c r="W650" s="81"/>
      <c r="X650" s="939" t="s">
        <v>482</v>
      </c>
      <c r="Y650" s="608"/>
      <c r="Z650" s="608"/>
      <c r="AA650" s="608"/>
      <c r="AB650" s="608"/>
      <c r="AC650" s="924">
        <v>80</v>
      </c>
      <c r="AD650" s="924">
        <v>500</v>
      </c>
      <c r="AE650" s="925">
        <v>0.05</v>
      </c>
      <c r="AF650" s="923">
        <f t="shared" si="91"/>
        <v>0</v>
      </c>
      <c r="AG650" s="1470">
        <v>0</v>
      </c>
      <c r="AH650" s="1473"/>
      <c r="AI650" s="931"/>
      <c r="AJ650" s="932"/>
      <c r="AK650" s="1456"/>
      <c r="AL650" s="1460"/>
      <c r="AM650" s="932"/>
      <c r="AN650" s="1456"/>
      <c r="AO650" s="1568"/>
      <c r="AP650" s="1569"/>
      <c r="AQ650" s="1569"/>
      <c r="AR650" s="1569"/>
      <c r="AS650" s="1558"/>
      <c r="AT650" s="1559"/>
    </row>
    <row r="651" spans="1:46" ht="11.25" customHeight="1">
      <c r="A651" s="857">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7" t="s">
        <v>482</v>
      </c>
      <c r="M651" s="256" t="s">
        <v>488</v>
      </c>
      <c r="N651" s="63"/>
      <c r="O651" s="63"/>
      <c r="P651" s="63"/>
      <c r="Q651" s="63"/>
      <c r="R651" s="61"/>
      <c r="S651" s="63"/>
      <c r="T651" s="63"/>
      <c r="U651" s="63"/>
      <c r="V651" s="63"/>
      <c r="W651" s="81"/>
      <c r="X651" s="939" t="s">
        <v>482</v>
      </c>
      <c r="Y651" s="608"/>
      <c r="Z651" s="608"/>
      <c r="AA651" s="608"/>
      <c r="AB651" s="608"/>
      <c r="AC651" s="924">
        <v>80</v>
      </c>
      <c r="AD651" s="924">
        <v>50</v>
      </c>
      <c r="AE651" s="925">
        <v>0.05</v>
      </c>
      <c r="AF651" s="923">
        <f t="shared" si="91"/>
        <v>0</v>
      </c>
      <c r="AG651" s="1470">
        <v>0</v>
      </c>
      <c r="AH651" s="1473"/>
      <c r="AI651" s="931"/>
      <c r="AJ651" s="932"/>
      <c r="AK651" s="1456"/>
      <c r="AL651" s="1460"/>
      <c r="AM651" s="932"/>
      <c r="AN651" s="1456"/>
      <c r="AO651" s="1568"/>
      <c r="AP651" s="1569"/>
      <c r="AQ651" s="1569"/>
      <c r="AR651" s="1569"/>
      <c r="AS651" s="1558"/>
      <c r="AT651" s="1559"/>
    </row>
    <row r="652" spans="1:46" ht="11.25" customHeight="1">
      <c r="A652" s="857">
        <v>58</v>
      </c>
      <c r="B652" s="155"/>
      <c r="C652" s="63"/>
      <c r="D652" s="63"/>
      <c r="E652" s="63"/>
      <c r="F652" s="63"/>
      <c r="G652" s="63"/>
      <c r="H652" s="63"/>
      <c r="I652" s="63"/>
      <c r="J652" s="63"/>
      <c r="K652" s="81"/>
      <c r="L652" s="957" t="s">
        <v>482</v>
      </c>
      <c r="M652" s="1002"/>
      <c r="N652" s="58"/>
      <c r="O652" s="118" t="s">
        <v>523</v>
      </c>
      <c r="P652" s="119"/>
      <c r="Q652" s="119"/>
      <c r="R652" s="119"/>
      <c r="S652" s="119"/>
      <c r="T652" s="119"/>
      <c r="U652" s="56"/>
      <c r="V652" s="56"/>
      <c r="W652" s="79"/>
      <c r="X652" s="939" t="s">
        <v>482</v>
      </c>
      <c r="Y652" s="608"/>
      <c r="Z652" s="608"/>
      <c r="AA652" s="608"/>
      <c r="AB652" s="608"/>
      <c r="AC652" s="924">
        <v>80</v>
      </c>
      <c r="AD652" s="924">
        <v>800</v>
      </c>
      <c r="AE652" s="925">
        <v>0.05</v>
      </c>
      <c r="AF652" s="923">
        <f t="shared" si="91"/>
        <v>0</v>
      </c>
      <c r="AG652" s="1470">
        <v>0</v>
      </c>
      <c r="AH652" s="1473"/>
      <c r="AI652" s="931"/>
      <c r="AJ652" s="932"/>
      <c r="AK652" s="1456"/>
      <c r="AL652" s="1460"/>
      <c r="AM652" s="932"/>
      <c r="AN652" s="1456"/>
      <c r="AO652" s="1568"/>
      <c r="AP652" s="1569"/>
      <c r="AQ652" s="1569"/>
      <c r="AR652" s="1569"/>
      <c r="AS652" s="1558"/>
      <c r="AT652" s="1559"/>
    </row>
    <row r="653" spans="1:46" ht="11.25" customHeight="1">
      <c r="A653" s="857">
        <v>59</v>
      </c>
      <c r="B653" s="120" t="s">
        <v>629</v>
      </c>
      <c r="C653" s="1238" t="str">
        <f>IF(O656="","",IF(LEN(O656)&lt;=135,O656,IF(LEN(O656)&lt;=260,LEFT(O656,SEARCH(" ",O656,125)),LEFT(O656,SEARCH(" ",O656,130)))))</f>
        <v/>
      </c>
      <c r="D653" s="57"/>
      <c r="E653" s="57"/>
      <c r="F653" s="57"/>
      <c r="G653" s="57"/>
      <c r="H653" s="57"/>
      <c r="I653" s="57"/>
      <c r="J653" s="57"/>
      <c r="K653" s="96"/>
      <c r="L653" s="957" t="s">
        <v>482</v>
      </c>
      <c r="M653" s="1120" t="str">
        <f>IF(N653&lt;&gt;"",N653,IF(OR(AB152=0,AB152=""),"",AB152))</f>
        <v/>
      </c>
      <c r="N653" s="982"/>
      <c r="O653" s="58" t="s">
        <v>717</v>
      </c>
      <c r="P653" s="58"/>
      <c r="Q653" s="58"/>
      <c r="R653" s="58"/>
      <c r="S653" s="58"/>
      <c r="T653" s="58"/>
      <c r="U653" s="58"/>
      <c r="V653" s="58"/>
      <c r="W653" s="80"/>
      <c r="X653" s="939" t="s">
        <v>482</v>
      </c>
      <c r="Y653" s="608"/>
      <c r="Z653" s="608"/>
      <c r="AA653" s="608"/>
      <c r="AB653" s="608"/>
      <c r="AC653" s="924">
        <v>80</v>
      </c>
      <c r="AD653" s="924">
        <v>250</v>
      </c>
      <c r="AE653" s="925">
        <v>0.05</v>
      </c>
      <c r="AF653" s="923">
        <f t="shared" si="91"/>
        <v>0</v>
      </c>
      <c r="AG653" s="1470">
        <v>0</v>
      </c>
      <c r="AH653" s="1473"/>
      <c r="AI653" s="931"/>
      <c r="AJ653" s="932"/>
      <c r="AK653" s="1456"/>
      <c r="AL653" s="1460"/>
      <c r="AM653" s="932"/>
      <c r="AN653" s="1456"/>
      <c r="AO653" s="1568"/>
      <c r="AP653" s="1569"/>
      <c r="AQ653" s="1569"/>
      <c r="AR653" s="1569"/>
      <c r="AS653" s="1558"/>
      <c r="AT653" s="1559"/>
    </row>
    <row r="654" spans="1:46" ht="11.25" customHeight="1">
      <c r="A654" s="857">
        <v>60</v>
      </c>
      <c r="B654" s="97"/>
      <c r="C654" s="1239" t="str">
        <f>IF(LEN(O656)&lt;=135,"",IF(LEN(O656)&lt;=260,RIGHT(O656,LEN(O656)-SEARCH(" ",O656,125)),MID(O656,SEARCH(" ",O656,130),IF(LEN(O656)&lt;=265,LEN(O656),SEARCH(" ",O656,255)-SEARCH(" ",O656,130)))))</f>
        <v/>
      </c>
      <c r="D654" s="57"/>
      <c r="E654" s="57"/>
      <c r="F654" s="57"/>
      <c r="G654" s="57"/>
      <c r="H654" s="57"/>
      <c r="I654" s="57"/>
      <c r="J654" s="57"/>
      <c r="K654" s="96"/>
      <c r="L654" s="957" t="s">
        <v>482</v>
      </c>
      <c r="M654" s="864"/>
      <c r="N654" s="63"/>
      <c r="O654" s="58" t="str">
        <f>IF(M653=1,"","Radiographic image is free of grid lines.")</f>
        <v>Radiographic image is free of grid lines.</v>
      </c>
      <c r="P654" s="63"/>
      <c r="Q654" s="63"/>
      <c r="R654" s="63"/>
      <c r="S654" s="63"/>
      <c r="T654" s="63"/>
      <c r="U654" s="63"/>
      <c r="V654" s="63"/>
      <c r="W654" s="81"/>
      <c r="X654" s="939" t="s">
        <v>482</v>
      </c>
      <c r="Y654" s="608"/>
      <c r="Z654" s="608"/>
      <c r="AA654" s="608"/>
      <c r="AB654" s="608"/>
      <c r="AC654" s="924">
        <v>100</v>
      </c>
      <c r="AD654" s="924">
        <v>400</v>
      </c>
      <c r="AE654" s="925">
        <v>0.05</v>
      </c>
      <c r="AF654" s="923">
        <f t="shared" si="91"/>
        <v>0</v>
      </c>
      <c r="AG654" s="1470">
        <v>0</v>
      </c>
      <c r="AH654" s="1473"/>
      <c r="AI654" s="931"/>
      <c r="AJ654" s="932"/>
      <c r="AK654" s="1456"/>
      <c r="AL654" s="1460"/>
      <c r="AM654" s="932"/>
      <c r="AN654" s="1456"/>
      <c r="AO654" s="1568"/>
      <c r="AP654" s="1569"/>
      <c r="AQ654" s="1569"/>
      <c r="AR654" s="1569"/>
      <c r="AS654" s="1558"/>
      <c r="AT654" s="1559"/>
    </row>
    <row r="655" spans="1:46" ht="11.25" customHeight="1">
      <c r="A655" s="857">
        <v>61</v>
      </c>
      <c r="B655" s="97"/>
      <c r="C655" s="1238" t="str">
        <f>IF(LEN(O656)&lt;=265,"",RIGHT(O656,LEN(O656)-SEARCH(" ",O656,255)))</f>
        <v/>
      </c>
      <c r="D655" s="57"/>
      <c r="E655" s="57"/>
      <c r="F655" s="57"/>
      <c r="G655" s="57"/>
      <c r="H655" s="57"/>
      <c r="I655" s="57"/>
      <c r="J655" s="57"/>
      <c r="K655" s="96"/>
      <c r="L655" s="957" t="s">
        <v>482</v>
      </c>
      <c r="M655" s="155"/>
      <c r="N655" s="63"/>
      <c r="O655" s="63"/>
      <c r="P655" s="63"/>
      <c r="Q655" s="63"/>
      <c r="R655" s="63"/>
      <c r="S655" s="63"/>
      <c r="T655" s="63"/>
      <c r="U655" s="63"/>
      <c r="V655" s="63"/>
      <c r="W655" s="81"/>
      <c r="X655" s="939" t="s">
        <v>482</v>
      </c>
      <c r="Y655" s="608"/>
      <c r="Z655" s="608"/>
      <c r="AA655" s="608"/>
      <c r="AB655" s="608"/>
      <c r="AC655" s="924">
        <v>100</v>
      </c>
      <c r="AD655" s="924">
        <v>400</v>
      </c>
      <c r="AE655" s="925">
        <v>0.05</v>
      </c>
      <c r="AF655" s="923">
        <f t="shared" ref="AF655" si="92">IF(LFMAS="mAs",AD655*AE655,0)</f>
        <v>0</v>
      </c>
      <c r="AG655" s="1470">
        <v>0</v>
      </c>
      <c r="AH655" s="1652"/>
      <c r="AI655" s="1653"/>
      <c r="AJ655" s="1653"/>
      <c r="AK655" s="1654"/>
      <c r="AL655" s="1655"/>
      <c r="AM655" s="1653"/>
      <c r="AN655" s="1654"/>
      <c r="AO655" s="1656"/>
      <c r="AP655" s="1657"/>
      <c r="AQ655" s="1657"/>
      <c r="AR655" s="1657"/>
      <c r="AS655" s="1658"/>
      <c r="AT655" s="1659"/>
    </row>
    <row r="656" spans="1:46" ht="11.25" customHeight="1">
      <c r="A656" s="857">
        <v>62</v>
      </c>
      <c r="B656" s="155"/>
      <c r="D656" s="63"/>
      <c r="E656" s="63"/>
      <c r="F656" s="63"/>
      <c r="G656" s="63"/>
      <c r="H656" s="63"/>
      <c r="I656" s="63"/>
      <c r="J656" s="63"/>
      <c r="K656" s="81"/>
      <c r="L656" s="957" t="s">
        <v>482</v>
      </c>
      <c r="M656" s="155"/>
      <c r="N656" s="814" t="s">
        <v>629</v>
      </c>
      <c r="O656" s="994" t="str">
        <f>IF(O658&lt;&gt;"",O658,IF(OR(AB438=0,AB438=""),"",AB438))</f>
        <v/>
      </c>
      <c r="P656" s="55"/>
      <c r="Q656" s="55"/>
      <c r="R656" s="55"/>
      <c r="S656" s="55"/>
      <c r="T656" s="55"/>
      <c r="U656" s="55"/>
      <c r="V656" s="55"/>
      <c r="W656" s="122"/>
      <c r="X656" s="939" t="s">
        <v>482</v>
      </c>
      <c r="Y656" s="608"/>
      <c r="Z656" s="608"/>
      <c r="AA656" s="608"/>
      <c r="AB656" s="608"/>
      <c r="AC656" s="924">
        <v>120</v>
      </c>
      <c r="AD656" s="924">
        <v>400</v>
      </c>
      <c r="AE656" s="925">
        <v>0.05</v>
      </c>
      <c r="AF656" s="923">
        <f t="shared" ref="AF656:AF657" si="93">IF(LFMAS="mAs",AD656*AE656,0)</f>
        <v>0</v>
      </c>
      <c r="AG656" s="1470">
        <v>0</v>
      </c>
      <c r="AH656" s="1652"/>
      <c r="AI656" s="1660"/>
      <c r="AJ656" s="1653"/>
      <c r="AK656" s="1654"/>
      <c r="AL656" s="1661"/>
      <c r="AM656" s="1653"/>
      <c r="AN656" s="1654"/>
      <c r="AO656" s="1656"/>
      <c r="AP656" s="1657"/>
      <c r="AQ656" s="1657"/>
      <c r="AR656" s="1657"/>
      <c r="AS656" s="1658"/>
      <c r="AT656" s="1659"/>
    </row>
    <row r="657" spans="1:46" ht="11.25" customHeight="1" thickBot="1">
      <c r="A657" s="857">
        <v>63</v>
      </c>
      <c r="B657" s="255"/>
      <c r="C657" s="181"/>
      <c r="D657" s="181"/>
      <c r="E657" s="181"/>
      <c r="F657" s="181"/>
      <c r="G657" s="181"/>
      <c r="H657" s="181"/>
      <c r="I657" s="181"/>
      <c r="J657" s="181"/>
      <c r="K657" s="84"/>
      <c r="L657" s="957" t="s">
        <v>482</v>
      </c>
      <c r="M657" s="121"/>
      <c r="N657" s="855" t="s">
        <v>347</v>
      </c>
      <c r="O657" s="124"/>
      <c r="P657" s="1237">
        <f>LEN(O656)</f>
        <v>0</v>
      </c>
      <c r="Q657" s="124"/>
      <c r="R657" s="124"/>
      <c r="S657" s="124"/>
      <c r="T657" s="124"/>
      <c r="U657" s="124"/>
      <c r="V657" s="124"/>
      <c r="W657" s="125"/>
      <c r="X657" s="939" t="s">
        <v>482</v>
      </c>
      <c r="Y657" s="608"/>
      <c r="Z657" t="s">
        <v>1183</v>
      </c>
      <c r="AB657" s="608"/>
      <c r="AC657" s="924">
        <v>120</v>
      </c>
      <c r="AD657" s="924">
        <v>400</v>
      </c>
      <c r="AE657" s="925">
        <v>0.05</v>
      </c>
      <c r="AF657" s="923">
        <f t="shared" si="93"/>
        <v>0</v>
      </c>
      <c r="AG657" s="1470">
        <v>0</v>
      </c>
      <c r="AH657" s="1652"/>
      <c r="AI657" s="1653"/>
      <c r="AJ657" s="1653"/>
      <c r="AK657" s="1654"/>
      <c r="AL657" s="1655"/>
      <c r="AM657" s="1653"/>
      <c r="AN657" s="1654"/>
      <c r="AO657" s="1656"/>
      <c r="AP657" s="1657"/>
      <c r="AQ657" s="1657"/>
      <c r="AR657" s="1657"/>
      <c r="AS657" s="1658"/>
      <c r="AT657" s="1659"/>
    </row>
    <row r="658" spans="1:46" ht="11.25" customHeight="1" thickTop="1">
      <c r="A658" s="857">
        <v>64</v>
      </c>
      <c r="B658" s="138"/>
      <c r="D658" s="138"/>
      <c r="E658" s="138"/>
      <c r="F658" s="138"/>
      <c r="G658" s="138"/>
      <c r="H658" s="138"/>
      <c r="I658" s="138"/>
      <c r="J658" s="138"/>
      <c r="K658" s="138"/>
      <c r="L658" s="957" t="s">
        <v>482</v>
      </c>
      <c r="M658" s="146"/>
      <c r="N658" s="1378" t="s">
        <v>696</v>
      </c>
      <c r="O658" s="1380"/>
      <c r="P658" s="124"/>
      <c r="Q658" s="124"/>
      <c r="R658" s="55"/>
      <c r="S658" s="55"/>
      <c r="T658" s="55"/>
      <c r="U658" s="55"/>
      <c r="V658" s="55"/>
      <c r="W658" s="122"/>
      <c r="X658" s="939" t="s">
        <v>482</v>
      </c>
      <c r="Y658" s="608"/>
      <c r="Z658">
        <v>1.1000000000000001</v>
      </c>
      <c r="AA658">
        <v>0.5</v>
      </c>
      <c r="AB658" s="608"/>
      <c r="AC658" s="924">
        <v>140</v>
      </c>
      <c r="AD658" s="924">
        <v>400</v>
      </c>
      <c r="AE658" s="925">
        <v>0.05</v>
      </c>
      <c r="AF658" s="923">
        <f t="shared" ref="AF658" si="94">IF(LFMAS="mAs",AD658*AE658,0)</f>
        <v>0</v>
      </c>
      <c r="AG658" s="1470">
        <v>0</v>
      </c>
      <c r="AH658" s="1473"/>
      <c r="AI658" s="931"/>
      <c r="AJ658" s="932"/>
      <c r="AK658" s="1456"/>
      <c r="AL658" s="1460"/>
      <c r="AM658" s="932"/>
      <c r="AN658" s="1456"/>
      <c r="AO658" s="1568"/>
      <c r="AP658" s="1569"/>
      <c r="AQ658" s="1569"/>
      <c r="AR658" s="1569"/>
      <c r="AS658" s="1558"/>
      <c r="AT658" s="1559"/>
    </row>
    <row r="659" spans="1:46" ht="11.25" customHeight="1" thickBot="1">
      <c r="A659" s="857">
        <v>65</v>
      </c>
      <c r="B659" s="60" t="str">
        <f t="array" ref="B659:C660">$B$65:$C$66</f>
        <v>Date:</v>
      </c>
      <c r="C659" s="1664" t="str">
        <v/>
      </c>
      <c r="D659" s="65"/>
      <c r="E659" s="138"/>
      <c r="F659" s="138"/>
      <c r="G659" s="138"/>
      <c r="H659" s="138"/>
      <c r="I659" s="60" t="str">
        <f t="array" ref="I659:J660">$I$65:$J$66</f>
        <v>Inspector:</v>
      </c>
      <c r="J659" s="554" t="str">
        <v>Eugene Mah</v>
      </c>
      <c r="L659" s="957" t="s">
        <v>482</v>
      </c>
      <c r="M659" s="112"/>
      <c r="N659" s="94"/>
      <c r="O659" s="94"/>
      <c r="P659" s="94"/>
      <c r="Q659" s="94"/>
      <c r="R659" s="94"/>
      <c r="S659" s="94"/>
      <c r="T659" s="94"/>
      <c r="U659" s="94"/>
      <c r="V659" s="94"/>
      <c r="W659" s="99"/>
      <c r="X659" s="939" t="s">
        <v>482</v>
      </c>
      <c r="Y659" s="608"/>
      <c r="Z659">
        <v>1.2</v>
      </c>
      <c r="AA659">
        <v>0.56000000000000005</v>
      </c>
      <c r="AB659" s="608"/>
      <c r="AC659" s="1326">
        <v>50</v>
      </c>
      <c r="AD659" s="1326">
        <v>100</v>
      </c>
      <c r="AE659" s="1327">
        <v>0.1</v>
      </c>
      <c r="AF659" s="1328">
        <f t="shared" ref="AF659:AF672" si="95">IF(SFMAS="mAs",AD659*AE659,0)</f>
        <v>0</v>
      </c>
      <c r="AG659" s="1472">
        <v>0</v>
      </c>
      <c r="AH659" s="1475"/>
      <c r="AI659" s="1333"/>
      <c r="AJ659" s="1334"/>
      <c r="AK659" s="1462"/>
      <c r="AL659" s="1461"/>
      <c r="AM659" s="1334"/>
      <c r="AN659" s="1462"/>
      <c r="AO659" s="1570"/>
      <c r="AP659" s="1571"/>
      <c r="AQ659" s="1571"/>
      <c r="AR659" s="1571"/>
      <c r="AS659" s="1560"/>
      <c r="AT659" s="1561"/>
    </row>
    <row r="660" spans="1:46" ht="11.25" customHeight="1" thickTop="1">
      <c r="A660" s="857">
        <v>66</v>
      </c>
      <c r="B660" s="60" t="str">
        <v>Room Number:</v>
      </c>
      <c r="C660" s="499" t="str">
        <v/>
      </c>
      <c r="D660" s="111"/>
      <c r="E660" s="138"/>
      <c r="F660" s="138"/>
      <c r="G660" s="138"/>
      <c r="H660" s="138"/>
      <c r="I660" s="60" t="str">
        <v>Survey ID:</v>
      </c>
      <c r="J660" s="1404" t="str">
        <v/>
      </c>
      <c r="L660" s="957" t="s">
        <v>482</v>
      </c>
      <c r="M660" s="138"/>
      <c r="N660" s="138"/>
      <c r="O660" s="138"/>
      <c r="P660" s="138"/>
      <c r="Q660" s="138"/>
      <c r="R660" s="138"/>
      <c r="S660" s="138"/>
      <c r="T660" s="138"/>
      <c r="U660" s="138"/>
      <c r="V660" s="138"/>
      <c r="W660" s="138"/>
      <c r="X660" s="939" t="s">
        <v>482</v>
      </c>
      <c r="Y660" s="608"/>
      <c r="Z660">
        <v>1.3</v>
      </c>
      <c r="AA660">
        <v>0.63</v>
      </c>
      <c r="AB660" s="608"/>
      <c r="AC660" s="1326">
        <v>70</v>
      </c>
      <c r="AD660" s="1326">
        <v>100</v>
      </c>
      <c r="AE660" s="1327">
        <v>0.1</v>
      </c>
      <c r="AF660" s="1328">
        <f t="shared" si="95"/>
        <v>0</v>
      </c>
      <c r="AG660" s="1472">
        <v>0</v>
      </c>
      <c r="AH660" s="1475"/>
      <c r="AI660" s="1333"/>
      <c r="AJ660" s="1334"/>
      <c r="AK660" s="1462"/>
      <c r="AL660" s="1461"/>
      <c r="AM660" s="1334"/>
      <c r="AN660" s="1462"/>
      <c r="AO660" s="1570"/>
      <c r="AP660" s="1571"/>
      <c r="AQ660" s="1571"/>
      <c r="AR660" s="1571"/>
      <c r="AS660" s="1560"/>
      <c r="AT660" s="1561"/>
    </row>
    <row r="661" spans="1:46" ht="11.25" customHeight="1">
      <c r="A661" s="857">
        <v>1</v>
      </c>
      <c r="K661" s="161" t="str">
        <f>$F$2</f>
        <v>Medical University of South Carolina</v>
      </c>
      <c r="L661" s="957" t="s">
        <v>482</v>
      </c>
      <c r="W661" s="161" t="str">
        <f>$F$2</f>
        <v>Medical University of South Carolina</v>
      </c>
      <c r="X661" s="939" t="s">
        <v>482</v>
      </c>
      <c r="Z661">
        <v>2.1</v>
      </c>
      <c r="AA661">
        <v>0.71</v>
      </c>
      <c r="AC661" s="1326">
        <v>90</v>
      </c>
      <c r="AD661" s="1326">
        <v>100</v>
      </c>
      <c r="AE661" s="1327">
        <v>0.1</v>
      </c>
      <c r="AF661" s="1328">
        <f t="shared" si="95"/>
        <v>0</v>
      </c>
      <c r="AG661" s="1472">
        <v>0</v>
      </c>
      <c r="AH661" s="1475"/>
      <c r="AI661" s="1333"/>
      <c r="AJ661" s="1334"/>
      <c r="AK661" s="1462"/>
      <c r="AL661" s="1461"/>
      <c r="AM661" s="1334"/>
      <c r="AN661" s="1462"/>
      <c r="AO661" s="1570"/>
      <c r="AP661" s="1571"/>
      <c r="AQ661" s="1571"/>
      <c r="AR661" s="1571"/>
      <c r="AS661" s="1560"/>
      <c r="AT661" s="1561"/>
    </row>
    <row r="662" spans="1:46" ht="11.25" customHeight="1">
      <c r="A662" s="857">
        <v>2</v>
      </c>
      <c r="F662" s="336" t="str">
        <f>$F$464</f>
        <v>Measurement Data</v>
      </c>
      <c r="K662" s="162" t="str">
        <f>$F$5</f>
        <v>Radiographic System Compliance Inspection</v>
      </c>
      <c r="L662" s="957" t="s">
        <v>482</v>
      </c>
      <c r="Q662" s="336" t="str">
        <f>$F$464</f>
        <v>Measurement Data</v>
      </c>
      <c r="W662" s="162" t="str">
        <f>$F$5</f>
        <v>Radiographic System Compliance Inspection</v>
      </c>
      <c r="X662" s="939" t="s">
        <v>482</v>
      </c>
      <c r="Z662">
        <v>2.2000000000000002</v>
      </c>
      <c r="AA662">
        <v>0.8</v>
      </c>
      <c r="AC662" s="1326">
        <v>90</v>
      </c>
      <c r="AD662" s="1326">
        <v>100</v>
      </c>
      <c r="AE662" s="1327">
        <v>0.1</v>
      </c>
      <c r="AF662" s="1328">
        <f t="shared" si="95"/>
        <v>0</v>
      </c>
      <c r="AG662" s="1472">
        <v>0</v>
      </c>
      <c r="AH662" s="1475"/>
      <c r="AI662" s="1333"/>
      <c r="AJ662" s="1334"/>
      <c r="AK662" s="1462"/>
      <c r="AL662" s="1461"/>
      <c r="AM662" s="1334"/>
      <c r="AN662" s="1462"/>
      <c r="AO662" s="1570"/>
      <c r="AP662" s="1571"/>
      <c r="AQ662" s="1571"/>
      <c r="AR662" s="1571"/>
      <c r="AS662" s="1560"/>
      <c r="AT662" s="1561"/>
    </row>
    <row r="663" spans="1:46" ht="11.25" customHeight="1" thickBot="1">
      <c r="A663" s="857">
        <v>3</v>
      </c>
      <c r="L663" s="957" t="s">
        <v>482</v>
      </c>
      <c r="X663" s="939" t="s">
        <v>482</v>
      </c>
      <c r="Z663">
        <v>2.2999999999999998</v>
      </c>
      <c r="AA663">
        <v>0.9</v>
      </c>
      <c r="AC663" s="1326">
        <v>90</v>
      </c>
      <c r="AD663" s="1326">
        <v>100</v>
      </c>
      <c r="AE663" s="1327">
        <v>0.1</v>
      </c>
      <c r="AF663" s="1328">
        <f t="shared" si="95"/>
        <v>0</v>
      </c>
      <c r="AG663" s="1472">
        <v>0</v>
      </c>
      <c r="AH663" s="1475"/>
      <c r="AI663" s="1333"/>
      <c r="AJ663" s="1334"/>
      <c r="AK663" s="1462"/>
      <c r="AL663" s="1461"/>
      <c r="AM663" s="1334"/>
      <c r="AN663" s="1462"/>
      <c r="AO663" s="1570"/>
      <c r="AP663" s="1571"/>
      <c r="AQ663" s="1571"/>
      <c r="AR663" s="1571"/>
      <c r="AS663" s="1560"/>
      <c r="AT663" s="1561"/>
    </row>
    <row r="664" spans="1:46" ht="11.25" customHeight="1" thickTop="1">
      <c r="A664" s="857">
        <v>4</v>
      </c>
      <c r="B664" s="63"/>
      <c r="C664" s="63"/>
      <c r="D664" s="63"/>
      <c r="E664" s="63"/>
      <c r="F664" s="240" t="s">
        <v>585</v>
      </c>
      <c r="G664" s="63"/>
      <c r="H664" s="63"/>
      <c r="I664" s="63"/>
      <c r="J664" s="63"/>
      <c r="K664" s="63"/>
      <c r="L664" s="957" t="s">
        <v>482</v>
      </c>
      <c r="M664" s="89"/>
      <c r="N664" s="72"/>
      <c r="O664" s="72"/>
      <c r="P664" s="72"/>
      <c r="Q664" s="72"/>
      <c r="R664" s="72"/>
      <c r="S664" s="72"/>
      <c r="T664" s="72"/>
      <c r="U664" s="72"/>
      <c r="V664" s="72"/>
      <c r="W664" s="90"/>
      <c r="X664" s="939" t="s">
        <v>482</v>
      </c>
      <c r="Z664">
        <v>3.1</v>
      </c>
      <c r="AA664">
        <v>1</v>
      </c>
      <c r="AC664" s="1326">
        <v>90</v>
      </c>
      <c r="AD664" s="1326">
        <v>100</v>
      </c>
      <c r="AE664" s="1327">
        <v>0.1</v>
      </c>
      <c r="AF664" s="1328">
        <f t="shared" si="95"/>
        <v>0</v>
      </c>
      <c r="AG664" s="1472">
        <v>0</v>
      </c>
      <c r="AH664" s="1475"/>
      <c r="AI664" s="1333"/>
      <c r="AJ664" s="1334"/>
      <c r="AK664" s="1462"/>
      <c r="AL664" s="1461"/>
      <c r="AM664" s="1334"/>
      <c r="AN664" s="1462"/>
      <c r="AO664" s="1570"/>
      <c r="AP664" s="1571"/>
      <c r="AQ664" s="1571"/>
      <c r="AR664" s="1571"/>
      <c r="AS664" s="1560"/>
      <c r="AT664" s="1561"/>
    </row>
    <row r="665" spans="1:46" ht="11.25" customHeight="1" thickBot="1">
      <c r="A665" s="857">
        <v>5</v>
      </c>
      <c r="B665" s="63"/>
      <c r="C665" s="63"/>
      <c r="D665" s="63"/>
      <c r="E665" s="63"/>
      <c r="F665" s="335"/>
      <c r="G665" s="63"/>
      <c r="H665" s="63"/>
      <c r="I665" s="63"/>
      <c r="J665" s="63"/>
      <c r="K665" s="63"/>
      <c r="L665" s="957" t="s">
        <v>482</v>
      </c>
      <c r="M665" s="155"/>
      <c r="N665" s="63"/>
      <c r="O665" s="63"/>
      <c r="P665" s="63"/>
      <c r="Q665" s="335" t="s">
        <v>566</v>
      </c>
      <c r="R665" s="63"/>
      <c r="S665" s="63"/>
      <c r="T665" s="63"/>
      <c r="U665" s="63"/>
      <c r="V665" s="5" t="s">
        <v>745</v>
      </c>
      <c r="W665" s="596" t="s">
        <v>746</v>
      </c>
      <c r="X665" s="939" t="s">
        <v>482</v>
      </c>
      <c r="Z665">
        <v>3.2</v>
      </c>
      <c r="AA665">
        <v>1.1200000000000001</v>
      </c>
      <c r="AC665" s="1326">
        <v>90</v>
      </c>
      <c r="AD665" s="1326">
        <v>100</v>
      </c>
      <c r="AE665" s="1327">
        <v>0.1</v>
      </c>
      <c r="AF665" s="1328">
        <f t="shared" si="95"/>
        <v>0</v>
      </c>
      <c r="AG665" s="1472">
        <v>0</v>
      </c>
      <c r="AH665" s="1475"/>
      <c r="AI665" s="1333"/>
      <c r="AJ665" s="1334"/>
      <c r="AK665" s="1462"/>
      <c r="AL665" s="1461"/>
      <c r="AM665" s="1334"/>
      <c r="AN665" s="1462"/>
      <c r="AO665" s="1570"/>
      <c r="AP665" s="1571"/>
      <c r="AQ665" s="1571"/>
      <c r="AR665" s="1571"/>
      <c r="AS665" s="1560"/>
      <c r="AT665" s="1561"/>
    </row>
    <row r="666" spans="1:46" ht="11.25" customHeight="1" thickTop="1">
      <c r="A666" s="857">
        <v>6</v>
      </c>
      <c r="B666" s="89"/>
      <c r="C666" s="72"/>
      <c r="D666" s="72"/>
      <c r="E666" s="72"/>
      <c r="F666" s="72"/>
      <c r="G666" s="72"/>
      <c r="H666" s="72"/>
      <c r="I666" s="72"/>
      <c r="J666" s="72"/>
      <c r="K666" s="90"/>
      <c r="L666" s="957" t="s">
        <v>482</v>
      </c>
      <c r="M666" s="386" t="s">
        <v>732</v>
      </c>
      <c r="N666" s="272"/>
      <c r="O666" s="3"/>
      <c r="P666" s="3"/>
      <c r="Q666" s="58"/>
      <c r="R666" s="3"/>
      <c r="S666" s="3"/>
      <c r="T666" s="3"/>
      <c r="U666" s="5" t="s">
        <v>644</v>
      </c>
      <c r="V666" s="5" t="s">
        <v>747</v>
      </c>
      <c r="W666" s="596" t="s">
        <v>747</v>
      </c>
      <c r="X666" s="939" t="s">
        <v>482</v>
      </c>
      <c r="Z666">
        <v>3.3</v>
      </c>
      <c r="AA666">
        <v>1.25</v>
      </c>
      <c r="AC666" s="1326">
        <v>80</v>
      </c>
      <c r="AD666" s="1326">
        <v>100</v>
      </c>
      <c r="AE666" s="1327">
        <v>0.1</v>
      </c>
      <c r="AF666" s="1328">
        <f t="shared" si="95"/>
        <v>0</v>
      </c>
      <c r="AG666" s="1472">
        <v>0</v>
      </c>
      <c r="AH666" s="1475"/>
      <c r="AI666" s="1333"/>
      <c r="AJ666" s="1334"/>
      <c r="AK666" s="1462"/>
      <c r="AL666" s="1461"/>
      <c r="AM666" s="1334"/>
      <c r="AN666" s="1462"/>
      <c r="AO666" s="1570"/>
      <c r="AP666" s="1571"/>
      <c r="AQ666" s="1571"/>
      <c r="AR666" s="1571"/>
      <c r="AS666" s="1560"/>
      <c r="AT666" s="1561"/>
    </row>
    <row r="667" spans="1:46" ht="11.25" customHeight="1">
      <c r="A667" s="857">
        <v>7</v>
      </c>
      <c r="B667" s="386" t="s">
        <v>732</v>
      </c>
      <c r="C667" s="272"/>
      <c r="D667" s="3"/>
      <c r="E667" s="3"/>
      <c r="F667" s="3"/>
      <c r="G667" s="3"/>
      <c r="H667" s="3"/>
      <c r="I667" s="3"/>
      <c r="J667" s="3"/>
      <c r="K667" s="81"/>
      <c r="L667" s="957" t="s">
        <v>482</v>
      </c>
      <c r="M667" s="270" t="str">
        <f>$S$37</f>
        <v>Large:</v>
      </c>
      <c r="N667" s="1077" t="str">
        <f>IF($U$54="","?Tube #?",IF(ISNA(MATCH($U$54,$U$59:$U$65,0)),IF(ISNA(MATCH($U$54,$V$59:$V$65,0)),"?Tube #?",$T$37),$T$24))</f>
        <v>?Tube #?</v>
      </c>
      <c r="O667" s="4" t="s">
        <v>748</v>
      </c>
      <c r="P667" s="1696" t="s">
        <v>541</v>
      </c>
      <c r="R667" s="1235"/>
      <c r="S667" s="3"/>
      <c r="T667" s="3"/>
      <c r="U667" s="5" t="s">
        <v>749</v>
      </c>
      <c r="V667" s="5" t="s">
        <v>749</v>
      </c>
      <c r="W667" s="596" t="s">
        <v>749</v>
      </c>
      <c r="X667" s="939" t="s">
        <v>482</v>
      </c>
      <c r="Z667">
        <v>4.0999999999999996</v>
      </c>
      <c r="AA667">
        <v>1.4</v>
      </c>
      <c r="AC667" s="1326">
        <v>80</v>
      </c>
      <c r="AD667" s="1326">
        <v>110</v>
      </c>
      <c r="AE667" s="1327">
        <v>0.1</v>
      </c>
      <c r="AF667" s="1328">
        <f t="shared" si="95"/>
        <v>0</v>
      </c>
      <c r="AG667" s="1472">
        <v>0</v>
      </c>
      <c r="AH667" s="1475"/>
      <c r="AI667" s="1333"/>
      <c r="AJ667" s="1334"/>
      <c r="AK667" s="1462"/>
      <c r="AL667" s="1461"/>
      <c r="AM667" s="1334"/>
      <c r="AN667" s="1462"/>
      <c r="AO667" s="1570"/>
      <c r="AP667" s="1571"/>
      <c r="AQ667" s="1571"/>
      <c r="AR667" s="1571"/>
      <c r="AS667" s="1560"/>
      <c r="AT667" s="1561"/>
    </row>
    <row r="668" spans="1:46" ht="11.25" customHeight="1" thickBot="1">
      <c r="A668" s="857">
        <v>8</v>
      </c>
      <c r="B668" s="155"/>
      <c r="C668" s="63"/>
      <c r="D668" s="63"/>
      <c r="E668" s="63"/>
      <c r="F668" s="63"/>
      <c r="G668" s="63"/>
      <c r="H668" s="63"/>
      <c r="I668" s="63"/>
      <c r="J668" s="5" t="s">
        <v>745</v>
      </c>
      <c r="K668" s="596" t="s">
        <v>746</v>
      </c>
      <c r="L668" s="957" t="s">
        <v>482</v>
      </c>
      <c r="M668" s="52"/>
      <c r="N668" s="63"/>
      <c r="O668" s="31" t="s">
        <v>539</v>
      </c>
      <c r="P668" s="1129" t="str">
        <f>IF(LFMAS="",AB155,LFMAS)</f>
        <v>mA</v>
      </c>
      <c r="Q668" s="31" t="s">
        <v>750</v>
      </c>
      <c r="R668" s="31" t="s">
        <v>751</v>
      </c>
      <c r="S668" s="31" t="s">
        <v>752</v>
      </c>
      <c r="T668" s="341" t="s">
        <v>753</v>
      </c>
      <c r="U668" s="7" t="s">
        <v>754</v>
      </c>
      <c r="V668" s="7" t="s">
        <v>754</v>
      </c>
      <c r="W668" s="26" t="s">
        <v>754</v>
      </c>
      <c r="X668" s="939" t="s">
        <v>482</v>
      </c>
      <c r="Z668">
        <v>4.2</v>
      </c>
      <c r="AA668">
        <v>1.6</v>
      </c>
      <c r="AC668" s="1326">
        <v>80</v>
      </c>
      <c r="AD668" s="1326">
        <v>250</v>
      </c>
      <c r="AE668" s="1327">
        <v>0.1</v>
      </c>
      <c r="AF668" s="1328">
        <f t="shared" si="95"/>
        <v>0</v>
      </c>
      <c r="AG668" s="1472">
        <v>0</v>
      </c>
      <c r="AH668" s="1475"/>
      <c r="AI668" s="1333"/>
      <c r="AJ668" s="1334"/>
      <c r="AK668" s="1462"/>
      <c r="AL668" s="1461"/>
      <c r="AM668" s="1334"/>
      <c r="AN668" s="1462"/>
      <c r="AO668" s="1570"/>
      <c r="AP668" s="1571"/>
      <c r="AQ668" s="1571"/>
      <c r="AR668" s="1571"/>
      <c r="AS668" s="1560"/>
      <c r="AT668" s="1561"/>
    </row>
    <row r="669" spans="1:46" ht="11.25" customHeight="1">
      <c r="A669" s="857">
        <v>9</v>
      </c>
      <c r="B669" s="270" t="str">
        <f>IF(M667="","",M667)</f>
        <v>Large:</v>
      </c>
      <c r="C669" s="2" t="str">
        <f>IF(N667="","",N667)</f>
        <v>?Tube #?</v>
      </c>
      <c r="D669" s="4" t="str">
        <f>IF(O667="","",O667)</f>
        <v>mm</v>
      </c>
      <c r="E669" s="3"/>
      <c r="F669" s="3"/>
      <c r="G669" s="3"/>
      <c r="H669" s="3"/>
      <c r="I669" s="5" t="s">
        <v>644</v>
      </c>
      <c r="J669" s="5" t="s">
        <v>747</v>
      </c>
      <c r="K669" s="596" t="s">
        <v>747</v>
      </c>
      <c r="L669" s="957" t="s">
        <v>482</v>
      </c>
      <c r="M669" s="52"/>
      <c r="N669" s="63"/>
      <c r="O669" s="1127" t="str">
        <f>IF(O670&lt;&gt;"",O670,IF(OR(AB156=0,AB156=""),"",AB156))</f>
        <v/>
      </c>
      <c r="P669" s="1127" t="str">
        <f>IF(P670&lt;&gt;"",P670,IF(OR(AB157=0,AB157=""),"",AB157))</f>
        <v/>
      </c>
      <c r="Q669" s="1128" t="str">
        <f>IF(Q670&lt;&gt;"",Q670,IF(OR(AB158=0,AB158=""),"",AB158))</f>
        <v/>
      </c>
      <c r="R669" s="1129" t="str">
        <f>IF(R670&lt;&gt;"",R670,IF(OR(AB159=0,AB159=""),"",AB159))</f>
        <v/>
      </c>
      <c r="S669" s="1129" t="str">
        <f>IF(S670&lt;&gt;"",S670,IF(OR(AB160=0,AB160=""),"",AB160))</f>
        <v/>
      </c>
      <c r="T669" s="1078" t="str">
        <f>IF(OR(R669="",R669=0,S669="",S669=0),"",R669/(R669-S669))</f>
        <v/>
      </c>
      <c r="U669" s="867"/>
      <c r="V669" s="1130" t="str">
        <f>IF(OR(AB162=0,AB162=""),"",AB162)</f>
        <v/>
      </c>
      <c r="W669" s="1131" t="str">
        <f>IF(OR(AB163=0,AB163=""),"",AB163)</f>
        <v/>
      </c>
      <c r="X669" s="939" t="s">
        <v>482</v>
      </c>
      <c r="Z669">
        <v>4.3</v>
      </c>
      <c r="AA669">
        <v>1.8</v>
      </c>
      <c r="AC669" s="1326">
        <v>80</v>
      </c>
      <c r="AD669" s="1326">
        <v>50</v>
      </c>
      <c r="AE669" s="1327">
        <v>0.1</v>
      </c>
      <c r="AF669" s="1328">
        <f t="shared" si="95"/>
        <v>0</v>
      </c>
      <c r="AG669" s="1472">
        <v>0</v>
      </c>
      <c r="AH669" s="1475"/>
      <c r="AI669" s="1333"/>
      <c r="AJ669" s="1334"/>
      <c r="AK669" s="1462"/>
      <c r="AL669" s="1461"/>
      <c r="AM669" s="1334"/>
      <c r="AN669" s="1462"/>
      <c r="AO669" s="1570"/>
      <c r="AP669" s="1571"/>
      <c r="AQ669" s="1571"/>
      <c r="AR669" s="1571"/>
      <c r="AS669" s="1560"/>
      <c r="AT669" s="1561"/>
    </row>
    <row r="670" spans="1:46" ht="11.25" customHeight="1">
      <c r="A670" s="857">
        <v>10</v>
      </c>
      <c r="B670" s="52"/>
      <c r="C670" s="3"/>
      <c r="D670" s="3"/>
      <c r="E670" s="3"/>
      <c r="F670" s="3"/>
      <c r="G670" s="3"/>
      <c r="H670" s="3"/>
      <c r="I670" s="5" t="s">
        <v>749</v>
      </c>
      <c r="J670" s="5" t="s">
        <v>749</v>
      </c>
      <c r="K670" s="596" t="s">
        <v>749</v>
      </c>
      <c r="L670" s="957" t="s">
        <v>482</v>
      </c>
      <c r="M670" s="1006"/>
      <c r="N670" s="998" t="s">
        <v>755</v>
      </c>
      <c r="O670" s="978"/>
      <c r="P670" s="978"/>
      <c r="Q670" s="979"/>
      <c r="R670" s="980"/>
      <c r="S670" s="980"/>
      <c r="T670" s="63"/>
      <c r="U670" s="63"/>
      <c r="V670" s="3"/>
      <c r="W670" s="43"/>
      <c r="X670" s="939" t="s">
        <v>482</v>
      </c>
      <c r="Z670">
        <v>5.0999999999999996</v>
      </c>
      <c r="AA670">
        <v>2</v>
      </c>
      <c r="AC670" s="1326">
        <v>80</v>
      </c>
      <c r="AD670" s="1326">
        <v>160</v>
      </c>
      <c r="AE670" s="1327">
        <v>0.1</v>
      </c>
      <c r="AF670" s="1328">
        <f t="shared" si="95"/>
        <v>0</v>
      </c>
      <c r="AG670" s="1472">
        <v>0</v>
      </c>
      <c r="AH670" s="1475"/>
      <c r="AI670" s="1333"/>
      <c r="AJ670" s="1334"/>
      <c r="AK670" s="1462"/>
      <c r="AL670" s="1461"/>
      <c r="AM670" s="1334"/>
      <c r="AN670" s="1462"/>
      <c r="AO670" s="1570"/>
      <c r="AP670" s="1571"/>
      <c r="AQ670" s="1571"/>
      <c r="AR670" s="1571"/>
      <c r="AS670" s="1560"/>
      <c r="AT670" s="1561"/>
    </row>
    <row r="671" spans="1:46" ht="11.25" customHeight="1" thickBot="1">
      <c r="A671" s="857">
        <v>11</v>
      </c>
      <c r="B671" s="52"/>
      <c r="C671" s="31" t="s">
        <v>539</v>
      </c>
      <c r="D671" s="31" t="str">
        <f>IF(LFMAS="","mA/mAs",LFMAS)</f>
        <v>mA</v>
      </c>
      <c r="E671" s="31" t="s">
        <v>750</v>
      </c>
      <c r="F671" s="31" t="s">
        <v>751</v>
      </c>
      <c r="G671" s="31" t="s">
        <v>752</v>
      </c>
      <c r="H671" s="341" t="s">
        <v>753</v>
      </c>
      <c r="I671" s="7" t="s">
        <v>754</v>
      </c>
      <c r="J671" s="7" t="s">
        <v>754</v>
      </c>
      <c r="K671" s="26" t="s">
        <v>754</v>
      </c>
      <c r="L671" s="957" t="s">
        <v>482</v>
      </c>
      <c r="M671" s="155"/>
      <c r="N671" s="63"/>
      <c r="O671" s="63"/>
      <c r="P671" s="3"/>
      <c r="Q671" s="58"/>
      <c r="R671" s="3"/>
      <c r="S671" s="3"/>
      <c r="T671" s="63"/>
      <c r="U671" s="5" t="s">
        <v>644</v>
      </c>
      <c r="V671" s="5" t="s">
        <v>747</v>
      </c>
      <c r="W671" s="596" t="s">
        <v>747</v>
      </c>
      <c r="X671" s="939" t="s">
        <v>482</v>
      </c>
      <c r="Z671">
        <v>5.2</v>
      </c>
      <c r="AA671">
        <v>2.2400000000000002</v>
      </c>
      <c r="AC671" s="1326">
        <v>110</v>
      </c>
      <c r="AD671" s="1326">
        <v>100</v>
      </c>
      <c r="AE671" s="1327">
        <v>0.1</v>
      </c>
      <c r="AF671" s="1328">
        <f t="shared" si="95"/>
        <v>0</v>
      </c>
      <c r="AG671" s="1472">
        <v>0</v>
      </c>
      <c r="AH671" s="1475"/>
      <c r="AI671" s="1333"/>
      <c r="AJ671" s="1334"/>
      <c r="AK671" s="1462"/>
      <c r="AL671" s="1461"/>
      <c r="AM671" s="1334"/>
      <c r="AN671" s="1462"/>
      <c r="AO671" s="1570"/>
      <c r="AP671" s="1571"/>
      <c r="AQ671" s="1571"/>
      <c r="AR671" s="1571"/>
      <c r="AS671" s="1560"/>
      <c r="AT671" s="1561"/>
    </row>
    <row r="672" spans="1:46" ht="11.25" customHeight="1">
      <c r="A672" s="857">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7" t="str">
        <f t="shared" si="96"/>
        <v/>
      </c>
      <c r="L672" s="957" t="s">
        <v>482</v>
      </c>
      <c r="M672" s="270" t="str">
        <f>IF($U$54="","Small:",IF(ISNA(MATCH($U$54,$U$59:$U$65,0)),IF(ISNA(MATCH($U$54,$V$59:$V$65,0)),"Small:",IF($T$39="",$S$38,$S$39)),IF($T$26="",$S$25,$S$26)))</f>
        <v>Small:</v>
      </c>
      <c r="N672" s="1077" t="str">
        <f>IF($U$54="","?Tube #?",IF(ISNA(MATCH($U$54,$U$59:$U$65,0)),IF(ISNA(MATCH($U$54,$V$59:$V$65,0)),"?Tube #?",IF($T$39="",$T$38,$T$39)),IF($T$26="",$T$25,$T$26)))</f>
        <v>?Tube #?</v>
      </c>
      <c r="O672" s="4" t="s">
        <v>748</v>
      </c>
      <c r="P672" s="1696" t="s">
        <v>541</v>
      </c>
      <c r="R672" s="1235"/>
      <c r="S672" s="3"/>
      <c r="T672" s="63"/>
      <c r="U672" s="5" t="s">
        <v>749</v>
      </c>
      <c r="V672" s="5" t="s">
        <v>749</v>
      </c>
      <c r="W672" s="596" t="s">
        <v>749</v>
      </c>
      <c r="X672" s="939" t="s">
        <v>482</v>
      </c>
      <c r="Z672">
        <v>5.3</v>
      </c>
      <c r="AA672">
        <v>2.5</v>
      </c>
      <c r="AC672" s="1326">
        <v>130</v>
      </c>
      <c r="AD672" s="1326">
        <v>100</v>
      </c>
      <c r="AE672" s="1327">
        <v>0.1</v>
      </c>
      <c r="AF672" s="1328">
        <f t="shared" si="95"/>
        <v>0</v>
      </c>
      <c r="AG672" s="1472">
        <v>0</v>
      </c>
      <c r="AH672" s="1475"/>
      <c r="AI672" s="1333"/>
      <c r="AJ672" s="1334"/>
      <c r="AK672" s="1462"/>
      <c r="AL672" s="1461"/>
      <c r="AM672" s="1334"/>
      <c r="AN672" s="1462"/>
      <c r="AO672" s="1570"/>
      <c r="AP672" s="1571"/>
      <c r="AQ672" s="1571"/>
      <c r="AR672" s="1571"/>
      <c r="AS672" s="1560"/>
      <c r="AT672" s="1561"/>
    </row>
    <row r="673" spans="1:58" ht="11.25" customHeight="1" thickBot="1">
      <c r="A673" s="857">
        <v>13</v>
      </c>
      <c r="B673" s="52"/>
      <c r="C673" s="3"/>
      <c r="D673" s="3"/>
      <c r="E673" s="3"/>
      <c r="F673" s="3"/>
      <c r="G673" s="3"/>
      <c r="H673" s="3"/>
      <c r="I673" s="3"/>
      <c r="J673" s="3"/>
      <c r="K673" s="43"/>
      <c r="L673" s="957" t="s">
        <v>482</v>
      </c>
      <c r="M673" s="155"/>
      <c r="N673" s="63"/>
      <c r="O673" s="31" t="s">
        <v>539</v>
      </c>
      <c r="P673" s="1129" t="str">
        <f>IF(SFMAS="",AB165,SFMAS)</f>
        <v>mA</v>
      </c>
      <c r="Q673" s="31" t="s">
        <v>750</v>
      </c>
      <c r="R673" s="31" t="s">
        <v>751</v>
      </c>
      <c r="S673" s="31" t="s">
        <v>752</v>
      </c>
      <c r="T673" s="341" t="s">
        <v>753</v>
      </c>
      <c r="U673" s="7" t="s">
        <v>754</v>
      </c>
      <c r="V673" s="7" t="s">
        <v>754</v>
      </c>
      <c r="W673" s="26" t="s">
        <v>754</v>
      </c>
      <c r="X673" s="939" t="s">
        <v>482</v>
      </c>
      <c r="Z673">
        <v>6.1</v>
      </c>
      <c r="AA673">
        <v>2.8</v>
      </c>
      <c r="AC673" s="924">
        <v>80</v>
      </c>
      <c r="AD673" s="924">
        <v>200</v>
      </c>
      <c r="AE673" s="925">
        <v>0.01</v>
      </c>
      <c r="AF673" s="923">
        <f t="shared" ref="AF673:AF678" si="97">IF(LFMAS="mAs",AD673*AE673,0)</f>
        <v>0</v>
      </c>
      <c r="AG673" s="1470">
        <v>0</v>
      </c>
      <c r="AH673" s="1473"/>
      <c r="AI673" s="931"/>
      <c r="AJ673" s="932"/>
      <c r="AK673" s="1456"/>
      <c r="AL673" s="1460"/>
      <c r="AM673" s="932"/>
      <c r="AN673" s="1456"/>
      <c r="AO673" s="1568"/>
      <c r="AP673" s="1569"/>
      <c r="AQ673" s="1569"/>
      <c r="AR673" s="1569"/>
      <c r="AS673" s="1558"/>
      <c r="AT673" s="1559"/>
    </row>
    <row r="674" spans="1:58" ht="11.25" customHeight="1">
      <c r="A674" s="857">
        <v>14</v>
      </c>
      <c r="B674" s="270" t="str">
        <f>IF(M672="","",M672)</f>
        <v>Small:</v>
      </c>
      <c r="C674" s="2" t="str">
        <f>IF(N672="","",N672)</f>
        <v>?Tube #?</v>
      </c>
      <c r="D674" s="4" t="str">
        <f>IF(O672="","",O672)</f>
        <v>mm</v>
      </c>
      <c r="E674" s="3"/>
      <c r="F674" s="3"/>
      <c r="G674" s="3"/>
      <c r="H674" s="3"/>
      <c r="I674" s="5" t="s">
        <v>644</v>
      </c>
      <c r="J674" s="5" t="s">
        <v>747</v>
      </c>
      <c r="K674" s="596" t="s">
        <v>747</v>
      </c>
      <c r="L674" s="957" t="s">
        <v>482</v>
      </c>
      <c r="M674" s="52"/>
      <c r="N674" s="63"/>
      <c r="O674" s="1127" t="str">
        <f>IF(O675&lt;&gt;"",O675,IF(OR(AB166=0,AB166=""),"",AB166))</f>
        <v/>
      </c>
      <c r="P674" s="1127" t="str">
        <f>IF(P675&lt;&gt;"",P675,IF(OR(AB167=0,AB167=""),"",AB167))</f>
        <v/>
      </c>
      <c r="Q674" s="1128" t="str">
        <f>IF(Q675&lt;&gt;"",Q675,IF(OR(AB168=0,AB168=""),"",AB168))</f>
        <v/>
      </c>
      <c r="R674" s="1129" t="str">
        <f>IF(R675&lt;&gt;"",R675,IF(OR(AB169=0,AB169=""),"",AB169))</f>
        <v/>
      </c>
      <c r="S674" s="1129" t="str">
        <f>IF(S675&lt;&gt;"",S675,IF(OR(AB170=0,AB170=""),"",AB170))</f>
        <v/>
      </c>
      <c r="T674" s="1078" t="str">
        <f>IF(OR(R674="",R674=0,S674="",S674=0),"",R674/(R674-S674))</f>
        <v/>
      </c>
      <c r="U674" s="867"/>
      <c r="V674" s="1130" t="str">
        <f>IF(OR(AB172=0,AB172=""),"",AB172)</f>
        <v/>
      </c>
      <c r="W674" s="1131" t="str">
        <f>IF(OR(AB173=0,AB173=""),"",AB173)</f>
        <v/>
      </c>
      <c r="X674" s="939" t="s">
        <v>482</v>
      </c>
      <c r="Z674">
        <v>6.2</v>
      </c>
      <c r="AA674">
        <v>3.15</v>
      </c>
      <c r="AC674" s="924">
        <v>80</v>
      </c>
      <c r="AD674" s="924">
        <v>200</v>
      </c>
      <c r="AE674" s="925">
        <v>0.02</v>
      </c>
      <c r="AF674" s="923">
        <f t="shared" si="97"/>
        <v>0</v>
      </c>
      <c r="AG674" s="1470">
        <v>0</v>
      </c>
      <c r="AH674" s="1473"/>
      <c r="AI674" s="931"/>
      <c r="AJ674" s="932"/>
      <c r="AK674" s="1456"/>
      <c r="AL674" s="1460"/>
      <c r="AM674" s="932"/>
      <c r="AN674" s="1456"/>
      <c r="AO674" s="1568"/>
      <c r="AP674" s="1569"/>
      <c r="AQ674" s="1569"/>
      <c r="AR674" s="1569"/>
      <c r="AS674" s="1558"/>
      <c r="AT674" s="1559"/>
    </row>
    <row r="675" spans="1:58" ht="11.25" customHeight="1">
      <c r="A675" s="857">
        <v>15</v>
      </c>
      <c r="B675" s="52"/>
      <c r="C675" s="3"/>
      <c r="D675" s="3"/>
      <c r="E675" s="3"/>
      <c r="F675" s="3"/>
      <c r="G675" s="3"/>
      <c r="H675" s="3"/>
      <c r="I675" s="5" t="s">
        <v>749</v>
      </c>
      <c r="J675" s="5" t="s">
        <v>749</v>
      </c>
      <c r="K675" s="596" t="s">
        <v>749</v>
      </c>
      <c r="L675" s="957" t="s">
        <v>482</v>
      </c>
      <c r="M675" s="1006"/>
      <c r="N675" s="998" t="s">
        <v>755</v>
      </c>
      <c r="O675" s="978"/>
      <c r="P675" s="978"/>
      <c r="Q675" s="979"/>
      <c r="R675" s="980"/>
      <c r="S675" s="980"/>
      <c r="T675" s="3"/>
      <c r="U675" s="3"/>
      <c r="V675" s="3"/>
      <c r="W675" s="43"/>
      <c r="X675" s="939" t="s">
        <v>482</v>
      </c>
      <c r="Z675">
        <v>6.3</v>
      </c>
      <c r="AA675">
        <v>3.55</v>
      </c>
      <c r="AC675" s="924">
        <v>80</v>
      </c>
      <c r="AD675" s="924">
        <v>200</v>
      </c>
      <c r="AE675" s="925">
        <v>0.04</v>
      </c>
      <c r="AF675" s="923">
        <f t="shared" si="97"/>
        <v>0</v>
      </c>
      <c r="AG675" s="1470">
        <v>0</v>
      </c>
      <c r="AH675" s="1473"/>
      <c r="AI675" s="931"/>
      <c r="AJ675" s="932"/>
      <c r="AK675" s="1456"/>
      <c r="AL675" s="1460"/>
      <c r="AM675" s="932"/>
      <c r="AN675" s="1456"/>
      <c r="AO675" s="1568"/>
      <c r="AP675" s="1569"/>
      <c r="AQ675" s="1569"/>
      <c r="AR675" s="1569"/>
      <c r="AS675" s="1558"/>
      <c r="AT675" s="1559"/>
    </row>
    <row r="676" spans="1:58" ht="11.25" customHeight="1" thickBot="1">
      <c r="A676" s="857">
        <v>16</v>
      </c>
      <c r="B676" s="52"/>
      <c r="C676" s="31" t="s">
        <v>539</v>
      </c>
      <c r="D676" s="31" t="str">
        <f>IF(SFMAS="","mA/mAs",SFMAS)</f>
        <v>mA</v>
      </c>
      <c r="E676" s="31" t="s">
        <v>750</v>
      </c>
      <c r="F676" s="31" t="s">
        <v>751</v>
      </c>
      <c r="G676" s="31" t="s">
        <v>752</v>
      </c>
      <c r="H676" s="341" t="s">
        <v>753</v>
      </c>
      <c r="I676" s="7" t="s">
        <v>754</v>
      </c>
      <c r="J676" s="7" t="s">
        <v>754</v>
      </c>
      <c r="K676" s="26" t="s">
        <v>754</v>
      </c>
      <c r="L676" s="957" t="s">
        <v>482</v>
      </c>
      <c r="M676" s="52"/>
      <c r="N676" s="63"/>
      <c r="O676" s="4" t="s">
        <v>756</v>
      </c>
      <c r="P676" s="3"/>
      <c r="Q676" s="3"/>
      <c r="R676" s="3"/>
      <c r="S676" s="3"/>
      <c r="T676" s="3"/>
      <c r="U676" s="3"/>
      <c r="V676" s="3"/>
      <c r="W676" s="43"/>
      <c r="X676" s="939" t="s">
        <v>482</v>
      </c>
      <c r="Z676">
        <v>7.1</v>
      </c>
      <c r="AA676">
        <v>4</v>
      </c>
      <c r="AC676" s="924">
        <v>80</v>
      </c>
      <c r="AD676" s="924">
        <v>200</v>
      </c>
      <c r="AE676" s="925">
        <v>0.1</v>
      </c>
      <c r="AF676" s="923">
        <f t="shared" si="97"/>
        <v>0</v>
      </c>
      <c r="AG676" s="1470">
        <v>0</v>
      </c>
      <c r="AH676" s="1473"/>
      <c r="AI676" s="931"/>
      <c r="AJ676" s="932"/>
      <c r="AK676" s="1456"/>
      <c r="AL676" s="1460"/>
      <c r="AM676" s="932"/>
      <c r="AN676" s="1456"/>
      <c r="AO676" s="1568"/>
      <c r="AP676" s="1569"/>
      <c r="AQ676" s="1569"/>
      <c r="AR676" s="1569"/>
      <c r="AS676" s="1558"/>
      <c r="AT676" s="1559"/>
    </row>
    <row r="677" spans="1:58" ht="11.25" customHeight="1">
      <c r="A677" s="857">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7" t="str">
        <f t="shared" si="98"/>
        <v/>
      </c>
      <c r="L677" s="957" t="s">
        <v>482</v>
      </c>
      <c r="M677" s="270"/>
      <c r="N677" s="63"/>
      <c r="O677" s="4" t="s">
        <v>757</v>
      </c>
      <c r="P677" s="63"/>
      <c r="Q677" s="63"/>
      <c r="R677" s="63"/>
      <c r="S677" s="63"/>
      <c r="T677" s="63"/>
      <c r="U677" s="63"/>
      <c r="V677" s="63"/>
      <c r="W677" s="43"/>
      <c r="X677" s="939" t="s">
        <v>482</v>
      </c>
      <c r="Z677">
        <v>7.2</v>
      </c>
      <c r="AA677">
        <v>4.5</v>
      </c>
      <c r="AC677" s="924">
        <v>80</v>
      </c>
      <c r="AD677" s="924">
        <v>200</v>
      </c>
      <c r="AE677" s="925">
        <v>0.25</v>
      </c>
      <c r="AF677" s="923">
        <f t="shared" si="97"/>
        <v>0</v>
      </c>
      <c r="AG677" s="1470">
        <v>0</v>
      </c>
      <c r="AH677" s="1473"/>
      <c r="AI677" s="931"/>
      <c r="AJ677" s="932"/>
      <c r="AK677" s="1456"/>
      <c r="AL677" s="1460"/>
      <c r="AM677" s="932"/>
      <c r="AN677" s="1456"/>
      <c r="AO677" s="1568"/>
      <c r="AP677" s="1569"/>
      <c r="AQ677" s="1569"/>
      <c r="AR677" s="1569"/>
      <c r="AS677" s="1558"/>
      <c r="AT677" s="1559"/>
    </row>
    <row r="678" spans="1:58" ht="11.25" customHeight="1" thickBot="1">
      <c r="A678" s="857">
        <v>18</v>
      </c>
      <c r="B678" s="52"/>
      <c r="C678" s="4" t="s">
        <v>756</v>
      </c>
      <c r="D678" s="3"/>
      <c r="E678" s="3"/>
      <c r="F678" s="3"/>
      <c r="G678" s="3"/>
      <c r="H678" s="3"/>
      <c r="I678" s="3"/>
      <c r="J678" s="3"/>
      <c r="K678" s="81"/>
      <c r="L678" s="957" t="s">
        <v>482</v>
      </c>
      <c r="M678" s="256" t="s">
        <v>488</v>
      </c>
      <c r="N678" s="63"/>
      <c r="O678" s="63"/>
      <c r="P678" s="63"/>
      <c r="Q678" s="63"/>
      <c r="R678" s="63"/>
      <c r="S678" s="63"/>
      <c r="T678" s="63"/>
      <c r="U678" s="63"/>
      <c r="V678" s="63"/>
      <c r="W678" s="43"/>
      <c r="X678" s="939" t="s">
        <v>482</v>
      </c>
      <c r="Z678">
        <v>7.3</v>
      </c>
      <c r="AA678">
        <v>5</v>
      </c>
      <c r="AC678" s="924">
        <v>80</v>
      </c>
      <c r="AD678" s="924">
        <v>200</v>
      </c>
      <c r="AE678" s="925">
        <v>0.4</v>
      </c>
      <c r="AF678" s="923">
        <f t="shared" si="97"/>
        <v>0</v>
      </c>
      <c r="AG678" s="1470">
        <v>0</v>
      </c>
      <c r="AH678" s="1476"/>
      <c r="AI678" s="1469"/>
      <c r="AJ678" s="1464"/>
      <c r="AK678" s="1465"/>
      <c r="AL678" s="1463"/>
      <c r="AM678" s="1464"/>
      <c r="AN678" s="1465"/>
      <c r="AO678" s="1572"/>
      <c r="AP678" s="1573"/>
      <c r="AQ678" s="1573"/>
      <c r="AR678" s="1573"/>
      <c r="AS678" s="1562"/>
      <c r="AT678" s="1563"/>
    </row>
    <row r="679" spans="1:58" ht="11.25" customHeight="1" thickBot="1">
      <c r="A679" s="857">
        <v>19</v>
      </c>
      <c r="B679" s="270"/>
      <c r="C679" s="4" t="s">
        <v>757</v>
      </c>
      <c r="D679" s="3"/>
      <c r="E679" s="3"/>
      <c r="F679" s="3"/>
      <c r="G679" s="3"/>
      <c r="H679" s="3"/>
      <c r="I679" s="48" t="s">
        <v>646</v>
      </c>
      <c r="J679" s="175" t="str">
        <f>IF($M679="","TBD",IF($M679=1,"YES",IF($M679=2,"NO","NA")))</f>
        <v>NA</v>
      </c>
      <c r="K679" s="81"/>
      <c r="L679" s="957" t="s">
        <v>482</v>
      </c>
      <c r="M679" s="864">
        <v>3</v>
      </c>
      <c r="N679" s="966" t="s">
        <v>567</v>
      </c>
      <c r="O679" s="58"/>
      <c r="P679" s="63"/>
      <c r="Q679" s="63"/>
      <c r="R679" s="63"/>
      <c r="S679" s="63"/>
      <c r="T679" s="63"/>
      <c r="U679" s="63"/>
      <c r="V679" s="63"/>
      <c r="W679" s="81"/>
      <c r="X679" s="939" t="s">
        <v>482</v>
      </c>
    </row>
    <row r="680" spans="1:58" ht="11.25" customHeight="1">
      <c r="A680" s="857">
        <v>20</v>
      </c>
      <c r="B680" s="155"/>
      <c r="C680" s="63"/>
      <c r="D680" s="63"/>
      <c r="E680" s="63"/>
      <c r="F680" s="63"/>
      <c r="G680" s="63"/>
      <c r="H680" s="63"/>
      <c r="I680" s="63"/>
      <c r="J680" s="63"/>
      <c r="K680" s="81"/>
      <c r="L680" s="957" t="s">
        <v>482</v>
      </c>
      <c r="M680" s="155"/>
      <c r="N680" s="63"/>
      <c r="O680" s="162" t="s">
        <v>647</v>
      </c>
      <c r="P680" s="238" t="s">
        <v>758</v>
      </c>
      <c r="Q680" s="63"/>
      <c r="R680" s="63"/>
      <c r="S680" s="63"/>
      <c r="T680" s="63"/>
      <c r="U680" s="63"/>
      <c r="V680" s="63"/>
      <c r="W680" s="81"/>
      <c r="X680" s="939" t="s">
        <v>482</v>
      </c>
    </row>
    <row r="681" spans="1:58" ht="11.25" customHeight="1">
      <c r="A681" s="857">
        <v>21</v>
      </c>
      <c r="B681" s="155"/>
      <c r="C681" s="162" t="s">
        <v>647</v>
      </c>
      <c r="D681" s="238" t="s">
        <v>758</v>
      </c>
      <c r="E681" s="63"/>
      <c r="F681" s="63"/>
      <c r="G681" s="63"/>
      <c r="H681" s="63"/>
      <c r="I681" s="63"/>
      <c r="J681" s="63"/>
      <c r="K681" s="81"/>
      <c r="L681" s="957" t="s">
        <v>482</v>
      </c>
      <c r="M681" s="155"/>
      <c r="N681" s="63"/>
      <c r="O681" s="63"/>
      <c r="P681" s="63"/>
      <c r="Q681" s="63"/>
      <c r="R681" s="63"/>
      <c r="S681" s="63"/>
      <c r="T681" s="63"/>
      <c r="U681" s="63"/>
      <c r="V681" s="63"/>
      <c r="W681" s="81"/>
      <c r="X681" s="939" t="s">
        <v>482</v>
      </c>
    </row>
    <row r="682" spans="1:58" ht="11.25" customHeight="1">
      <c r="A682" s="857">
        <v>22</v>
      </c>
      <c r="B682" s="155"/>
      <c r="C682" s="63"/>
      <c r="D682" s="63"/>
      <c r="E682" s="63"/>
      <c r="F682" s="63"/>
      <c r="G682" s="63"/>
      <c r="H682" s="63"/>
      <c r="I682" s="63"/>
      <c r="J682" s="63"/>
      <c r="K682" s="81"/>
      <c r="L682" s="957" t="s">
        <v>482</v>
      </c>
      <c r="M682" s="155"/>
      <c r="N682" s="63"/>
      <c r="O682" s="63"/>
      <c r="P682" s="63"/>
      <c r="Q682" s="63"/>
      <c r="R682" s="63"/>
      <c r="S682" s="63"/>
      <c r="T682" s="63"/>
      <c r="U682" s="63"/>
      <c r="V682" s="63"/>
      <c r="W682" s="81"/>
      <c r="X682" s="939" t="s">
        <v>482</v>
      </c>
      <c r="Y682" s="198"/>
      <c r="AI682" s="789" t="str">
        <f>$F$2</f>
        <v>Medical University of South Carolina</v>
      </c>
    </row>
    <row r="683" spans="1:58" ht="11.25" customHeight="1">
      <c r="A683" s="857">
        <v>23</v>
      </c>
      <c r="B683" s="120" t="s">
        <v>629</v>
      </c>
      <c r="C683" s="1238" t="str">
        <f>IF(O683="","",IF(LEN(O683)&lt;=135,O683,IF(LEN(O683)&lt;=260,LEFT(O683,SEARCH(" ",O683,125)),LEFT(O683,SEARCH(" ",O683,130)))))</f>
        <v/>
      </c>
      <c r="D683" s="2"/>
      <c r="E683" s="2"/>
      <c r="F683" s="2"/>
      <c r="G683" s="2"/>
      <c r="H683" s="2"/>
      <c r="I683" s="2"/>
      <c r="J683" s="2"/>
      <c r="K683" s="81"/>
      <c r="L683" s="957" t="s">
        <v>482</v>
      </c>
      <c r="M683" s="155"/>
      <c r="N683" s="814" t="s">
        <v>629</v>
      </c>
      <c r="O683" s="994" t="str">
        <f>IF(O685&lt;&gt;"",O685,IF(OR(AB439=0,AB439=""),"",AB439))</f>
        <v/>
      </c>
      <c r="P683" s="55"/>
      <c r="Q683" s="2"/>
      <c r="R683" s="2"/>
      <c r="S683" s="2"/>
      <c r="T683" s="2"/>
      <c r="U683" s="2"/>
      <c r="V683" s="2"/>
      <c r="W683" s="35"/>
      <c r="X683" s="939" t="s">
        <v>482</v>
      </c>
      <c r="Y683" s="198"/>
      <c r="AI683" s="790" t="str">
        <f>$F$5</f>
        <v>Radiographic System Compliance Inspection</v>
      </c>
    </row>
    <row r="684" spans="1:58" ht="11.25" customHeight="1">
      <c r="A684" s="857">
        <v>24</v>
      </c>
      <c r="B684" s="52"/>
      <c r="C684" s="1239" t="str">
        <f>IF(LEN(O683)&lt;=135,"",IF(LEN(O683)&lt;=260,RIGHT(O683,LEN(O683)-SEARCH(" ",O683,125)),MID(O683,SEARCH(" ",O683,130),IF(LEN(O683)&lt;=265,LEN(O683),SEARCH(" ",O683,255)-SEARCH(" ",O683,130)))))</f>
        <v/>
      </c>
      <c r="D684" s="2"/>
      <c r="E684" s="2"/>
      <c r="F684" s="2"/>
      <c r="G684" s="2"/>
      <c r="H684" s="2"/>
      <c r="I684" s="2"/>
      <c r="J684" s="2"/>
      <c r="K684" s="81"/>
      <c r="L684" s="957" t="s">
        <v>482</v>
      </c>
      <c r="M684" s="121"/>
      <c r="N684" s="855" t="s">
        <v>347</v>
      </c>
      <c r="O684" s="124"/>
      <c r="P684" s="1237">
        <f>LEN(O683)</f>
        <v>0</v>
      </c>
      <c r="Q684" s="12"/>
      <c r="R684" s="12"/>
      <c r="S684" s="12"/>
      <c r="T684" s="12"/>
      <c r="U684" s="12"/>
      <c r="V684" s="12"/>
      <c r="W684" s="271"/>
      <c r="X684" s="939" t="s">
        <v>482</v>
      </c>
      <c r="Y684" s="198"/>
      <c r="AD684" s="336" t="str">
        <f>$F$464</f>
        <v>Measurement Data</v>
      </c>
    </row>
    <row r="685" spans="1:58" ht="11.25" customHeight="1">
      <c r="A685" s="857">
        <v>25</v>
      </c>
      <c r="B685" s="52"/>
      <c r="C685" s="1238" t="str">
        <f>IF(LEN(O683)&lt;=265,"",RIGHT(O683,LEN(O683)-SEARCH(" ",O683,255)))</f>
        <v/>
      </c>
      <c r="D685" s="2"/>
      <c r="E685" s="2"/>
      <c r="F685" s="2"/>
      <c r="G685" s="2"/>
      <c r="H685" s="2"/>
      <c r="I685" s="2"/>
      <c r="J685" s="2"/>
      <c r="K685" s="81"/>
      <c r="L685" s="957" t="s">
        <v>482</v>
      </c>
      <c r="M685" s="146"/>
      <c r="N685" s="1378" t="s">
        <v>696</v>
      </c>
      <c r="O685" s="1380"/>
      <c r="P685" s="63"/>
      <c r="Q685" s="63"/>
      <c r="R685" s="63"/>
      <c r="S685" s="63"/>
      <c r="T685" s="63"/>
      <c r="U685" s="63"/>
      <c r="V685" s="63"/>
      <c r="W685" s="81"/>
      <c r="X685" s="939" t="s">
        <v>482</v>
      </c>
      <c r="Y685" s="1338" t="s">
        <v>1111</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7">
        <v>26</v>
      </c>
      <c r="B686" s="112"/>
      <c r="C686" s="94"/>
      <c r="D686" s="94"/>
      <c r="E686" s="94"/>
      <c r="F686" s="94"/>
      <c r="G686" s="94"/>
      <c r="H686" s="94"/>
      <c r="I686" s="94"/>
      <c r="J686" s="94"/>
      <c r="K686" s="99"/>
      <c r="L686" s="957" t="s">
        <v>482</v>
      </c>
      <c r="M686" s="155"/>
      <c r="N686" s="63"/>
      <c r="O686" s="63"/>
      <c r="P686" s="63"/>
      <c r="Q686" s="63"/>
      <c r="R686" s="335" t="s">
        <v>759</v>
      </c>
      <c r="S686" s="63"/>
      <c r="T686" s="63"/>
      <c r="U686" s="63"/>
      <c r="V686" s="63"/>
      <c r="W686" s="81"/>
      <c r="X686" s="939" t="s">
        <v>482</v>
      </c>
      <c r="Z686" s="430"/>
      <c r="AA686" s="430"/>
      <c r="AB686" s="430"/>
      <c r="AC686" s="430"/>
      <c r="AD686" s="430"/>
      <c r="AE686" s="791"/>
      <c r="AF686" s="791"/>
      <c r="AG686" s="791"/>
      <c r="AH686" s="791"/>
      <c r="AI686" s="791"/>
      <c r="AJ686" s="314"/>
      <c r="AQ686" s="608"/>
      <c r="AV686" s="1"/>
      <c r="AW686" s="1"/>
      <c r="AX686" s="1"/>
      <c r="AY686" s="1"/>
      <c r="AZ686" s="1"/>
      <c r="BA686" s="614" t="s">
        <v>384</v>
      </c>
      <c r="BB686" s="1"/>
      <c r="BC686" s="1" t="s">
        <v>652</v>
      </c>
      <c r="BD686" s="1324" t="s">
        <v>1101</v>
      </c>
      <c r="BE686" s="1104"/>
      <c r="BF686" s="1339" t="s">
        <v>1112</v>
      </c>
    </row>
    <row r="687" spans="1:58" ht="11.25" customHeight="1" thickTop="1" thickBot="1">
      <c r="A687" s="857">
        <v>27</v>
      </c>
      <c r="B687" s="63"/>
      <c r="C687" s="63"/>
      <c r="D687" s="63"/>
      <c r="E687" s="63"/>
      <c r="F687" s="63"/>
      <c r="G687" s="63"/>
      <c r="H687" s="63"/>
      <c r="I687" s="63"/>
      <c r="J687" s="63"/>
      <c r="K687" s="63"/>
      <c r="L687" s="957" t="s">
        <v>482</v>
      </c>
      <c r="M687" s="155"/>
      <c r="N687" s="62" t="s">
        <v>79</v>
      </c>
      <c r="O687" s="1079" t="str">
        <f>IF(O688&lt;&gt;"",O688,IF(OR(AB175="",AB175=0),"Unknown",AB175))</f>
        <v>Piranha CB2-17090320</v>
      </c>
      <c r="P687" s="55"/>
      <c r="Q687" s="55"/>
      <c r="R687" s="1673" t="s">
        <v>1234</v>
      </c>
      <c r="S687" s="1674">
        <v>43014</v>
      </c>
      <c r="T687" s="63"/>
      <c r="U687" s="63"/>
      <c r="V687" s="63"/>
      <c r="W687" s="81"/>
      <c r="X687" s="939" t="s">
        <v>482</v>
      </c>
      <c r="Y687" s="842"/>
      <c r="Z687" s="922" t="s">
        <v>80</v>
      </c>
      <c r="AA687" s="698" t="s">
        <v>81</v>
      </c>
      <c r="AB687" s="698" t="s">
        <v>82</v>
      </c>
      <c r="AC687" s="698" t="s">
        <v>542</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642</v>
      </c>
      <c r="AS687" s="697" t="s">
        <v>97</v>
      </c>
      <c r="AT687" s="697" t="s">
        <v>98</v>
      </c>
      <c r="AU687" s="697" t="s">
        <v>99</v>
      </c>
      <c r="AV687" s="697" t="s">
        <v>100</v>
      </c>
      <c r="AW687" s="697" t="s">
        <v>101</v>
      </c>
      <c r="AX687" s="682" t="s">
        <v>102</v>
      </c>
      <c r="AY687" s="682" t="s">
        <v>103</v>
      </c>
      <c r="AZ687" s="682" t="s">
        <v>104</v>
      </c>
      <c r="BA687" s="1496" t="s">
        <v>1166</v>
      </c>
      <c r="BB687" s="1496" t="s">
        <v>1165</v>
      </c>
      <c r="BC687" s="682"/>
      <c r="BD687" s="1323" t="s">
        <v>1102</v>
      </c>
      <c r="BE687" s="1211"/>
      <c r="BF687" s="1339" t="s">
        <v>1113</v>
      </c>
    </row>
    <row r="688" spans="1:58" ht="11.25" customHeight="1" thickTop="1" thickBot="1">
      <c r="A688" s="857">
        <v>28</v>
      </c>
      <c r="B688" s="63"/>
      <c r="C688" s="63"/>
      <c r="D688" s="63"/>
      <c r="E688" s="63"/>
      <c r="F688" s="63"/>
      <c r="G688" s="63"/>
      <c r="H688" s="63"/>
      <c r="I688" s="63"/>
      <c r="J688" s="63"/>
      <c r="K688" s="63"/>
      <c r="L688" s="957" t="s">
        <v>482</v>
      </c>
      <c r="M688" s="155"/>
      <c r="N688" s="1378" t="s">
        <v>105</v>
      </c>
      <c r="O688" s="1580" t="s">
        <v>1208</v>
      </c>
      <c r="P688" s="63"/>
      <c r="Q688" s="63"/>
      <c r="R688" s="1673" t="s">
        <v>1246</v>
      </c>
      <c r="S688" s="1675">
        <v>43744</v>
      </c>
      <c r="T688" s="63"/>
      <c r="U688" s="63"/>
      <c r="V688" s="63"/>
      <c r="W688" s="81"/>
      <c r="X688" s="939" t="s">
        <v>482</v>
      </c>
      <c r="Y688" s="843"/>
      <c r="Z688" s="1509" t="s">
        <v>106</v>
      </c>
      <c r="AA688" s="1507">
        <f t="shared" ref="AA688:AA729" si="99">AC637</f>
        <v>60</v>
      </c>
      <c r="AB688" s="1507">
        <f t="shared" ref="AB688:AB729" si="100">AD637</f>
        <v>400</v>
      </c>
      <c r="AC688" s="1508">
        <f t="shared" ref="AC688:AC729" si="101">AE637</f>
        <v>0.05</v>
      </c>
      <c r="AD688" s="1509">
        <f t="shared" ref="AD688:AD729" si="102">AF637</f>
        <v>0</v>
      </c>
      <c r="AE688" s="1519" t="s">
        <v>53</v>
      </c>
      <c r="AF688" s="1519">
        <f t="shared" ref="AF688:AF729" si="103">AG637</f>
        <v>0</v>
      </c>
      <c r="AG688" s="1519" t="s">
        <v>107</v>
      </c>
      <c r="AH688" s="1520">
        <v>60</v>
      </c>
      <c r="AI688" s="1519" t="s">
        <v>692</v>
      </c>
      <c r="AJ688" s="1509">
        <v>1</v>
      </c>
      <c r="AK688" s="1521" t="s">
        <v>108</v>
      </c>
      <c r="AL688" s="1521" t="s">
        <v>109</v>
      </c>
      <c r="AM688" s="1522">
        <v>0</v>
      </c>
      <c r="AN688" s="1522">
        <v>0</v>
      </c>
      <c r="AO688" s="1521" t="s">
        <v>110</v>
      </c>
      <c r="AP688" s="1521"/>
      <c r="AQ688" s="1522">
        <v>0</v>
      </c>
      <c r="AR688" s="1522">
        <v>1</v>
      </c>
      <c r="AS688" s="1522">
        <v>0</v>
      </c>
      <c r="AT688" s="1522">
        <v>0</v>
      </c>
      <c r="AU688" s="1522">
        <v>0</v>
      </c>
      <c r="AV688" s="1522"/>
      <c r="AW688" s="1523"/>
      <c r="AX688" s="1574"/>
      <c r="AY688" s="1527" t="str">
        <f t="shared" ref="AY688:AY729" si="104">IF(AH637="","",AH637)</f>
        <v/>
      </c>
      <c r="AZ688" s="1527" t="str">
        <f t="shared" ref="AZ688:AZ729" si="105">IF(OR($AC$634="",AND(AI637="",AN637="",AO637="")),"",CHOOSE($AC$634,AI637,AN637,AO637))</f>
        <v/>
      </c>
      <c r="BA688" s="1527" t="str">
        <f t="shared" ref="BA688:BA729" si="106">IF(OR($AC$634="",AND(AJ637="",AM637="",AP637="")),"",CHOOSE($AC$634,AJ637,AM637,AP637/1000))</f>
        <v/>
      </c>
      <c r="BB688" s="1527" t="str">
        <f t="shared" ref="BB688:BB729" si="107">IF(OR($AC$634="",AND(AK637="",AL637="",AQ637="")),"",CHOOSE($AC$634,AK637,AL637,AQ637))</f>
        <v/>
      </c>
      <c r="BC688" s="1524"/>
      <c r="BD688" s="1526" t="s">
        <v>1245</v>
      </c>
      <c r="BE688" s="1322" t="s">
        <v>1107</v>
      </c>
    </row>
    <row r="689" spans="1:57" ht="11.25" customHeight="1" thickTop="1">
      <c r="A689" s="857">
        <v>29</v>
      </c>
      <c r="B689" s="63"/>
      <c r="C689" s="63"/>
      <c r="D689" s="63"/>
      <c r="E689" s="63"/>
      <c r="F689" s="240" t="s">
        <v>111</v>
      </c>
      <c r="G689" s="63"/>
      <c r="H689" s="63"/>
      <c r="I689" s="63"/>
      <c r="J689" s="63"/>
      <c r="K689" s="63"/>
      <c r="L689" s="957" t="s">
        <v>482</v>
      </c>
      <c r="M689" s="386" t="s">
        <v>112</v>
      </c>
      <c r="N689" s="272"/>
      <c r="O689" s="272"/>
      <c r="P689" s="272"/>
      <c r="Q689" s="3"/>
      <c r="R689" s="3"/>
      <c r="S689" s="3"/>
      <c r="T689" s="3"/>
      <c r="U689" s="3"/>
      <c r="V689" s="3"/>
      <c r="W689" s="43"/>
      <c r="X689" s="939" t="s">
        <v>482</v>
      </c>
      <c r="Y689" s="698"/>
      <c r="Z689" s="923" t="s">
        <v>106</v>
      </c>
      <c r="AA689" s="924">
        <f t="shared" si="99"/>
        <v>60</v>
      </c>
      <c r="AB689" s="924">
        <f t="shared" si="100"/>
        <v>400</v>
      </c>
      <c r="AC689" s="1648">
        <f t="shared" si="101"/>
        <v>0.05</v>
      </c>
      <c r="AD689" s="923">
        <f t="shared" si="102"/>
        <v>0</v>
      </c>
      <c r="AE689" s="923" t="s">
        <v>53</v>
      </c>
      <c r="AF689" s="923">
        <f t="shared" si="103"/>
        <v>0</v>
      </c>
      <c r="AG689" s="923" t="s">
        <v>107</v>
      </c>
      <c r="AH689" s="923">
        <v>60</v>
      </c>
      <c r="AI689" s="923" t="s">
        <v>692</v>
      </c>
      <c r="AJ689" s="923">
        <v>1</v>
      </c>
      <c r="AK689" s="923" t="s">
        <v>108</v>
      </c>
      <c r="AL689" s="923" t="s">
        <v>109</v>
      </c>
      <c r="AM689" s="924">
        <v>0</v>
      </c>
      <c r="AN689" s="924">
        <v>0</v>
      </c>
      <c r="AO689" s="923" t="s">
        <v>110</v>
      </c>
      <c r="AP689" s="923"/>
      <c r="AQ689" s="924">
        <v>0</v>
      </c>
      <c r="AR689" s="924">
        <v>0</v>
      </c>
      <c r="AS689" s="924">
        <v>1</v>
      </c>
      <c r="AT689" s="924">
        <v>0</v>
      </c>
      <c r="AU689" s="924">
        <v>0</v>
      </c>
      <c r="AV689" s="923"/>
      <c r="AW689" s="923"/>
      <c r="AX689" s="1649"/>
      <c r="AY689" s="1649" t="str">
        <f t="shared" si="104"/>
        <v/>
      </c>
      <c r="AZ689" s="1649" t="str">
        <f t="shared" si="105"/>
        <v/>
      </c>
      <c r="BA689" s="1649" t="str">
        <f t="shared" si="106"/>
        <v/>
      </c>
      <c r="BB689" s="1649" t="str">
        <f t="shared" si="107"/>
        <v/>
      </c>
      <c r="BC689" s="923"/>
      <c r="BD689" s="1526" t="s">
        <v>1245</v>
      </c>
    </row>
    <row r="690" spans="1:57" ht="11.25" customHeight="1" thickBot="1">
      <c r="A690" s="857">
        <v>30</v>
      </c>
      <c r="B690" s="63"/>
      <c r="C690" s="63"/>
      <c r="D690" s="63"/>
      <c r="E690" s="63"/>
      <c r="F690" s="335"/>
      <c r="G690" s="63"/>
      <c r="H690" s="63"/>
      <c r="I690" s="63"/>
      <c r="J690" s="63"/>
      <c r="K690" s="63"/>
      <c r="L690" s="957" t="s">
        <v>482</v>
      </c>
      <c r="M690" s="146"/>
      <c r="N690" s="56"/>
      <c r="O690" s="58"/>
      <c r="P690" s="56"/>
      <c r="Q690" s="56"/>
      <c r="R690" s="56"/>
      <c r="S690" s="56"/>
      <c r="T690" s="56"/>
      <c r="U690" s="56"/>
      <c r="V690" s="56"/>
      <c r="W690" s="79"/>
      <c r="X690" s="939" t="s">
        <v>482</v>
      </c>
      <c r="Y690" s="698"/>
      <c r="Z690" s="923" t="s">
        <v>106</v>
      </c>
      <c r="AA690" s="924">
        <f t="shared" si="99"/>
        <v>80</v>
      </c>
      <c r="AB690" s="924">
        <f t="shared" si="100"/>
        <v>400</v>
      </c>
      <c r="AC690" s="925">
        <f t="shared" si="101"/>
        <v>0.05</v>
      </c>
      <c r="AD690" s="923">
        <f t="shared" si="102"/>
        <v>0</v>
      </c>
      <c r="AE690" s="926" t="s">
        <v>54</v>
      </c>
      <c r="AF690" s="926">
        <f t="shared" si="103"/>
        <v>0</v>
      </c>
      <c r="AG690" s="926" t="s">
        <v>107</v>
      </c>
      <c r="AH690" s="927">
        <v>60</v>
      </c>
      <c r="AI690" s="926" t="s">
        <v>692</v>
      </c>
      <c r="AJ690" s="923">
        <v>1</v>
      </c>
      <c r="AK690" s="928" t="s">
        <v>108</v>
      </c>
      <c r="AL690" s="928" t="s">
        <v>109</v>
      </c>
      <c r="AM690" s="929">
        <v>0</v>
      </c>
      <c r="AN690" s="929">
        <v>0</v>
      </c>
      <c r="AO690" s="928" t="s">
        <v>110</v>
      </c>
      <c r="AP690" s="928"/>
      <c r="AQ690" s="929">
        <v>1</v>
      </c>
      <c r="AR690" s="929">
        <v>1</v>
      </c>
      <c r="AS690" s="929">
        <v>0</v>
      </c>
      <c r="AT690" s="929">
        <v>0</v>
      </c>
      <c r="AU690" s="929">
        <v>1</v>
      </c>
      <c r="AV690" s="929"/>
      <c r="AW690" s="930"/>
      <c r="AX690" s="1575"/>
      <c r="AY690" s="1528" t="str">
        <f t="shared" si="104"/>
        <v/>
      </c>
      <c r="AZ690" s="1528" t="str">
        <f t="shared" si="105"/>
        <v/>
      </c>
      <c r="BA690" s="1528" t="str">
        <f t="shared" si="106"/>
        <v/>
      </c>
      <c r="BB690" s="1528" t="str">
        <f t="shared" si="107"/>
        <v/>
      </c>
      <c r="BC690" s="22"/>
      <c r="BD690" s="1344" t="s">
        <v>1116</v>
      </c>
    </row>
    <row r="691" spans="1:57" ht="11.25" customHeight="1" thickTop="1">
      <c r="A691" s="857">
        <v>31</v>
      </c>
      <c r="B691" s="89"/>
      <c r="C691" s="72"/>
      <c r="D691" s="72"/>
      <c r="E691" s="72"/>
      <c r="F691" s="72"/>
      <c r="G691" s="72"/>
      <c r="H691" s="72"/>
      <c r="I691" s="72"/>
      <c r="J691" s="72"/>
      <c r="K691" s="90"/>
      <c r="L691" s="957" t="s">
        <v>482</v>
      </c>
      <c r="M691" s="146"/>
      <c r="N691" s="56"/>
      <c r="O691" s="56"/>
      <c r="P691" s="56"/>
      <c r="Q691" s="115" t="s">
        <v>113</v>
      </c>
      <c r="R691" s="56"/>
      <c r="S691" s="63"/>
      <c r="T691" s="56"/>
      <c r="U691" s="56"/>
      <c r="V691" s="56"/>
      <c r="W691" s="79"/>
      <c r="X691" s="939" t="s">
        <v>482</v>
      </c>
      <c r="Y691" s="698"/>
      <c r="Z691" s="923" t="s">
        <v>106</v>
      </c>
      <c r="AA691" s="924">
        <f t="shared" si="99"/>
        <v>80</v>
      </c>
      <c r="AB691" s="924">
        <f t="shared" si="100"/>
        <v>400</v>
      </c>
      <c r="AC691" s="925">
        <f t="shared" si="101"/>
        <v>0.05</v>
      </c>
      <c r="AD691" s="923">
        <f t="shared" si="102"/>
        <v>0</v>
      </c>
      <c r="AE691" s="926" t="s">
        <v>54</v>
      </c>
      <c r="AF691" s="926">
        <f t="shared" si="103"/>
        <v>0</v>
      </c>
      <c r="AG691" s="926" t="s">
        <v>107</v>
      </c>
      <c r="AH691" s="927">
        <v>60</v>
      </c>
      <c r="AI691" s="926" t="s">
        <v>692</v>
      </c>
      <c r="AJ691" s="923">
        <v>1</v>
      </c>
      <c r="AK691" s="928" t="s">
        <v>108</v>
      </c>
      <c r="AL691" s="928" t="s">
        <v>109</v>
      </c>
      <c r="AM691" s="929">
        <v>0</v>
      </c>
      <c r="AN691" s="929">
        <v>0</v>
      </c>
      <c r="AO691" s="928" t="s">
        <v>110</v>
      </c>
      <c r="AP691" s="928"/>
      <c r="AQ691" s="929">
        <v>0</v>
      </c>
      <c r="AR691" s="929">
        <v>0</v>
      </c>
      <c r="AS691" s="929">
        <v>0</v>
      </c>
      <c r="AT691" s="929">
        <v>0</v>
      </c>
      <c r="AU691" s="929">
        <v>1</v>
      </c>
      <c r="AV691" s="929"/>
      <c r="AW691" s="930"/>
      <c r="AX691" s="1575"/>
      <c r="AY691" s="1528" t="str">
        <f t="shared" si="104"/>
        <v/>
      </c>
      <c r="AZ691" s="1528" t="str">
        <f t="shared" si="105"/>
        <v/>
      </c>
      <c r="BA691" s="1528" t="str">
        <f t="shared" si="106"/>
        <v/>
      </c>
      <c r="BB691" s="1528" t="str">
        <f t="shared" si="107"/>
        <v/>
      </c>
      <c r="BC691" s="22"/>
      <c r="BD691" s="1344" t="s">
        <v>1105</v>
      </c>
    </row>
    <row r="692" spans="1:57" ht="11.25" customHeight="1">
      <c r="A692" s="857">
        <v>32</v>
      </c>
      <c r="B692" s="155"/>
      <c r="C692" s="62" t="s">
        <v>79</v>
      </c>
      <c r="D692" s="124" t="str">
        <f>IF($O$687="","",$O$687)</f>
        <v>Piranha CB2-17090320</v>
      </c>
      <c r="E692" s="287"/>
      <c r="F692" s="1672"/>
      <c r="G692" s="62" t="s">
        <v>1234</v>
      </c>
      <c r="H692" s="1680">
        <f>IF(S687="","",S687)</f>
        <v>43014</v>
      </c>
      <c r="I692" s="63"/>
      <c r="J692" s="62" t="s">
        <v>1246</v>
      </c>
      <c r="K692" s="1681">
        <f>IF(S688="","",S688)</f>
        <v>43744</v>
      </c>
      <c r="L692" s="957" t="s">
        <v>482</v>
      </c>
      <c r="M692" s="146" t="s">
        <v>114</v>
      </c>
      <c r="N692" s="281" t="s">
        <v>115</v>
      </c>
      <c r="O692" s="281" t="s">
        <v>116</v>
      </c>
      <c r="P692" s="281" t="s">
        <v>117</v>
      </c>
      <c r="Q692" s="56"/>
      <c r="R692" s="281" t="s">
        <v>118</v>
      </c>
      <c r="S692" s="281" t="s">
        <v>119</v>
      </c>
      <c r="T692" s="146"/>
      <c r="U692" s="58" t="s">
        <v>120</v>
      </c>
      <c r="V692" s="56"/>
      <c r="W692" s="79"/>
      <c r="X692" s="939" t="s">
        <v>482</v>
      </c>
      <c r="Y692" s="698"/>
      <c r="Z692" s="923" t="s">
        <v>106</v>
      </c>
      <c r="AA692" s="924">
        <f t="shared" si="99"/>
        <v>80</v>
      </c>
      <c r="AB692" s="924">
        <f t="shared" si="100"/>
        <v>400</v>
      </c>
      <c r="AC692" s="925">
        <f t="shared" si="101"/>
        <v>0.05</v>
      </c>
      <c r="AD692" s="923">
        <f t="shared" si="102"/>
        <v>0</v>
      </c>
      <c r="AE692" s="926" t="s">
        <v>54</v>
      </c>
      <c r="AF692" s="926">
        <f t="shared" si="103"/>
        <v>0</v>
      </c>
      <c r="AG692" s="926" t="s">
        <v>107</v>
      </c>
      <c r="AH692" s="927">
        <v>60</v>
      </c>
      <c r="AI692" s="926" t="s">
        <v>692</v>
      </c>
      <c r="AJ692" s="923">
        <v>1</v>
      </c>
      <c r="AK692" s="928" t="s">
        <v>108</v>
      </c>
      <c r="AL692" s="928" t="s">
        <v>109</v>
      </c>
      <c r="AM692" s="929">
        <v>0</v>
      </c>
      <c r="AN692" s="929">
        <v>1</v>
      </c>
      <c r="AO692" s="928" t="s">
        <v>110</v>
      </c>
      <c r="AP692" s="928"/>
      <c r="AQ692" s="929">
        <v>0</v>
      </c>
      <c r="AR692" s="929">
        <v>0</v>
      </c>
      <c r="AS692" s="929">
        <v>0</v>
      </c>
      <c r="AT692" s="929">
        <v>0</v>
      </c>
      <c r="AU692" s="929">
        <v>1</v>
      </c>
      <c r="AV692" s="929"/>
      <c r="AW692" s="930"/>
      <c r="AX692" s="1575"/>
      <c r="AY692" s="1528" t="str">
        <f t="shared" si="104"/>
        <v/>
      </c>
      <c r="AZ692" s="1528" t="str">
        <f t="shared" si="105"/>
        <v/>
      </c>
      <c r="BA692" s="1528" t="str">
        <f t="shared" si="106"/>
        <v/>
      </c>
      <c r="BB692" s="1528" t="str">
        <f t="shared" si="107"/>
        <v/>
      </c>
      <c r="BC692" s="22"/>
      <c r="BD692" s="1344" t="s">
        <v>1105</v>
      </c>
    </row>
    <row r="693" spans="1:57" ht="11.25" customHeight="1" thickBot="1">
      <c r="A693" s="857">
        <v>33</v>
      </c>
      <c r="B693" s="155"/>
      <c r="C693" s="45"/>
      <c r="D693" s="45"/>
      <c r="E693" s="45"/>
      <c r="F693" s="63"/>
      <c r="G693" s="45"/>
      <c r="H693" s="45"/>
      <c r="I693" s="45"/>
      <c r="J693" s="45"/>
      <c r="K693" s="81"/>
      <c r="L693" s="957" t="s">
        <v>482</v>
      </c>
      <c r="M693" s="284" t="s">
        <v>121</v>
      </c>
      <c r="N693" s="868" t="s">
        <v>692</v>
      </c>
      <c r="O693" s="171" t="s">
        <v>122</v>
      </c>
      <c r="P693" s="171" t="s">
        <v>90</v>
      </c>
      <c r="Q693" s="171" t="s">
        <v>123</v>
      </c>
      <c r="R693" s="283" t="str">
        <f>IF(AND(LFMAS="",SFMAS=""),"mA/mAs",IF(O694="Large",LFMAS,SFMAS))</f>
        <v>mA</v>
      </c>
      <c r="S693" s="171" t="s">
        <v>124</v>
      </c>
      <c r="T693" s="284" t="s">
        <v>125</v>
      </c>
      <c r="U693" s="171" t="s">
        <v>126</v>
      </c>
      <c r="V693" s="171" t="s">
        <v>124</v>
      </c>
      <c r="W693" s="291" t="s">
        <v>1167</v>
      </c>
      <c r="X693" s="939" t="s">
        <v>482</v>
      </c>
      <c r="Y693" s="698"/>
      <c r="Z693" s="1095" t="s">
        <v>106</v>
      </c>
      <c r="AA693" s="1096">
        <f t="shared" si="99"/>
        <v>80</v>
      </c>
      <c r="AB693" s="1096">
        <f t="shared" si="100"/>
        <v>400</v>
      </c>
      <c r="AC693" s="1097">
        <f t="shared" si="101"/>
        <v>0.05</v>
      </c>
      <c r="AD693" s="1095">
        <f t="shared" si="102"/>
        <v>0</v>
      </c>
      <c r="AE693" s="1098" t="s">
        <v>54</v>
      </c>
      <c r="AF693" s="1099">
        <f t="shared" si="103"/>
        <v>0</v>
      </c>
      <c r="AG693" s="1099" t="s">
        <v>107</v>
      </c>
      <c r="AH693" s="1100">
        <v>60</v>
      </c>
      <c r="AI693" s="1099" t="s">
        <v>692</v>
      </c>
      <c r="AJ693" s="1095">
        <v>1</v>
      </c>
      <c r="AK693" s="1095" t="s">
        <v>108</v>
      </c>
      <c r="AL693" s="1095" t="s">
        <v>109</v>
      </c>
      <c r="AM693" s="1096">
        <v>0</v>
      </c>
      <c r="AN693" s="1096">
        <v>0</v>
      </c>
      <c r="AO693" s="1095" t="s">
        <v>110</v>
      </c>
      <c r="AP693" s="1095"/>
      <c r="AQ693" s="1096">
        <v>0</v>
      </c>
      <c r="AR693" s="1096">
        <v>0</v>
      </c>
      <c r="AS693" s="1096">
        <v>1</v>
      </c>
      <c r="AT693" s="1096">
        <v>0</v>
      </c>
      <c r="AU693" s="1096">
        <v>1</v>
      </c>
      <c r="AV693" s="1096"/>
      <c r="AW693" s="1101"/>
      <c r="AX693" s="1576"/>
      <c r="AY693" s="1529" t="str">
        <f t="shared" si="104"/>
        <v/>
      </c>
      <c r="AZ693" s="1529" t="str">
        <f t="shared" si="105"/>
        <v/>
      </c>
      <c r="BA693" s="1529" t="str">
        <f t="shared" si="106"/>
        <v/>
      </c>
      <c r="BB693" s="1529" t="str">
        <f t="shared" si="107"/>
        <v/>
      </c>
      <c r="BC693" s="1105"/>
      <c r="BD693" s="1343" t="s">
        <v>1115</v>
      </c>
    </row>
    <row r="694" spans="1:57" ht="11.25" customHeight="1">
      <c r="A694" s="857">
        <v>34</v>
      </c>
      <c r="B694" s="386" t="s">
        <v>127</v>
      </c>
      <c r="C694" s="129"/>
      <c r="D694" s="45"/>
      <c r="E694" s="45"/>
      <c r="F694" s="63"/>
      <c r="G694" s="45"/>
      <c r="H694" s="45"/>
      <c r="I694" s="45"/>
      <c r="J694" s="45"/>
      <c r="K694" s="81"/>
      <c r="L694" s="957" t="s">
        <v>482</v>
      </c>
      <c r="M694" s="636" t="str">
        <f>IF(OR(Q694="",AM688="",AM688=0),"","Delay:"&amp;AM688&amp;"ms")</f>
        <v/>
      </c>
      <c r="N694" s="644">
        <f>IF(AH688="","TBD",AH688)</f>
        <v>60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t="str">
        <f>IF(AZ688="","",AZ688)</f>
        <v/>
      </c>
      <c r="U694" s="650" t="str">
        <f>IF(AX688="","",AX688)</f>
        <v/>
      </c>
      <c r="V694" s="581" t="str">
        <f>IF(BA688="","",BA688)</f>
        <v/>
      </c>
      <c r="W694" s="582" t="str">
        <f>IF(BB688="","",BB688)</f>
        <v/>
      </c>
      <c r="X694" s="939" t="s">
        <v>482</v>
      </c>
      <c r="Y694" s="698"/>
      <c r="Z694" s="1095" t="s">
        <v>106</v>
      </c>
      <c r="AA694" s="1096">
        <f t="shared" si="99"/>
        <v>80</v>
      </c>
      <c r="AB694" s="1096">
        <f t="shared" si="100"/>
        <v>400</v>
      </c>
      <c r="AC694" s="1097">
        <f t="shared" si="101"/>
        <v>0.05</v>
      </c>
      <c r="AD694" s="1095">
        <f t="shared" si="102"/>
        <v>0</v>
      </c>
      <c r="AE694" s="1098" t="s">
        <v>54</v>
      </c>
      <c r="AF694" s="1099">
        <f t="shared" si="103"/>
        <v>0</v>
      </c>
      <c r="AG694" s="1099" t="s">
        <v>107</v>
      </c>
      <c r="AH694" s="1100">
        <v>60</v>
      </c>
      <c r="AI694" s="1099" t="s">
        <v>692</v>
      </c>
      <c r="AJ694" s="1095">
        <v>1</v>
      </c>
      <c r="AK694" s="1095" t="s">
        <v>108</v>
      </c>
      <c r="AL694" s="1095" t="s">
        <v>109</v>
      </c>
      <c r="AM694" s="1096">
        <v>0</v>
      </c>
      <c r="AN694" s="1096">
        <v>0</v>
      </c>
      <c r="AO694" s="1095" t="s">
        <v>110</v>
      </c>
      <c r="AP694" s="1095"/>
      <c r="AQ694" s="1096">
        <v>0</v>
      </c>
      <c r="AR694" s="1096">
        <v>0</v>
      </c>
      <c r="AS694" s="1096">
        <v>1</v>
      </c>
      <c r="AT694" s="1096">
        <v>0</v>
      </c>
      <c r="AU694" s="1096">
        <v>1</v>
      </c>
      <c r="AV694" s="1096"/>
      <c r="AW694" s="1101"/>
      <c r="AX694" s="1576"/>
      <c r="AY694" s="1529" t="str">
        <f t="shared" si="104"/>
        <v/>
      </c>
      <c r="AZ694" s="1529" t="str">
        <f t="shared" si="105"/>
        <v/>
      </c>
      <c r="BA694" s="1529" t="str">
        <f t="shared" si="106"/>
        <v/>
      </c>
      <c r="BB694" s="1529" t="str">
        <f t="shared" si="107"/>
        <v/>
      </c>
      <c r="BC694" s="1105"/>
      <c r="BD694" s="1343" t="s">
        <v>1115</v>
      </c>
    </row>
    <row r="695" spans="1:57" ht="11.25" customHeight="1">
      <c r="A695" s="857">
        <v>35</v>
      </c>
      <c r="B695" s="146"/>
      <c r="C695" s="56"/>
      <c r="D695" s="56"/>
      <c r="E695" s="119"/>
      <c r="F695" s="119"/>
      <c r="G695" s="56"/>
      <c r="H695" s="56"/>
      <c r="I695" s="56"/>
      <c r="J695" s="56"/>
      <c r="K695" s="79"/>
      <c r="L695" s="957" t="s">
        <v>482</v>
      </c>
      <c r="M695" s="636" t="str">
        <f>IF(OR(Q695="",AM690="",AM690=0),"","Delay:"&amp;AM690&amp;"ms")</f>
        <v/>
      </c>
      <c r="N695" s="651">
        <f t="shared" ref="N695:N701" si="108">IF(OR($N$694="",Q695=""),"",$N$694)</f>
        <v>60</v>
      </c>
      <c r="O695" s="645" t="str">
        <f t="shared" ref="O695:O701" si="109">IF(Q695="","",O694)</f>
        <v>Large</v>
      </c>
      <c r="P695" s="646" t="str">
        <f>IF(OR(Q695="",AE690=""),"",AE690&amp;"/"&amp;AK690)</f>
        <v>70-120/Low</v>
      </c>
      <c r="Q695" s="647">
        <f>IF(AND(AA690=0,AB690=0),"",IF(OR(AA690="",AA690=0),IF($P$18="SIEMENS",81,80),AA690))</f>
        <v>80</v>
      </c>
      <c r="R695" s="648">
        <f>IF(Q695="","",IF(OR(AD690="",AD690=0),AB690,AD690))</f>
        <v>400</v>
      </c>
      <c r="S695" s="581">
        <f>IF(Q695="","",IF(OR(AC690="",AC690=0),IF(OR(AP690="No Anomolies",AP690=""),"",AP690),AC690))</f>
        <v>0.05</v>
      </c>
      <c r="T695" s="649" t="str">
        <f>IF(AZ690="","",AZ690)</f>
        <v/>
      </c>
      <c r="U695" s="650" t="str">
        <f>IF(AX690="","",AX690)</f>
        <v/>
      </c>
      <c r="V695" s="581" t="str">
        <f>IF(BA690="","",BA690)</f>
        <v/>
      </c>
      <c r="W695" s="582" t="str">
        <f>IF(BB690="","",BB690)</f>
        <v/>
      </c>
      <c r="X695" s="939" t="s">
        <v>482</v>
      </c>
      <c r="Y695" s="698"/>
      <c r="Z695" s="1095" t="s">
        <v>106</v>
      </c>
      <c r="AA695" s="1096">
        <f t="shared" si="99"/>
        <v>80</v>
      </c>
      <c r="AB695" s="1096">
        <f t="shared" si="100"/>
        <v>400</v>
      </c>
      <c r="AC695" s="1097">
        <f t="shared" si="101"/>
        <v>0.05</v>
      </c>
      <c r="AD695" s="1095">
        <f t="shared" si="102"/>
        <v>0</v>
      </c>
      <c r="AE695" s="1098" t="s">
        <v>54</v>
      </c>
      <c r="AF695" s="1099">
        <f t="shared" si="103"/>
        <v>3</v>
      </c>
      <c r="AG695" s="1099" t="s">
        <v>128</v>
      </c>
      <c r="AH695" s="1100">
        <v>60</v>
      </c>
      <c r="AI695" s="1099" t="s">
        <v>692</v>
      </c>
      <c r="AJ695" s="1095">
        <v>1</v>
      </c>
      <c r="AK695" s="1095" t="s">
        <v>108</v>
      </c>
      <c r="AL695" s="1095" t="s">
        <v>109</v>
      </c>
      <c r="AM695" s="1096">
        <v>0</v>
      </c>
      <c r="AN695" s="1096">
        <v>0</v>
      </c>
      <c r="AO695" s="1095" t="s">
        <v>110</v>
      </c>
      <c r="AP695" s="1095"/>
      <c r="AQ695" s="1096">
        <v>0</v>
      </c>
      <c r="AR695" s="1096">
        <v>0</v>
      </c>
      <c r="AS695" s="1096">
        <v>1</v>
      </c>
      <c r="AT695" s="1096">
        <v>0</v>
      </c>
      <c r="AU695" s="1096">
        <v>0</v>
      </c>
      <c r="AV695" s="1096"/>
      <c r="AW695" s="1101"/>
      <c r="AX695" s="1576"/>
      <c r="AY695" s="1529" t="str">
        <f t="shared" si="104"/>
        <v/>
      </c>
      <c r="AZ695" s="1529" t="str">
        <f t="shared" si="105"/>
        <v/>
      </c>
      <c r="BA695" s="1529" t="str">
        <f t="shared" si="106"/>
        <v/>
      </c>
      <c r="BB695" s="1529" t="str">
        <f t="shared" si="107"/>
        <v/>
      </c>
      <c r="BC695" s="1105"/>
      <c r="BD695" s="1105" t="s">
        <v>245</v>
      </c>
    </row>
    <row r="696" spans="1:57" ht="11.25" customHeight="1">
      <c r="A696" s="857">
        <v>36</v>
      </c>
      <c r="B696" s="155"/>
      <c r="C696" s="63"/>
      <c r="D696" s="63"/>
      <c r="E696" s="63"/>
      <c r="F696" s="63"/>
      <c r="G696" s="63"/>
      <c r="H696" s="63"/>
      <c r="I696" s="63"/>
      <c r="J696" s="63"/>
      <c r="K696" s="81"/>
      <c r="L696" s="957" t="s">
        <v>482</v>
      </c>
      <c r="M696" s="636" t="str">
        <f>IF(OR(Q696="",AM705="",AM705=0),"","Delay:"&amp;AM705&amp;"ms")</f>
        <v/>
      </c>
      <c r="N696" s="651">
        <f t="shared" si="108"/>
        <v>60</v>
      </c>
      <c r="O696" s="645" t="str">
        <f t="shared" si="109"/>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t="str">
        <f>IF(AZ705="","",AZ705)</f>
        <v/>
      </c>
      <c r="U696" s="650" t="str">
        <f>IF(AX705="","",AX705)</f>
        <v/>
      </c>
      <c r="V696" s="581" t="str">
        <f>IF(BA705="","",BA705)</f>
        <v/>
      </c>
      <c r="W696" s="582" t="str">
        <f>IF(BB705="","",BB705)</f>
        <v/>
      </c>
      <c r="X696" s="939" t="s">
        <v>482</v>
      </c>
      <c r="Y696" s="698"/>
      <c r="Z696" s="1095" t="s">
        <v>106</v>
      </c>
      <c r="AA696" s="1096">
        <f t="shared" si="99"/>
        <v>80</v>
      </c>
      <c r="AB696" s="1096">
        <f t="shared" si="100"/>
        <v>400</v>
      </c>
      <c r="AC696" s="1097">
        <f t="shared" si="101"/>
        <v>0.05</v>
      </c>
      <c r="AD696" s="1095">
        <f t="shared" si="102"/>
        <v>0</v>
      </c>
      <c r="AE696" s="1098" t="s">
        <v>54</v>
      </c>
      <c r="AF696" s="1099">
        <f t="shared" si="103"/>
        <v>3</v>
      </c>
      <c r="AG696" s="1099" t="s">
        <v>128</v>
      </c>
      <c r="AH696" s="1100">
        <v>60</v>
      </c>
      <c r="AI696" s="1099" t="s">
        <v>692</v>
      </c>
      <c r="AJ696" s="1095">
        <v>1</v>
      </c>
      <c r="AK696" s="1095" t="s">
        <v>108</v>
      </c>
      <c r="AL696" s="1095" t="s">
        <v>109</v>
      </c>
      <c r="AM696" s="1096">
        <v>0</v>
      </c>
      <c r="AN696" s="1096">
        <v>0</v>
      </c>
      <c r="AO696" s="1095" t="s">
        <v>110</v>
      </c>
      <c r="AP696" s="1095"/>
      <c r="AQ696" s="1096">
        <v>0</v>
      </c>
      <c r="AR696" s="1096">
        <v>0</v>
      </c>
      <c r="AS696" s="1096">
        <v>1</v>
      </c>
      <c r="AT696" s="1096">
        <v>0</v>
      </c>
      <c r="AU696" s="1096">
        <v>0</v>
      </c>
      <c r="AV696" s="1096"/>
      <c r="AW696" s="1101"/>
      <c r="AX696" s="1576"/>
      <c r="AY696" s="1529" t="str">
        <f t="shared" si="104"/>
        <v/>
      </c>
      <c r="AZ696" s="1529" t="str">
        <f t="shared" si="105"/>
        <v/>
      </c>
      <c r="BA696" s="1529" t="str">
        <f t="shared" si="106"/>
        <v/>
      </c>
      <c r="BB696" s="1529" t="str">
        <f t="shared" si="107"/>
        <v/>
      </c>
      <c r="BC696" s="1105"/>
      <c r="BD696" s="1105" t="s">
        <v>245</v>
      </c>
      <c r="BE696" s="1322" t="s">
        <v>1108</v>
      </c>
    </row>
    <row r="697" spans="1:57" ht="11.25" customHeight="1">
      <c r="A697" s="857">
        <v>37</v>
      </c>
      <c r="B697" s="155"/>
      <c r="C697" s="56" t="s">
        <v>129</v>
      </c>
      <c r="D697" s="63"/>
      <c r="E697" s="63"/>
      <c r="F697" s="63"/>
      <c r="G697" s="63"/>
      <c r="H697" s="56" t="s">
        <v>130</v>
      </c>
      <c r="I697" s="63"/>
      <c r="J697" s="63"/>
      <c r="K697" s="81"/>
      <c r="L697" s="957" t="s">
        <v>482</v>
      </c>
      <c r="M697" s="636" t="str">
        <f>IF(OR(Q697="",AM707="",AM707=0),"","Delay:"&amp;AM707&amp;"ms")</f>
        <v/>
      </c>
      <c r="N697" s="651">
        <f t="shared" si="108"/>
        <v>60</v>
      </c>
      <c r="O697" s="645" t="str">
        <f t="shared" si="109"/>
        <v>Large</v>
      </c>
      <c r="P697" s="646" t="str">
        <f>IF(OR(Q697="",AE707=""),"",AE707&amp;"/"&amp;AK707)</f>
        <v>100-155/Low</v>
      </c>
      <c r="Q697" s="647">
        <f>IF(AND(AA707=0,AB707=0),"",IF(OR(AA707="",AA707=0),IF($P$18="SIEMENS",125,120),AA707))</f>
        <v>120</v>
      </c>
      <c r="R697" s="648">
        <f>IF(Q697="","",IF(OR(AD707="",AD707=0),AB707,AD707))</f>
        <v>400</v>
      </c>
      <c r="S697" s="581">
        <f>IF(Q697="","",IF(OR(AC707="",AC707=0),IF(OR(AP707="No Anomolies",AP707=""),"",AP707),AC707))</f>
        <v>0.05</v>
      </c>
      <c r="T697" s="649" t="str">
        <f>IF(AZ707="","",AZ707)</f>
        <v/>
      </c>
      <c r="U697" s="650" t="str">
        <f>IF(AX707="","",AX707)</f>
        <v/>
      </c>
      <c r="V697" s="581" t="str">
        <f>IF(BA707="","",BA707)</f>
        <v/>
      </c>
      <c r="W697" s="582" t="str">
        <f>IF(BB707="","",BB707)</f>
        <v/>
      </c>
      <c r="X697" s="939" t="s">
        <v>482</v>
      </c>
      <c r="Y697" s="698"/>
      <c r="Z697" s="1095" t="s">
        <v>106</v>
      </c>
      <c r="AA697" s="1096">
        <f t="shared" si="99"/>
        <v>80</v>
      </c>
      <c r="AB697" s="1096">
        <f t="shared" si="100"/>
        <v>400</v>
      </c>
      <c r="AC697" s="1097">
        <f t="shared" si="101"/>
        <v>0.05</v>
      </c>
      <c r="AD697" s="1095">
        <f t="shared" si="102"/>
        <v>0</v>
      </c>
      <c r="AE697" s="1098" t="s">
        <v>54</v>
      </c>
      <c r="AF697" s="1099">
        <f t="shared" si="103"/>
        <v>3.5</v>
      </c>
      <c r="AG697" s="1099" t="s">
        <v>128</v>
      </c>
      <c r="AH697" s="1100">
        <v>60</v>
      </c>
      <c r="AI697" s="1099" t="s">
        <v>692</v>
      </c>
      <c r="AJ697" s="1095">
        <v>1</v>
      </c>
      <c r="AK697" s="1095" t="s">
        <v>108</v>
      </c>
      <c r="AL697" s="1095" t="s">
        <v>109</v>
      </c>
      <c r="AM697" s="1096">
        <v>0</v>
      </c>
      <c r="AN697" s="1096">
        <v>0</v>
      </c>
      <c r="AO697" s="1095" t="s">
        <v>110</v>
      </c>
      <c r="AP697" s="1095"/>
      <c r="AQ697" s="1096">
        <v>0</v>
      </c>
      <c r="AR697" s="1096">
        <v>0</v>
      </c>
      <c r="AS697" s="1096">
        <v>1</v>
      </c>
      <c r="AT697" s="1096">
        <v>0</v>
      </c>
      <c r="AU697" s="1096">
        <v>0</v>
      </c>
      <c r="AV697" s="1096"/>
      <c r="AW697" s="1101"/>
      <c r="AX697" s="1576"/>
      <c r="AY697" s="1529" t="str">
        <f t="shared" si="104"/>
        <v/>
      </c>
      <c r="AZ697" s="1529" t="str">
        <f t="shared" si="105"/>
        <v/>
      </c>
      <c r="BA697" s="1529" t="str">
        <f t="shared" si="106"/>
        <v/>
      </c>
      <c r="BB697" s="1529" t="str">
        <f t="shared" si="107"/>
        <v/>
      </c>
      <c r="BC697" s="1105"/>
      <c r="BD697" s="1105" t="s">
        <v>245</v>
      </c>
      <c r="BE697" s="1322" t="s">
        <v>1114</v>
      </c>
    </row>
    <row r="698" spans="1:57" ht="11.25" customHeight="1">
      <c r="A698" s="857">
        <v>38</v>
      </c>
      <c r="B698" s="155"/>
      <c r="C698" s="63"/>
      <c r="D698" s="63"/>
      <c r="E698" s="63"/>
      <c r="F698" s="63"/>
      <c r="G698" s="63"/>
      <c r="H698" s="63"/>
      <c r="I698" s="63"/>
      <c r="J698" s="63"/>
      <c r="K698" s="81"/>
      <c r="L698" s="957" t="s">
        <v>482</v>
      </c>
      <c r="M698" s="636" t="str">
        <f>IF(OR(Q698="",AM709="",AM709=0),"","Delay:"&amp;AM709&amp;"ms")</f>
        <v/>
      </c>
      <c r="N698" s="651">
        <f t="shared" si="108"/>
        <v>60</v>
      </c>
      <c r="O698" s="645" t="str">
        <f t="shared" si="109"/>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t="str">
        <f>IF(AZ709="","",AZ709)</f>
        <v/>
      </c>
      <c r="U698" s="650" t="str">
        <f>IF(AX709="","",AX709)</f>
        <v/>
      </c>
      <c r="V698" s="581" t="str">
        <f>IF(BA709="","",BA709)</f>
        <v/>
      </c>
      <c r="W698" s="582" t="str">
        <f>IF(BB709="","",BB709)</f>
        <v/>
      </c>
      <c r="X698" s="939" t="s">
        <v>482</v>
      </c>
      <c r="Y698" s="698"/>
      <c r="Z698" s="1095" t="s">
        <v>106</v>
      </c>
      <c r="AA698" s="1096">
        <f t="shared" si="99"/>
        <v>80</v>
      </c>
      <c r="AB698" s="1096">
        <f t="shared" si="100"/>
        <v>400</v>
      </c>
      <c r="AC698" s="1097">
        <f t="shared" si="101"/>
        <v>0.05</v>
      </c>
      <c r="AD698" s="1095">
        <f t="shared" si="102"/>
        <v>0</v>
      </c>
      <c r="AE698" s="1098" t="s">
        <v>54</v>
      </c>
      <c r="AF698" s="1099">
        <f t="shared" si="103"/>
        <v>3.5</v>
      </c>
      <c r="AG698" s="1099" t="s">
        <v>128</v>
      </c>
      <c r="AH698" s="1100">
        <v>60</v>
      </c>
      <c r="AI698" s="1099" t="s">
        <v>692</v>
      </c>
      <c r="AJ698" s="1095">
        <v>1</v>
      </c>
      <c r="AK698" s="1095" t="s">
        <v>108</v>
      </c>
      <c r="AL698" s="1095" t="s">
        <v>109</v>
      </c>
      <c r="AM698" s="1096">
        <v>0</v>
      </c>
      <c r="AN698" s="1096">
        <v>0</v>
      </c>
      <c r="AO698" s="1095" t="s">
        <v>110</v>
      </c>
      <c r="AP698" s="1095"/>
      <c r="AQ698" s="1096">
        <v>0</v>
      </c>
      <c r="AR698" s="1096">
        <v>0</v>
      </c>
      <c r="AS698" s="1096">
        <v>1</v>
      </c>
      <c r="AT698" s="1096">
        <v>0</v>
      </c>
      <c r="AU698" s="1096">
        <v>0</v>
      </c>
      <c r="AV698" s="1096"/>
      <c r="AW698" s="1101"/>
      <c r="AX698" s="1576"/>
      <c r="AY698" s="1529" t="str">
        <f t="shared" si="104"/>
        <v/>
      </c>
      <c r="AZ698" s="1529" t="str">
        <f t="shared" si="105"/>
        <v/>
      </c>
      <c r="BA698" s="1529" t="str">
        <f t="shared" si="106"/>
        <v/>
      </c>
      <c r="BB698" s="1529" t="str">
        <f t="shared" si="107"/>
        <v/>
      </c>
      <c r="BC698" s="1105"/>
      <c r="BD698" s="1105" t="s">
        <v>245</v>
      </c>
      <c r="BE698" s="1322" t="s">
        <v>1104</v>
      </c>
    </row>
    <row r="699" spans="1:57" ht="11.25" customHeight="1">
      <c r="A699" s="857">
        <v>39</v>
      </c>
      <c r="B699" s="120" t="s">
        <v>131</v>
      </c>
      <c r="C699" s="274">
        <f>IF(N694="","",N694)</f>
        <v>60</v>
      </c>
      <c r="D699" s="118" t="str">
        <f>N693</f>
        <v>cm</v>
      </c>
      <c r="E699" s="119"/>
      <c r="F699" s="119"/>
      <c r="G699" s="182" t="s">
        <v>131</v>
      </c>
      <c r="H699" s="274">
        <f>IF(N712="","",N712)</f>
        <v>60</v>
      </c>
      <c r="I699" s="118" t="str">
        <f>N711</f>
        <v>cm</v>
      </c>
      <c r="J699" s="56"/>
      <c r="K699" s="79"/>
      <c r="L699" s="957" t="s">
        <v>482</v>
      </c>
      <c r="M699" s="636"/>
      <c r="N699" s="475" t="str">
        <f t="shared" si="108"/>
        <v/>
      </c>
      <c r="O699" s="280" t="str">
        <f t="shared" si="109"/>
        <v/>
      </c>
      <c r="P699" s="869"/>
      <c r="Q699" s="870"/>
      <c r="R699" s="559" t="str">
        <f>IF(OR($R$694="",Q699=""),"",$R$694)</f>
        <v/>
      </c>
      <c r="S699" s="286" t="str">
        <f>IF(OR($S$694="",Q699=""),"",$S$694)</f>
        <v/>
      </c>
      <c r="T699" s="871"/>
      <c r="U699" s="872"/>
      <c r="V699" s="873"/>
      <c r="W699" s="874"/>
      <c r="X699" s="939" t="s">
        <v>482</v>
      </c>
      <c r="Y699" s="698"/>
      <c r="Z699" s="1095" t="s">
        <v>106</v>
      </c>
      <c r="AA699" s="1096">
        <f t="shared" si="99"/>
        <v>80</v>
      </c>
      <c r="AB699" s="1096">
        <f t="shared" si="100"/>
        <v>400</v>
      </c>
      <c r="AC699" s="1097">
        <f t="shared" si="101"/>
        <v>0.05</v>
      </c>
      <c r="AD699" s="1095">
        <f t="shared" si="102"/>
        <v>0</v>
      </c>
      <c r="AE699" s="1098" t="s">
        <v>54</v>
      </c>
      <c r="AF699" s="1099">
        <f t="shared" si="103"/>
        <v>2.5</v>
      </c>
      <c r="AG699" s="1099" t="s">
        <v>128</v>
      </c>
      <c r="AH699" s="1100">
        <v>60</v>
      </c>
      <c r="AI699" s="1099" t="s">
        <v>692</v>
      </c>
      <c r="AJ699" s="1095">
        <v>1</v>
      </c>
      <c r="AK699" s="1095" t="s">
        <v>108</v>
      </c>
      <c r="AL699" s="1095" t="s">
        <v>109</v>
      </c>
      <c r="AM699" s="1096">
        <v>0</v>
      </c>
      <c r="AN699" s="1096">
        <v>0</v>
      </c>
      <c r="AO699" s="1095" t="s">
        <v>110</v>
      </c>
      <c r="AP699" s="1095"/>
      <c r="AQ699" s="1096">
        <v>0</v>
      </c>
      <c r="AR699" s="1096">
        <v>0</v>
      </c>
      <c r="AS699" s="1096">
        <v>1</v>
      </c>
      <c r="AT699" s="1096">
        <v>0</v>
      </c>
      <c r="AU699" s="1096">
        <v>0</v>
      </c>
      <c r="AV699" s="1096"/>
      <c r="AW699" s="1101"/>
      <c r="AX699" s="1576"/>
      <c r="AY699" s="1529" t="str">
        <f t="shared" si="104"/>
        <v/>
      </c>
      <c r="AZ699" s="1529" t="str">
        <f t="shared" si="105"/>
        <v/>
      </c>
      <c r="BA699" s="1529" t="str">
        <f t="shared" si="106"/>
        <v/>
      </c>
      <c r="BB699" s="1529" t="str">
        <f t="shared" si="107"/>
        <v/>
      </c>
      <c r="BC699" s="1105"/>
      <c r="BD699" s="1105" t="s">
        <v>245</v>
      </c>
      <c r="BE699" s="1322" t="s">
        <v>1103</v>
      </c>
    </row>
    <row r="700" spans="1:57" ht="11.25" customHeight="1">
      <c r="A700" s="857">
        <v>40</v>
      </c>
      <c r="B700" s="120" t="s">
        <v>684</v>
      </c>
      <c r="C700" s="71">
        <f>IF(R694="","",IF(LFMAS="mA",R694,""))</f>
        <v>400</v>
      </c>
      <c r="D700" s="119"/>
      <c r="E700" s="119"/>
      <c r="F700" s="182"/>
      <c r="G700" s="182" t="s">
        <v>132</v>
      </c>
      <c r="H700" s="71">
        <f>IF(R712="","",IF(SFMAS="mA",R712,""))</f>
        <v>100</v>
      </c>
      <c r="I700" s="63"/>
      <c r="J700" s="119"/>
      <c r="K700" s="79"/>
      <c r="L700" s="957" t="s">
        <v>482</v>
      </c>
      <c r="M700" s="636"/>
      <c r="N700" s="475" t="str">
        <f t="shared" si="108"/>
        <v/>
      </c>
      <c r="O700" s="280" t="str">
        <f t="shared" si="109"/>
        <v/>
      </c>
      <c r="P700" s="869"/>
      <c r="Q700" s="870"/>
      <c r="R700" s="559" t="str">
        <f>IF(OR($R$694="",Q700=""),"",$R$694)</f>
        <v/>
      </c>
      <c r="S700" s="286" t="str">
        <f>IF(OR($S$694="",Q700=""),"",$S$694)</f>
        <v/>
      </c>
      <c r="T700" s="871"/>
      <c r="U700" s="872"/>
      <c r="V700" s="873"/>
      <c r="W700" s="874"/>
      <c r="X700" s="939" t="s">
        <v>482</v>
      </c>
      <c r="Y700" s="698"/>
      <c r="Z700" s="1095" t="s">
        <v>106</v>
      </c>
      <c r="AA700" s="1096">
        <f t="shared" si="99"/>
        <v>80</v>
      </c>
      <c r="AB700" s="1096">
        <f t="shared" si="100"/>
        <v>400</v>
      </c>
      <c r="AC700" s="1097">
        <f t="shared" si="101"/>
        <v>0.05</v>
      </c>
      <c r="AD700" s="1095">
        <f t="shared" si="102"/>
        <v>0</v>
      </c>
      <c r="AE700" s="1098" t="s">
        <v>54</v>
      </c>
      <c r="AF700" s="1099">
        <f t="shared" si="103"/>
        <v>2.5</v>
      </c>
      <c r="AG700" s="1099" t="s">
        <v>128</v>
      </c>
      <c r="AH700" s="1100">
        <v>60</v>
      </c>
      <c r="AI700" s="1099" t="s">
        <v>692</v>
      </c>
      <c r="AJ700" s="1095">
        <v>1</v>
      </c>
      <c r="AK700" s="1095" t="s">
        <v>108</v>
      </c>
      <c r="AL700" s="1095" t="s">
        <v>109</v>
      </c>
      <c r="AM700" s="1096">
        <v>0</v>
      </c>
      <c r="AN700" s="1096">
        <v>0</v>
      </c>
      <c r="AO700" s="1095" t="s">
        <v>110</v>
      </c>
      <c r="AP700" s="1095"/>
      <c r="AQ700" s="1096">
        <v>0</v>
      </c>
      <c r="AR700" s="1096">
        <v>0</v>
      </c>
      <c r="AS700" s="1096">
        <v>1</v>
      </c>
      <c r="AT700" s="1096">
        <v>0</v>
      </c>
      <c r="AU700" s="1096">
        <v>0</v>
      </c>
      <c r="AV700" s="1096"/>
      <c r="AW700" s="1101"/>
      <c r="AX700" s="1576"/>
      <c r="AY700" s="1529" t="str">
        <f t="shared" si="104"/>
        <v/>
      </c>
      <c r="AZ700" s="1529" t="str">
        <f t="shared" si="105"/>
        <v/>
      </c>
      <c r="BA700" s="1529" t="str">
        <f t="shared" si="106"/>
        <v/>
      </c>
      <c r="BB700" s="1529" t="str">
        <f t="shared" si="107"/>
        <v/>
      </c>
      <c r="BC700" s="1105"/>
      <c r="BD700" s="1105" t="s">
        <v>245</v>
      </c>
    </row>
    <row r="701" spans="1:57" ht="11.25" customHeight="1">
      <c r="A701" s="857">
        <v>41</v>
      </c>
      <c r="B701" s="120" t="s">
        <v>686</v>
      </c>
      <c r="C701" s="71" t="str">
        <f>IF(R694="","",IF(LFMAS="mAs",R694,""))</f>
        <v/>
      </c>
      <c r="D701" s="119"/>
      <c r="E701" s="119"/>
      <c r="F701" s="119"/>
      <c r="G701" s="182" t="s">
        <v>686</v>
      </c>
      <c r="H701" s="71" t="str">
        <f>IF(R712="","",IF(SFMAS="mAs",R712,""))</f>
        <v/>
      </c>
      <c r="I701" s="63"/>
      <c r="J701" s="119"/>
      <c r="K701" s="79"/>
      <c r="L701" s="957" t="s">
        <v>482</v>
      </c>
      <c r="M701" s="636"/>
      <c r="N701" s="475" t="str">
        <f t="shared" si="108"/>
        <v/>
      </c>
      <c r="O701" s="280" t="str">
        <f t="shared" si="109"/>
        <v/>
      </c>
      <c r="P701" s="869"/>
      <c r="Q701" s="870"/>
      <c r="R701" s="559" t="str">
        <f>IF(OR($R$694="",Q701=""),"",$R$694)</f>
        <v/>
      </c>
      <c r="S701" s="286" t="str">
        <f>IF(OR($S$694="",Q701=""),"",$S$694)</f>
        <v/>
      </c>
      <c r="T701" s="871"/>
      <c r="U701" s="872"/>
      <c r="V701" s="873"/>
      <c r="W701" s="874"/>
      <c r="X701" s="939" t="s">
        <v>482</v>
      </c>
      <c r="Y701" s="698"/>
      <c r="Z701" s="923" t="s">
        <v>106</v>
      </c>
      <c r="AA701" s="924">
        <f t="shared" si="99"/>
        <v>80</v>
      </c>
      <c r="AB701" s="924">
        <f t="shared" si="100"/>
        <v>500</v>
      </c>
      <c r="AC701" s="925">
        <f t="shared" si="101"/>
        <v>0.05</v>
      </c>
      <c r="AD701" s="923">
        <f t="shared" si="102"/>
        <v>0</v>
      </c>
      <c r="AE701" s="926" t="s">
        <v>54</v>
      </c>
      <c r="AF701" s="926">
        <f t="shared" si="103"/>
        <v>0</v>
      </c>
      <c r="AG701" s="926" t="s">
        <v>107</v>
      </c>
      <c r="AH701" s="927">
        <v>60</v>
      </c>
      <c r="AI701" s="926" t="s">
        <v>692</v>
      </c>
      <c r="AJ701" s="923">
        <v>1</v>
      </c>
      <c r="AK701" s="928" t="s">
        <v>108</v>
      </c>
      <c r="AL701" s="928" t="s">
        <v>109</v>
      </c>
      <c r="AM701" s="929">
        <v>0</v>
      </c>
      <c r="AN701" s="929">
        <v>0</v>
      </c>
      <c r="AO701" s="928" t="s">
        <v>110</v>
      </c>
      <c r="AP701" s="928"/>
      <c r="AQ701" s="929">
        <v>1</v>
      </c>
      <c r="AR701" s="929">
        <v>0</v>
      </c>
      <c r="AS701" s="929">
        <v>0</v>
      </c>
      <c r="AT701" s="929">
        <v>0</v>
      </c>
      <c r="AU701" s="929">
        <v>0</v>
      </c>
      <c r="AV701" s="929"/>
      <c r="AW701" s="930"/>
      <c r="AX701" s="1575"/>
      <c r="AY701" s="1528" t="str">
        <f t="shared" si="104"/>
        <v/>
      </c>
      <c r="AZ701" s="1528" t="str">
        <f t="shared" si="105"/>
        <v/>
      </c>
      <c r="BA701" s="1528" t="str">
        <f t="shared" si="106"/>
        <v/>
      </c>
      <c r="BB701" s="1528" t="str">
        <f t="shared" si="107"/>
        <v/>
      </c>
      <c r="BC701" s="22"/>
      <c r="BD701" s="1340" t="s">
        <v>1106</v>
      </c>
    </row>
    <row r="702" spans="1:57" ht="11.25" customHeight="1">
      <c r="A702" s="857">
        <v>42</v>
      </c>
      <c r="B702" s="120" t="s">
        <v>133</v>
      </c>
      <c r="C702" s="195">
        <f>IF(S694="","",S694)</f>
        <v>0.05</v>
      </c>
      <c r="D702" s="119"/>
      <c r="E702" s="119"/>
      <c r="F702" s="119"/>
      <c r="G702" s="182" t="s">
        <v>133</v>
      </c>
      <c r="H702" s="195">
        <f>IF(S712="","",S712)</f>
        <v>0.1</v>
      </c>
      <c r="I702" s="63"/>
      <c r="J702" s="119"/>
      <c r="K702" s="79"/>
      <c r="L702" s="957" t="s">
        <v>482</v>
      </c>
      <c r="M702" s="121" t="s">
        <v>134</v>
      </c>
      <c r="N702" s="56"/>
      <c r="O702" s="56"/>
      <c r="P702" s="56"/>
      <c r="Q702" s="56"/>
      <c r="R702" s="56"/>
      <c r="S702" s="56"/>
      <c r="T702" s="56"/>
      <c r="U702" s="56"/>
      <c r="V702" s="56"/>
      <c r="W702" s="79"/>
      <c r="X702" s="939" t="s">
        <v>482</v>
      </c>
      <c r="Y702" s="698"/>
      <c r="Z702" s="923" t="s">
        <v>106</v>
      </c>
      <c r="AA702" s="924">
        <f t="shared" si="99"/>
        <v>80</v>
      </c>
      <c r="AB702" s="924">
        <f t="shared" si="100"/>
        <v>50</v>
      </c>
      <c r="AC702" s="925">
        <f t="shared" si="101"/>
        <v>0.05</v>
      </c>
      <c r="AD702" s="923">
        <f t="shared" si="102"/>
        <v>0</v>
      </c>
      <c r="AE702" s="926" t="s">
        <v>54</v>
      </c>
      <c r="AF702" s="926">
        <f t="shared" si="103"/>
        <v>0</v>
      </c>
      <c r="AG702" s="926" t="s">
        <v>107</v>
      </c>
      <c r="AH702" s="927">
        <v>60</v>
      </c>
      <c r="AI702" s="926" t="s">
        <v>692</v>
      </c>
      <c r="AJ702" s="923">
        <v>1</v>
      </c>
      <c r="AK702" s="928" t="s">
        <v>377</v>
      </c>
      <c r="AL702" s="928" t="s">
        <v>109</v>
      </c>
      <c r="AM702" s="929">
        <v>0</v>
      </c>
      <c r="AN702" s="929">
        <v>0</v>
      </c>
      <c r="AO702" s="928" t="s">
        <v>110</v>
      </c>
      <c r="AP702" s="928"/>
      <c r="AQ702" s="929">
        <v>1</v>
      </c>
      <c r="AR702" s="929">
        <v>0</v>
      </c>
      <c r="AS702" s="929">
        <v>0</v>
      </c>
      <c r="AT702" s="929">
        <v>0</v>
      </c>
      <c r="AU702" s="929">
        <v>0</v>
      </c>
      <c r="AV702" s="929"/>
      <c r="AW702" s="930"/>
      <c r="AX702" s="1575"/>
      <c r="AY702" s="1528" t="str">
        <f t="shared" si="104"/>
        <v/>
      </c>
      <c r="AZ702" s="1528" t="str">
        <f t="shared" si="105"/>
        <v/>
      </c>
      <c r="BA702" s="1528" t="str">
        <f t="shared" si="106"/>
        <v/>
      </c>
      <c r="BB702" s="1528" t="str">
        <f t="shared" si="107"/>
        <v/>
      </c>
      <c r="BC702" s="22"/>
      <c r="BD702" s="1340" t="s">
        <v>1106</v>
      </c>
      <c r="BE702" s="1322"/>
    </row>
    <row r="703" spans="1:57" ht="11.25" customHeight="1" thickBot="1">
      <c r="A703" s="857">
        <v>43</v>
      </c>
      <c r="B703" s="121" t="s">
        <v>134</v>
      </c>
      <c r="C703" s="119"/>
      <c r="D703" s="119"/>
      <c r="E703" s="119"/>
      <c r="F703" s="119"/>
      <c r="G703" s="58" t="s">
        <v>134</v>
      </c>
      <c r="H703" s="119"/>
      <c r="I703" s="119"/>
      <c r="J703" s="119"/>
      <c r="K703" s="79"/>
      <c r="L703" s="957" t="s">
        <v>482</v>
      </c>
      <c r="M703" s="155"/>
      <c r="N703" s="814" t="s">
        <v>629</v>
      </c>
      <c r="O703" s="994" t="str">
        <f>IF(O705&lt;&gt;"",O705,IF(OR(AB440=0,AB440=""),"",AB440))</f>
        <v/>
      </c>
      <c r="P703" s="55"/>
      <c r="Q703" s="55"/>
      <c r="R703" s="55"/>
      <c r="S703" s="55"/>
      <c r="T703" s="55"/>
      <c r="U703" s="55"/>
      <c r="V703" s="55"/>
      <c r="W703" s="122"/>
      <c r="X703" s="939" t="s">
        <v>482</v>
      </c>
      <c r="Y703" s="698"/>
      <c r="Z703" s="923" t="s">
        <v>106</v>
      </c>
      <c r="AA703" s="924">
        <f t="shared" si="99"/>
        <v>80</v>
      </c>
      <c r="AB703" s="924">
        <f t="shared" si="100"/>
        <v>800</v>
      </c>
      <c r="AC703" s="925">
        <f t="shared" si="101"/>
        <v>0.05</v>
      </c>
      <c r="AD703" s="923">
        <f t="shared" si="102"/>
        <v>0</v>
      </c>
      <c r="AE703" s="926" t="s">
        <v>54</v>
      </c>
      <c r="AF703" s="926">
        <f t="shared" si="103"/>
        <v>0</v>
      </c>
      <c r="AG703" s="926" t="s">
        <v>107</v>
      </c>
      <c r="AH703" s="927">
        <v>60</v>
      </c>
      <c r="AI703" s="926" t="s">
        <v>692</v>
      </c>
      <c r="AJ703" s="923">
        <v>1</v>
      </c>
      <c r="AK703" s="928" t="s">
        <v>108</v>
      </c>
      <c r="AL703" s="928" t="s">
        <v>109</v>
      </c>
      <c r="AM703" s="929">
        <v>0</v>
      </c>
      <c r="AN703" s="929">
        <v>0</v>
      </c>
      <c r="AO703" s="928" t="s">
        <v>110</v>
      </c>
      <c r="AP703" s="928"/>
      <c r="AQ703" s="929">
        <v>1</v>
      </c>
      <c r="AR703" s="929">
        <v>0</v>
      </c>
      <c r="AS703" s="929">
        <v>0</v>
      </c>
      <c r="AT703" s="929">
        <v>0</v>
      </c>
      <c r="AU703" s="929">
        <v>0</v>
      </c>
      <c r="AV703" s="929"/>
      <c r="AW703" s="930"/>
      <c r="AX703" s="1575"/>
      <c r="AY703" s="1528" t="str">
        <f t="shared" si="104"/>
        <v/>
      </c>
      <c r="AZ703" s="1528" t="str">
        <f t="shared" si="105"/>
        <v/>
      </c>
      <c r="BA703" s="1528" t="str">
        <f t="shared" si="106"/>
        <v/>
      </c>
      <c r="BB703" s="1528" t="str">
        <f t="shared" si="107"/>
        <v/>
      </c>
      <c r="BC703" s="22"/>
      <c r="BD703" s="1340" t="s">
        <v>1106</v>
      </c>
    </row>
    <row r="704" spans="1:57" ht="11.25" customHeight="1" thickBot="1">
      <c r="A704" s="857">
        <v>44</v>
      </c>
      <c r="B704" s="155"/>
      <c r="C704" s="63"/>
      <c r="D704" s="63"/>
      <c r="E704" s="63"/>
      <c r="F704" s="63"/>
      <c r="G704" s="63"/>
      <c r="H704" s="63"/>
      <c r="I704" s="63"/>
      <c r="J704" s="63"/>
      <c r="K704" s="79"/>
      <c r="L704" s="957" t="s">
        <v>482</v>
      </c>
      <c r="M704" s="121"/>
      <c r="N704" s="855" t="s">
        <v>187</v>
      </c>
      <c r="O704" s="124"/>
      <c r="P704" s="1237">
        <f>LEN(O703)</f>
        <v>0</v>
      </c>
      <c r="Q704" s="56"/>
      <c r="R704" s="56"/>
      <c r="S704" s="56"/>
      <c r="T704" s="56"/>
      <c r="U704" s="1040" t="s">
        <v>646</v>
      </c>
      <c r="V704" s="1021" t="str">
        <f>IF(E707="","TBD",(IF(AND(ABS(MAX(E707:E714))&lt;=0.05,ABS(MIN(E707:E714))&lt;=0.05),"YES","NO")))</f>
        <v>TBD</v>
      </c>
      <c r="W704" s="79"/>
      <c r="X704" s="939" t="s">
        <v>482</v>
      </c>
      <c r="Y704" s="698"/>
      <c r="Z704" s="923" t="s">
        <v>106</v>
      </c>
      <c r="AA704" s="924">
        <f t="shared" si="99"/>
        <v>80</v>
      </c>
      <c r="AB704" s="924">
        <f t="shared" si="100"/>
        <v>250</v>
      </c>
      <c r="AC704" s="925">
        <f t="shared" si="101"/>
        <v>0.05</v>
      </c>
      <c r="AD704" s="923">
        <f t="shared" si="102"/>
        <v>0</v>
      </c>
      <c r="AE704" s="926" t="s">
        <v>54</v>
      </c>
      <c r="AF704" s="926">
        <f t="shared" si="103"/>
        <v>0</v>
      </c>
      <c r="AG704" s="926" t="s">
        <v>107</v>
      </c>
      <c r="AH704" s="927">
        <v>60</v>
      </c>
      <c r="AI704" s="926" t="s">
        <v>692</v>
      </c>
      <c r="AJ704" s="923">
        <v>1</v>
      </c>
      <c r="AK704" s="928" t="s">
        <v>108</v>
      </c>
      <c r="AL704" s="928" t="s">
        <v>109</v>
      </c>
      <c r="AM704" s="929">
        <v>0</v>
      </c>
      <c r="AN704" s="929">
        <v>0</v>
      </c>
      <c r="AO704" s="928" t="s">
        <v>110</v>
      </c>
      <c r="AP704" s="928"/>
      <c r="AQ704" s="929">
        <v>1</v>
      </c>
      <c r="AR704" s="929">
        <v>0</v>
      </c>
      <c r="AS704" s="929">
        <v>0</v>
      </c>
      <c r="AT704" s="929">
        <v>0</v>
      </c>
      <c r="AU704" s="929">
        <v>0</v>
      </c>
      <c r="AV704" s="929"/>
      <c r="AW704" s="930"/>
      <c r="AX704" s="1575"/>
      <c r="AY704" s="1528" t="str">
        <f t="shared" si="104"/>
        <v/>
      </c>
      <c r="AZ704" s="1528" t="str">
        <f t="shared" si="105"/>
        <v/>
      </c>
      <c r="BA704" s="1528" t="str">
        <f t="shared" si="106"/>
        <v/>
      </c>
      <c r="BB704" s="1528" t="str">
        <f t="shared" si="107"/>
        <v/>
      </c>
      <c r="BC704" s="22"/>
      <c r="BD704" s="1340" t="s">
        <v>1106</v>
      </c>
    </row>
    <row r="705" spans="1:56" ht="11.25" customHeight="1">
      <c r="A705" s="857">
        <v>45</v>
      </c>
      <c r="B705" s="148" t="s">
        <v>643</v>
      </c>
      <c r="C705" s="156" t="s">
        <v>644</v>
      </c>
      <c r="D705" s="61"/>
      <c r="E705" s="141" t="s">
        <v>125</v>
      </c>
      <c r="F705" s="63"/>
      <c r="G705" s="141" t="s">
        <v>643</v>
      </c>
      <c r="H705" s="156" t="s">
        <v>644</v>
      </c>
      <c r="I705" s="61"/>
      <c r="J705" s="141" t="s">
        <v>125</v>
      </c>
      <c r="K705" s="79"/>
      <c r="L705" s="957" t="s">
        <v>482</v>
      </c>
      <c r="M705" s="146"/>
      <c r="N705" s="1378" t="s">
        <v>696</v>
      </c>
      <c r="O705" s="1380"/>
      <c r="P705" s="63"/>
      <c r="Q705" s="63"/>
      <c r="R705" s="63"/>
      <c r="S705" s="63"/>
      <c r="T705" s="63"/>
      <c r="U705" s="63"/>
      <c r="V705" s="63"/>
      <c r="W705" s="81"/>
      <c r="X705" s="939" t="s">
        <v>482</v>
      </c>
      <c r="Y705" s="698"/>
      <c r="Z705" s="923" t="s">
        <v>106</v>
      </c>
      <c r="AA705" s="924">
        <f t="shared" si="99"/>
        <v>100</v>
      </c>
      <c r="AB705" s="924">
        <f t="shared" si="100"/>
        <v>400</v>
      </c>
      <c r="AC705" s="925">
        <f t="shared" si="101"/>
        <v>0.05</v>
      </c>
      <c r="AD705" s="923">
        <f t="shared" si="102"/>
        <v>0</v>
      </c>
      <c r="AE705" s="926" t="s">
        <v>54</v>
      </c>
      <c r="AF705" s="926">
        <f t="shared" si="103"/>
        <v>0</v>
      </c>
      <c r="AG705" s="926" t="s">
        <v>107</v>
      </c>
      <c r="AH705" s="927">
        <v>60</v>
      </c>
      <c r="AI705" s="926" t="s">
        <v>692</v>
      </c>
      <c r="AJ705" s="923">
        <v>1</v>
      </c>
      <c r="AK705" s="928" t="s">
        <v>108</v>
      </c>
      <c r="AL705" s="928" t="s">
        <v>109</v>
      </c>
      <c r="AM705" s="929">
        <v>0</v>
      </c>
      <c r="AN705" s="929">
        <v>0</v>
      </c>
      <c r="AO705" s="928" t="s">
        <v>110</v>
      </c>
      <c r="AP705" s="928"/>
      <c r="AQ705" s="929">
        <v>0</v>
      </c>
      <c r="AR705" s="929">
        <v>1</v>
      </c>
      <c r="AS705" s="929">
        <v>0</v>
      </c>
      <c r="AT705" s="929">
        <v>0</v>
      </c>
      <c r="AU705" s="929">
        <v>0</v>
      </c>
      <c r="AV705" s="929"/>
      <c r="AW705" s="930"/>
      <c r="AX705" s="1575"/>
      <c r="AY705" s="1528" t="str">
        <f t="shared" si="104"/>
        <v/>
      </c>
      <c r="AZ705" s="1528" t="str">
        <f t="shared" si="105"/>
        <v/>
      </c>
      <c r="BA705" s="1528" t="str">
        <f t="shared" si="106"/>
        <v/>
      </c>
      <c r="BB705" s="1528" t="str">
        <f t="shared" si="107"/>
        <v/>
      </c>
      <c r="BC705" s="22"/>
      <c r="BD705" s="1342" t="s">
        <v>1110</v>
      </c>
    </row>
    <row r="706" spans="1:56" ht="11.25" customHeight="1" thickBot="1">
      <c r="A706" s="857">
        <v>46</v>
      </c>
      <c r="B706" s="339" t="s">
        <v>539</v>
      </c>
      <c r="C706" s="283" t="s">
        <v>125</v>
      </c>
      <c r="D706" s="283" t="s">
        <v>126</v>
      </c>
      <c r="E706" s="340" t="s">
        <v>136</v>
      </c>
      <c r="F706" s="119"/>
      <c r="G706" s="340" t="s">
        <v>539</v>
      </c>
      <c r="H706" s="283" t="s">
        <v>125</v>
      </c>
      <c r="I706" s="283" t="s">
        <v>126</v>
      </c>
      <c r="J706" s="340" t="s">
        <v>136</v>
      </c>
      <c r="K706" s="79"/>
      <c r="L706" s="957" t="s">
        <v>482</v>
      </c>
      <c r="M706" s="386" t="s">
        <v>137</v>
      </c>
      <c r="N706" s="156"/>
      <c r="O706" s="156"/>
      <c r="P706" s="156"/>
      <c r="Q706" s="56"/>
      <c r="R706" s="56"/>
      <c r="S706" s="56"/>
      <c r="T706" s="56"/>
      <c r="U706" s="56"/>
      <c r="V706" s="56"/>
      <c r="W706" s="79"/>
      <c r="X706" s="939" t="s">
        <v>482</v>
      </c>
      <c r="Y706" s="698"/>
      <c r="Z706" s="923" t="s">
        <v>106</v>
      </c>
      <c r="AA706" s="924">
        <f t="shared" si="99"/>
        <v>100</v>
      </c>
      <c r="AB706" s="924">
        <f t="shared" si="100"/>
        <v>400</v>
      </c>
      <c r="AC706" s="1648">
        <f t="shared" si="101"/>
        <v>0.05</v>
      </c>
      <c r="AD706" s="923">
        <f t="shared" si="102"/>
        <v>0</v>
      </c>
      <c r="AE706" s="923" t="s">
        <v>135</v>
      </c>
      <c r="AF706" s="923">
        <f t="shared" si="103"/>
        <v>0</v>
      </c>
      <c r="AG706" s="923" t="s">
        <v>107</v>
      </c>
      <c r="AH706" s="923">
        <v>60</v>
      </c>
      <c r="AI706" s="923" t="s">
        <v>692</v>
      </c>
      <c r="AJ706" s="923">
        <v>1</v>
      </c>
      <c r="AK706" s="923" t="s">
        <v>108</v>
      </c>
      <c r="AL706" s="923" t="s">
        <v>109</v>
      </c>
      <c r="AM706" s="924">
        <v>0</v>
      </c>
      <c r="AN706" s="924">
        <v>0</v>
      </c>
      <c r="AO706" s="923" t="s">
        <v>110</v>
      </c>
      <c r="AP706" s="923"/>
      <c r="AQ706" s="924">
        <v>0</v>
      </c>
      <c r="AR706" s="924">
        <v>1</v>
      </c>
      <c r="AS706" s="924">
        <v>1</v>
      </c>
      <c r="AT706" s="924">
        <v>0</v>
      </c>
      <c r="AU706" s="924">
        <v>0</v>
      </c>
      <c r="AV706" s="923"/>
      <c r="AW706" s="923"/>
      <c r="AX706" s="1649"/>
      <c r="AY706" s="1649" t="str">
        <f t="shared" si="104"/>
        <v/>
      </c>
      <c r="AZ706" s="1649" t="str">
        <f t="shared" si="105"/>
        <v/>
      </c>
      <c r="BA706" s="1649" t="str">
        <f t="shared" si="106"/>
        <v/>
      </c>
      <c r="BB706" s="1649" t="str">
        <f t="shared" si="107"/>
        <v/>
      </c>
      <c r="BC706" s="923"/>
      <c r="BD706" s="1342" t="s">
        <v>1110</v>
      </c>
    </row>
    <row r="707" spans="1:56" ht="11.25" customHeight="1">
      <c r="A707" s="857">
        <v>47</v>
      </c>
      <c r="B707" s="726">
        <f t="shared" ref="B707:B714" si="110">IF(Q694="","",Q694)</f>
        <v>60</v>
      </c>
      <c r="C707" s="490" t="str">
        <f t="shared" ref="C707:D714" si="111">IF(T694="","",T694)</f>
        <v/>
      </c>
      <c r="D707" s="491"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7" t="s">
        <v>482</v>
      </c>
      <c r="M707" s="155"/>
      <c r="N707" s="63"/>
      <c r="O707" s="63"/>
      <c r="P707" s="63"/>
      <c r="Q707" s="63"/>
      <c r="R707" s="63"/>
      <c r="S707" s="63"/>
      <c r="T707" s="63"/>
      <c r="U707" s="63"/>
      <c r="V707" s="63"/>
      <c r="W707" s="81"/>
      <c r="X707" s="939" t="s">
        <v>482</v>
      </c>
      <c r="Y707" s="844"/>
      <c r="Z707" s="933" t="s">
        <v>106</v>
      </c>
      <c r="AA707" s="924">
        <f t="shared" si="99"/>
        <v>120</v>
      </c>
      <c r="AB707" s="924">
        <f t="shared" si="100"/>
        <v>400</v>
      </c>
      <c r="AC707" s="925">
        <f t="shared" si="101"/>
        <v>0.05</v>
      </c>
      <c r="AD707" s="923">
        <f t="shared" si="102"/>
        <v>0</v>
      </c>
      <c r="AE707" s="926" t="s">
        <v>135</v>
      </c>
      <c r="AF707" s="926">
        <f t="shared" si="103"/>
        <v>0</v>
      </c>
      <c r="AG707" s="926" t="s">
        <v>107</v>
      </c>
      <c r="AH707" s="927">
        <v>60</v>
      </c>
      <c r="AI707" s="926" t="s">
        <v>692</v>
      </c>
      <c r="AJ707" s="923">
        <v>1</v>
      </c>
      <c r="AK707" s="923" t="s">
        <v>108</v>
      </c>
      <c r="AL707" s="923" t="s">
        <v>109</v>
      </c>
      <c r="AM707" s="924">
        <v>0</v>
      </c>
      <c r="AN707" s="924">
        <v>0</v>
      </c>
      <c r="AO707" s="923" t="s">
        <v>110</v>
      </c>
      <c r="AP707" s="923"/>
      <c r="AQ707" s="924">
        <v>0</v>
      </c>
      <c r="AR707" s="924">
        <v>1</v>
      </c>
      <c r="AS707" s="924">
        <v>0</v>
      </c>
      <c r="AT707" s="924">
        <v>0</v>
      </c>
      <c r="AU707" s="924">
        <v>0</v>
      </c>
      <c r="AV707" s="924"/>
      <c r="AW707" s="1650"/>
      <c r="AX707" s="1651"/>
      <c r="AY707" s="1649" t="str">
        <f t="shared" si="104"/>
        <v/>
      </c>
      <c r="AZ707" s="1649" t="str">
        <f t="shared" si="105"/>
        <v/>
      </c>
      <c r="BA707" s="1649" t="str">
        <f t="shared" si="106"/>
        <v/>
      </c>
      <c r="BB707" s="1649" t="str">
        <f t="shared" si="107"/>
        <v/>
      </c>
      <c r="BC707" s="1525"/>
      <c r="BD707" s="1525" t="s">
        <v>1245</v>
      </c>
    </row>
    <row r="708" spans="1:56" ht="11.25" customHeight="1">
      <c r="A708" s="857">
        <v>48</v>
      </c>
      <c r="B708" s="726">
        <f t="shared" si="110"/>
        <v>80</v>
      </c>
      <c r="C708" s="490" t="str">
        <f t="shared" si="111"/>
        <v/>
      </c>
      <c r="D708" s="491" t="str">
        <f t="shared" si="111"/>
        <v/>
      </c>
      <c r="E708" s="338" t="str">
        <f t="shared" si="112"/>
        <v/>
      </c>
      <c r="F708" s="119"/>
      <c r="G708" s="275">
        <f t="shared" si="113"/>
        <v>70</v>
      </c>
      <c r="H708" s="285" t="str">
        <f t="shared" si="114"/>
        <v/>
      </c>
      <c r="I708" s="285" t="str">
        <f t="shared" si="114"/>
        <v/>
      </c>
      <c r="J708" s="338" t="str">
        <f t="shared" si="115"/>
        <v/>
      </c>
      <c r="K708" s="79"/>
      <c r="L708" s="957" t="s">
        <v>482</v>
      </c>
      <c r="M708" s="146"/>
      <c r="N708" s="56"/>
      <c r="O708" s="58"/>
      <c r="P708" s="56"/>
      <c r="Q708" s="56"/>
      <c r="R708" s="56"/>
      <c r="S708" s="56"/>
      <c r="T708" s="56"/>
      <c r="U708" s="56"/>
      <c r="V708" s="56"/>
      <c r="W708" s="79"/>
      <c r="X708" s="939" t="s">
        <v>482</v>
      </c>
      <c r="Y708" s="698"/>
      <c r="Z708" s="923" t="s">
        <v>106</v>
      </c>
      <c r="AA708" s="924">
        <f t="shared" si="99"/>
        <v>120</v>
      </c>
      <c r="AB708" s="924">
        <f t="shared" si="100"/>
        <v>400</v>
      </c>
      <c r="AC708" s="1648">
        <f t="shared" si="101"/>
        <v>0.05</v>
      </c>
      <c r="AD708" s="923">
        <f t="shared" si="102"/>
        <v>0</v>
      </c>
      <c r="AE708" s="923" t="s">
        <v>135</v>
      </c>
      <c r="AF708" s="923">
        <f t="shared" si="103"/>
        <v>0</v>
      </c>
      <c r="AG708" s="923" t="s">
        <v>107</v>
      </c>
      <c r="AH708" s="923">
        <v>60</v>
      </c>
      <c r="AI708" s="923" t="s">
        <v>692</v>
      </c>
      <c r="AJ708" s="923">
        <v>1</v>
      </c>
      <c r="AK708" s="923" t="s">
        <v>108</v>
      </c>
      <c r="AL708" s="923" t="s">
        <v>109</v>
      </c>
      <c r="AM708" s="924">
        <v>0</v>
      </c>
      <c r="AN708" s="924">
        <v>0</v>
      </c>
      <c r="AO708" s="923" t="s">
        <v>110</v>
      </c>
      <c r="AP708" s="923"/>
      <c r="AQ708" s="924">
        <v>0</v>
      </c>
      <c r="AR708" s="924">
        <v>1</v>
      </c>
      <c r="AS708" s="924">
        <v>1</v>
      </c>
      <c r="AT708" s="924">
        <v>0</v>
      </c>
      <c r="AU708" s="924">
        <v>0</v>
      </c>
      <c r="AV708" s="923"/>
      <c r="AW708" s="923"/>
      <c r="AX708" s="1649"/>
      <c r="AY708" s="1649" t="str">
        <f t="shared" si="104"/>
        <v/>
      </c>
      <c r="AZ708" s="1649" t="str">
        <f t="shared" si="105"/>
        <v/>
      </c>
      <c r="BA708" s="1649" t="str">
        <f t="shared" si="106"/>
        <v/>
      </c>
      <c r="BB708" s="1649" t="str">
        <f t="shared" si="107"/>
        <v/>
      </c>
      <c r="BC708" s="923"/>
      <c r="BD708" s="1525" t="s">
        <v>1245</v>
      </c>
    </row>
    <row r="709" spans="1:56" ht="11.25" customHeight="1">
      <c r="A709" s="857">
        <v>49</v>
      </c>
      <c r="B709" s="726">
        <f t="shared" si="110"/>
        <v>100</v>
      </c>
      <c r="C709" s="490" t="str">
        <f t="shared" si="111"/>
        <v/>
      </c>
      <c r="D709" s="491" t="str">
        <f t="shared" si="111"/>
        <v/>
      </c>
      <c r="E709" s="338" t="str">
        <f t="shared" si="112"/>
        <v/>
      </c>
      <c r="F709" s="119"/>
      <c r="G709" s="275">
        <f t="shared" si="113"/>
        <v>90</v>
      </c>
      <c r="H709" s="285" t="str">
        <f t="shared" si="114"/>
        <v/>
      </c>
      <c r="I709" s="285" t="str">
        <f t="shared" si="114"/>
        <v/>
      </c>
      <c r="J709" s="338" t="str">
        <f t="shared" si="115"/>
        <v/>
      </c>
      <c r="K709" s="79"/>
      <c r="L709" s="957" t="s">
        <v>482</v>
      </c>
      <c r="M709" s="146"/>
      <c r="N709" s="56"/>
      <c r="O709" s="56"/>
      <c r="P709" s="56"/>
      <c r="Q709" s="115" t="s">
        <v>113</v>
      </c>
      <c r="R709" s="56"/>
      <c r="S709" s="63"/>
      <c r="T709" s="56"/>
      <c r="U709" s="56"/>
      <c r="V709" s="56"/>
      <c r="W709" s="79"/>
      <c r="X709" s="939" t="s">
        <v>482</v>
      </c>
      <c r="Y709" s="698"/>
      <c r="Z709" s="933" t="s">
        <v>106</v>
      </c>
      <c r="AA709" s="924">
        <f t="shared" si="99"/>
        <v>140</v>
      </c>
      <c r="AB709" s="924">
        <f t="shared" si="100"/>
        <v>400</v>
      </c>
      <c r="AC709" s="925">
        <f t="shared" si="101"/>
        <v>0.05</v>
      </c>
      <c r="AD709" s="923">
        <f t="shared" si="102"/>
        <v>0</v>
      </c>
      <c r="AE709" s="926" t="s">
        <v>135</v>
      </c>
      <c r="AF709" s="926">
        <f t="shared" si="103"/>
        <v>0</v>
      </c>
      <c r="AG709" s="926" t="s">
        <v>107</v>
      </c>
      <c r="AH709" s="927">
        <v>60</v>
      </c>
      <c r="AI709" s="926" t="s">
        <v>692</v>
      </c>
      <c r="AJ709" s="923">
        <v>1</v>
      </c>
      <c r="AK709" s="928" t="s">
        <v>108</v>
      </c>
      <c r="AL709" s="928" t="s">
        <v>109</v>
      </c>
      <c r="AM709" s="929">
        <v>0</v>
      </c>
      <c r="AN709" s="929">
        <v>0</v>
      </c>
      <c r="AO709" s="928" t="s">
        <v>110</v>
      </c>
      <c r="AP709" s="928"/>
      <c r="AQ709" s="929">
        <v>0</v>
      </c>
      <c r="AR709" s="929">
        <v>1</v>
      </c>
      <c r="AS709" s="929">
        <v>0</v>
      </c>
      <c r="AT709" s="929">
        <v>0</v>
      </c>
      <c r="AU709" s="929">
        <v>0</v>
      </c>
      <c r="AV709" s="929"/>
      <c r="AW709" s="930"/>
      <c r="AX709" s="1575"/>
      <c r="AY709" s="1528" t="str">
        <f t="shared" si="104"/>
        <v/>
      </c>
      <c r="AZ709" s="1528" t="str">
        <f t="shared" si="105"/>
        <v/>
      </c>
      <c r="BA709" s="1528" t="str">
        <f t="shared" si="106"/>
        <v/>
      </c>
      <c r="BB709" s="1528" t="str">
        <f t="shared" si="107"/>
        <v/>
      </c>
      <c r="BC709" s="22"/>
      <c r="BD709" s="1342" t="s">
        <v>1110</v>
      </c>
    </row>
    <row r="710" spans="1:56" ht="11.25" customHeight="1">
      <c r="A710" s="857">
        <v>50</v>
      </c>
      <c r="B710" s="726">
        <f t="shared" si="110"/>
        <v>120</v>
      </c>
      <c r="C710" s="490" t="str">
        <f t="shared" si="111"/>
        <v/>
      </c>
      <c r="D710" s="491" t="str">
        <f t="shared" si="111"/>
        <v/>
      </c>
      <c r="E710" s="338" t="str">
        <f t="shared" si="112"/>
        <v/>
      </c>
      <c r="F710" s="119"/>
      <c r="G710" s="275">
        <f t="shared" si="113"/>
        <v>110</v>
      </c>
      <c r="H710" s="285" t="str">
        <f t="shared" si="114"/>
        <v/>
      </c>
      <c r="I710" s="285" t="str">
        <f t="shared" si="114"/>
        <v/>
      </c>
      <c r="J710" s="338" t="str">
        <f t="shared" si="115"/>
        <v/>
      </c>
      <c r="K710" s="79"/>
      <c r="L710" s="957" t="s">
        <v>482</v>
      </c>
      <c r="M710" s="146" t="s">
        <v>114</v>
      </c>
      <c r="N710" s="281" t="s">
        <v>115</v>
      </c>
      <c r="O710" s="281" t="s">
        <v>116</v>
      </c>
      <c r="P710" s="281" t="s">
        <v>117</v>
      </c>
      <c r="Q710" s="56"/>
      <c r="R710" s="281"/>
      <c r="S710" s="281" t="s">
        <v>119</v>
      </c>
      <c r="T710" s="146"/>
      <c r="U710" s="58" t="s">
        <v>120</v>
      </c>
      <c r="V710" s="56"/>
      <c r="W710" s="79"/>
      <c r="X710" s="939" t="s">
        <v>482</v>
      </c>
      <c r="Y710" s="698"/>
      <c r="Z710" s="1325" t="s">
        <v>106</v>
      </c>
      <c r="AA710" s="1326">
        <f t="shared" si="99"/>
        <v>50</v>
      </c>
      <c r="AB710" s="1326">
        <f t="shared" si="100"/>
        <v>100</v>
      </c>
      <c r="AC710" s="1327">
        <f t="shared" si="101"/>
        <v>0.1</v>
      </c>
      <c r="AD710" s="1328">
        <f t="shared" si="102"/>
        <v>0</v>
      </c>
      <c r="AE710" s="1329" t="s">
        <v>55</v>
      </c>
      <c r="AF710" s="1329">
        <f t="shared" si="103"/>
        <v>0</v>
      </c>
      <c r="AG710" s="1329" t="s">
        <v>107</v>
      </c>
      <c r="AH710" s="1330">
        <v>60</v>
      </c>
      <c r="AI710" s="1329" t="s">
        <v>692</v>
      </c>
      <c r="AJ710" s="1328">
        <v>1</v>
      </c>
      <c r="AK710" s="1328" t="s">
        <v>108</v>
      </c>
      <c r="AL710" s="1328" t="s">
        <v>109</v>
      </c>
      <c r="AM710" s="1326">
        <v>0</v>
      </c>
      <c r="AN710" s="1326">
        <v>0</v>
      </c>
      <c r="AO710" s="1325" t="s">
        <v>138</v>
      </c>
      <c r="AP710" s="1331"/>
      <c r="AQ710" s="1326">
        <v>0</v>
      </c>
      <c r="AR710" s="1326">
        <v>1</v>
      </c>
      <c r="AS710" s="1326">
        <v>0</v>
      </c>
      <c r="AT710" s="1326">
        <v>0</v>
      </c>
      <c r="AU710" s="1326">
        <v>0</v>
      </c>
      <c r="AV710" s="1326"/>
      <c r="AW710" s="1332"/>
      <c r="AX710" s="1577"/>
      <c r="AY710" s="1530" t="str">
        <f t="shared" si="104"/>
        <v/>
      </c>
      <c r="AZ710" s="1530" t="str">
        <f t="shared" si="105"/>
        <v/>
      </c>
      <c r="BA710" s="1530" t="str">
        <f t="shared" si="106"/>
        <v/>
      </c>
      <c r="BB710" s="1530" t="str">
        <f t="shared" si="107"/>
        <v/>
      </c>
      <c r="BC710" s="1211"/>
      <c r="BD710" s="1345" t="s">
        <v>1110</v>
      </c>
    </row>
    <row r="711" spans="1:56" ht="11.25" customHeight="1" thickBot="1">
      <c r="A711" s="857">
        <v>51</v>
      </c>
      <c r="B711" s="726">
        <f t="shared" si="110"/>
        <v>140</v>
      </c>
      <c r="C711" s="490" t="str">
        <f t="shared" si="111"/>
        <v/>
      </c>
      <c r="D711" s="491" t="str">
        <f t="shared" si="111"/>
        <v/>
      </c>
      <c r="E711" s="338" t="str">
        <f t="shared" si="112"/>
        <v/>
      </c>
      <c r="F711" s="119"/>
      <c r="G711" s="275">
        <f t="shared" si="113"/>
        <v>130</v>
      </c>
      <c r="H711" s="285" t="str">
        <f t="shared" si="114"/>
        <v/>
      </c>
      <c r="I711" s="285" t="str">
        <f t="shared" si="114"/>
        <v/>
      </c>
      <c r="J711" s="338" t="str">
        <f t="shared" si="115"/>
        <v/>
      </c>
      <c r="K711" s="79"/>
      <c r="L711" s="957" t="s">
        <v>482</v>
      </c>
      <c r="M711" s="284" t="s">
        <v>121</v>
      </c>
      <c r="N711" s="868" t="s">
        <v>692</v>
      </c>
      <c r="O711" s="171" t="s">
        <v>122</v>
      </c>
      <c r="P711" s="171" t="s">
        <v>90</v>
      </c>
      <c r="Q711" s="283" t="s">
        <v>123</v>
      </c>
      <c r="R711" s="283" t="str">
        <f>IF(AND(LFMAS="",SFMAS=""),"mA/mAs",IF(O712="Large",LFMAS,SFMAS))</f>
        <v>mA</v>
      </c>
      <c r="S711" s="171" t="s">
        <v>124</v>
      </c>
      <c r="T711" s="284" t="s">
        <v>125</v>
      </c>
      <c r="U711" s="171" t="s">
        <v>126</v>
      </c>
      <c r="V711" s="171" t="s">
        <v>124</v>
      </c>
      <c r="W711" s="291" t="s">
        <v>1167</v>
      </c>
      <c r="X711" s="939" t="s">
        <v>482</v>
      </c>
      <c r="Y711" s="698"/>
      <c r="Z711" s="1325" t="s">
        <v>106</v>
      </c>
      <c r="AA711" s="1326">
        <f t="shared" si="99"/>
        <v>70</v>
      </c>
      <c r="AB711" s="1326">
        <f t="shared" si="100"/>
        <v>100</v>
      </c>
      <c r="AC711" s="1327">
        <f t="shared" si="101"/>
        <v>0.1</v>
      </c>
      <c r="AD711" s="1328">
        <f t="shared" si="102"/>
        <v>0</v>
      </c>
      <c r="AE711" s="1329" t="s">
        <v>53</v>
      </c>
      <c r="AF711" s="1329">
        <f t="shared" si="103"/>
        <v>0</v>
      </c>
      <c r="AG711" s="1329" t="s">
        <v>107</v>
      </c>
      <c r="AH711" s="1330">
        <v>60</v>
      </c>
      <c r="AI711" s="1329" t="s">
        <v>692</v>
      </c>
      <c r="AJ711" s="1328">
        <v>1</v>
      </c>
      <c r="AK711" s="1328" t="s">
        <v>108</v>
      </c>
      <c r="AL711" s="1328" t="s">
        <v>109</v>
      </c>
      <c r="AM711" s="1326">
        <v>0</v>
      </c>
      <c r="AN711" s="1326">
        <v>0</v>
      </c>
      <c r="AO711" s="1325" t="s">
        <v>138</v>
      </c>
      <c r="AP711" s="1331"/>
      <c r="AQ711" s="1326">
        <v>0</v>
      </c>
      <c r="AR711" s="1326">
        <v>1</v>
      </c>
      <c r="AS711" s="1326">
        <v>0</v>
      </c>
      <c r="AT711" s="1326">
        <v>0</v>
      </c>
      <c r="AU711" s="1326">
        <v>0</v>
      </c>
      <c r="AV711" s="1326"/>
      <c r="AW711" s="1332"/>
      <c r="AX711" s="1577"/>
      <c r="AY711" s="1530" t="str">
        <f t="shared" si="104"/>
        <v/>
      </c>
      <c r="AZ711" s="1530" t="str">
        <f t="shared" si="105"/>
        <v/>
      </c>
      <c r="BA711" s="1530" t="str">
        <f t="shared" si="106"/>
        <v/>
      </c>
      <c r="BB711" s="1530" t="str">
        <f t="shared" si="107"/>
        <v/>
      </c>
      <c r="BC711" s="1211"/>
      <c r="BD711" s="1345" t="s">
        <v>1110</v>
      </c>
    </row>
    <row r="712" spans="1:56" ht="11.25" customHeight="1">
      <c r="A712" s="857">
        <v>52</v>
      </c>
      <c r="B712" s="726" t="str">
        <f t="shared" si="110"/>
        <v/>
      </c>
      <c r="C712" s="490" t="str">
        <f t="shared" si="111"/>
        <v/>
      </c>
      <c r="D712" s="491" t="str">
        <f t="shared" si="111"/>
        <v/>
      </c>
      <c r="E712" s="338" t="str">
        <f t="shared" si="112"/>
        <v/>
      </c>
      <c r="F712" s="119"/>
      <c r="G712" s="275" t="str">
        <f t="shared" si="113"/>
        <v/>
      </c>
      <c r="H712" s="285" t="str">
        <f t="shared" si="114"/>
        <v/>
      </c>
      <c r="I712" s="285" t="str">
        <f t="shared" si="114"/>
        <v/>
      </c>
      <c r="J712" s="338" t="str">
        <f t="shared" si="115"/>
        <v/>
      </c>
      <c r="K712" s="79"/>
      <c r="L712" s="957" t="s">
        <v>482</v>
      </c>
      <c r="M712" s="636" t="str">
        <f>IF(OR(Q712="",AM710="",AM710=0),"","Delay:"&amp;AM710&amp;"ms")</f>
        <v/>
      </c>
      <c r="N712" s="644">
        <f>$N$694</f>
        <v>60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t="str">
        <f>IF(AZ710="","",AZ710)</f>
        <v/>
      </c>
      <c r="U712" s="650" t="str">
        <f>IF(AX710="","",AX710)</f>
        <v/>
      </c>
      <c r="V712" s="581" t="str">
        <f t="shared" ref="V712:W714" si="116">IF(BA710="","",BA710)</f>
        <v/>
      </c>
      <c r="W712" s="582" t="str">
        <f t="shared" si="116"/>
        <v/>
      </c>
      <c r="X712" s="939" t="s">
        <v>482</v>
      </c>
      <c r="Y712" s="698"/>
      <c r="Z712" s="1325" t="s">
        <v>106</v>
      </c>
      <c r="AA712" s="1326">
        <f t="shared" si="99"/>
        <v>90</v>
      </c>
      <c r="AB712" s="1326">
        <f t="shared" si="100"/>
        <v>100</v>
      </c>
      <c r="AC712" s="1327">
        <f t="shared" si="101"/>
        <v>0.1</v>
      </c>
      <c r="AD712" s="1328">
        <f t="shared" si="102"/>
        <v>0</v>
      </c>
      <c r="AE712" s="1329" t="s">
        <v>54</v>
      </c>
      <c r="AF712" s="1329">
        <f t="shared" si="103"/>
        <v>0</v>
      </c>
      <c r="AG712" s="1329" t="s">
        <v>107</v>
      </c>
      <c r="AH712" s="1330">
        <v>60</v>
      </c>
      <c r="AI712" s="1329" t="s">
        <v>692</v>
      </c>
      <c r="AJ712" s="1328">
        <v>1</v>
      </c>
      <c r="AK712" s="1328" t="s">
        <v>108</v>
      </c>
      <c r="AL712" s="1328" t="s">
        <v>109</v>
      </c>
      <c r="AM712" s="1326">
        <v>0</v>
      </c>
      <c r="AN712" s="1326">
        <v>0</v>
      </c>
      <c r="AO712" s="1325" t="s">
        <v>138</v>
      </c>
      <c r="AP712" s="1331"/>
      <c r="AQ712" s="1326">
        <v>0</v>
      </c>
      <c r="AR712" s="1326">
        <v>1</v>
      </c>
      <c r="AS712" s="1326">
        <v>0</v>
      </c>
      <c r="AT712" s="1326">
        <v>0</v>
      </c>
      <c r="AU712" s="1326">
        <v>1</v>
      </c>
      <c r="AV712" s="1326"/>
      <c r="AW712" s="1332"/>
      <c r="AX712" s="1577"/>
      <c r="AY712" s="1530" t="str">
        <f t="shared" si="104"/>
        <v/>
      </c>
      <c r="AZ712" s="1530" t="str">
        <f t="shared" si="105"/>
        <v/>
      </c>
      <c r="BA712" s="1530" t="str">
        <f t="shared" si="106"/>
        <v/>
      </c>
      <c r="BB712" s="1530" t="str">
        <f t="shared" si="107"/>
        <v/>
      </c>
      <c r="BC712" s="1211"/>
      <c r="BD712" s="1337" t="s">
        <v>1117</v>
      </c>
    </row>
    <row r="713" spans="1:56" ht="11.25" customHeight="1">
      <c r="A713" s="857">
        <v>53</v>
      </c>
      <c r="B713" s="726" t="str">
        <f t="shared" si="110"/>
        <v/>
      </c>
      <c r="C713" s="490" t="str">
        <f t="shared" si="111"/>
        <v/>
      </c>
      <c r="D713" s="491" t="str">
        <f t="shared" si="111"/>
        <v/>
      </c>
      <c r="E713" s="338" t="str">
        <f t="shared" si="112"/>
        <v/>
      </c>
      <c r="F713" s="119"/>
      <c r="G713" s="56"/>
      <c r="H713" s="56"/>
      <c r="I713" s="63"/>
      <c r="J713" s="63"/>
      <c r="K713" s="79"/>
      <c r="L713" s="957" t="s">
        <v>482</v>
      </c>
      <c r="M713" s="636" t="str">
        <f>IF(OR(Q713="",AM711="",AM711=0),"","Delay:"&amp;AM711&amp;"ms")</f>
        <v/>
      </c>
      <c r="N713" s="651">
        <f>IF(OR($N$712="",Q713=""),"",$N$712)</f>
        <v>60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t="str">
        <f>IF(AZ711="","",AZ711)</f>
        <v/>
      </c>
      <c r="U713" s="650" t="str">
        <f>IF(AX711="","",AX711)</f>
        <v/>
      </c>
      <c r="V713" s="581" t="str">
        <f t="shared" si="116"/>
        <v/>
      </c>
      <c r="W713" s="582" t="str">
        <f t="shared" si="116"/>
        <v/>
      </c>
      <c r="X713" s="939" t="s">
        <v>482</v>
      </c>
      <c r="Y713" s="698"/>
      <c r="Z713" s="1325" t="s">
        <v>106</v>
      </c>
      <c r="AA713" s="1326">
        <f t="shared" si="99"/>
        <v>90</v>
      </c>
      <c r="AB713" s="1326">
        <f t="shared" si="100"/>
        <v>100</v>
      </c>
      <c r="AC713" s="1327">
        <f t="shared" si="101"/>
        <v>0.1</v>
      </c>
      <c r="AD713" s="1328">
        <f t="shared" si="102"/>
        <v>0</v>
      </c>
      <c r="AE713" s="1329" t="s">
        <v>54</v>
      </c>
      <c r="AF713" s="1329">
        <f t="shared" si="103"/>
        <v>0</v>
      </c>
      <c r="AG713" s="1329" t="s">
        <v>107</v>
      </c>
      <c r="AH713" s="1330">
        <v>60</v>
      </c>
      <c r="AI713" s="1329" t="s">
        <v>692</v>
      </c>
      <c r="AJ713" s="1328">
        <v>1</v>
      </c>
      <c r="AK713" s="1328" t="s">
        <v>108</v>
      </c>
      <c r="AL713" s="1328" t="s">
        <v>109</v>
      </c>
      <c r="AM713" s="1326">
        <v>0</v>
      </c>
      <c r="AN713" s="1326">
        <v>0</v>
      </c>
      <c r="AO713" s="1325" t="s">
        <v>138</v>
      </c>
      <c r="AP713" s="1331"/>
      <c r="AQ713" s="1326">
        <v>0</v>
      </c>
      <c r="AR713" s="1326">
        <v>0</v>
      </c>
      <c r="AS713" s="1326">
        <v>0</v>
      </c>
      <c r="AT713" s="1326">
        <v>0</v>
      </c>
      <c r="AU713" s="1326">
        <v>1</v>
      </c>
      <c r="AV713" s="1326"/>
      <c r="AW713" s="1332"/>
      <c r="AX713" s="1577"/>
      <c r="AY713" s="1530" t="str">
        <f t="shared" si="104"/>
        <v/>
      </c>
      <c r="AZ713" s="1530" t="str">
        <f t="shared" si="105"/>
        <v/>
      </c>
      <c r="BA713" s="1530" t="str">
        <f t="shared" si="106"/>
        <v/>
      </c>
      <c r="BB713" s="1530" t="str">
        <f t="shared" si="107"/>
        <v/>
      </c>
      <c r="BC713" s="1211"/>
      <c r="BD713" s="1337" t="s">
        <v>1105</v>
      </c>
    </row>
    <row r="714" spans="1:56" ht="11.25" customHeight="1">
      <c r="A714" s="857">
        <v>54</v>
      </c>
      <c r="B714" s="727" t="str">
        <f t="shared" si="110"/>
        <v/>
      </c>
      <c r="C714" s="492" t="str">
        <f t="shared" si="111"/>
        <v/>
      </c>
      <c r="D714" s="491" t="str">
        <f t="shared" si="111"/>
        <v/>
      </c>
      <c r="E714" s="338" t="str">
        <f t="shared" si="112"/>
        <v/>
      </c>
      <c r="F714" s="119"/>
      <c r="G714" s="56"/>
      <c r="H714" s="56"/>
      <c r="I714" s="56"/>
      <c r="J714" s="56"/>
      <c r="K714" s="79"/>
      <c r="L714" s="957" t="s">
        <v>482</v>
      </c>
      <c r="M714" s="636" t="str">
        <f>IF(OR(Q714="",AM712="",AM712=0),"","Delay:"&amp;AM712&amp;"ms")</f>
        <v/>
      </c>
      <c r="N714" s="651">
        <f>IF(OR($N$712="",Q714=""),"",$N$712)</f>
        <v>60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t="str">
        <f>IF(AZ712="","",AZ712)</f>
        <v/>
      </c>
      <c r="U714" s="650" t="str">
        <f>IF(AX712="","",AX712)</f>
        <v/>
      </c>
      <c r="V714" s="581" t="str">
        <f t="shared" si="116"/>
        <v/>
      </c>
      <c r="W714" s="582" t="str">
        <f t="shared" si="116"/>
        <v/>
      </c>
      <c r="X714" s="939" t="s">
        <v>482</v>
      </c>
      <c r="Y714" s="698"/>
      <c r="Z714" s="1335" t="s">
        <v>106</v>
      </c>
      <c r="AA714" s="1326">
        <f t="shared" si="99"/>
        <v>90</v>
      </c>
      <c r="AB714" s="1326">
        <f t="shared" si="100"/>
        <v>100</v>
      </c>
      <c r="AC714" s="1327">
        <f t="shared" si="101"/>
        <v>0.1</v>
      </c>
      <c r="AD714" s="1328">
        <f t="shared" si="102"/>
        <v>0</v>
      </c>
      <c r="AE714" s="1336" t="s">
        <v>54</v>
      </c>
      <c r="AF714" s="1329">
        <f t="shared" si="103"/>
        <v>0</v>
      </c>
      <c r="AG714" s="1329" t="s">
        <v>107</v>
      </c>
      <c r="AH714" s="1330">
        <v>60</v>
      </c>
      <c r="AI714" s="1329" t="s">
        <v>692</v>
      </c>
      <c r="AJ714" s="1328">
        <v>1</v>
      </c>
      <c r="AK714" s="1328" t="s">
        <v>108</v>
      </c>
      <c r="AL714" s="1328" t="s">
        <v>109</v>
      </c>
      <c r="AM714" s="1326">
        <v>0</v>
      </c>
      <c r="AN714" s="1326">
        <v>1</v>
      </c>
      <c r="AO714" s="1325" t="s">
        <v>138</v>
      </c>
      <c r="AP714" s="1331"/>
      <c r="AQ714" s="1326">
        <v>0</v>
      </c>
      <c r="AR714" s="1326">
        <v>0</v>
      </c>
      <c r="AS714" s="1326">
        <v>0</v>
      </c>
      <c r="AT714" s="1326">
        <v>0</v>
      </c>
      <c r="AU714" s="1326">
        <v>1</v>
      </c>
      <c r="AV714" s="1326"/>
      <c r="AW714" s="1332"/>
      <c r="AX714" s="1577"/>
      <c r="AY714" s="1530" t="str">
        <f t="shared" si="104"/>
        <v/>
      </c>
      <c r="AZ714" s="1530" t="str">
        <f t="shared" si="105"/>
        <v/>
      </c>
      <c r="BA714" s="1530" t="str">
        <f t="shared" si="106"/>
        <v/>
      </c>
      <c r="BB714" s="1530" t="str">
        <f t="shared" si="107"/>
        <v/>
      </c>
      <c r="BC714" s="1211"/>
      <c r="BD714" s="1337" t="s">
        <v>1105</v>
      </c>
    </row>
    <row r="715" spans="1:56" ht="11.25" customHeight="1" thickBot="1">
      <c r="A715" s="857">
        <v>55</v>
      </c>
      <c r="B715" s="139"/>
      <c r="C715" s="56"/>
      <c r="D715" s="63"/>
      <c r="E715" s="63"/>
      <c r="F715" s="56"/>
      <c r="G715" s="56"/>
      <c r="H715" s="56"/>
      <c r="I715" s="56"/>
      <c r="J715" s="56"/>
      <c r="K715" s="79"/>
      <c r="L715" s="957" t="s">
        <v>482</v>
      </c>
      <c r="M715" s="636" t="str">
        <f>IF(OR(Q715="",AM713="",AM713=0),"","Delay:"&amp;AM713&amp;"ms")</f>
        <v/>
      </c>
      <c r="N715" s="651">
        <f>IF(OR($N$712="",Q715=""),"",$N$712)</f>
        <v>60</v>
      </c>
      <c r="O715" s="645" t="str">
        <f>IF(Q715="","",O714)</f>
        <v>Small</v>
      </c>
      <c r="P715" s="646" t="str">
        <f>IF(OR(Q715="",AE722=""),"",AE722&amp;"/"&amp;AK722)</f>
        <v>70-120/Low</v>
      </c>
      <c r="Q715" s="647">
        <f>IF(AND(AA722=0,AB722=0),"",IF(OR(AA722="",AA722=0),IF($P$18="SIEMENS",109,110),AA722))</f>
        <v>110</v>
      </c>
      <c r="R715" s="648">
        <f>IF(Q715="","",IF(OR(AD722="",AD722=0),AB722,AD722))</f>
        <v>100</v>
      </c>
      <c r="S715" s="581">
        <f>IF(Q715="","",IF(OR(AC722="",AC722=0),IF(OR(AP722="No Anomolies",AP722=""),"",AP722),AC722))</f>
        <v>0.1</v>
      </c>
      <c r="T715" s="649" t="str">
        <f>IF(AZ722="","",AZ722)</f>
        <v/>
      </c>
      <c r="U715" s="650" t="str">
        <f>IF(AX722="","",AX722)</f>
        <v/>
      </c>
      <c r="V715" s="581" t="str">
        <f>IF(BA722="","",BA722)</f>
        <v/>
      </c>
      <c r="W715" s="582" t="str">
        <f>IF(BB722="","",BB722)</f>
        <v/>
      </c>
      <c r="X715" s="939" t="s">
        <v>482</v>
      </c>
      <c r="Y715" s="698"/>
      <c r="Z715" s="1325" t="s">
        <v>106</v>
      </c>
      <c r="AA715" s="1326">
        <f t="shared" si="99"/>
        <v>90</v>
      </c>
      <c r="AB715" s="1326">
        <f t="shared" si="100"/>
        <v>100</v>
      </c>
      <c r="AC715" s="1327">
        <f t="shared" si="101"/>
        <v>0.1</v>
      </c>
      <c r="AD715" s="1328">
        <f t="shared" si="102"/>
        <v>0</v>
      </c>
      <c r="AE715" s="1336" t="s">
        <v>54</v>
      </c>
      <c r="AF715" s="1329">
        <f t="shared" si="103"/>
        <v>0</v>
      </c>
      <c r="AG715" s="1329" t="s">
        <v>107</v>
      </c>
      <c r="AH715" s="1330">
        <v>60</v>
      </c>
      <c r="AI715" s="1329" t="s">
        <v>692</v>
      </c>
      <c r="AJ715" s="1328">
        <v>1</v>
      </c>
      <c r="AK715" s="1328" t="s">
        <v>108</v>
      </c>
      <c r="AL715" s="1328" t="s">
        <v>109</v>
      </c>
      <c r="AM715" s="1326">
        <v>0</v>
      </c>
      <c r="AN715" s="1326">
        <v>0</v>
      </c>
      <c r="AO715" s="1325" t="s">
        <v>138</v>
      </c>
      <c r="AP715" s="1331"/>
      <c r="AQ715" s="1326">
        <v>0</v>
      </c>
      <c r="AR715" s="1326">
        <v>0</v>
      </c>
      <c r="AS715" s="1326">
        <v>0</v>
      </c>
      <c r="AT715" s="1326">
        <v>0</v>
      </c>
      <c r="AU715" s="1326">
        <v>1</v>
      </c>
      <c r="AV715" s="1326"/>
      <c r="AW715" s="1332"/>
      <c r="AX715" s="1577"/>
      <c r="AY715" s="1530" t="str">
        <f t="shared" si="104"/>
        <v/>
      </c>
      <c r="AZ715" s="1530" t="str">
        <f t="shared" si="105"/>
        <v/>
      </c>
      <c r="BA715" s="1530" t="str">
        <f t="shared" si="106"/>
        <v/>
      </c>
      <c r="BB715" s="1530" t="str">
        <f t="shared" si="107"/>
        <v/>
      </c>
      <c r="BC715" s="1211"/>
      <c r="BD715" s="1337" t="s">
        <v>1105</v>
      </c>
    </row>
    <row r="716" spans="1:56" ht="11.25" customHeight="1" thickBot="1">
      <c r="A716" s="857">
        <v>56</v>
      </c>
      <c r="B716" s="146"/>
      <c r="C716" s="56"/>
      <c r="D716" s="276" t="s">
        <v>646</v>
      </c>
      <c r="E716" s="277" t="str">
        <f>IF(E707="","TBD",(IF(AND(ABS(MAX(E707:E714))&lt;=0.05,ABS(MIN(E707:E714))&lt;=0.05),"YES","NO")))</f>
        <v>TBD</v>
      </c>
      <c r="F716" s="56"/>
      <c r="G716" s="56"/>
      <c r="H716" s="56"/>
      <c r="I716" s="276" t="s">
        <v>646</v>
      </c>
      <c r="J716" s="277" t="str">
        <f>IF(J707="","TBD",(IF(AND(ABS(MAX(J707:J712))&lt;=0.05,ABS(MIN(J707:J712))&lt;=0.05),"YES","NO")))</f>
        <v>TBD</v>
      </c>
      <c r="K716" s="79"/>
      <c r="L716" s="957" t="s">
        <v>482</v>
      </c>
      <c r="M716" s="636" t="str">
        <f>IF(OR(Q716="",AM714="",AM714=0),"","Delay:"&amp;AM714&amp;"ms")</f>
        <v/>
      </c>
      <c r="N716" s="651">
        <f>IF(OR($N$712="",Q716=""),"",$N$712)</f>
        <v>60</v>
      </c>
      <c r="O716" s="645" t="str">
        <f>IF(Q716="","",O715)</f>
        <v>Small</v>
      </c>
      <c r="P716" s="646" t="str">
        <f>IF(OR(Q716="",AE723=""),"",AE723&amp;"/"&amp;AK723)</f>
        <v>100-155/Low</v>
      </c>
      <c r="Q716" s="647">
        <f>IF(AND(AA723=0,AB723=0),"",IF(OR(AA723="",AA723=0),IF($P$18="SIEMENS",133,130),AA723))</f>
        <v>130</v>
      </c>
      <c r="R716" s="648">
        <f>IF(Q716="","",IF(OR(AD723="",AD723=0),AB723,AD723))</f>
        <v>100</v>
      </c>
      <c r="S716" s="581">
        <f>IF(Q716="","",IF(OR(AC723="",AC723=0),IF(OR(AP723="No Anomolies",AP723=""),"",AP723),AC723))</f>
        <v>0.1</v>
      </c>
      <c r="T716" s="649" t="str">
        <f>IF(AZ723="","",AZ723)</f>
        <v/>
      </c>
      <c r="U716" s="650" t="str">
        <f>IF(AX723="","",AX723)</f>
        <v/>
      </c>
      <c r="V716" s="581" t="str">
        <f>IF(BA723="","",BA723)</f>
        <v/>
      </c>
      <c r="W716" s="582" t="str">
        <f>IF(BB723="","",BB723)</f>
        <v/>
      </c>
      <c r="X716" s="939" t="s">
        <v>482</v>
      </c>
      <c r="Y716" s="698"/>
      <c r="Z716" s="1325" t="s">
        <v>106</v>
      </c>
      <c r="AA716" s="1326">
        <f t="shared" si="99"/>
        <v>90</v>
      </c>
      <c r="AB716" s="1326">
        <f t="shared" si="100"/>
        <v>100</v>
      </c>
      <c r="AC716" s="1327">
        <f t="shared" si="101"/>
        <v>0.1</v>
      </c>
      <c r="AD716" s="1328">
        <f t="shared" si="102"/>
        <v>0</v>
      </c>
      <c r="AE716" s="1336" t="s">
        <v>54</v>
      </c>
      <c r="AF716" s="1329">
        <f t="shared" si="103"/>
        <v>0</v>
      </c>
      <c r="AG716" s="1329" t="s">
        <v>107</v>
      </c>
      <c r="AH716" s="1330">
        <v>60</v>
      </c>
      <c r="AI716" s="1329" t="s">
        <v>692</v>
      </c>
      <c r="AJ716" s="1328">
        <v>1</v>
      </c>
      <c r="AK716" s="1328" t="s">
        <v>108</v>
      </c>
      <c r="AL716" s="1328" t="s">
        <v>109</v>
      </c>
      <c r="AM716" s="1326">
        <v>0</v>
      </c>
      <c r="AN716" s="1326">
        <v>0</v>
      </c>
      <c r="AO716" s="1325" t="s">
        <v>138</v>
      </c>
      <c r="AP716" s="1331"/>
      <c r="AQ716" s="1326">
        <v>0</v>
      </c>
      <c r="AR716" s="1326">
        <v>0</v>
      </c>
      <c r="AS716" s="1326">
        <v>0</v>
      </c>
      <c r="AT716" s="1326">
        <v>0</v>
      </c>
      <c r="AU716" s="1326">
        <v>1</v>
      </c>
      <c r="AV716" s="1326"/>
      <c r="AW716" s="1332"/>
      <c r="AX716" s="1577"/>
      <c r="AY716" s="1530" t="str">
        <f t="shared" si="104"/>
        <v/>
      </c>
      <c r="AZ716" s="1530" t="str">
        <f t="shared" si="105"/>
        <v/>
      </c>
      <c r="BA716" s="1530" t="str">
        <f t="shared" si="106"/>
        <v/>
      </c>
      <c r="BB716" s="1530" t="str">
        <f t="shared" si="107"/>
        <v/>
      </c>
      <c r="BC716" s="1211"/>
      <c r="BD716" s="1337" t="s">
        <v>1105</v>
      </c>
    </row>
    <row r="717" spans="1:56" ht="11.25" customHeight="1">
      <c r="A717" s="857">
        <v>57</v>
      </c>
      <c r="B717" s="155"/>
      <c r="C717" s="63"/>
      <c r="D717" s="63"/>
      <c r="E717" s="63"/>
      <c r="F717" s="63"/>
      <c r="G717" s="63"/>
      <c r="H717" s="63"/>
      <c r="I717" s="63"/>
      <c r="J717" s="63"/>
      <c r="K717" s="79"/>
      <c r="L717" s="957" t="s">
        <v>482</v>
      </c>
      <c r="M717" s="149"/>
      <c r="N717" s="475" t="str">
        <f>IF(OR($N$712="",Q717=""),"",$N$712)</f>
        <v/>
      </c>
      <c r="O717" s="280" t="str">
        <f>IF(Q717="","",O716)</f>
        <v/>
      </c>
      <c r="P717" s="875"/>
      <c r="Q717" s="870"/>
      <c r="R717" s="559" t="str">
        <f>IF(OR($R$712="",Q717=""),"",$R$712)</f>
        <v/>
      </c>
      <c r="S717" s="286" t="str">
        <f>IF(OR($S$712="",Q717=""),"",$S$712)</f>
        <v/>
      </c>
      <c r="T717" s="871"/>
      <c r="U717" s="872"/>
      <c r="V717" s="873"/>
      <c r="W717" s="874"/>
      <c r="X717" s="939" t="s">
        <v>482</v>
      </c>
      <c r="Y717" s="698"/>
      <c r="Z717" s="1325" t="s">
        <v>106</v>
      </c>
      <c r="AA717" s="1326">
        <f t="shared" si="99"/>
        <v>80</v>
      </c>
      <c r="AB717" s="1326">
        <f t="shared" si="100"/>
        <v>100</v>
      </c>
      <c r="AC717" s="1327">
        <f t="shared" si="101"/>
        <v>0.1</v>
      </c>
      <c r="AD717" s="1328">
        <f t="shared" si="102"/>
        <v>0</v>
      </c>
      <c r="AE717" s="1336" t="s">
        <v>54</v>
      </c>
      <c r="AF717" s="1329">
        <f t="shared" si="103"/>
        <v>0</v>
      </c>
      <c r="AG717" s="1329" t="s">
        <v>107</v>
      </c>
      <c r="AH717" s="1330">
        <v>60</v>
      </c>
      <c r="AI717" s="1329" t="s">
        <v>692</v>
      </c>
      <c r="AJ717" s="1328">
        <v>1</v>
      </c>
      <c r="AK717" s="1328" t="s">
        <v>108</v>
      </c>
      <c r="AL717" s="1328" t="s">
        <v>109</v>
      </c>
      <c r="AM717" s="1326">
        <v>0</v>
      </c>
      <c r="AN717" s="1326">
        <v>0</v>
      </c>
      <c r="AO717" s="1325" t="s">
        <v>138</v>
      </c>
      <c r="AP717" s="1331"/>
      <c r="AQ717" s="1326">
        <v>1</v>
      </c>
      <c r="AR717" s="1326">
        <v>0</v>
      </c>
      <c r="AS717" s="1326">
        <v>0</v>
      </c>
      <c r="AT717" s="1326">
        <v>0</v>
      </c>
      <c r="AU717" s="1326">
        <v>0</v>
      </c>
      <c r="AV717" s="1326"/>
      <c r="AW717" s="1332"/>
      <c r="AX717" s="1577"/>
      <c r="AY717" s="1530" t="str">
        <f t="shared" si="104"/>
        <v/>
      </c>
      <c r="AZ717" s="1530" t="str">
        <f t="shared" si="105"/>
        <v/>
      </c>
      <c r="BA717" s="1530" t="str">
        <f t="shared" si="106"/>
        <v/>
      </c>
      <c r="BB717" s="1530" t="str">
        <f t="shared" si="107"/>
        <v/>
      </c>
      <c r="BC717" s="1211"/>
      <c r="BD717" s="1341" t="s">
        <v>1106</v>
      </c>
    </row>
    <row r="718" spans="1:56" ht="11.25" customHeight="1">
      <c r="A718" s="857">
        <v>58</v>
      </c>
      <c r="B718" s="155"/>
      <c r="C718" s="162" t="s">
        <v>647</v>
      </c>
      <c r="D718" s="238" t="s">
        <v>540</v>
      </c>
      <c r="E718" s="63"/>
      <c r="F718" s="63"/>
      <c r="G718" s="63"/>
      <c r="H718" s="63"/>
      <c r="I718" s="63"/>
      <c r="J718" s="63"/>
      <c r="K718" s="81"/>
      <c r="L718" s="957" t="s">
        <v>482</v>
      </c>
      <c r="M718" s="121" t="s">
        <v>134</v>
      </c>
      <c r="N718" s="63"/>
      <c r="O718" s="63"/>
      <c r="P718" s="63"/>
      <c r="Q718" s="63"/>
      <c r="R718" s="63"/>
      <c r="S718" s="63"/>
      <c r="T718" s="63"/>
      <c r="U718" s="63"/>
      <c r="V718" s="63"/>
      <c r="W718" s="81"/>
      <c r="X718" s="939" t="s">
        <v>482</v>
      </c>
      <c r="Y718" s="697"/>
      <c r="Z718" s="1325" t="s">
        <v>106</v>
      </c>
      <c r="AA718" s="1326">
        <f t="shared" si="99"/>
        <v>80</v>
      </c>
      <c r="AB718" s="1326">
        <f t="shared" si="100"/>
        <v>110</v>
      </c>
      <c r="AC718" s="1327">
        <f t="shared" si="101"/>
        <v>0.1</v>
      </c>
      <c r="AD718" s="1328">
        <f t="shared" si="102"/>
        <v>0</v>
      </c>
      <c r="AE718" s="1336" t="s">
        <v>54</v>
      </c>
      <c r="AF718" s="1329">
        <f t="shared" si="103"/>
        <v>0</v>
      </c>
      <c r="AG718" s="1329" t="s">
        <v>107</v>
      </c>
      <c r="AH718" s="1330">
        <v>60</v>
      </c>
      <c r="AI718" s="1329" t="s">
        <v>692</v>
      </c>
      <c r="AJ718" s="1328">
        <v>1</v>
      </c>
      <c r="AK718" s="1328" t="s">
        <v>108</v>
      </c>
      <c r="AL718" s="1328" t="s">
        <v>109</v>
      </c>
      <c r="AM718" s="1326">
        <v>0</v>
      </c>
      <c r="AN718" s="1326">
        <v>0</v>
      </c>
      <c r="AO718" s="1325" t="s">
        <v>138</v>
      </c>
      <c r="AP718" s="1331"/>
      <c r="AQ718" s="1326">
        <v>1</v>
      </c>
      <c r="AR718" s="1326">
        <v>0</v>
      </c>
      <c r="AS718" s="1326">
        <v>0</v>
      </c>
      <c r="AT718" s="1326">
        <v>0</v>
      </c>
      <c r="AU718" s="1326">
        <v>0</v>
      </c>
      <c r="AV718" s="1326"/>
      <c r="AW718" s="1332"/>
      <c r="AX718" s="1577"/>
      <c r="AY718" s="1530" t="str">
        <f t="shared" si="104"/>
        <v/>
      </c>
      <c r="AZ718" s="1530" t="str">
        <f t="shared" si="105"/>
        <v/>
      </c>
      <c r="BA718" s="1530" t="str">
        <f t="shared" si="106"/>
        <v/>
      </c>
      <c r="BB718" s="1530" t="str">
        <f t="shared" si="107"/>
        <v/>
      </c>
      <c r="BC718" s="1211"/>
      <c r="BD718" s="1341" t="s">
        <v>1106</v>
      </c>
    </row>
    <row r="719" spans="1:56" ht="11.25" customHeight="1">
      <c r="A719" s="857">
        <v>59</v>
      </c>
      <c r="B719" s="155"/>
      <c r="D719" s="63"/>
      <c r="E719" s="63"/>
      <c r="F719" s="63"/>
      <c r="G719" s="63"/>
      <c r="H719" s="63"/>
      <c r="I719" s="63"/>
      <c r="J719" s="63"/>
      <c r="K719" s="81"/>
      <c r="L719" s="957" t="s">
        <v>482</v>
      </c>
      <c r="M719" s="155"/>
      <c r="N719" s="814" t="s">
        <v>629</v>
      </c>
      <c r="O719" s="1379" t="str">
        <f>IF(O720&lt;&gt;"",O720,IF(OR(AB441=0,AB441=""),"",AB441))</f>
        <v/>
      </c>
      <c r="P719" s="55"/>
      <c r="Q719" s="55"/>
      <c r="R719" s="55"/>
      <c r="S719" s="55"/>
      <c r="T719" s="55"/>
      <c r="U719" s="55"/>
      <c r="V719" s="55"/>
      <c r="W719" s="122"/>
      <c r="X719" s="939" t="s">
        <v>482</v>
      </c>
      <c r="Y719" s="697"/>
      <c r="Z719" s="1325" t="s">
        <v>106</v>
      </c>
      <c r="AA719" s="1326">
        <f t="shared" si="99"/>
        <v>80</v>
      </c>
      <c r="AB719" s="1326">
        <f t="shared" si="100"/>
        <v>250</v>
      </c>
      <c r="AC719" s="1327">
        <f t="shared" si="101"/>
        <v>0.1</v>
      </c>
      <c r="AD719" s="1328">
        <f t="shared" si="102"/>
        <v>0</v>
      </c>
      <c r="AE719" s="1336" t="s">
        <v>54</v>
      </c>
      <c r="AF719" s="1329">
        <f t="shared" si="103"/>
        <v>0</v>
      </c>
      <c r="AG719" s="1329" t="s">
        <v>107</v>
      </c>
      <c r="AH719" s="1330">
        <v>60</v>
      </c>
      <c r="AI719" s="1329" t="s">
        <v>692</v>
      </c>
      <c r="AJ719" s="1328">
        <v>1</v>
      </c>
      <c r="AK719" s="1328" t="s">
        <v>377</v>
      </c>
      <c r="AL719" s="1328" t="s">
        <v>109</v>
      </c>
      <c r="AM719" s="1326">
        <v>0</v>
      </c>
      <c r="AN719" s="1326">
        <v>0</v>
      </c>
      <c r="AO719" s="1325" t="s">
        <v>138</v>
      </c>
      <c r="AP719" s="1331"/>
      <c r="AQ719" s="1326">
        <v>1</v>
      </c>
      <c r="AR719" s="1326">
        <v>0</v>
      </c>
      <c r="AS719" s="1326">
        <v>0</v>
      </c>
      <c r="AT719" s="1326">
        <v>0</v>
      </c>
      <c r="AU719" s="1326">
        <v>0</v>
      </c>
      <c r="AV719" s="1326"/>
      <c r="AW719" s="1332"/>
      <c r="AX719" s="1577"/>
      <c r="AY719" s="1530" t="str">
        <f t="shared" si="104"/>
        <v/>
      </c>
      <c r="AZ719" s="1530" t="str">
        <f t="shared" si="105"/>
        <v/>
      </c>
      <c r="BA719" s="1530" t="str">
        <f t="shared" si="106"/>
        <v/>
      </c>
      <c r="BB719" s="1530" t="str">
        <f t="shared" si="107"/>
        <v/>
      </c>
      <c r="BC719" s="1211"/>
      <c r="BD719" s="1341" t="s">
        <v>1106</v>
      </c>
    </row>
    <row r="720" spans="1:56" ht="11.25" customHeight="1" thickBot="1">
      <c r="A720" s="857">
        <v>60</v>
      </c>
      <c r="B720" s="120"/>
      <c r="D720" s="63"/>
      <c r="E720" s="63"/>
      <c r="F720" s="63"/>
      <c r="G720" s="63"/>
      <c r="H720" s="63"/>
      <c r="I720" s="63"/>
      <c r="J720" s="63"/>
      <c r="K720" s="81"/>
      <c r="L720" s="957" t="s">
        <v>482</v>
      </c>
      <c r="M720" s="121"/>
      <c r="N720" s="1378" t="s">
        <v>696</v>
      </c>
      <c r="O720" s="1380"/>
      <c r="P720" s="1236">
        <f>LEN(O719)</f>
        <v>0</v>
      </c>
      <c r="Q720" s="56"/>
      <c r="R720" s="56"/>
      <c r="S720" s="56"/>
      <c r="T720" s="56"/>
      <c r="U720" s="56"/>
      <c r="V720" s="56"/>
      <c r="W720" s="79"/>
      <c r="X720" s="939" t="s">
        <v>482</v>
      </c>
      <c r="Y720" s="697"/>
      <c r="Z720" s="1325" t="s">
        <v>106</v>
      </c>
      <c r="AA720" s="1326">
        <f t="shared" si="99"/>
        <v>80</v>
      </c>
      <c r="AB720" s="1326">
        <f t="shared" si="100"/>
        <v>50</v>
      </c>
      <c r="AC720" s="1327">
        <f t="shared" si="101"/>
        <v>0.1</v>
      </c>
      <c r="AD720" s="1328">
        <f t="shared" si="102"/>
        <v>0</v>
      </c>
      <c r="AE720" s="1336" t="s">
        <v>54</v>
      </c>
      <c r="AF720" s="1329">
        <f t="shared" si="103"/>
        <v>0</v>
      </c>
      <c r="AG720" s="1329" t="s">
        <v>107</v>
      </c>
      <c r="AH720" s="1330">
        <v>60</v>
      </c>
      <c r="AI720" s="1329" t="s">
        <v>692</v>
      </c>
      <c r="AJ720" s="1328">
        <v>1</v>
      </c>
      <c r="AK720" s="1328" t="s">
        <v>377</v>
      </c>
      <c r="AL720" s="1328" t="s">
        <v>109</v>
      </c>
      <c r="AM720" s="1326">
        <v>0</v>
      </c>
      <c r="AN720" s="1326">
        <v>0</v>
      </c>
      <c r="AO720" s="1325" t="s">
        <v>138</v>
      </c>
      <c r="AP720" s="1331"/>
      <c r="AQ720" s="1326">
        <v>1</v>
      </c>
      <c r="AR720" s="1326">
        <v>0</v>
      </c>
      <c r="AS720" s="1326">
        <v>0</v>
      </c>
      <c r="AT720" s="1326">
        <v>0</v>
      </c>
      <c r="AU720" s="1326">
        <v>0</v>
      </c>
      <c r="AV720" s="1326"/>
      <c r="AW720" s="1332"/>
      <c r="AX720" s="1577"/>
      <c r="AY720" s="1530" t="str">
        <f t="shared" si="104"/>
        <v/>
      </c>
      <c r="AZ720" s="1530" t="str">
        <f t="shared" si="105"/>
        <v/>
      </c>
      <c r="BA720" s="1530" t="str">
        <f t="shared" si="106"/>
        <v/>
      </c>
      <c r="BB720" s="1530" t="str">
        <f t="shared" si="107"/>
        <v/>
      </c>
      <c r="BC720" s="1211"/>
      <c r="BD720" s="1341" t="s">
        <v>1106</v>
      </c>
    </row>
    <row r="721" spans="1:56" ht="11.25" customHeight="1" thickBot="1">
      <c r="A721" s="857">
        <v>61</v>
      </c>
      <c r="B721" s="139" t="s">
        <v>629</v>
      </c>
      <c r="C721" s="1238" t="str">
        <f>IF(O721="","",IF(LEN(O721)&lt;=135,O721,IF(LEN(O721)&lt;=260,LEFT(O721,SEARCH(" ",O721,125)),LEFT(O721,SEARCH(" ",O721,130)))))</f>
        <v/>
      </c>
      <c r="D721" s="57"/>
      <c r="E721" s="57"/>
      <c r="F721" s="57"/>
      <c r="G721" s="57"/>
      <c r="H721" s="57"/>
      <c r="I721" s="57"/>
      <c r="J721" s="57"/>
      <c r="K721" s="81"/>
      <c r="L721" s="957" t="s">
        <v>482</v>
      </c>
      <c r="M721" s="146"/>
      <c r="O721" s="1007" t="str">
        <f>IF(AND(O703="",O719=""),"",IF(AND(O703&lt;&gt;"",O719=""),"Lg. F:  "&amp;O703,IF(AND(O703="",O719&lt;&gt;""),"Sm. F:  "&amp;O719,"Lg. F:  "&amp;O703&amp;";  Sm. F:  "&amp;O719)))</f>
        <v/>
      </c>
      <c r="P721" s="58" t="s">
        <v>139</v>
      </c>
      <c r="Q721" s="56"/>
      <c r="R721" s="56"/>
      <c r="S721" s="56"/>
      <c r="T721" s="56"/>
      <c r="U721" s="1040" t="s">
        <v>646</v>
      </c>
      <c r="V721" s="1021" t="str">
        <f>IF(J707="","TBD",(IF(AND(ABS(MAX(J707:J712))&lt;=0.05,ABS(MIN(J707:J712))&lt;=0.05),"YES","NO")))</f>
        <v>TBD</v>
      </c>
      <c r="W721" s="79"/>
      <c r="X721" s="939" t="s">
        <v>482</v>
      </c>
      <c r="Y721" s="697"/>
      <c r="Z721" s="1325" t="s">
        <v>106</v>
      </c>
      <c r="AA721" s="1326">
        <f t="shared" si="99"/>
        <v>80</v>
      </c>
      <c r="AB721" s="1326">
        <f t="shared" si="100"/>
        <v>160</v>
      </c>
      <c r="AC721" s="1327">
        <f t="shared" si="101"/>
        <v>0.1</v>
      </c>
      <c r="AD721" s="1328">
        <f t="shared" si="102"/>
        <v>0</v>
      </c>
      <c r="AE721" s="1336" t="s">
        <v>54</v>
      </c>
      <c r="AF721" s="1329">
        <f t="shared" si="103"/>
        <v>0</v>
      </c>
      <c r="AG721" s="1329" t="s">
        <v>107</v>
      </c>
      <c r="AH721" s="1330">
        <v>60</v>
      </c>
      <c r="AI721" s="1329" t="s">
        <v>692</v>
      </c>
      <c r="AJ721" s="1328">
        <v>1</v>
      </c>
      <c r="AK721" s="1328" t="s">
        <v>108</v>
      </c>
      <c r="AL721" s="1328" t="s">
        <v>109</v>
      </c>
      <c r="AM721" s="1326">
        <v>0</v>
      </c>
      <c r="AN721" s="1326">
        <v>0</v>
      </c>
      <c r="AO721" s="1325" t="s">
        <v>138</v>
      </c>
      <c r="AP721" s="1331"/>
      <c r="AQ721" s="1326">
        <v>1</v>
      </c>
      <c r="AR721" s="1326">
        <v>0</v>
      </c>
      <c r="AS721" s="1326">
        <v>0</v>
      </c>
      <c r="AT721" s="1326">
        <v>0</v>
      </c>
      <c r="AU721" s="1326">
        <v>0</v>
      </c>
      <c r="AV721" s="1326"/>
      <c r="AW721" s="1332"/>
      <c r="AX721" s="1577"/>
      <c r="AY721" s="1530" t="str">
        <f t="shared" si="104"/>
        <v/>
      </c>
      <c r="AZ721" s="1530" t="str">
        <f t="shared" si="105"/>
        <v/>
      </c>
      <c r="BA721" s="1530" t="str">
        <f t="shared" si="106"/>
        <v/>
      </c>
      <c r="BB721" s="1530" t="str">
        <f t="shared" si="107"/>
        <v/>
      </c>
      <c r="BC721" s="1211"/>
      <c r="BD721" s="1341" t="s">
        <v>1106</v>
      </c>
    </row>
    <row r="722" spans="1:56" ht="11.25" customHeight="1">
      <c r="A722" s="857">
        <v>62</v>
      </c>
      <c r="B722" s="139"/>
      <c r="C722" s="1239" t="str">
        <f>IF(LEN(O721)&lt;=135,"",IF(LEN(O721)&lt;=260,RIGHT(O721,LEN(O721)-SEARCH(" ",O721,125)),MID(O721,SEARCH(" ",O721,130),IF(LEN(O721)&lt;=265,LEN(O721),SEARCH(" ",O721,255)-SEARCH(" ",O721,130)))))</f>
        <v/>
      </c>
      <c r="D722" s="57"/>
      <c r="E722" s="57"/>
      <c r="F722" s="57"/>
      <c r="G722" s="57"/>
      <c r="H722" s="57"/>
      <c r="I722" s="57"/>
      <c r="J722" s="57"/>
      <c r="K722" s="81"/>
      <c r="L722" s="957" t="s">
        <v>482</v>
      </c>
      <c r="M722" s="155"/>
      <c r="N722" s="855" t="s">
        <v>187</v>
      </c>
      <c r="P722" s="1236">
        <f>LEN(O721)</f>
        <v>0</v>
      </c>
      <c r="Q722" s="63"/>
      <c r="R722" s="63"/>
      <c r="S722" s="63"/>
      <c r="T722" s="63"/>
      <c r="U722" s="63"/>
      <c r="V722" s="63"/>
      <c r="W722" s="81"/>
      <c r="X722" s="939" t="s">
        <v>482</v>
      </c>
      <c r="Y722" s="697"/>
      <c r="Z722" s="1325" t="s">
        <v>106</v>
      </c>
      <c r="AA722" s="1326">
        <f t="shared" si="99"/>
        <v>110</v>
      </c>
      <c r="AB722" s="1326">
        <f t="shared" si="100"/>
        <v>100</v>
      </c>
      <c r="AC722" s="1327">
        <f t="shared" si="101"/>
        <v>0.1</v>
      </c>
      <c r="AD722" s="1328">
        <f t="shared" si="102"/>
        <v>0</v>
      </c>
      <c r="AE722" s="1329" t="s">
        <v>54</v>
      </c>
      <c r="AF722" s="1329">
        <f t="shared" si="103"/>
        <v>0</v>
      </c>
      <c r="AG722" s="1329" t="s">
        <v>107</v>
      </c>
      <c r="AH722" s="1330">
        <v>60</v>
      </c>
      <c r="AI722" s="1329" t="s">
        <v>692</v>
      </c>
      <c r="AJ722" s="1328">
        <v>1</v>
      </c>
      <c r="AK722" s="1328" t="s">
        <v>108</v>
      </c>
      <c r="AL722" s="1328" t="s">
        <v>109</v>
      </c>
      <c r="AM722" s="1326">
        <v>0</v>
      </c>
      <c r="AN722" s="1326">
        <v>0</v>
      </c>
      <c r="AO722" s="1325" t="s">
        <v>138</v>
      </c>
      <c r="AP722" s="1331"/>
      <c r="AQ722" s="1326">
        <v>0</v>
      </c>
      <c r="AR722" s="1326">
        <v>1</v>
      </c>
      <c r="AS722" s="1326">
        <v>0</v>
      </c>
      <c r="AT722" s="1326">
        <v>0</v>
      </c>
      <c r="AU722" s="1326">
        <v>0</v>
      </c>
      <c r="AV722" s="1326"/>
      <c r="AW722" s="1332"/>
      <c r="AX722" s="1577"/>
      <c r="AY722" s="1530" t="str">
        <f t="shared" si="104"/>
        <v/>
      </c>
      <c r="AZ722" s="1530" t="str">
        <f t="shared" si="105"/>
        <v/>
      </c>
      <c r="BA722" s="1530" t="str">
        <f t="shared" si="106"/>
        <v/>
      </c>
      <c r="BB722" s="1530" t="str">
        <f t="shared" si="107"/>
        <v/>
      </c>
      <c r="BC722" s="1211"/>
      <c r="BD722" s="1345" t="s">
        <v>1110</v>
      </c>
    </row>
    <row r="723" spans="1:56" ht="11.25" customHeight="1">
      <c r="A723" s="857">
        <v>63</v>
      </c>
      <c r="B723" s="155"/>
      <c r="C723" s="1238" t="str">
        <f>IF(LEN(O721)&lt;=265,"",RIGHT(O721,LEN(O721)-SEARCH(" ",O721,255)))</f>
        <v/>
      </c>
      <c r="D723" s="57"/>
      <c r="E723" s="57"/>
      <c r="F723" s="57"/>
      <c r="G723" s="57"/>
      <c r="H723" s="57"/>
      <c r="I723" s="57"/>
      <c r="J723" s="57"/>
      <c r="K723" s="81"/>
      <c r="L723" s="957" t="s">
        <v>482</v>
      </c>
      <c r="M723" s="155"/>
      <c r="N723" s="162" t="s">
        <v>647</v>
      </c>
      <c r="O723" s="238" t="s">
        <v>540</v>
      </c>
      <c r="P723" s="238"/>
      <c r="Q723" s="63"/>
      <c r="R723" s="63"/>
      <c r="S723" s="63"/>
      <c r="T723" s="63"/>
      <c r="U723" s="63"/>
      <c r="V723" s="63"/>
      <c r="W723" s="81"/>
      <c r="X723" s="939" t="s">
        <v>482</v>
      </c>
      <c r="Y723" s="697"/>
      <c r="Z723" s="1325" t="s">
        <v>106</v>
      </c>
      <c r="AA723" s="1326">
        <f t="shared" si="99"/>
        <v>130</v>
      </c>
      <c r="AB723" s="1326">
        <f t="shared" si="100"/>
        <v>100</v>
      </c>
      <c r="AC723" s="1327">
        <f t="shared" si="101"/>
        <v>0.1</v>
      </c>
      <c r="AD723" s="1328">
        <f t="shared" si="102"/>
        <v>0</v>
      </c>
      <c r="AE723" s="1329" t="s">
        <v>135</v>
      </c>
      <c r="AF723" s="1329">
        <f t="shared" si="103"/>
        <v>0</v>
      </c>
      <c r="AG723" s="1329" t="s">
        <v>107</v>
      </c>
      <c r="AH723" s="1330">
        <v>60</v>
      </c>
      <c r="AI723" s="1329" t="s">
        <v>692</v>
      </c>
      <c r="AJ723" s="1328">
        <v>1</v>
      </c>
      <c r="AK723" s="1328" t="s">
        <v>108</v>
      </c>
      <c r="AL723" s="1328" t="s">
        <v>109</v>
      </c>
      <c r="AM723" s="1326">
        <v>0</v>
      </c>
      <c r="AN723" s="1326">
        <v>0</v>
      </c>
      <c r="AO723" s="1325" t="s">
        <v>138</v>
      </c>
      <c r="AP723" s="1331"/>
      <c r="AQ723" s="1326">
        <v>0</v>
      </c>
      <c r="AR723" s="1326">
        <v>1</v>
      </c>
      <c r="AS723" s="1326">
        <v>0</v>
      </c>
      <c r="AT723" s="1326">
        <v>0</v>
      </c>
      <c r="AU723" s="1326">
        <v>0</v>
      </c>
      <c r="AV723" s="1326"/>
      <c r="AW723" s="1332"/>
      <c r="AX723" s="1577"/>
      <c r="AY723" s="1530" t="str">
        <f t="shared" si="104"/>
        <v/>
      </c>
      <c r="AZ723" s="1530" t="str">
        <f t="shared" si="105"/>
        <v/>
      </c>
      <c r="BA723" s="1530" t="str">
        <f t="shared" si="106"/>
        <v/>
      </c>
      <c r="BB723" s="1530" t="str">
        <f t="shared" si="107"/>
        <v/>
      </c>
      <c r="BC723" s="1211"/>
      <c r="BD723" s="1345" t="s">
        <v>1110</v>
      </c>
    </row>
    <row r="724" spans="1:56" ht="11.25" customHeight="1" thickBot="1">
      <c r="A724" s="857">
        <v>64</v>
      </c>
      <c r="B724" s="112"/>
      <c r="C724" s="94"/>
      <c r="D724" s="94"/>
      <c r="E724" s="94"/>
      <c r="F724" s="94"/>
      <c r="G724" s="94"/>
      <c r="H724" s="94"/>
      <c r="I724" s="94"/>
      <c r="J724" s="94"/>
      <c r="K724" s="99"/>
      <c r="L724" s="957" t="s">
        <v>482</v>
      </c>
      <c r="M724" s="112"/>
      <c r="N724" s="94"/>
      <c r="O724" s="94"/>
      <c r="P724" s="94"/>
      <c r="Q724" s="94"/>
      <c r="R724" s="94"/>
      <c r="S724" s="94"/>
      <c r="T724" s="94"/>
      <c r="U724" s="94"/>
      <c r="V724" s="94"/>
      <c r="W724" s="99"/>
      <c r="X724" s="939" t="s">
        <v>482</v>
      </c>
      <c r="Y724" s="697"/>
      <c r="Z724" s="934" t="s">
        <v>106</v>
      </c>
      <c r="AA724" s="924">
        <f t="shared" si="99"/>
        <v>80</v>
      </c>
      <c r="AB724" s="924">
        <f t="shared" si="100"/>
        <v>200</v>
      </c>
      <c r="AC724" s="925">
        <f t="shared" si="101"/>
        <v>0.01</v>
      </c>
      <c r="AD724" s="923">
        <f t="shared" si="102"/>
        <v>0</v>
      </c>
      <c r="AE724" s="926" t="s">
        <v>54</v>
      </c>
      <c r="AF724" s="926">
        <f t="shared" si="103"/>
        <v>0</v>
      </c>
      <c r="AG724" s="926" t="s">
        <v>107</v>
      </c>
      <c r="AH724" s="927">
        <v>60</v>
      </c>
      <c r="AI724" s="926" t="s">
        <v>692</v>
      </c>
      <c r="AJ724" s="923">
        <v>1</v>
      </c>
      <c r="AK724" s="928" t="s">
        <v>108</v>
      </c>
      <c r="AL724" s="928" t="s">
        <v>109</v>
      </c>
      <c r="AM724" s="929">
        <v>0</v>
      </c>
      <c r="AN724" s="929">
        <v>1</v>
      </c>
      <c r="AO724" s="928" t="s">
        <v>110</v>
      </c>
      <c r="AP724" s="928"/>
      <c r="AQ724" s="929">
        <v>0</v>
      </c>
      <c r="AR724" s="929">
        <v>1</v>
      </c>
      <c r="AS724" s="929">
        <v>0</v>
      </c>
      <c r="AT724" s="929">
        <v>0</v>
      </c>
      <c r="AU724" s="929">
        <v>0</v>
      </c>
      <c r="AV724" s="929"/>
      <c r="AW724" s="930"/>
      <c r="AX724" s="1575"/>
      <c r="AY724" s="1528" t="str">
        <f t="shared" si="104"/>
        <v/>
      </c>
      <c r="AZ724" s="1528" t="str">
        <f t="shared" si="105"/>
        <v/>
      </c>
      <c r="BA724" s="1528" t="str">
        <f t="shared" si="106"/>
        <v/>
      </c>
      <c r="BB724" s="1528" t="str">
        <f t="shared" si="107"/>
        <v/>
      </c>
      <c r="BC724" s="22"/>
      <c r="BD724" s="1346" t="s">
        <v>1109</v>
      </c>
    </row>
    <row r="725" spans="1:56" ht="11.25" customHeight="1" thickTop="1">
      <c r="A725" s="857">
        <v>65</v>
      </c>
      <c r="B725" s="60" t="str">
        <f t="array" ref="B725:C726">$B$65:$C$66</f>
        <v>Date:</v>
      </c>
      <c r="C725" s="1664" t="str">
        <v/>
      </c>
      <c r="D725" s="136"/>
      <c r="E725" s="59"/>
      <c r="F725" s="59"/>
      <c r="G725" s="59"/>
      <c r="H725" s="59"/>
      <c r="I725" s="60" t="str">
        <f t="array" ref="I725:J726">$I$65:$J$66</f>
        <v>Inspector:</v>
      </c>
      <c r="J725" s="554" t="str">
        <v>Eugene Mah</v>
      </c>
      <c r="L725" s="957" t="s">
        <v>482</v>
      </c>
      <c r="X725" s="939" t="s">
        <v>482</v>
      </c>
      <c r="Y725" s="432"/>
      <c r="Z725" s="934" t="s">
        <v>106</v>
      </c>
      <c r="AA725" s="924">
        <f t="shared" si="99"/>
        <v>80</v>
      </c>
      <c r="AB725" s="924">
        <f t="shared" si="100"/>
        <v>200</v>
      </c>
      <c r="AC725" s="925">
        <f t="shared" si="101"/>
        <v>0.02</v>
      </c>
      <c r="AD725" s="923">
        <f t="shared" si="102"/>
        <v>0</v>
      </c>
      <c r="AE725" s="926" t="s">
        <v>54</v>
      </c>
      <c r="AF725" s="926">
        <f t="shared" si="103"/>
        <v>0</v>
      </c>
      <c r="AG725" s="926" t="s">
        <v>107</v>
      </c>
      <c r="AH725" s="927">
        <v>60</v>
      </c>
      <c r="AI725" s="926" t="s">
        <v>692</v>
      </c>
      <c r="AJ725" s="923">
        <v>1</v>
      </c>
      <c r="AK725" s="928" t="s">
        <v>108</v>
      </c>
      <c r="AL725" s="928" t="s">
        <v>109</v>
      </c>
      <c r="AM725" s="929">
        <v>0</v>
      </c>
      <c r="AN725" s="929">
        <v>1</v>
      </c>
      <c r="AO725" s="928" t="s">
        <v>110</v>
      </c>
      <c r="AP725" s="928"/>
      <c r="AQ725" s="929">
        <v>0</v>
      </c>
      <c r="AR725" s="929">
        <v>1</v>
      </c>
      <c r="AS725" s="929">
        <v>0</v>
      </c>
      <c r="AT725" s="929">
        <v>0</v>
      </c>
      <c r="AU725" s="929">
        <v>0</v>
      </c>
      <c r="AV725" s="929"/>
      <c r="AW725" s="930"/>
      <c r="AX725" s="1575"/>
      <c r="AY725" s="1528" t="str">
        <f t="shared" si="104"/>
        <v/>
      </c>
      <c r="AZ725" s="1528" t="str">
        <f t="shared" si="105"/>
        <v/>
      </c>
      <c r="BA725" s="1528" t="str">
        <f t="shared" si="106"/>
        <v/>
      </c>
      <c r="BB725" s="1528" t="str">
        <f t="shared" si="107"/>
        <v/>
      </c>
      <c r="BC725" s="22"/>
      <c r="BD725" s="1346" t="s">
        <v>1109</v>
      </c>
    </row>
    <row r="726" spans="1:56" ht="11.25" customHeight="1">
      <c r="A726" s="857">
        <v>66</v>
      </c>
      <c r="B726" s="60" t="str">
        <v>Room Number:</v>
      </c>
      <c r="C726" s="499" t="str">
        <v/>
      </c>
      <c r="D726" s="63"/>
      <c r="E726" s="59"/>
      <c r="F726" s="59"/>
      <c r="G726" s="59"/>
      <c r="H726" s="59"/>
      <c r="I726" s="60" t="str">
        <v>Survey ID:</v>
      </c>
      <c r="J726" s="1404" t="str">
        <v/>
      </c>
      <c r="L726" s="957" t="s">
        <v>482</v>
      </c>
      <c r="X726" s="939" t="s">
        <v>482</v>
      </c>
      <c r="Y726" s="198"/>
      <c r="Z726" s="934" t="s">
        <v>106</v>
      </c>
      <c r="AA726" s="924">
        <f t="shared" si="99"/>
        <v>80</v>
      </c>
      <c r="AB726" s="924">
        <f t="shared" si="100"/>
        <v>200</v>
      </c>
      <c r="AC726" s="925">
        <f t="shared" si="101"/>
        <v>0.04</v>
      </c>
      <c r="AD726" s="923">
        <f t="shared" si="102"/>
        <v>0</v>
      </c>
      <c r="AE726" s="926" t="s">
        <v>54</v>
      </c>
      <c r="AF726" s="926">
        <f t="shared" si="103"/>
        <v>0</v>
      </c>
      <c r="AG726" s="926" t="s">
        <v>107</v>
      </c>
      <c r="AH726" s="927">
        <v>60</v>
      </c>
      <c r="AI726" s="926" t="s">
        <v>692</v>
      </c>
      <c r="AJ726" s="923">
        <v>1</v>
      </c>
      <c r="AK726" s="928" t="s">
        <v>108</v>
      </c>
      <c r="AL726" s="928" t="s">
        <v>109</v>
      </c>
      <c r="AM726" s="929">
        <v>0</v>
      </c>
      <c r="AN726" s="929">
        <v>1</v>
      </c>
      <c r="AO726" s="928" t="s">
        <v>110</v>
      </c>
      <c r="AP726" s="928"/>
      <c r="AQ726" s="929">
        <v>0</v>
      </c>
      <c r="AR726" s="929">
        <v>1</v>
      </c>
      <c r="AS726" s="929">
        <v>0</v>
      </c>
      <c r="AT726" s="929">
        <v>0</v>
      </c>
      <c r="AU726" s="929">
        <v>0</v>
      </c>
      <c r="AV726" s="929"/>
      <c r="AW726" s="930"/>
      <c r="AX726" s="1575"/>
      <c r="AY726" s="1528" t="str">
        <f t="shared" si="104"/>
        <v/>
      </c>
      <c r="AZ726" s="1528" t="str">
        <f t="shared" si="105"/>
        <v/>
      </c>
      <c r="BA726" s="1528" t="str">
        <f t="shared" si="106"/>
        <v/>
      </c>
      <c r="BB726" s="1528" t="str">
        <f t="shared" si="107"/>
        <v/>
      </c>
      <c r="BC726" s="22"/>
      <c r="BD726" s="1346" t="s">
        <v>1109</v>
      </c>
    </row>
    <row r="727" spans="1:56" ht="11.25" customHeight="1">
      <c r="A727" s="857">
        <v>1</v>
      </c>
      <c r="K727" s="161" t="str">
        <f>$F$2</f>
        <v>Medical University of South Carolina</v>
      </c>
      <c r="L727" s="957" t="s">
        <v>482</v>
      </c>
      <c r="W727" s="161" t="str">
        <f>$F$2</f>
        <v>Medical University of South Carolina</v>
      </c>
      <c r="X727" s="939" t="s">
        <v>482</v>
      </c>
      <c r="Y727" s="198"/>
      <c r="Z727" s="934" t="s">
        <v>106</v>
      </c>
      <c r="AA727" s="924">
        <f t="shared" si="99"/>
        <v>80</v>
      </c>
      <c r="AB727" s="924">
        <f t="shared" si="100"/>
        <v>200</v>
      </c>
      <c r="AC727" s="925">
        <f t="shared" si="101"/>
        <v>0.1</v>
      </c>
      <c r="AD727" s="923">
        <f t="shared" si="102"/>
        <v>0</v>
      </c>
      <c r="AE727" s="926" t="s">
        <v>54</v>
      </c>
      <c r="AF727" s="926">
        <f t="shared" si="103"/>
        <v>0</v>
      </c>
      <c r="AG727" s="926" t="s">
        <v>107</v>
      </c>
      <c r="AH727" s="927">
        <v>60</v>
      </c>
      <c r="AI727" s="926" t="s">
        <v>692</v>
      </c>
      <c r="AJ727" s="923">
        <v>1</v>
      </c>
      <c r="AK727" s="928" t="s">
        <v>108</v>
      </c>
      <c r="AL727" s="928" t="s">
        <v>109</v>
      </c>
      <c r="AM727" s="929">
        <v>0</v>
      </c>
      <c r="AN727" s="929">
        <v>0</v>
      </c>
      <c r="AO727" s="928" t="s">
        <v>110</v>
      </c>
      <c r="AP727" s="928"/>
      <c r="AQ727" s="929">
        <v>0</v>
      </c>
      <c r="AR727" s="929">
        <v>1</v>
      </c>
      <c r="AS727" s="929">
        <v>0</v>
      </c>
      <c r="AT727" s="929">
        <v>0</v>
      </c>
      <c r="AU727" s="929">
        <v>0</v>
      </c>
      <c r="AV727" s="929"/>
      <c r="AW727" s="930"/>
      <c r="AX727" s="1575"/>
      <c r="AY727" s="1528" t="str">
        <f t="shared" si="104"/>
        <v/>
      </c>
      <c r="AZ727" s="1528" t="str">
        <f t="shared" si="105"/>
        <v/>
      </c>
      <c r="BA727" s="1528" t="str">
        <f t="shared" si="106"/>
        <v/>
      </c>
      <c r="BB727" s="1528" t="str">
        <f t="shared" si="107"/>
        <v/>
      </c>
      <c r="BC727" s="22"/>
      <c r="BD727" s="1346" t="s">
        <v>1109</v>
      </c>
    </row>
    <row r="728" spans="1:56" ht="11.25" customHeight="1">
      <c r="A728" s="857">
        <v>2</v>
      </c>
      <c r="F728" s="336" t="str">
        <f>$F$464</f>
        <v>Measurement Data</v>
      </c>
      <c r="K728" s="162" t="str">
        <f>$F$5</f>
        <v>Radiographic System Compliance Inspection</v>
      </c>
      <c r="L728" s="957" t="s">
        <v>482</v>
      </c>
      <c r="W728" s="162" t="str">
        <f>$F$5</f>
        <v>Radiographic System Compliance Inspection</v>
      </c>
      <c r="X728" s="939" t="s">
        <v>482</v>
      </c>
      <c r="Z728" s="934" t="s">
        <v>106</v>
      </c>
      <c r="AA728" s="924">
        <f t="shared" si="99"/>
        <v>80</v>
      </c>
      <c r="AB728" s="924">
        <f t="shared" si="100"/>
        <v>200</v>
      </c>
      <c r="AC728" s="925">
        <f t="shared" si="101"/>
        <v>0.25</v>
      </c>
      <c r="AD728" s="923">
        <f t="shared" si="102"/>
        <v>0</v>
      </c>
      <c r="AE728" s="926" t="s">
        <v>54</v>
      </c>
      <c r="AF728" s="926">
        <f t="shared" si="103"/>
        <v>0</v>
      </c>
      <c r="AG728" s="926" t="s">
        <v>107</v>
      </c>
      <c r="AH728" s="927">
        <v>60</v>
      </c>
      <c r="AI728" s="926" t="s">
        <v>692</v>
      </c>
      <c r="AJ728" s="923">
        <v>1</v>
      </c>
      <c r="AK728" s="928" t="s">
        <v>108</v>
      </c>
      <c r="AL728" s="928" t="s">
        <v>109</v>
      </c>
      <c r="AM728" s="929">
        <v>0</v>
      </c>
      <c r="AN728" s="929">
        <v>0</v>
      </c>
      <c r="AO728" s="928" t="s">
        <v>110</v>
      </c>
      <c r="AP728" s="928"/>
      <c r="AQ728" s="929">
        <v>0</v>
      </c>
      <c r="AR728" s="929">
        <v>1</v>
      </c>
      <c r="AS728" s="929">
        <v>0</v>
      </c>
      <c r="AT728" s="929">
        <v>0</v>
      </c>
      <c r="AU728" s="929">
        <v>0</v>
      </c>
      <c r="AV728" s="929"/>
      <c r="AW728" s="930"/>
      <c r="AX728" s="1575"/>
      <c r="AY728" s="1528" t="str">
        <f t="shared" si="104"/>
        <v/>
      </c>
      <c r="AZ728" s="1528" t="str">
        <f t="shared" si="105"/>
        <v/>
      </c>
      <c r="BA728" s="1528" t="str">
        <f t="shared" si="106"/>
        <v/>
      </c>
      <c r="BB728" s="1528" t="str">
        <f t="shared" si="107"/>
        <v/>
      </c>
      <c r="BC728" s="935"/>
      <c r="BD728" s="1346" t="s">
        <v>1109</v>
      </c>
    </row>
    <row r="729" spans="1:56" ht="11.25" customHeight="1" thickBot="1">
      <c r="A729" s="857">
        <v>3</v>
      </c>
      <c r="L729" s="957" t="s">
        <v>482</v>
      </c>
      <c r="M729" s="273"/>
      <c r="R729" s="336" t="str">
        <f>$F$464</f>
        <v>Measurement Data</v>
      </c>
      <c r="X729" s="939" t="s">
        <v>482</v>
      </c>
      <c r="Z729" s="934" t="s">
        <v>106</v>
      </c>
      <c r="AA729" s="924">
        <f t="shared" si="99"/>
        <v>80</v>
      </c>
      <c r="AB729" s="924">
        <f t="shared" si="100"/>
        <v>200</v>
      </c>
      <c r="AC729" s="925">
        <f t="shared" si="101"/>
        <v>0.4</v>
      </c>
      <c r="AD729" s="923">
        <f t="shared" si="102"/>
        <v>0</v>
      </c>
      <c r="AE729" s="926" t="s">
        <v>54</v>
      </c>
      <c r="AF729" s="926">
        <f t="shared" si="103"/>
        <v>0</v>
      </c>
      <c r="AG729" s="926" t="s">
        <v>107</v>
      </c>
      <c r="AH729" s="927">
        <v>60</v>
      </c>
      <c r="AI729" s="926" t="s">
        <v>692</v>
      </c>
      <c r="AJ729" s="923">
        <v>1</v>
      </c>
      <c r="AK729" s="928" t="s">
        <v>108</v>
      </c>
      <c r="AL729" s="928" t="s">
        <v>109</v>
      </c>
      <c r="AM729" s="929">
        <v>0</v>
      </c>
      <c r="AN729" s="929">
        <v>0</v>
      </c>
      <c r="AO729" s="928" t="s">
        <v>110</v>
      </c>
      <c r="AP729" s="928"/>
      <c r="AQ729" s="929">
        <v>0</v>
      </c>
      <c r="AR729" s="929">
        <v>1</v>
      </c>
      <c r="AS729" s="929">
        <v>0</v>
      </c>
      <c r="AT729" s="929">
        <v>0</v>
      </c>
      <c r="AU729" s="929">
        <v>0</v>
      </c>
      <c r="AV729" s="929"/>
      <c r="AW729" s="930"/>
      <c r="AX729" s="1575"/>
      <c r="AY729" s="1528" t="str">
        <f t="shared" si="104"/>
        <v/>
      </c>
      <c r="AZ729" s="1528" t="str">
        <f t="shared" si="105"/>
        <v/>
      </c>
      <c r="BA729" s="1528" t="str">
        <f t="shared" si="106"/>
        <v/>
      </c>
      <c r="BB729" s="1528" t="str">
        <f t="shared" si="107"/>
        <v/>
      </c>
      <c r="BC729" s="22"/>
      <c r="BD729" s="1346" t="s">
        <v>1109</v>
      </c>
    </row>
    <row r="730" spans="1:56" ht="11.25" customHeight="1" thickTop="1" thickBot="1">
      <c r="A730" s="857">
        <v>4</v>
      </c>
      <c r="B730" s="89"/>
      <c r="C730" s="72"/>
      <c r="D730" s="72"/>
      <c r="E730" s="72"/>
      <c r="F730" s="72"/>
      <c r="G730" s="72"/>
      <c r="H730" s="72"/>
      <c r="I730" s="72"/>
      <c r="J730" s="72"/>
      <c r="K730" s="90"/>
      <c r="L730" s="957" t="s">
        <v>482</v>
      </c>
      <c r="X730" s="939" t="s">
        <v>482</v>
      </c>
    </row>
    <row r="731" spans="1:56" ht="11.25" customHeight="1" thickTop="1">
      <c r="A731" s="857">
        <v>5</v>
      </c>
      <c r="B731" s="155"/>
      <c r="C731" s="63"/>
      <c r="D731" s="63"/>
      <c r="E731" s="63"/>
      <c r="F731" s="335" t="s">
        <v>759</v>
      </c>
      <c r="G731" s="63"/>
      <c r="H731" s="63"/>
      <c r="I731" s="63"/>
      <c r="J731" s="63"/>
      <c r="K731" s="81"/>
      <c r="L731" s="957" t="s">
        <v>482</v>
      </c>
      <c r="M731" s="158"/>
      <c r="N731" s="72"/>
      <c r="O731" s="72"/>
      <c r="P731" s="72"/>
      <c r="Q731" s="72"/>
      <c r="R731" s="72"/>
      <c r="S731" s="133"/>
      <c r="T731" s="133"/>
      <c r="U731" s="133"/>
      <c r="V731" s="133"/>
      <c r="W731" s="75"/>
      <c r="X731" s="939" t="s">
        <v>482</v>
      </c>
    </row>
    <row r="732" spans="1:56" ht="11.25" customHeight="1">
      <c r="A732" s="857">
        <v>6</v>
      </c>
      <c r="B732" s="155"/>
      <c r="C732" s="63"/>
      <c r="D732" s="63"/>
      <c r="E732" s="63"/>
      <c r="F732" s="63"/>
      <c r="G732" s="63"/>
      <c r="H732" s="63"/>
      <c r="I732" s="63"/>
      <c r="J732" s="63"/>
      <c r="K732" s="81"/>
      <c r="L732" s="957" t="s">
        <v>482</v>
      </c>
      <c r="M732" s="155"/>
      <c r="N732" s="63"/>
      <c r="O732" s="63"/>
      <c r="P732" s="63"/>
      <c r="Q732" s="63"/>
      <c r="R732" s="335" t="s">
        <v>759</v>
      </c>
      <c r="S732" s="63"/>
      <c r="T732" s="63"/>
      <c r="U732" s="63"/>
      <c r="V732" s="63"/>
      <c r="W732" s="81"/>
      <c r="X732" s="939" t="s">
        <v>482</v>
      </c>
    </row>
    <row r="733" spans="1:56" ht="11.25" customHeight="1">
      <c r="A733" s="857">
        <v>7</v>
      </c>
      <c r="B733" s="155"/>
      <c r="C733" s="62" t="s">
        <v>79</v>
      </c>
      <c r="D733" s="124" t="str">
        <f>IF($O$687="","",$O$687)</f>
        <v>Piranha CB2-17090320</v>
      </c>
      <c r="E733" s="287"/>
      <c r="F733" s="55"/>
      <c r="G733" s="63"/>
      <c r="H733" s="63"/>
      <c r="I733" s="63"/>
      <c r="J733" s="63"/>
      <c r="K733" s="81"/>
      <c r="L733" s="957" t="s">
        <v>482</v>
      </c>
      <c r="M733" s="155"/>
      <c r="N733" s="63"/>
      <c r="O733" s="63"/>
      <c r="P733" s="63"/>
      <c r="Q733" s="63"/>
      <c r="R733" s="63"/>
      <c r="S733" s="63"/>
      <c r="T733" s="63"/>
      <c r="U733" s="63"/>
      <c r="V733" s="63"/>
      <c r="W733" s="81"/>
      <c r="X733" s="939" t="s">
        <v>482</v>
      </c>
    </row>
    <row r="734" spans="1:56" ht="11.25" customHeight="1">
      <c r="A734" s="857">
        <v>8</v>
      </c>
      <c r="B734" s="155"/>
      <c r="C734" s="63"/>
      <c r="D734" s="63"/>
      <c r="E734" s="63"/>
      <c r="F734" s="63"/>
      <c r="G734" s="63"/>
      <c r="H734" s="63"/>
      <c r="I734" s="63"/>
      <c r="J734" s="63"/>
      <c r="K734" s="81"/>
      <c r="L734" s="957" t="s">
        <v>482</v>
      </c>
      <c r="M734" s="155"/>
      <c r="N734" s="62" t="s">
        <v>79</v>
      </c>
      <c r="O734" s="124" t="str">
        <f>IF($O$687="","",$O$687)</f>
        <v>Piranha CB2-17090320</v>
      </c>
      <c r="P734" s="287"/>
      <c r="Q734" s="55"/>
      <c r="R734" s="63"/>
      <c r="S734" s="63"/>
      <c r="T734" s="63"/>
      <c r="U734" s="63"/>
      <c r="V734" s="63"/>
      <c r="W734" s="81"/>
      <c r="X734" s="939" t="s">
        <v>482</v>
      </c>
    </row>
    <row r="735" spans="1:56" ht="11.25" customHeight="1">
      <c r="A735" s="857">
        <v>9</v>
      </c>
      <c r="B735" s="386" t="s">
        <v>1184</v>
      </c>
      <c r="C735" s="156"/>
      <c r="D735" s="156"/>
      <c r="E735" s="156"/>
      <c r="F735" s="63"/>
      <c r="G735" s="56"/>
      <c r="H735" s="56"/>
      <c r="I735" s="56"/>
      <c r="J735" s="56"/>
      <c r="K735" s="79"/>
      <c r="L735" s="957" t="s">
        <v>482</v>
      </c>
      <c r="M735" s="155"/>
      <c r="N735" s="63"/>
      <c r="O735" s="63"/>
      <c r="P735" s="63"/>
      <c r="Q735" s="63"/>
      <c r="R735" s="63"/>
      <c r="S735" s="63"/>
      <c r="T735" s="63"/>
      <c r="U735" s="63"/>
      <c r="V735" s="63"/>
      <c r="W735" s="81"/>
      <c r="X735" s="939" t="s">
        <v>482</v>
      </c>
    </row>
    <row r="736" spans="1:56" ht="11.25" customHeight="1">
      <c r="A736" s="857">
        <v>10</v>
      </c>
      <c r="B736" s="146"/>
      <c r="C736" s="56"/>
      <c r="D736" s="56"/>
      <c r="E736" s="56"/>
      <c r="F736" s="56"/>
      <c r="G736" s="56"/>
      <c r="H736" s="56"/>
      <c r="I736" s="56"/>
      <c r="J736" s="56"/>
      <c r="K736" s="79"/>
      <c r="L736" s="957" t="s">
        <v>482</v>
      </c>
      <c r="M736" s="386" t="s">
        <v>1185</v>
      </c>
      <c r="N736" s="156"/>
      <c r="O736" s="156"/>
      <c r="P736" s="156"/>
      <c r="Q736" s="56"/>
      <c r="R736" s="56"/>
      <c r="S736" s="56"/>
      <c r="T736" s="56"/>
      <c r="U736" s="56"/>
      <c r="V736" s="56"/>
      <c r="W736" s="79"/>
      <c r="X736" s="939" t="s">
        <v>482</v>
      </c>
    </row>
    <row r="737" spans="1:24" ht="11.25" customHeight="1">
      <c r="A737" s="857">
        <v>11</v>
      </c>
      <c r="B737" s="155"/>
      <c r="C737" s="63"/>
      <c r="D737" s="343" t="s">
        <v>129</v>
      </c>
      <c r="E737" s="61"/>
      <c r="F737" s="63"/>
      <c r="G737" s="63"/>
      <c r="H737" s="343" t="s">
        <v>130</v>
      </c>
      <c r="I737" s="61"/>
      <c r="J737" s="63"/>
      <c r="K737" s="79"/>
      <c r="L737" s="957" t="s">
        <v>482</v>
      </c>
      <c r="M737" s="146"/>
      <c r="N737" s="56"/>
      <c r="O737" s="56"/>
      <c r="P737" s="56"/>
      <c r="Q737" s="56"/>
      <c r="R737" s="56"/>
      <c r="S737" s="56"/>
      <c r="T737" s="56"/>
      <c r="U737" s="56"/>
      <c r="V737" s="56"/>
      <c r="W737" s="79"/>
      <c r="X737" s="939" t="s">
        <v>482</v>
      </c>
    </row>
    <row r="738" spans="1:24" ht="11.25" customHeight="1">
      <c r="A738" s="857">
        <v>12</v>
      </c>
      <c r="B738" s="155"/>
      <c r="C738" s="63"/>
      <c r="D738" s="62" t="s">
        <v>141</v>
      </c>
      <c r="E738" s="178">
        <f>IF(N740="","",N740)</f>
        <v>60</v>
      </c>
      <c r="F738" s="58" t="str">
        <f>N739</f>
        <v>cm</v>
      </c>
      <c r="G738" s="56"/>
      <c r="H738" s="62" t="s">
        <v>141</v>
      </c>
      <c r="I738" s="178">
        <f>IF(N759="","",N759)</f>
        <v>60</v>
      </c>
      <c r="J738" s="58" t="str">
        <f>N758</f>
        <v>cm</v>
      </c>
      <c r="K738" s="79"/>
      <c r="L738" s="957" t="s">
        <v>482</v>
      </c>
      <c r="M738" s="146" t="s">
        <v>114</v>
      </c>
      <c r="N738" s="281" t="s">
        <v>140</v>
      </c>
      <c r="O738" s="281" t="s">
        <v>116</v>
      </c>
      <c r="P738" s="281" t="s">
        <v>117</v>
      </c>
      <c r="Q738" s="56"/>
      <c r="R738" s="281"/>
      <c r="S738" s="281" t="s">
        <v>119</v>
      </c>
      <c r="T738" s="146"/>
      <c r="U738" s="58" t="s">
        <v>120</v>
      </c>
      <c r="V738" s="56"/>
      <c r="W738" s="79"/>
      <c r="X738" s="939" t="s">
        <v>482</v>
      </c>
    </row>
    <row r="739" spans="1:24" ht="11.25" customHeight="1" thickBot="1">
      <c r="A739" s="857">
        <v>13</v>
      </c>
      <c r="B739" s="155"/>
      <c r="C739" s="62"/>
      <c r="D739" s="62" t="s">
        <v>684</v>
      </c>
      <c r="E739" s="278">
        <f>IF(R740="","",IF(LFMAS="mA",R740,""))</f>
        <v>400</v>
      </c>
      <c r="F739" s="56"/>
      <c r="G739" s="62"/>
      <c r="H739" s="62" t="s">
        <v>684</v>
      </c>
      <c r="I739" s="278">
        <f>IF(R759="","",IF(SFMAS="mA",R759,""))</f>
        <v>100</v>
      </c>
      <c r="J739" s="63"/>
      <c r="K739" s="79"/>
      <c r="L739" s="957" t="s">
        <v>482</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1167</v>
      </c>
      <c r="X739" s="939" t="s">
        <v>482</v>
      </c>
    </row>
    <row r="740" spans="1:24" ht="11.25" customHeight="1">
      <c r="A740" s="857">
        <v>14</v>
      </c>
      <c r="B740" s="155"/>
      <c r="C740" s="56"/>
      <c r="D740" s="62" t="s">
        <v>686</v>
      </c>
      <c r="E740" s="278" t="str">
        <f>IF(R740="","",IF(LFMAS="mAs",R740,""))</f>
        <v/>
      </c>
      <c r="F740" s="56"/>
      <c r="G740" s="56"/>
      <c r="H740" s="62" t="s">
        <v>686</v>
      </c>
      <c r="I740" s="278" t="str">
        <f>IF(R759="","",IF(SFMAS="mAs",R759,""))</f>
        <v/>
      </c>
      <c r="J740" s="63"/>
      <c r="K740" s="79"/>
      <c r="L740" s="957" t="s">
        <v>482</v>
      </c>
      <c r="M740" s="636" t="str">
        <f>IF(OR(AM690="",AM690=0,Q740=""),"","Delay:"&amp;AM690&amp;"ms")</f>
        <v/>
      </c>
      <c r="N740" s="644">
        <f>$N$694</f>
        <v>60</v>
      </c>
      <c r="O740" s="645" t="s">
        <v>110</v>
      </c>
      <c r="P740" s="646" t="str">
        <f>IF(OR(Q740="",AE690=""),"",AE690)</f>
        <v>70-120</v>
      </c>
      <c r="Q740" s="647">
        <f>AA690</f>
        <v>80</v>
      </c>
      <c r="R740" s="648">
        <f>IF(OR(AD690="",AD690=0),AB690,AD690)</f>
        <v>400</v>
      </c>
      <c r="S740" s="581">
        <f>IF(OR(AC690="",AC690=0),IF(OR(AP690="No Anomolies",AP690=""),"",AP690),AC690)</f>
        <v>0.05</v>
      </c>
      <c r="T740" s="579" t="str">
        <f>IF(T695="","",T695)</f>
        <v/>
      </c>
      <c r="U740" s="580" t="str">
        <f>IF(U695="","",U695)</f>
        <v/>
      </c>
      <c r="V740" s="581" t="str">
        <f>IF(V695="","",V695)</f>
        <v/>
      </c>
      <c r="W740" s="582" t="str">
        <f>IF(W695="","",W695)</f>
        <v/>
      </c>
      <c r="X740" s="939" t="s">
        <v>482</v>
      </c>
    </row>
    <row r="741" spans="1:24" ht="11.25" customHeight="1">
      <c r="A741" s="857">
        <v>15</v>
      </c>
      <c r="B741" s="155"/>
      <c r="C741" s="56"/>
      <c r="D741" s="62" t="s">
        <v>133</v>
      </c>
      <c r="E741" s="279">
        <f>IF(S740="","",S740)</f>
        <v>0.05</v>
      </c>
      <c r="F741" s="56"/>
      <c r="G741" s="56"/>
      <c r="H741" s="62" t="s">
        <v>133</v>
      </c>
      <c r="I741" s="279">
        <f>IF(S759="","",S759)</f>
        <v>0.1</v>
      </c>
      <c r="J741" s="63"/>
      <c r="K741" s="79"/>
      <c r="L741" s="957" t="s">
        <v>482</v>
      </c>
      <c r="M741" s="636" t="str">
        <f>IF(OR(AM691="",AM691=0,Q741=""),"","Delay:"&amp;AM691&amp;"ms")</f>
        <v/>
      </c>
      <c r="N741" s="651">
        <f>IF(OR(N$740="",$Q741=""),"",N$740)</f>
        <v>60</v>
      </c>
      <c r="O741" s="645" t="str">
        <f>IF(Q741="","",O740)</f>
        <v>Large</v>
      </c>
      <c r="P741" s="646" t="str">
        <f>IF(OR(Q741="",AE691=""),"",AE691)</f>
        <v>70-120</v>
      </c>
      <c r="Q741" s="647">
        <f>AA691</f>
        <v>80</v>
      </c>
      <c r="R741" s="648">
        <f>IF(OR(AD691="",AD691=0),AB691,AD691)</f>
        <v>400</v>
      </c>
      <c r="S741" s="581">
        <f>IF(OR(AC691="",AC691=0),IF(OR(AP691="No Anomolies",AP691=""),"",AP691),AC691)</f>
        <v>0.05</v>
      </c>
      <c r="T741" s="579" t="str">
        <f>IF(AZ691="","",AZ691)</f>
        <v/>
      </c>
      <c r="U741" s="580" t="str">
        <f>IF(AX691="","",AX691)</f>
        <v/>
      </c>
      <c r="V741" s="581" t="str">
        <f t="shared" ref="V741:W744" si="117">IF(BA691="","",BA691)</f>
        <v/>
      </c>
      <c r="W741" s="582" t="str">
        <f t="shared" si="117"/>
        <v/>
      </c>
      <c r="X741" s="939" t="s">
        <v>482</v>
      </c>
    </row>
    <row r="742" spans="1:24" ht="11.25" customHeight="1">
      <c r="A742" s="857">
        <v>16</v>
      </c>
      <c r="B742" s="155"/>
      <c r="C742" s="56"/>
      <c r="D742" s="56"/>
      <c r="E742" s="56"/>
      <c r="F742" s="56"/>
      <c r="G742" s="56"/>
      <c r="H742" s="56"/>
      <c r="I742" s="56"/>
      <c r="J742" s="63"/>
      <c r="K742" s="79"/>
      <c r="L742" s="957" t="s">
        <v>482</v>
      </c>
      <c r="M742" s="636" t="str">
        <f>IF(OR(AM692="",AM692=0,Q742=""),"","Delay:"&amp;AM692&amp;"ms")</f>
        <v/>
      </c>
      <c r="N742" s="651">
        <f>IF(OR(N$740="",$Q742=""),"",N$740)</f>
        <v>60</v>
      </c>
      <c r="O742" s="645" t="str">
        <f>IF(Q742="","",O741)</f>
        <v>Large</v>
      </c>
      <c r="P742" s="646" t="str">
        <f>IF(OR(Q742="",AE692=""),"",AE692)</f>
        <v>70-120</v>
      </c>
      <c r="Q742" s="647">
        <f>AA692</f>
        <v>80</v>
      </c>
      <c r="R742" s="648">
        <f>IF(OR(AD692="",AD692=0),AB692,AD692)</f>
        <v>400</v>
      </c>
      <c r="S742" s="581">
        <f>IF(OR(AC692="",AC692=0),IF(OR(AP692="No Anomolies",AP692=""),"",AP692),AC692)</f>
        <v>0.05</v>
      </c>
      <c r="T742" s="579" t="str">
        <f>IF(AZ692="","",AZ692)</f>
        <v/>
      </c>
      <c r="U742" s="580" t="str">
        <f>IF(AX692="","",AX692)</f>
        <v/>
      </c>
      <c r="V742" s="581" t="str">
        <f t="shared" si="117"/>
        <v/>
      </c>
      <c r="W742" s="582" t="str">
        <f t="shared" si="117"/>
        <v/>
      </c>
      <c r="X742" s="939" t="s">
        <v>482</v>
      </c>
    </row>
    <row r="743" spans="1:24" ht="11.25" customHeight="1">
      <c r="A743" s="857">
        <v>17</v>
      </c>
      <c r="B743" s="155"/>
      <c r="C743" s="63"/>
      <c r="D743" s="56" t="s">
        <v>643</v>
      </c>
      <c r="E743" s="156" t="s">
        <v>644</v>
      </c>
      <c r="F743" s="156"/>
      <c r="G743" s="56"/>
      <c r="H743" s="56" t="s">
        <v>643</v>
      </c>
      <c r="I743" s="156" t="s">
        <v>644</v>
      </c>
      <c r="J743" s="156"/>
      <c r="K743" s="81"/>
      <c r="L743" s="957" t="s">
        <v>482</v>
      </c>
      <c r="M743" s="636" t="str">
        <f>IF(OR(AM693="",AM693=0,Q743=""),"","Delay:"&amp;AM693&amp;"ms")</f>
        <v/>
      </c>
      <c r="N743" s="651">
        <f>IF(OR(N$740="",$Q743=""),"",N$740)</f>
        <v>60</v>
      </c>
      <c r="O743" s="645" t="str">
        <f>IF(Q743="","",O742)</f>
        <v>Large</v>
      </c>
      <c r="P743" s="646" t="str">
        <f>IF(OR(Q743="",AE693=""),"",AE693)</f>
        <v>70-120</v>
      </c>
      <c r="Q743" s="647">
        <f>AA693</f>
        <v>80</v>
      </c>
      <c r="R743" s="648">
        <f>IF(OR(AD693="",AD693=0),AB693,AD693)</f>
        <v>400</v>
      </c>
      <c r="S743" s="581">
        <f>IF(OR(AC693="",AC693=0),IF(OR(AP693="No Anomolies",AP693=""),"",AP693),AC693)</f>
        <v>0.05</v>
      </c>
      <c r="T743" s="579" t="str">
        <f>IF(AZ693="","",AZ693)</f>
        <v/>
      </c>
      <c r="U743" s="580" t="str">
        <f>IF(AX693="","",AX693)</f>
        <v/>
      </c>
      <c r="V743" s="581" t="str">
        <f t="shared" si="117"/>
        <v/>
      </c>
      <c r="W743" s="582" t="str">
        <f t="shared" si="117"/>
        <v/>
      </c>
      <c r="X743" s="939" t="s">
        <v>482</v>
      </c>
    </row>
    <row r="744" spans="1:24" ht="11.25" customHeight="1" thickBot="1">
      <c r="A744" s="857">
        <v>18</v>
      </c>
      <c r="B744" s="155"/>
      <c r="C744" s="56"/>
      <c r="D744" s="183" t="s">
        <v>539</v>
      </c>
      <c r="E744" s="183" t="s">
        <v>539</v>
      </c>
      <c r="F744" s="183" t="s">
        <v>1167</v>
      </c>
      <c r="G744" s="56"/>
      <c r="H744" s="183" t="s">
        <v>539</v>
      </c>
      <c r="I744" s="183" t="s">
        <v>539</v>
      </c>
      <c r="J744" s="183" t="s">
        <v>1167</v>
      </c>
      <c r="K744" s="79"/>
      <c r="L744" s="957" t="s">
        <v>482</v>
      </c>
      <c r="M744" s="636" t="str">
        <f>IF(OR(AM694="",AM694=0,Q744=""),"","Delay:"&amp;AM694&amp;"ms")</f>
        <v/>
      </c>
      <c r="N744" s="651">
        <f>IF(OR(N$740="",$Q744=""),"",N$740)</f>
        <v>60</v>
      </c>
      <c r="O744" s="645" t="str">
        <f>IF(Q744="","",O743)</f>
        <v>Large</v>
      </c>
      <c r="P744" s="646" t="str">
        <f>IF(OR(Q744="",AE694=""),"",AE694)</f>
        <v>70-120</v>
      </c>
      <c r="Q744" s="647">
        <f>AA694</f>
        <v>80</v>
      </c>
      <c r="R744" s="648">
        <f>IF(OR(AD694="",AD694=0),AB694,AD694)</f>
        <v>400</v>
      </c>
      <c r="S744" s="581">
        <f>IF(OR(AC694="",AC694=0),IF(OR(AP694="No Anomolies",AP694=""),"",AP694),AC694)</f>
        <v>0.05</v>
      </c>
      <c r="T744" s="579" t="str">
        <f>IF(AZ694="","",AZ694)</f>
        <v/>
      </c>
      <c r="U744" s="580" t="str">
        <f>IF(AX694="","",AX694)</f>
        <v/>
      </c>
      <c r="V744" s="581" t="str">
        <f t="shared" si="117"/>
        <v/>
      </c>
      <c r="W744" s="582" t="str">
        <f t="shared" si="117"/>
        <v/>
      </c>
      <c r="X744" s="939" t="s">
        <v>482</v>
      </c>
    </row>
    <row r="745" spans="1:24" ht="11.25" customHeight="1">
      <c r="A745" s="857">
        <v>19</v>
      </c>
      <c r="B745" s="155"/>
      <c r="C745" s="56"/>
      <c r="D745" s="280">
        <f>IF(Q740="","",Q740)</f>
        <v>80</v>
      </c>
      <c r="E745" s="142" t="str">
        <f t="shared" ref="E745:E754" si="118">IF(T740="","",T740)</f>
        <v/>
      </c>
      <c r="F745" s="556" t="str">
        <f t="shared" ref="F745:F754" si="119">IF(W740="","",W740)</f>
        <v/>
      </c>
      <c r="G745" s="56"/>
      <c r="H745" s="280">
        <f>IF(Q759="","",Q759)</f>
        <v>90</v>
      </c>
      <c r="I745" s="142" t="str">
        <f t="shared" ref="I745:I754" si="120">IF(T759="","",T759)</f>
        <v/>
      </c>
      <c r="J745" s="556" t="str">
        <f t="shared" ref="J745:J754" si="121">IF(W759="","",W759)</f>
        <v/>
      </c>
      <c r="K745" s="79"/>
      <c r="L745" s="957" t="s">
        <v>482</v>
      </c>
      <c r="M745" s="636"/>
      <c r="N745" s="290" t="str">
        <f t="shared" ref="N745:O749" si="122">IF(AND($T745="",$V745=""),"",N$740)</f>
        <v/>
      </c>
      <c r="O745" s="290" t="str">
        <f t="shared" si="122"/>
        <v/>
      </c>
      <c r="P745" s="638"/>
      <c r="Q745" s="290" t="str">
        <f>IF(AND($T745="",$V745=""),"",Q$740)</f>
        <v/>
      </c>
      <c r="R745" s="290" t="str">
        <f t="shared" ref="R745:S749" si="123">IF(AND($T745="",$V745=""),"",R$740)</f>
        <v/>
      </c>
      <c r="S745" s="290" t="str">
        <f t="shared" si="123"/>
        <v/>
      </c>
      <c r="T745" s="876"/>
      <c r="U745" s="877"/>
      <c r="V745" s="873"/>
      <c r="W745" s="874"/>
      <c r="X745" s="939" t="s">
        <v>482</v>
      </c>
    </row>
    <row r="746" spans="1:24" ht="11.25" customHeight="1">
      <c r="A746" s="857">
        <v>20</v>
      </c>
      <c r="B746" s="155"/>
      <c r="C746" s="56"/>
      <c r="D746" s="56"/>
      <c r="E746" s="142" t="str">
        <f t="shared" si="118"/>
        <v/>
      </c>
      <c r="F746" s="556" t="str">
        <f t="shared" si="119"/>
        <v/>
      </c>
      <c r="G746" s="56"/>
      <c r="H746" s="56"/>
      <c r="I746" s="142" t="str">
        <f t="shared" si="120"/>
        <v/>
      </c>
      <c r="J746" s="556" t="str">
        <f t="shared" si="121"/>
        <v/>
      </c>
      <c r="K746" s="79"/>
      <c r="L746" s="957" t="s">
        <v>482</v>
      </c>
      <c r="M746" s="636"/>
      <c r="N746" s="290" t="str">
        <f t="shared" si="122"/>
        <v/>
      </c>
      <c r="O746" s="290" t="str">
        <f t="shared" si="122"/>
        <v/>
      </c>
      <c r="P746" s="638"/>
      <c r="Q746" s="290" t="str">
        <f>IF(AND($T746="",$V746=""),"",Q$740)</f>
        <v/>
      </c>
      <c r="R746" s="290" t="str">
        <f t="shared" si="123"/>
        <v/>
      </c>
      <c r="S746" s="290" t="str">
        <f t="shared" si="123"/>
        <v/>
      </c>
      <c r="T746" s="876"/>
      <c r="U746" s="877"/>
      <c r="V746" s="873"/>
      <c r="W746" s="874"/>
      <c r="X746" s="939" t="s">
        <v>482</v>
      </c>
    </row>
    <row r="747" spans="1:24" ht="11.25" customHeight="1">
      <c r="A747" s="857">
        <v>21</v>
      </c>
      <c r="B747" s="155"/>
      <c r="C747" s="56"/>
      <c r="D747" s="56"/>
      <c r="E747" s="142" t="str">
        <f t="shared" si="118"/>
        <v/>
      </c>
      <c r="F747" s="556" t="str">
        <f t="shared" si="119"/>
        <v/>
      </c>
      <c r="G747" s="56"/>
      <c r="H747" s="56"/>
      <c r="I747" s="142" t="str">
        <f t="shared" si="120"/>
        <v/>
      </c>
      <c r="J747" s="556" t="str">
        <f t="shared" si="121"/>
        <v/>
      </c>
      <c r="K747" s="79"/>
      <c r="L747" s="957" t="s">
        <v>482</v>
      </c>
      <c r="M747" s="636"/>
      <c r="N747" s="290" t="str">
        <f t="shared" si="122"/>
        <v/>
      </c>
      <c r="O747" s="290" t="str">
        <f t="shared" si="122"/>
        <v/>
      </c>
      <c r="P747" s="638"/>
      <c r="Q747" s="290" t="str">
        <f>IF(AND($T747="",$V747=""),"",Q$740)</f>
        <v/>
      </c>
      <c r="R747" s="290" t="str">
        <f t="shared" si="123"/>
        <v/>
      </c>
      <c r="S747" s="290" t="str">
        <f t="shared" si="123"/>
        <v/>
      </c>
      <c r="T747" s="876"/>
      <c r="U747" s="877"/>
      <c r="V747" s="873"/>
      <c r="W747" s="874"/>
      <c r="X747" s="939" t="s">
        <v>482</v>
      </c>
    </row>
    <row r="748" spans="1:24" ht="11.25" customHeight="1">
      <c r="A748" s="857">
        <v>22</v>
      </c>
      <c r="B748" s="155"/>
      <c r="C748" s="56"/>
      <c r="D748" s="56"/>
      <c r="E748" s="142" t="str">
        <f t="shared" si="118"/>
        <v/>
      </c>
      <c r="F748" s="556" t="str">
        <f t="shared" si="119"/>
        <v/>
      </c>
      <c r="G748" s="56"/>
      <c r="H748" s="56"/>
      <c r="I748" s="142" t="str">
        <f t="shared" si="120"/>
        <v/>
      </c>
      <c r="J748" s="556" t="str">
        <f t="shared" si="121"/>
        <v/>
      </c>
      <c r="K748" s="79"/>
      <c r="L748" s="957" t="s">
        <v>482</v>
      </c>
      <c r="M748" s="636"/>
      <c r="N748" s="290" t="str">
        <f t="shared" si="122"/>
        <v/>
      </c>
      <c r="O748" s="290" t="str">
        <f t="shared" si="122"/>
        <v/>
      </c>
      <c r="P748" s="638"/>
      <c r="Q748" s="290" t="str">
        <f>IF(AND($T748="",$V748=""),"",Q$740)</f>
        <v/>
      </c>
      <c r="R748" s="290" t="str">
        <f t="shared" si="123"/>
        <v/>
      </c>
      <c r="S748" s="290" t="str">
        <f t="shared" si="123"/>
        <v/>
      </c>
      <c r="T748" s="876"/>
      <c r="U748" s="877"/>
      <c r="V748" s="873"/>
      <c r="W748" s="874"/>
      <c r="X748" s="939" t="s">
        <v>482</v>
      </c>
    </row>
    <row r="749" spans="1:24" ht="11.25" customHeight="1" thickBot="1">
      <c r="A749" s="857">
        <v>23</v>
      </c>
      <c r="B749" s="155"/>
      <c r="C749" s="56"/>
      <c r="D749" s="56"/>
      <c r="E749" s="142" t="str">
        <f t="shared" si="118"/>
        <v/>
      </c>
      <c r="F749" s="556" t="str">
        <f t="shared" si="119"/>
        <v/>
      </c>
      <c r="G749" s="56"/>
      <c r="H749" s="56"/>
      <c r="I749" s="142" t="str">
        <f t="shared" si="120"/>
        <v/>
      </c>
      <c r="J749" s="556" t="str">
        <f t="shared" si="121"/>
        <v/>
      </c>
      <c r="K749" s="81"/>
      <c r="L749" s="957" t="s">
        <v>482</v>
      </c>
      <c r="M749" s="637"/>
      <c r="N749" s="292" t="str">
        <f t="shared" si="122"/>
        <v/>
      </c>
      <c r="O749" s="292" t="str">
        <f t="shared" si="122"/>
        <v/>
      </c>
      <c r="P749" s="639"/>
      <c r="Q749" s="292" t="str">
        <f>IF(AND($T749="",$V749=""),"",Q$740)</f>
        <v/>
      </c>
      <c r="R749" s="292" t="str">
        <f t="shared" si="123"/>
        <v/>
      </c>
      <c r="S749" s="292" t="str">
        <f t="shared" si="123"/>
        <v/>
      </c>
      <c r="T749" s="878"/>
      <c r="U749" s="879"/>
      <c r="V749" s="880"/>
      <c r="W749" s="881"/>
      <c r="X749" s="939" t="s">
        <v>482</v>
      </c>
    </row>
    <row r="750" spans="1:24" ht="11.25" customHeight="1" thickTop="1">
      <c r="A750" s="857">
        <v>24</v>
      </c>
      <c r="B750" s="155"/>
      <c r="C750" s="63"/>
      <c r="D750" s="56"/>
      <c r="E750" s="142" t="str">
        <f t="shared" si="118"/>
        <v/>
      </c>
      <c r="F750" s="556" t="str">
        <f t="shared" si="119"/>
        <v/>
      </c>
      <c r="G750" s="56"/>
      <c r="H750" s="56"/>
      <c r="I750" s="142" t="str">
        <f t="shared" si="120"/>
        <v/>
      </c>
      <c r="J750" s="556" t="str">
        <f t="shared" si="121"/>
        <v/>
      </c>
      <c r="K750" s="81"/>
      <c r="L750" s="957" t="s">
        <v>482</v>
      </c>
      <c r="M750" s="845" t="s">
        <v>142</v>
      </c>
      <c r="N750" s="133"/>
      <c r="O750" s="133"/>
      <c r="P750" s="133"/>
      <c r="Q750" s="133"/>
      <c r="R750" s="133"/>
      <c r="S750" s="133"/>
      <c r="T750" s="133"/>
      <c r="U750" s="133"/>
      <c r="V750" s="133"/>
      <c r="W750" s="75"/>
      <c r="X750" s="939" t="s">
        <v>482</v>
      </c>
    </row>
    <row r="751" spans="1:24" ht="11.25" customHeight="1">
      <c r="A751" s="857">
        <v>25</v>
      </c>
      <c r="B751" s="155"/>
      <c r="C751" s="63"/>
      <c r="D751" s="56"/>
      <c r="E751" s="142" t="str">
        <f t="shared" si="118"/>
        <v/>
      </c>
      <c r="F751" s="556" t="str">
        <f t="shared" si="119"/>
        <v/>
      </c>
      <c r="G751" s="56"/>
      <c r="H751" s="56"/>
      <c r="I751" s="142" t="str">
        <f t="shared" si="120"/>
        <v/>
      </c>
      <c r="J751" s="556" t="str">
        <f t="shared" si="121"/>
        <v/>
      </c>
      <c r="K751" s="81"/>
      <c r="L751" s="957" t="s">
        <v>482</v>
      </c>
      <c r="M751" s="146"/>
      <c r="N751" s="855" t="s">
        <v>187</v>
      </c>
      <c r="O751" s="1379" t="str">
        <f>IF(O752&lt;&gt;"",O752,IF(OR(AB442=0,AB442=""),"",AB442))</f>
        <v/>
      </c>
      <c r="P751" s="55"/>
      <c r="Q751" s="55"/>
      <c r="R751" s="55"/>
      <c r="S751" s="55"/>
      <c r="T751" s="55"/>
      <c r="U751" s="55"/>
      <c r="V751" s="55"/>
      <c r="W751" s="122"/>
      <c r="X751" s="939" t="s">
        <v>482</v>
      </c>
    </row>
    <row r="752" spans="1:24" ht="11.25" customHeight="1" thickBot="1">
      <c r="A752" s="857">
        <v>26</v>
      </c>
      <c r="B752" s="155"/>
      <c r="C752" s="63"/>
      <c r="D752" s="56"/>
      <c r="E752" s="142" t="str">
        <f t="shared" si="118"/>
        <v/>
      </c>
      <c r="F752" s="556" t="str">
        <f t="shared" si="119"/>
        <v/>
      </c>
      <c r="G752" s="56"/>
      <c r="H752" s="56"/>
      <c r="I752" s="142" t="str">
        <f t="shared" si="120"/>
        <v/>
      </c>
      <c r="J752" s="556" t="str">
        <f t="shared" si="121"/>
        <v/>
      </c>
      <c r="K752" s="81"/>
      <c r="L752" s="957" t="s">
        <v>482</v>
      </c>
      <c r="M752" s="121"/>
      <c r="N752" s="1378" t="s">
        <v>696</v>
      </c>
      <c r="O752" s="1380"/>
      <c r="P752" s="1237">
        <f>LEN(O751)</f>
        <v>0</v>
      </c>
      <c r="Q752" s="55"/>
      <c r="R752" s="55"/>
      <c r="S752" s="55"/>
      <c r="T752" s="55"/>
      <c r="U752" s="55"/>
      <c r="V752" s="55"/>
      <c r="W752" s="122"/>
      <c r="X752" s="939" t="s">
        <v>482</v>
      </c>
    </row>
    <row r="753" spans="1:24" ht="11.25" customHeight="1" thickBot="1">
      <c r="A753" s="857">
        <v>27</v>
      </c>
      <c r="B753" s="155"/>
      <c r="C753" s="63"/>
      <c r="D753" s="56"/>
      <c r="E753" s="142" t="str">
        <f t="shared" si="118"/>
        <v/>
      </c>
      <c r="F753" s="556" t="str">
        <f t="shared" si="119"/>
        <v/>
      </c>
      <c r="G753" s="56"/>
      <c r="H753" s="56"/>
      <c r="I753" s="142" t="str">
        <f t="shared" si="120"/>
        <v/>
      </c>
      <c r="J753" s="556" t="str">
        <f t="shared" si="121"/>
        <v/>
      </c>
      <c r="K753" s="81"/>
      <c r="L753" s="957" t="s">
        <v>482</v>
      </c>
      <c r="M753" s="146"/>
      <c r="N753" s="855" t="s">
        <v>187</v>
      </c>
      <c r="O753" s="1379" t="str">
        <f>IF(O754&lt;&gt;"",O754,IF(OR(AB443=0,AB443=""),"",AB443))</f>
        <v/>
      </c>
      <c r="P753" s="1348"/>
      <c r="Q753" s="55"/>
      <c r="R753" s="55"/>
      <c r="S753" s="55"/>
      <c r="U753" s="1354" t="s">
        <v>539</v>
      </c>
      <c r="V753" s="1354" t="s">
        <v>1167</v>
      </c>
      <c r="W753" s="1355" t="s">
        <v>542</v>
      </c>
      <c r="X753" s="939" t="s">
        <v>482</v>
      </c>
    </row>
    <row r="754" spans="1:24" ht="11.25" customHeight="1" thickBot="1">
      <c r="A754" s="857">
        <v>28</v>
      </c>
      <c r="B754" s="155"/>
      <c r="C754" s="63"/>
      <c r="D754" s="56"/>
      <c r="E754" s="142" t="str">
        <f t="shared" si="118"/>
        <v/>
      </c>
      <c r="F754" s="556" t="str">
        <f t="shared" si="119"/>
        <v/>
      </c>
      <c r="G754" s="56"/>
      <c r="H754" s="56"/>
      <c r="I754" s="142" t="str">
        <f t="shared" si="120"/>
        <v/>
      </c>
      <c r="J754" s="556" t="str">
        <f t="shared" si="121"/>
        <v/>
      </c>
      <c r="K754" s="79"/>
      <c r="L754" s="957" t="s">
        <v>482</v>
      </c>
      <c r="M754" s="146"/>
      <c r="N754" s="1169" t="s">
        <v>696</v>
      </c>
      <c r="O754" s="1380"/>
      <c r="P754" s="1236">
        <f>LEN(O753)</f>
        <v>0</v>
      </c>
      <c r="Q754" s="56"/>
      <c r="R754" s="56"/>
      <c r="S754" s="56"/>
      <c r="T754" s="1354" t="s">
        <v>646</v>
      </c>
      <c r="U754" s="1351" t="str">
        <f>IF(T740="","NA",IF(E758="TBD","TBD",IF(E758&gt;0.05,"NO","YES")))</f>
        <v>NA</v>
      </c>
      <c r="V754" s="1352" t="str">
        <f>IF(W740="","NA",IF(F758="TBD","TBD",IF(F758&gt;0.05,"NO","YES")))</f>
        <v>NA</v>
      </c>
      <c r="W754" s="1353" t="str">
        <f>IF(M806&lt;&gt;1,"NA",IF(K827="TBD","TBD",IF(K827&gt;=0.05,"NO","YES")))</f>
        <v>NA</v>
      </c>
      <c r="X754" s="939" t="s">
        <v>482</v>
      </c>
    </row>
    <row r="755" spans="1:24" ht="11.25" customHeight="1">
      <c r="A755" s="857">
        <v>29</v>
      </c>
      <c r="B755" s="155"/>
      <c r="C755" s="63"/>
      <c r="D755" s="56"/>
      <c r="E755" s="56"/>
      <c r="F755" s="557"/>
      <c r="G755" s="56"/>
      <c r="H755" s="56"/>
      <c r="I755" s="56"/>
      <c r="J755" s="557"/>
      <c r="K755" s="79"/>
      <c r="L755" s="957" t="s">
        <v>482</v>
      </c>
      <c r="M755" s="386" t="s">
        <v>1186</v>
      </c>
      <c r="N755" s="156"/>
      <c r="O755" s="156"/>
      <c r="P755" s="156"/>
      <c r="Q755" s="56"/>
      <c r="R755" s="56"/>
      <c r="S755" s="56"/>
      <c r="T755" s="56"/>
      <c r="U755" s="56"/>
      <c r="V755" s="56"/>
      <c r="W755" s="79"/>
      <c r="X755" s="939" t="s">
        <v>482</v>
      </c>
    </row>
    <row r="756" spans="1:24" ht="11.25" customHeight="1">
      <c r="A756" s="857">
        <v>30</v>
      </c>
      <c r="B756" s="155"/>
      <c r="C756" s="56"/>
      <c r="D756" s="56" t="s">
        <v>144</v>
      </c>
      <c r="E756" s="143" t="str">
        <f>IF(AND(E745&gt;0,MIN(E746:E754)&gt;0),AVERAGE(E745:E754),"")</f>
        <v/>
      </c>
      <c r="F756" s="558" t="str">
        <f>IF(AND(F745&gt;0,MIN(F746:F754)&gt;0),AVERAGE(F745:F754),"")</f>
        <v/>
      </c>
      <c r="G756" s="56"/>
      <c r="H756" s="56" t="s">
        <v>144</v>
      </c>
      <c r="I756" s="143" t="str">
        <f>IF(AND(I745&gt;0,MIN(I746:I754)&gt;0),AVERAGE(I745:I754),"")</f>
        <v/>
      </c>
      <c r="J756" s="558" t="str">
        <f>IF(AND(J745&gt;0,MIN(J746:J754)&gt;0),AVERAGE(J745:J754),"")</f>
        <v/>
      </c>
      <c r="K756" s="79"/>
      <c r="L756" s="957" t="s">
        <v>482</v>
      </c>
      <c r="M756" s="146"/>
      <c r="N756" s="56"/>
      <c r="O756" s="56"/>
      <c r="P756" s="56"/>
      <c r="Q756" s="56"/>
      <c r="R756" s="56"/>
      <c r="S756" s="56"/>
      <c r="T756" s="56"/>
      <c r="U756" s="56"/>
      <c r="V756" s="56"/>
      <c r="W756" s="79"/>
      <c r="X756" s="939" t="s">
        <v>482</v>
      </c>
    </row>
    <row r="757" spans="1:24" ht="11.25" customHeight="1">
      <c r="A757" s="857">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7" t="s">
        <v>482</v>
      </c>
      <c r="M757" s="146" t="s">
        <v>114</v>
      </c>
      <c r="N757" s="281" t="s">
        <v>140</v>
      </c>
      <c r="O757" s="281" t="s">
        <v>116</v>
      </c>
      <c r="P757" s="281" t="s">
        <v>117</v>
      </c>
      <c r="Q757" s="56"/>
      <c r="R757" s="281"/>
      <c r="S757" s="281" t="s">
        <v>119</v>
      </c>
      <c r="T757" s="148"/>
      <c r="U757" s="58" t="s">
        <v>120</v>
      </c>
      <c r="V757" s="56"/>
      <c r="W757" s="79"/>
      <c r="X757" s="939" t="s">
        <v>482</v>
      </c>
    </row>
    <row r="758" spans="1:24" ht="11.25" customHeight="1" thickBot="1">
      <c r="A758" s="857">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7" t="s">
        <v>482</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1167</v>
      </c>
      <c r="X758" s="939" t="s">
        <v>482</v>
      </c>
    </row>
    <row r="759" spans="1:24" ht="11.25" customHeight="1" thickBot="1">
      <c r="A759" s="857">
        <v>33</v>
      </c>
      <c r="B759" s="155"/>
      <c r="C759" s="63"/>
      <c r="D759" s="56"/>
      <c r="E759" s="56"/>
      <c r="F759" s="56"/>
      <c r="G759" s="56"/>
      <c r="H759" s="56"/>
      <c r="I759" s="56"/>
      <c r="J759" s="56"/>
      <c r="K759" s="79"/>
      <c r="L759" s="957" t="s">
        <v>482</v>
      </c>
      <c r="M759" s="636" t="str">
        <f>IF(OR(AM712="",AM712=0,Q759=""),"","Delay:"&amp;AM712&amp;"ms")</f>
        <v/>
      </c>
      <c r="N759" s="644">
        <f>$N$694</f>
        <v>60</v>
      </c>
      <c r="O759" s="645" t="s">
        <v>138</v>
      </c>
      <c r="P759" s="646" t="str">
        <f>IF(OR(Q759="",AE712=""),"",AE712&amp;"/"&amp;AK712)</f>
        <v>70-120/Low</v>
      </c>
      <c r="Q759" s="647">
        <f>AA712</f>
        <v>90</v>
      </c>
      <c r="R759" s="648">
        <f>IF(OR(AD712="",AD712=0),AB712,AD712)</f>
        <v>100</v>
      </c>
      <c r="S759" s="581">
        <f>IF(OR(AC712="",AC712=0),IF(OR(AP712="No Anomolies",AP712=""),"",AP712),AC712)</f>
        <v>0.1</v>
      </c>
      <c r="T759" s="725" t="str">
        <f>IF(T714="","",T714)</f>
        <v/>
      </c>
      <c r="U759" s="610" t="str">
        <f>IF(U714="","",U714)</f>
        <v/>
      </c>
      <c r="V759" s="611" t="str">
        <f>IF(V714="","",V714)</f>
        <v/>
      </c>
      <c r="W759" s="612" t="str">
        <f>IF(W714="","",W714)</f>
        <v/>
      </c>
      <c r="X759" s="939" t="s">
        <v>482</v>
      </c>
    </row>
    <row r="760" spans="1:24" ht="11.25" customHeight="1" thickBot="1">
      <c r="A760" s="857">
        <v>34</v>
      </c>
      <c r="B760" s="146"/>
      <c r="C760" s="56"/>
      <c r="D760" s="337" t="s">
        <v>646</v>
      </c>
      <c r="E760" s="342" t="str">
        <f>IF(T740="","NA",IF(E758="TBD","TBD",IF(E758&gt;0.05,"NO","YES")))</f>
        <v>NA</v>
      </c>
      <c r="F760" s="175" t="str">
        <f>IF(W740="","NA",IF(F758="TBD","TBD",IF(F758&gt;0.05,"NO","YES")))</f>
        <v>NA</v>
      </c>
      <c r="G760" s="56"/>
      <c r="H760" s="337" t="s">
        <v>646</v>
      </c>
      <c r="I760" s="342" t="str">
        <f>IF(T759="","NA",IF(I758="TBD","TBD",IF(I758&gt;0.05,"NO","YES")))</f>
        <v>NA</v>
      </c>
      <c r="J760" s="175" t="str">
        <f>IF(W759="","NA",IF(J758="TBD","TBD",IF(J758&gt;0.05,"NO","YES")))</f>
        <v>NA</v>
      </c>
      <c r="K760" s="79"/>
      <c r="L760" s="957" t="s">
        <v>482</v>
      </c>
      <c r="M760" s="636" t="str">
        <f>IF(OR(AM713="",AM713=0,Q760=""),"","Delay:"&amp;AM713&amp;"ms")</f>
        <v/>
      </c>
      <c r="N760" s="651">
        <f>IF(OR(N$759="",$Q760=""),"",N$759)</f>
        <v>60</v>
      </c>
      <c r="O760" s="645" t="str">
        <f>IF(Q760="","",O759)</f>
        <v>Small</v>
      </c>
      <c r="P760" s="646" t="str">
        <f>IF(OR(Q760="",AE713=""),"",AE713&amp;"/"&amp;AK713)</f>
        <v>70-120/Low</v>
      </c>
      <c r="Q760" s="647">
        <f>AA713</f>
        <v>90</v>
      </c>
      <c r="R760" s="648">
        <f>IF(OR(AD713="",AD713=0),AB713,AD713)</f>
        <v>100</v>
      </c>
      <c r="S760" s="581">
        <f>IF(OR(AC713="",AC713=0),IF(OR(AP713="No Anomolies",AP713=""),"",AP713),AC713)</f>
        <v>0.1</v>
      </c>
      <c r="T760" s="725" t="str">
        <f>IF(AZ713="","",AZ713)</f>
        <v/>
      </c>
      <c r="U760" s="610" t="str">
        <f>IF(AX713="","",AX713)</f>
        <v/>
      </c>
      <c r="V760" s="611" t="str">
        <f t="shared" ref="V760:W763" si="124">IF(BA713="","",BA713)</f>
        <v/>
      </c>
      <c r="W760" s="652" t="str">
        <f t="shared" si="124"/>
        <v/>
      </c>
      <c r="X760" s="939" t="s">
        <v>482</v>
      </c>
    </row>
    <row r="761" spans="1:24" ht="11.25" customHeight="1">
      <c r="A761" s="857">
        <v>35</v>
      </c>
      <c r="B761" s="155"/>
      <c r="C761" s="63"/>
      <c r="D761" s="63"/>
      <c r="E761" s="63"/>
      <c r="F761" s="63"/>
      <c r="G761" s="63"/>
      <c r="H761" s="63"/>
      <c r="I761" s="63"/>
      <c r="J761" s="63"/>
      <c r="K761" s="79"/>
      <c r="L761" s="957" t="s">
        <v>482</v>
      </c>
      <c r="M761" s="636" t="str">
        <f>IF(OR(AM714="",AM714=0,Q761=""),"","Delay:"&amp;AM714&amp;"ms")</f>
        <v/>
      </c>
      <c r="N761" s="651">
        <f>IF(OR(N$759="",$Q761=""),"",N$759)</f>
        <v>60</v>
      </c>
      <c r="O761" s="645" t="str">
        <f>IF(Q761="","",O760)</f>
        <v>Small</v>
      </c>
      <c r="P761" s="646" t="str">
        <f>IF(OR(Q761="",AE714=""),"",AE714&amp;"/"&amp;AK714)</f>
        <v>70-120/Low</v>
      </c>
      <c r="Q761" s="647">
        <f>AA714</f>
        <v>90</v>
      </c>
      <c r="R761" s="648">
        <f>IF(OR(AD714="",AD714=0),AB714,AD714)</f>
        <v>100</v>
      </c>
      <c r="S761" s="581">
        <f>IF(OR(AC714="",AC714=0),IF(OR(AP714="No Anomolies",AP714=""),"",AP714),AC714)</f>
        <v>0.1</v>
      </c>
      <c r="T761" s="725" t="str">
        <f>IF(AZ714="","",AZ714)</f>
        <v/>
      </c>
      <c r="U761" s="610" t="str">
        <f>IF(AX714="","",AX714)</f>
        <v/>
      </c>
      <c r="V761" s="611" t="str">
        <f t="shared" si="124"/>
        <v/>
      </c>
      <c r="W761" s="652" t="str">
        <f t="shared" si="124"/>
        <v/>
      </c>
      <c r="X761" s="939" t="s">
        <v>482</v>
      </c>
    </row>
    <row r="762" spans="1:24" ht="11.25" customHeight="1">
      <c r="A762" s="857">
        <v>36</v>
      </c>
      <c r="B762" s="155"/>
      <c r="C762" s="58" t="s">
        <v>147</v>
      </c>
      <c r="D762" s="63"/>
      <c r="E762" s="63"/>
      <c r="F762" s="63"/>
      <c r="G762" s="63"/>
      <c r="H762" s="63"/>
      <c r="I762" s="63"/>
      <c r="J762" s="63"/>
      <c r="K762" s="79"/>
      <c r="L762" s="957" t="s">
        <v>482</v>
      </c>
      <c r="M762" s="636" t="str">
        <f>IF(OR(AM715="",AM715=0,Q762=""),"","Delay:"&amp;AM715&amp;"ms")</f>
        <v/>
      </c>
      <c r="N762" s="651">
        <f>IF(OR(N$759="",$Q762=""),"",N$759)</f>
        <v>60</v>
      </c>
      <c r="O762" s="645" t="str">
        <f>IF(Q762="","",O761)</f>
        <v>Small</v>
      </c>
      <c r="P762" s="646" t="str">
        <f>IF(OR(Q762="",AE715=""),"",AE715&amp;"/"&amp;AK715)</f>
        <v>70-120/Low</v>
      </c>
      <c r="Q762" s="647">
        <f>AA715</f>
        <v>90</v>
      </c>
      <c r="R762" s="648">
        <f>IF(OR(AD715="",AD715=0),AB715,AD715)</f>
        <v>100</v>
      </c>
      <c r="S762" s="581">
        <f>IF(OR(AC715="",AC715=0),IF(OR(AP715="No Anomolies",AP715=""),"",AP715),AC715)</f>
        <v>0.1</v>
      </c>
      <c r="T762" s="725" t="str">
        <f>IF(AZ715="","",AZ715)</f>
        <v/>
      </c>
      <c r="U762" s="610" t="str">
        <f>IF(AX715="","",AX715)</f>
        <v/>
      </c>
      <c r="V762" s="611" t="str">
        <f t="shared" si="124"/>
        <v/>
      </c>
      <c r="W762" s="652" t="str">
        <f t="shared" si="124"/>
        <v/>
      </c>
      <c r="X762" s="939" t="s">
        <v>482</v>
      </c>
    </row>
    <row r="763" spans="1:24" ht="11.25" customHeight="1">
      <c r="A763" s="857">
        <v>37</v>
      </c>
      <c r="B763" s="155"/>
      <c r="C763" s="63"/>
      <c r="D763" s="63"/>
      <c r="E763" s="63"/>
      <c r="F763" s="63"/>
      <c r="G763" s="63"/>
      <c r="H763" s="63"/>
      <c r="I763" s="63"/>
      <c r="J763" s="63"/>
      <c r="K763" s="79"/>
      <c r="L763" s="957" t="s">
        <v>482</v>
      </c>
      <c r="M763" s="636" t="str">
        <f>IF(OR(AM716="",AM716=0,Q763=""),"","Delay:"&amp;AM716&amp;"ms")</f>
        <v/>
      </c>
      <c r="N763" s="651">
        <f>IF(OR(N$759="",$Q763=""),"",N$759)</f>
        <v>60</v>
      </c>
      <c r="O763" s="645" t="str">
        <f>IF(Q763="","",O762)</f>
        <v>Small</v>
      </c>
      <c r="P763" s="646" t="str">
        <f>IF(OR(Q763="",AE716=""),"",AE716&amp;"/"&amp;AK716)</f>
        <v>70-120/Low</v>
      </c>
      <c r="Q763" s="647">
        <f>AA716</f>
        <v>90</v>
      </c>
      <c r="R763" s="648">
        <f>IF(OR(AD716="",AD716=0),AB716,AD716)</f>
        <v>100</v>
      </c>
      <c r="S763" s="581">
        <f>IF(OR(AC716="",AC716=0),IF(OR(AP716="No Anomolies",AP716=""),"",AP716),AC716)</f>
        <v>0.1</v>
      </c>
      <c r="T763" s="725" t="str">
        <f>IF(AZ716="","",AZ716)</f>
        <v/>
      </c>
      <c r="U763" s="610" t="str">
        <f>IF(AX716="","",AX716)</f>
        <v/>
      </c>
      <c r="V763" s="611" t="str">
        <f t="shared" si="124"/>
        <v/>
      </c>
      <c r="W763" s="652" t="str">
        <f t="shared" si="124"/>
        <v/>
      </c>
      <c r="X763" s="939" t="s">
        <v>482</v>
      </c>
    </row>
    <row r="764" spans="1:24" ht="11.25" customHeight="1">
      <c r="A764" s="857">
        <v>38</v>
      </c>
      <c r="B764" s="155"/>
      <c r="C764" s="56"/>
      <c r="D764" s="162" t="s">
        <v>647</v>
      </c>
      <c r="E764" s="238" t="s">
        <v>148</v>
      </c>
      <c r="F764" s="56"/>
      <c r="G764" s="56"/>
      <c r="H764" s="56"/>
      <c r="I764" s="56"/>
      <c r="J764" s="56"/>
      <c r="K764" s="79"/>
      <c r="L764" s="957" t="s">
        <v>482</v>
      </c>
      <c r="M764" s="126"/>
      <c r="N764" s="647" t="str">
        <f t="shared" ref="N764:S768" si="125">IF(AND($T764="",$V764=""),"",N$759)</f>
        <v/>
      </c>
      <c r="O764" s="647" t="str">
        <f t="shared" si="125"/>
        <v/>
      </c>
      <c r="P764" s="651" t="str">
        <f>IF($Q764="","",P$759)</f>
        <v/>
      </c>
      <c r="Q764" s="647" t="str">
        <f>IF(AND($T764="",$V764=""),"",Q$759)</f>
        <v/>
      </c>
      <c r="R764" s="647" t="str">
        <f>IF(AND($T764="",$V764=""),"",R$759)</f>
        <v/>
      </c>
      <c r="S764" s="647" t="str">
        <f>IF(AND($T764="",$V764=""),"",S$759)</f>
        <v/>
      </c>
      <c r="T764" s="882"/>
      <c r="U764" s="883"/>
      <c r="V764" s="884"/>
      <c r="W764" s="885"/>
      <c r="X764" s="939" t="s">
        <v>482</v>
      </c>
    </row>
    <row r="765" spans="1:24" ht="11.25" customHeight="1">
      <c r="A765" s="857">
        <v>39</v>
      </c>
      <c r="B765" s="155"/>
      <c r="C765" s="63"/>
      <c r="D765" s="63"/>
      <c r="E765" s="63"/>
      <c r="F765" s="63"/>
      <c r="G765" s="63"/>
      <c r="H765" s="63"/>
      <c r="I765" s="63"/>
      <c r="J765" s="63"/>
      <c r="K765" s="81"/>
      <c r="L765" s="957" t="s">
        <v>482</v>
      </c>
      <c r="M765" s="126"/>
      <c r="N765" s="647" t="str">
        <f t="shared" si="125"/>
        <v/>
      </c>
      <c r="O765" s="647" t="str">
        <f t="shared" si="125"/>
        <v/>
      </c>
      <c r="P765" s="651" t="str">
        <f>IF($Q765="","",P$759)</f>
        <v/>
      </c>
      <c r="Q765" s="647" t="str">
        <f t="shared" si="125"/>
        <v/>
      </c>
      <c r="R765" s="647" t="str">
        <f t="shared" si="125"/>
        <v/>
      </c>
      <c r="S765" s="647" t="str">
        <f t="shared" si="125"/>
        <v/>
      </c>
      <c r="T765" s="882"/>
      <c r="U765" s="883"/>
      <c r="V765" s="884"/>
      <c r="W765" s="885"/>
      <c r="X765" s="939" t="s">
        <v>482</v>
      </c>
    </row>
    <row r="766" spans="1:24" ht="11.25" customHeight="1">
      <c r="A766" s="857">
        <v>40</v>
      </c>
      <c r="B766" s="155"/>
      <c r="C766" s="63"/>
      <c r="D766" s="63"/>
      <c r="E766" s="63"/>
      <c r="F766" s="63"/>
      <c r="G766" s="63"/>
      <c r="H766" s="63"/>
      <c r="I766" s="63"/>
      <c r="J766" s="63"/>
      <c r="K766" s="81"/>
      <c r="L766" s="957" t="s">
        <v>482</v>
      </c>
      <c r="M766" s="126"/>
      <c r="N766" s="647" t="str">
        <f t="shared" si="125"/>
        <v/>
      </c>
      <c r="O766" s="647" t="str">
        <f t="shared" si="125"/>
        <v/>
      </c>
      <c r="P766" s="651" t="str">
        <f>IF($Q766="","",P$759)</f>
        <v/>
      </c>
      <c r="Q766" s="647" t="str">
        <f t="shared" si="125"/>
        <v/>
      </c>
      <c r="R766" s="647" t="str">
        <f t="shared" si="125"/>
        <v/>
      </c>
      <c r="S766" s="647" t="str">
        <f t="shared" si="125"/>
        <v/>
      </c>
      <c r="T766" s="871"/>
      <c r="U766" s="872"/>
      <c r="V766" s="873"/>
      <c r="W766" s="874"/>
      <c r="X766" s="939" t="s">
        <v>482</v>
      </c>
    </row>
    <row r="767" spans="1:24" ht="11.25" customHeight="1">
      <c r="A767" s="857">
        <v>41</v>
      </c>
      <c r="B767" s="155"/>
      <c r="C767" s="63"/>
      <c r="D767" s="63"/>
      <c r="E767" s="63"/>
      <c r="F767" s="63"/>
      <c r="G767" s="63"/>
      <c r="H767" s="63"/>
      <c r="I767" s="63"/>
      <c r="J767" s="63"/>
      <c r="K767" s="81"/>
      <c r="L767" s="957" t="s">
        <v>482</v>
      </c>
      <c r="M767" s="126"/>
      <c r="N767" s="647" t="str">
        <f t="shared" si="125"/>
        <v/>
      </c>
      <c r="O767" s="647" t="str">
        <f t="shared" si="125"/>
        <v/>
      </c>
      <c r="P767" s="651" t="str">
        <f>IF($Q767="","",P$759)</f>
        <v/>
      </c>
      <c r="Q767" s="647" t="str">
        <f t="shared" si="125"/>
        <v/>
      </c>
      <c r="R767" s="647" t="str">
        <f t="shared" si="125"/>
        <v/>
      </c>
      <c r="S767" s="647" t="str">
        <f t="shared" si="125"/>
        <v/>
      </c>
      <c r="T767" s="871"/>
      <c r="U767" s="872"/>
      <c r="V767" s="873"/>
      <c r="W767" s="874"/>
      <c r="X767" s="939" t="s">
        <v>482</v>
      </c>
    </row>
    <row r="768" spans="1:24" ht="11.25" customHeight="1" thickBot="1">
      <c r="A768" s="857">
        <v>42</v>
      </c>
      <c r="B768" s="155"/>
      <c r="C768" s="63"/>
      <c r="D768" s="63"/>
      <c r="E768" s="63"/>
      <c r="F768" s="63"/>
      <c r="G768" s="63"/>
      <c r="H768" s="63"/>
      <c r="I768" s="63"/>
      <c r="J768" s="63"/>
      <c r="K768" s="81"/>
      <c r="L768" s="957" t="s">
        <v>482</v>
      </c>
      <c r="M768" s="164"/>
      <c r="N768" s="723" t="str">
        <f t="shared" si="125"/>
        <v/>
      </c>
      <c r="O768" s="723" t="str">
        <f t="shared" si="125"/>
        <v/>
      </c>
      <c r="P768" s="722" t="str">
        <f>IF($Q768="","",P$759)</f>
        <v/>
      </c>
      <c r="Q768" s="723" t="str">
        <f t="shared" si="125"/>
        <v/>
      </c>
      <c r="R768" s="723" t="str">
        <f t="shared" si="125"/>
        <v/>
      </c>
      <c r="S768" s="723" t="str">
        <f t="shared" si="125"/>
        <v/>
      </c>
      <c r="T768" s="886"/>
      <c r="U768" s="887"/>
      <c r="V768" s="880"/>
      <c r="W768" s="881"/>
      <c r="X768" s="939" t="s">
        <v>482</v>
      </c>
    </row>
    <row r="769" spans="1:24" ht="11.25" customHeight="1" thickTop="1">
      <c r="A769" s="857">
        <v>43</v>
      </c>
      <c r="B769" s="137" t="s">
        <v>629</v>
      </c>
      <c r="C769" s="1238" t="str">
        <f>IF(O780="","",IF(LEN(O780)&lt;=135,O780,IF(LEN(O780)&lt;=260,LEFT(O780,SEARCH(" ",O780,125)),LEFT(O780,SEARCH(" ",O780,130)))))</f>
        <v/>
      </c>
      <c r="D769" s="55"/>
      <c r="E769" s="55"/>
      <c r="F769" s="55"/>
      <c r="G769" s="55"/>
      <c r="H769" s="55"/>
      <c r="I769" s="55"/>
      <c r="J769" s="55"/>
      <c r="K769" s="81"/>
      <c r="L769" s="957" t="s">
        <v>482</v>
      </c>
      <c r="M769" s="158"/>
      <c r="N769" s="133"/>
      <c r="O769" s="133"/>
      <c r="P769" s="133"/>
      <c r="Q769" s="133"/>
      <c r="R769" s="133"/>
      <c r="S769" s="133"/>
      <c r="T769" s="133"/>
      <c r="U769" s="133"/>
      <c r="V769" s="133"/>
      <c r="W769" s="75"/>
      <c r="X769" s="939" t="s">
        <v>482</v>
      </c>
    </row>
    <row r="770" spans="1:24" ht="11.25" customHeight="1">
      <c r="A770" s="857">
        <v>44</v>
      </c>
      <c r="B770" s="146"/>
      <c r="C770" s="1239" t="str">
        <f>IF(LEN(O780)&lt;=135,"",IF(LEN(O780)&lt;=260,RIGHT(O780,LEN(O780)-SEARCH(" ",O780,125)),MID(O780,SEARCH(" ",O780,130),IF(LEN(O780)&lt;=265,LEN(O780),SEARCH(" ",O780,255)-SEARCH(" ",O780,130)))))</f>
        <v/>
      </c>
      <c r="D770" s="55"/>
      <c r="E770" s="55"/>
      <c r="F770" s="55"/>
      <c r="G770" s="55"/>
      <c r="H770" s="55"/>
      <c r="I770" s="55"/>
      <c r="J770" s="55"/>
      <c r="K770" s="81"/>
      <c r="L770" s="957" t="s">
        <v>482</v>
      </c>
      <c r="M770" s="146"/>
      <c r="N770" s="855" t="s">
        <v>187</v>
      </c>
      <c r="O770" s="1379" t="str">
        <f>IF(O771&lt;&gt;"",O771,IF(OR(AB444=0,AB444=""),"",AB444))</f>
        <v/>
      </c>
      <c r="P770" s="1384"/>
      <c r="Q770" s="55"/>
      <c r="R770" s="55"/>
      <c r="S770" s="55"/>
      <c r="T770" s="55"/>
      <c r="U770" s="63"/>
      <c r="V770" s="56"/>
      <c r="W770" s="79"/>
      <c r="X770" s="939" t="s">
        <v>482</v>
      </c>
    </row>
    <row r="771" spans="1:24" ht="11.25" customHeight="1">
      <c r="A771" s="857">
        <v>45</v>
      </c>
      <c r="B771" s="137"/>
      <c r="C771" s="1238" t="str">
        <f>IF(LEN(O780)&lt;=265,"",RIGHT(O780,LEN(O780)-SEARCH(" ",O780,255)))</f>
        <v/>
      </c>
      <c r="D771" s="55"/>
      <c r="E771" s="55"/>
      <c r="F771" s="55"/>
      <c r="G771" s="55"/>
      <c r="H771" s="55"/>
      <c r="I771" s="55"/>
      <c r="J771" s="55"/>
      <c r="K771" s="81"/>
      <c r="L771" s="957" t="s">
        <v>482</v>
      </c>
      <c r="M771" s="121"/>
      <c r="N771" s="1378" t="s">
        <v>696</v>
      </c>
      <c r="O771" s="1380"/>
      <c r="P771" s="1236">
        <f>LEN(O770)</f>
        <v>0</v>
      </c>
      <c r="Q771" s="63"/>
      <c r="R771" s="56"/>
      <c r="S771" s="56"/>
      <c r="T771" s="56"/>
      <c r="U771" s="63"/>
      <c r="V771" s="63"/>
      <c r="W771" s="79"/>
      <c r="X771" s="939" t="s">
        <v>482</v>
      </c>
    </row>
    <row r="772" spans="1:24" ht="11.25" customHeight="1" thickBot="1">
      <c r="A772" s="857">
        <v>46</v>
      </c>
      <c r="B772" s="146"/>
      <c r="C772" s="1238" t="str">
        <f>IF(O782="","",IF(LEN(O782)&lt;=135,O782,IF(LEN(O782)&lt;=260,LEFT(O782,SEARCH(" ",O782,125)),LEFT(O782,SEARCH(" ",O782,130)))))</f>
        <v/>
      </c>
      <c r="D772" s="55"/>
      <c r="E772" s="55"/>
      <c r="F772" s="55"/>
      <c r="G772" s="55"/>
      <c r="H772" s="55"/>
      <c r="I772" s="55"/>
      <c r="J772" s="55"/>
      <c r="K772" s="81"/>
      <c r="L772" s="957" t="s">
        <v>482</v>
      </c>
      <c r="M772" s="146"/>
      <c r="N772" s="855" t="s">
        <v>187</v>
      </c>
      <c r="O772" s="1379" t="str">
        <f>IF(O773&lt;&gt;"",O773,IF(OR(AB445=0,AB445=""),"",AB445))</f>
        <v/>
      </c>
      <c r="P772" s="1384"/>
      <c r="Q772" s="55"/>
      <c r="R772" s="55"/>
      <c r="S772" s="55"/>
      <c r="T772" s="55"/>
      <c r="U772" s="63"/>
      <c r="V772" s="56"/>
      <c r="W772" s="79"/>
      <c r="X772" s="939" t="s">
        <v>482</v>
      </c>
    </row>
    <row r="773" spans="1:24" ht="11.25" customHeight="1" thickBot="1">
      <c r="A773" s="857">
        <v>47</v>
      </c>
      <c r="B773" s="146"/>
      <c r="C773" s="1239" t="str">
        <f>IF(LEN(O782)&lt;=135,"",IF(LEN(O782)&lt;=260,RIGHT(O782,LEN(O782)-SEARCH(" ",O782,125)),MID(O782,SEARCH(" ",O782,130),IF(LEN(O782)&lt;=265,LEN(O782),SEARCH(" ",O782,255)-SEARCH(" ",O782,130)))))</f>
        <v/>
      </c>
      <c r="D773" s="55"/>
      <c r="E773" s="55"/>
      <c r="F773" s="55"/>
      <c r="G773" s="55"/>
      <c r="H773" s="55"/>
      <c r="I773" s="55"/>
      <c r="J773" s="55"/>
      <c r="K773" s="81"/>
      <c r="L773" s="957" t="s">
        <v>482</v>
      </c>
      <c r="M773" s="146"/>
      <c r="N773" s="1169" t="s">
        <v>696</v>
      </c>
      <c r="O773" s="1380"/>
      <c r="P773" s="1236">
        <f>LEN(O772)</f>
        <v>0</v>
      </c>
      <c r="Q773" s="63"/>
      <c r="R773" s="56"/>
      <c r="S773" s="56"/>
      <c r="T773" s="56"/>
      <c r="U773" s="56"/>
      <c r="V773" s="1354" t="s">
        <v>539</v>
      </c>
      <c r="W773" s="1355" t="s">
        <v>1167</v>
      </c>
      <c r="X773" s="939" t="s">
        <v>482</v>
      </c>
    </row>
    <row r="774" spans="1:24" ht="11.25" customHeight="1" thickBot="1">
      <c r="A774" s="857">
        <v>48</v>
      </c>
      <c r="B774" s="155"/>
      <c r="C774" s="1238" t="str">
        <f>IF(LEN(O782)&lt;=265,"",RIGHT(O782,LEN(O782)-SEARCH(" ",O782,255)))</f>
        <v/>
      </c>
      <c r="D774" s="55"/>
      <c r="E774" s="55"/>
      <c r="F774" s="55"/>
      <c r="G774" s="55"/>
      <c r="H774" s="55"/>
      <c r="I774" s="55"/>
      <c r="J774" s="55"/>
      <c r="K774" s="81"/>
      <c r="L774" s="957" t="s">
        <v>482</v>
      </c>
      <c r="M774" s="121"/>
      <c r="N774" s="156"/>
      <c r="O774" s="156"/>
      <c r="P774" s="63"/>
      <c r="Q774" s="118"/>
      <c r="R774" s="56"/>
      <c r="S774" s="56"/>
      <c r="T774" s="56"/>
      <c r="U774" s="1385" t="s">
        <v>646</v>
      </c>
      <c r="V774" s="1352" t="str">
        <f>IF(T759="","NA",IF(I758="TBD","TBD",IF(I758&gt;0.05,"NO","YES")))</f>
        <v>NA</v>
      </c>
      <c r="W774" s="1353" t="str">
        <f>IF(W759="","NA",IF(J758="TBD","TBD",IF(J758&gt;0.05,"NO","YES")))</f>
        <v>NA</v>
      </c>
      <c r="X774" s="939" t="s">
        <v>482</v>
      </c>
    </row>
    <row r="775" spans="1:24" ht="11.25" customHeight="1">
      <c r="A775" s="857">
        <v>49</v>
      </c>
      <c r="B775" s="155"/>
      <c r="C775" s="63"/>
      <c r="D775" s="63"/>
      <c r="E775" s="63"/>
      <c r="F775" s="63"/>
      <c r="G775" s="63"/>
      <c r="H775" s="63"/>
      <c r="I775" s="63"/>
      <c r="J775" s="63"/>
      <c r="K775" s="81"/>
      <c r="L775" s="957" t="s">
        <v>482</v>
      </c>
      <c r="M775" s="146"/>
      <c r="N775" s="162" t="s">
        <v>647</v>
      </c>
      <c r="O775" s="238" t="s">
        <v>148</v>
      </c>
      <c r="P775" s="63"/>
      <c r="Q775" s="63"/>
      <c r="R775" s="63"/>
      <c r="S775" s="56"/>
      <c r="T775" s="56"/>
      <c r="U775" s="56"/>
      <c r="V775" s="56"/>
      <c r="W775" s="79"/>
      <c r="X775" s="939" t="s">
        <v>482</v>
      </c>
    </row>
    <row r="776" spans="1:24" ht="11.25" customHeight="1">
      <c r="A776" s="857">
        <v>50</v>
      </c>
      <c r="B776" s="155"/>
      <c r="C776" s="63"/>
      <c r="D776" s="63"/>
      <c r="E776" s="63"/>
      <c r="F776" s="63"/>
      <c r="G776" s="63"/>
      <c r="H776" s="63"/>
      <c r="I776" s="63"/>
      <c r="J776" s="63"/>
      <c r="K776" s="81"/>
      <c r="L776" s="957" t="s">
        <v>482</v>
      </c>
      <c r="M776" s="146"/>
      <c r="N776" s="56"/>
      <c r="O776" s="63"/>
      <c r="P776" s="63"/>
      <c r="Q776" s="56"/>
      <c r="R776" s="56"/>
      <c r="S776" s="56"/>
      <c r="T776" s="56"/>
      <c r="U776" s="56"/>
      <c r="V776" s="56"/>
      <c r="W776" s="79"/>
      <c r="X776" s="939" t="s">
        <v>482</v>
      </c>
    </row>
    <row r="777" spans="1:24" ht="11.25" customHeight="1" thickBot="1">
      <c r="A777" s="857">
        <v>51</v>
      </c>
      <c r="B777" s="112"/>
      <c r="C777" s="94"/>
      <c r="D777" s="94"/>
      <c r="E777" s="94"/>
      <c r="F777" s="94"/>
      <c r="G777" s="94"/>
      <c r="H777" s="94"/>
      <c r="I777" s="94"/>
      <c r="J777" s="94"/>
      <c r="K777" s="99"/>
      <c r="L777" s="957" t="s">
        <v>482</v>
      </c>
      <c r="M777" s="112"/>
      <c r="N777" s="94"/>
      <c r="O777" s="94"/>
      <c r="P777" s="94"/>
      <c r="Q777" s="94"/>
      <c r="R777" s="94"/>
      <c r="S777" s="94"/>
      <c r="T777" s="94"/>
      <c r="U777" s="94"/>
      <c r="V777" s="94"/>
      <c r="W777" s="99"/>
      <c r="X777" s="939" t="s">
        <v>482</v>
      </c>
    </row>
    <row r="778" spans="1:24" ht="11.25" customHeight="1" thickTop="1">
      <c r="A778" s="857">
        <v>52</v>
      </c>
      <c r="L778" s="957" t="s">
        <v>482</v>
      </c>
      <c r="X778" s="939" t="s">
        <v>482</v>
      </c>
    </row>
    <row r="779" spans="1:24" ht="11.25" customHeight="1">
      <c r="A779" s="857">
        <v>53</v>
      </c>
      <c r="B779" s="140"/>
      <c r="C779" s="140"/>
      <c r="D779" s="140"/>
      <c r="E779" s="140"/>
      <c r="F779" s="140"/>
      <c r="G779" s="140"/>
      <c r="H779" s="140"/>
      <c r="I779" s="140"/>
      <c r="J779" s="140"/>
      <c r="K779" s="140"/>
      <c r="L779" s="957" t="s">
        <v>482</v>
      </c>
      <c r="N779" s="1382" t="s">
        <v>1122</v>
      </c>
      <c r="X779" s="939" t="s">
        <v>482</v>
      </c>
    </row>
    <row r="780" spans="1:24" ht="11.25" customHeight="1">
      <c r="A780" s="857">
        <v>54</v>
      </c>
      <c r="B780" s="140"/>
      <c r="C780" s="140"/>
      <c r="D780" s="140"/>
      <c r="E780" s="140"/>
      <c r="F780" s="140"/>
      <c r="G780" s="140"/>
      <c r="H780" s="140"/>
      <c r="I780" s="140"/>
      <c r="J780" s="140"/>
      <c r="K780" s="140"/>
      <c r="L780" s="957" t="s">
        <v>482</v>
      </c>
      <c r="N780" s="1383" t="s">
        <v>586</v>
      </c>
      <c r="O780" s="1007" t="str">
        <f>IF(AND(O751="",O753=""),"","Lg. F:  "&amp;O751&amp;IF(O753&lt;&gt;"","; "&amp;O753,""))</f>
        <v/>
      </c>
      <c r="X780" s="939" t="s">
        <v>482</v>
      </c>
    </row>
    <row r="781" spans="1:24" ht="11.25" customHeight="1">
      <c r="A781" s="857">
        <v>55</v>
      </c>
      <c r="B781" s="140"/>
      <c r="C781" s="140"/>
      <c r="D781" s="140"/>
      <c r="E781" s="140"/>
      <c r="F781" s="140"/>
      <c r="G781" s="140"/>
      <c r="H781" s="140"/>
      <c r="I781" s="140"/>
      <c r="J781" s="140"/>
      <c r="K781" s="140"/>
      <c r="L781" s="957" t="s">
        <v>482</v>
      </c>
      <c r="N781" s="1383"/>
      <c r="X781" s="939" t="s">
        <v>482</v>
      </c>
    </row>
    <row r="782" spans="1:24" ht="11.25" customHeight="1">
      <c r="A782" s="857">
        <v>56</v>
      </c>
      <c r="B782" s="140"/>
      <c r="C782" s="140"/>
      <c r="D782" s="140"/>
      <c r="E782" s="140"/>
      <c r="F782" s="140"/>
      <c r="G782" s="140"/>
      <c r="H782" s="140"/>
      <c r="I782" s="140"/>
      <c r="J782" s="140"/>
      <c r="K782" s="140"/>
      <c r="L782" s="957" t="s">
        <v>482</v>
      </c>
      <c r="N782" s="1383" t="s">
        <v>599</v>
      </c>
      <c r="O782" s="496" t="str">
        <f>IF(AND(O770="",O772=""),"","Sm. F:  "&amp;O770&amp;IF(O772&lt;&gt;"","; "&amp;O772,""))</f>
        <v/>
      </c>
      <c r="X782" s="939" t="s">
        <v>482</v>
      </c>
    </row>
    <row r="783" spans="1:24" ht="11.25" customHeight="1">
      <c r="A783" s="857">
        <v>57</v>
      </c>
      <c r="B783" s="140"/>
      <c r="C783" s="140"/>
      <c r="D783" s="140"/>
      <c r="E783" s="140"/>
      <c r="F783" s="140"/>
      <c r="G783" s="140"/>
      <c r="H783" s="140"/>
      <c r="I783" s="140"/>
      <c r="J783" s="140"/>
      <c r="K783" s="140"/>
      <c r="L783" s="957" t="s">
        <v>482</v>
      </c>
      <c r="X783" s="939" t="s">
        <v>482</v>
      </c>
    </row>
    <row r="784" spans="1:24" ht="11.25" customHeight="1">
      <c r="A784" s="857">
        <v>58</v>
      </c>
      <c r="B784" s="140"/>
      <c r="C784" s="140"/>
      <c r="D784" s="140"/>
      <c r="E784" s="140"/>
      <c r="F784" s="140"/>
      <c r="G784" s="140"/>
      <c r="H784" s="140"/>
      <c r="I784" s="140"/>
      <c r="J784" s="140"/>
      <c r="K784" s="140"/>
      <c r="L784" s="957" t="s">
        <v>482</v>
      </c>
      <c r="X784" s="939" t="s">
        <v>482</v>
      </c>
    </row>
    <row r="785" spans="1:24" ht="11.25" customHeight="1">
      <c r="A785" s="857">
        <v>59</v>
      </c>
      <c r="B785" s="140"/>
      <c r="C785" s="140"/>
      <c r="D785" s="140"/>
      <c r="E785" s="140"/>
      <c r="F785" s="140"/>
      <c r="G785" s="140"/>
      <c r="H785" s="140"/>
      <c r="I785" s="140"/>
      <c r="J785" s="140"/>
      <c r="K785" s="140"/>
      <c r="L785" s="957" t="s">
        <v>482</v>
      </c>
      <c r="X785" s="939" t="s">
        <v>482</v>
      </c>
    </row>
    <row r="786" spans="1:24" ht="11.25" customHeight="1">
      <c r="A786" s="857">
        <v>60</v>
      </c>
      <c r="B786" s="140"/>
      <c r="C786" s="140"/>
      <c r="D786" s="140"/>
      <c r="E786" s="140"/>
      <c r="F786" s="140"/>
      <c r="G786" s="140"/>
      <c r="H786" s="140"/>
      <c r="I786" s="140"/>
      <c r="J786" s="140"/>
      <c r="K786" s="140"/>
      <c r="L786" s="957" t="s">
        <v>482</v>
      </c>
      <c r="X786" s="939" t="s">
        <v>482</v>
      </c>
    </row>
    <row r="787" spans="1:24" ht="11.25" customHeight="1">
      <c r="A787" s="857">
        <v>61</v>
      </c>
      <c r="B787" s="140"/>
      <c r="C787" s="140"/>
      <c r="D787" s="140"/>
      <c r="E787" s="140"/>
      <c r="F787" s="140"/>
      <c r="G787" s="140"/>
      <c r="H787" s="140"/>
      <c r="I787" s="140"/>
      <c r="J787" s="140"/>
      <c r="K787" s="140"/>
      <c r="L787" s="957" t="s">
        <v>482</v>
      </c>
      <c r="X787" s="939" t="s">
        <v>482</v>
      </c>
    </row>
    <row r="788" spans="1:24" ht="11.25" customHeight="1">
      <c r="A788" s="857">
        <v>62</v>
      </c>
      <c r="B788" s="140"/>
      <c r="C788" s="140"/>
      <c r="D788" s="140"/>
      <c r="E788" s="140"/>
      <c r="F788" s="140"/>
      <c r="G788" s="140"/>
      <c r="H788" s="140"/>
      <c r="I788" s="140"/>
      <c r="J788" s="140"/>
      <c r="K788" s="140"/>
      <c r="L788" s="957" t="s">
        <v>482</v>
      </c>
      <c r="X788" s="939" t="s">
        <v>482</v>
      </c>
    </row>
    <row r="789" spans="1:24" ht="11.25" customHeight="1">
      <c r="A789" s="857">
        <v>63</v>
      </c>
      <c r="B789" s="140"/>
      <c r="C789" s="140"/>
      <c r="D789" s="140"/>
      <c r="E789" s="140"/>
      <c r="F789" s="140"/>
      <c r="G789" s="140"/>
      <c r="H789" s="140"/>
      <c r="I789" s="140"/>
      <c r="J789" s="140"/>
      <c r="K789" s="140"/>
      <c r="L789" s="957" t="s">
        <v>482</v>
      </c>
      <c r="X789" s="939" t="s">
        <v>482</v>
      </c>
    </row>
    <row r="790" spans="1:24" ht="11.25" customHeight="1">
      <c r="A790" s="857">
        <v>64</v>
      </c>
      <c r="B790" s="140"/>
      <c r="C790" s="140"/>
      <c r="D790" s="140"/>
      <c r="E790" s="140"/>
      <c r="F790" s="140"/>
      <c r="G790" s="140"/>
      <c r="H790" s="140"/>
      <c r="I790" s="140"/>
      <c r="J790" s="140"/>
      <c r="K790" s="140"/>
      <c r="L790" s="957" t="s">
        <v>482</v>
      </c>
      <c r="X790" s="939" t="s">
        <v>482</v>
      </c>
    </row>
    <row r="791" spans="1:24" ht="11.25" customHeight="1">
      <c r="A791" s="857">
        <v>65</v>
      </c>
      <c r="B791" s="60" t="str">
        <f t="array" ref="B791:C792">$B$65:$C$66</f>
        <v>Date:</v>
      </c>
      <c r="C791" s="1664" t="str">
        <v/>
      </c>
      <c r="D791" s="65"/>
      <c r="E791" s="140"/>
      <c r="F791" s="140"/>
      <c r="G791" s="140"/>
      <c r="H791" s="140"/>
      <c r="I791" s="60" t="str">
        <f t="array" ref="I791:J792">$I$65:$J$66</f>
        <v>Inspector:</v>
      </c>
      <c r="J791" s="554" t="str">
        <v>Eugene Mah</v>
      </c>
      <c r="L791" s="957" t="s">
        <v>482</v>
      </c>
      <c r="X791" s="939" t="s">
        <v>482</v>
      </c>
    </row>
    <row r="792" spans="1:24" ht="11.25" customHeight="1">
      <c r="A792" s="857">
        <v>66</v>
      </c>
      <c r="B792" s="60" t="str">
        <v>Room Number:</v>
      </c>
      <c r="C792" s="499" t="str">
        <v/>
      </c>
      <c r="D792" s="56"/>
      <c r="E792" s="140"/>
      <c r="F792" s="140"/>
      <c r="G792" s="140"/>
      <c r="H792" s="140"/>
      <c r="I792" s="60" t="str">
        <v>Survey ID:</v>
      </c>
      <c r="J792" s="1404" t="str">
        <v/>
      </c>
      <c r="L792" s="957" t="s">
        <v>482</v>
      </c>
      <c r="X792" s="939" t="s">
        <v>482</v>
      </c>
    </row>
    <row r="793" spans="1:24" ht="11.25" customHeight="1">
      <c r="A793" s="857">
        <v>1</v>
      </c>
      <c r="K793" s="161" t="str">
        <f>$F$2</f>
        <v>Medical University of South Carolina</v>
      </c>
      <c r="L793" s="957" t="s">
        <v>482</v>
      </c>
      <c r="W793" s="161" t="str">
        <f>$F$2</f>
        <v>Medical University of South Carolina</v>
      </c>
      <c r="X793" s="939" t="s">
        <v>482</v>
      </c>
    </row>
    <row r="794" spans="1:24" ht="11.25" customHeight="1">
      <c r="A794" s="857">
        <v>2</v>
      </c>
      <c r="F794" s="336" t="str">
        <f>$F$464</f>
        <v>Measurement Data</v>
      </c>
      <c r="K794" s="162" t="str">
        <f>$F$5</f>
        <v>Radiographic System Compliance Inspection</v>
      </c>
      <c r="L794" s="957" t="s">
        <v>482</v>
      </c>
      <c r="W794" s="162" t="str">
        <f>$F$5</f>
        <v>Radiographic System Compliance Inspection</v>
      </c>
      <c r="X794" s="939" t="s">
        <v>482</v>
      </c>
    </row>
    <row r="795" spans="1:24" ht="11.25" customHeight="1" thickBot="1">
      <c r="A795" s="857">
        <v>3</v>
      </c>
      <c r="B795" s="140"/>
      <c r="C795" s="140"/>
      <c r="D795" s="140"/>
      <c r="E795" s="140"/>
      <c r="F795" s="140"/>
      <c r="G795" s="140"/>
      <c r="H795" s="140"/>
      <c r="I795" s="140"/>
      <c r="J795" s="140"/>
      <c r="K795" s="140"/>
      <c r="L795" s="957" t="s">
        <v>482</v>
      </c>
      <c r="M795" s="140"/>
      <c r="N795" s="140"/>
      <c r="O795" s="140"/>
      <c r="P795" s="140"/>
      <c r="Q795" s="140"/>
      <c r="R795" s="140"/>
      <c r="S795" s="140"/>
      <c r="T795" s="140"/>
      <c r="U795" s="140"/>
      <c r="V795" s="140"/>
      <c r="W795" s="140"/>
      <c r="X795" s="939" t="s">
        <v>482</v>
      </c>
    </row>
    <row r="796" spans="1:24" ht="11.25" customHeight="1" thickTop="1">
      <c r="A796" s="857">
        <v>4</v>
      </c>
      <c r="B796" s="89"/>
      <c r="C796" s="72"/>
      <c r="D796" s="72"/>
      <c r="E796" s="72"/>
      <c r="F796" s="72"/>
      <c r="G796" s="72"/>
      <c r="H796" s="72"/>
      <c r="I796" s="72"/>
      <c r="J796" s="72"/>
      <c r="K796" s="90"/>
      <c r="L796" s="957" t="s">
        <v>482</v>
      </c>
      <c r="M796" s="140"/>
      <c r="O796" s="140"/>
      <c r="P796" s="140"/>
      <c r="Q796" s="336" t="str">
        <f>$F$464</f>
        <v>Measurement Data</v>
      </c>
      <c r="R796" s="140"/>
      <c r="S796" s="140"/>
      <c r="T796" s="140"/>
      <c r="U796" s="140"/>
      <c r="V796" s="140"/>
      <c r="W796" s="140"/>
      <c r="X796" s="939" t="s">
        <v>482</v>
      </c>
    </row>
    <row r="797" spans="1:24" ht="11.25" customHeight="1" thickBot="1">
      <c r="A797" s="857">
        <v>5</v>
      </c>
      <c r="B797" s="146"/>
      <c r="C797" s="62" t="s">
        <v>79</v>
      </c>
      <c r="D797" s="124" t="str">
        <f>IF($O$687="","",$O$687)</f>
        <v>Piranha CB2-17090320</v>
      </c>
      <c r="E797" s="287"/>
      <c r="F797" s="55"/>
      <c r="G797" s="56"/>
      <c r="H797" s="56"/>
      <c r="I797" s="56"/>
      <c r="J797" s="56"/>
      <c r="K797" s="79"/>
      <c r="L797" s="957" t="s">
        <v>482</v>
      </c>
      <c r="M797" s="282"/>
      <c r="T797" s="56"/>
      <c r="U797" s="56"/>
      <c r="V797" s="56"/>
      <c r="W797" s="56"/>
      <c r="X797" s="939" t="s">
        <v>482</v>
      </c>
    </row>
    <row r="798" spans="1:24" ht="11.25" customHeight="1" thickTop="1">
      <c r="A798" s="857">
        <v>6</v>
      </c>
      <c r="B798" s="146"/>
      <c r="C798" s="56"/>
      <c r="D798" s="56"/>
      <c r="E798" s="56"/>
      <c r="F798" s="56"/>
      <c r="G798" s="56"/>
      <c r="H798" s="56"/>
      <c r="I798" s="56"/>
      <c r="J798" s="56"/>
      <c r="K798" s="79"/>
      <c r="L798" s="957" t="s">
        <v>482</v>
      </c>
      <c r="M798" s="89"/>
      <c r="N798" s="72"/>
      <c r="O798" s="72"/>
      <c r="P798" s="72"/>
      <c r="Q798" s="72"/>
      <c r="R798" s="72"/>
      <c r="S798" s="72"/>
      <c r="T798" s="72"/>
      <c r="U798" s="72"/>
      <c r="V798" s="72"/>
      <c r="W798" s="90"/>
      <c r="X798" s="939" t="s">
        <v>482</v>
      </c>
    </row>
    <row r="799" spans="1:24" ht="11.25" customHeight="1">
      <c r="A799" s="857">
        <v>7</v>
      </c>
      <c r="B799" s="155"/>
      <c r="C799" s="63"/>
      <c r="D799" s="63"/>
      <c r="E799" s="63"/>
      <c r="F799" s="63"/>
      <c r="G799" s="63"/>
      <c r="H799" s="63"/>
      <c r="I799" s="63"/>
      <c r="J799" s="63"/>
      <c r="K799" s="81"/>
      <c r="L799" s="957" t="s">
        <v>482</v>
      </c>
      <c r="M799" s="146"/>
      <c r="N799" s="62" t="s">
        <v>79</v>
      </c>
      <c r="O799" s="124" t="str">
        <f>IF($O$687="","",$O$687)</f>
        <v>Piranha CB2-17090320</v>
      </c>
      <c r="P799" s="287"/>
      <c r="Q799" s="55"/>
      <c r="R799" s="56"/>
      <c r="S799" s="56"/>
      <c r="T799" s="56"/>
      <c r="U799" s="56"/>
      <c r="V799" s="56"/>
      <c r="W799" s="79"/>
      <c r="X799" s="939" t="s">
        <v>482</v>
      </c>
    </row>
    <row r="800" spans="1:24" ht="11.25" customHeight="1">
      <c r="A800" s="857">
        <v>8</v>
      </c>
      <c r="B800" s="155"/>
      <c r="C800" s="63"/>
      <c r="D800" s="63"/>
      <c r="E800" s="63"/>
      <c r="F800" s="63"/>
      <c r="G800" s="347" t="str">
        <f>"Timer performance ("&amp;O809&amp;" Focal Spot)"</f>
        <v>Timer performance (Large Focal Spot)</v>
      </c>
      <c r="H800" s="63"/>
      <c r="I800" s="63"/>
      <c r="J800" s="63"/>
      <c r="K800" s="81"/>
      <c r="L800" s="957" t="s">
        <v>482</v>
      </c>
      <c r="M800" s="146"/>
      <c r="N800" s="56"/>
      <c r="O800" s="56"/>
      <c r="P800" s="56"/>
      <c r="Q800" s="56"/>
      <c r="R800" s="56"/>
      <c r="S800" s="56"/>
      <c r="T800" s="56"/>
      <c r="U800" s="56"/>
      <c r="V800" s="56"/>
      <c r="W800" s="79"/>
      <c r="X800" s="939" t="s">
        <v>482</v>
      </c>
    </row>
    <row r="801" spans="1:24" ht="11.25" customHeight="1">
      <c r="A801" s="857">
        <v>9</v>
      </c>
      <c r="B801" s="155"/>
      <c r="C801" s="63"/>
      <c r="D801" s="63"/>
      <c r="E801" s="63"/>
      <c r="F801" s="63"/>
      <c r="G801" s="63"/>
      <c r="H801" s="63"/>
      <c r="I801" s="63"/>
      <c r="J801" s="63"/>
      <c r="K801" s="81"/>
      <c r="L801" s="957" t="s">
        <v>482</v>
      </c>
      <c r="M801" s="155"/>
      <c r="N801" s="63"/>
      <c r="O801" s="63"/>
      <c r="P801" s="63"/>
      <c r="Q801" s="63"/>
      <c r="R801" s="63"/>
      <c r="S801" s="63"/>
      <c r="T801" s="63"/>
      <c r="U801" s="63"/>
      <c r="V801" s="63"/>
      <c r="W801" s="81"/>
      <c r="X801" s="939" t="s">
        <v>482</v>
      </c>
    </row>
    <row r="802" spans="1:24" ht="11.25" customHeight="1">
      <c r="A802" s="857">
        <v>10</v>
      </c>
      <c r="B802" s="155"/>
      <c r="C802" s="63"/>
      <c r="D802" s="63"/>
      <c r="E802" s="63"/>
      <c r="F802" s="63"/>
      <c r="G802" s="63"/>
      <c r="H802" s="63"/>
      <c r="I802" s="63"/>
      <c r="J802" s="63"/>
      <c r="K802" s="81"/>
      <c r="L802" s="957" t="s">
        <v>482</v>
      </c>
      <c r="M802" s="458" t="s">
        <v>149</v>
      </c>
      <c r="N802" s="56"/>
      <c r="O802" s="56"/>
      <c r="P802" s="56"/>
      <c r="Q802" s="56"/>
      <c r="R802" s="63"/>
      <c r="S802" s="63"/>
      <c r="T802" s="56"/>
      <c r="U802" s="56"/>
      <c r="V802" s="56"/>
      <c r="W802" s="79"/>
      <c r="X802" s="939" t="s">
        <v>482</v>
      </c>
    </row>
    <row r="803" spans="1:24" ht="11.25" customHeight="1">
      <c r="A803" s="857">
        <v>11</v>
      </c>
      <c r="B803" s="146"/>
      <c r="C803" s="63"/>
      <c r="D803" s="355" t="s">
        <v>151</v>
      </c>
      <c r="E803" s="356" t="str">
        <f>IF($O$805="","",$O$805)</f>
        <v>HF</v>
      </c>
      <c r="F803" s="357" t="str">
        <f>$Q$805</f>
        <v xml:space="preserve"> (High Frequency)</v>
      </c>
      <c r="G803" s="63"/>
      <c r="H803" s="63"/>
      <c r="I803" s="63"/>
      <c r="J803" s="63"/>
      <c r="K803" s="81"/>
      <c r="L803" s="957" t="s">
        <v>482</v>
      </c>
      <c r="M803" s="155"/>
      <c r="N803" s="63"/>
      <c r="O803" s="63"/>
      <c r="P803" s="63"/>
      <c r="Q803" s="63"/>
      <c r="R803" s="63"/>
      <c r="S803" s="63"/>
      <c r="T803" s="63"/>
      <c r="U803" s="63"/>
      <c r="V803" s="63"/>
      <c r="W803" s="81"/>
      <c r="X803" s="939" t="s">
        <v>482</v>
      </c>
    </row>
    <row r="804" spans="1:24" ht="11.25" customHeight="1">
      <c r="A804" s="857">
        <v>12</v>
      </c>
      <c r="B804" s="155"/>
      <c r="C804" s="63"/>
      <c r="D804" s="56"/>
      <c r="E804" s="56"/>
      <c r="F804" s="56"/>
      <c r="G804" s="56"/>
      <c r="H804" s="56"/>
      <c r="I804" s="56"/>
      <c r="J804" s="56"/>
      <c r="K804" s="79"/>
      <c r="L804" s="957" t="s">
        <v>482</v>
      </c>
      <c r="M804" s="155"/>
      <c r="N804" s="58" t="s">
        <v>150</v>
      </c>
      <c r="O804" s="63"/>
      <c r="P804" s="63"/>
      <c r="Q804" s="63"/>
      <c r="R804" s="63"/>
      <c r="S804" s="63"/>
      <c r="T804" s="63"/>
      <c r="U804" s="63"/>
      <c r="V804" s="63"/>
      <c r="W804" s="81"/>
      <c r="X804" s="939" t="s">
        <v>482</v>
      </c>
    </row>
    <row r="805" spans="1:24" ht="11.25" customHeight="1">
      <c r="A805" s="857">
        <v>13</v>
      </c>
      <c r="B805" s="348"/>
      <c r="C805" s="63"/>
      <c r="D805" s="63"/>
      <c r="E805" s="63"/>
      <c r="F805" s="359" t="s">
        <v>642</v>
      </c>
      <c r="G805" s="62"/>
      <c r="H805" s="56"/>
      <c r="I805" s="56"/>
      <c r="J805" s="360" t="s">
        <v>153</v>
      </c>
      <c r="K805" s="625"/>
      <c r="L805" s="957" t="s">
        <v>482</v>
      </c>
      <c r="M805" s="155"/>
      <c r="N805" s="355" t="s">
        <v>151</v>
      </c>
      <c r="O805" s="1326" t="str">
        <f>IF(P805&lt;&gt;"",P805,IF(OR(AB182=0,AB182=""),"",AB182))</f>
        <v>HF</v>
      </c>
      <c r="P805" s="978" t="s">
        <v>1160</v>
      </c>
      <c r="Q805" s="357" t="str">
        <f>IF(OR($O$805=0,$O$805="",$O$805="Dent"),"",IF(OR($O$805=1,$O$805=3),"-Phase",IF($O$805="HF"," (High Frequency)",IF($O$805="CP"," (Constant Potential)",""))))</f>
        <v xml:space="preserve"> (High Frequency)</v>
      </c>
      <c r="R805" s="63"/>
      <c r="S805" s="63"/>
      <c r="T805" s="63"/>
      <c r="U805" s="63"/>
      <c r="V805" s="63"/>
      <c r="W805" s="81"/>
      <c r="X805" s="939" t="s">
        <v>482</v>
      </c>
    </row>
    <row r="806" spans="1:24" ht="11.25" customHeight="1">
      <c r="A806" s="857">
        <v>14</v>
      </c>
      <c r="B806" s="155"/>
      <c r="C806" s="63"/>
      <c r="D806" s="63"/>
      <c r="E806" s="63"/>
      <c r="F806" s="63"/>
      <c r="G806" s="63"/>
      <c r="H806" s="63"/>
      <c r="I806" s="63"/>
      <c r="J806" s="63"/>
      <c r="K806" s="81"/>
      <c r="L806" s="957" t="s">
        <v>482</v>
      </c>
      <c r="M806" s="1386" t="str">
        <f>IF($N$806&lt;&gt;"",$N$806,IF(OR(AB183=0,AB183=""),"",AB183))</f>
        <v/>
      </c>
      <c r="N806" s="978"/>
      <c r="O806" s="115" t="s">
        <v>152</v>
      </c>
      <c r="P806" s="56"/>
      <c r="Q806" s="56"/>
      <c r="R806" s="63"/>
      <c r="S806" s="56"/>
      <c r="T806" s="56"/>
      <c r="U806" s="63"/>
      <c r="V806" s="63"/>
      <c r="W806" s="79"/>
      <c r="X806" s="939" t="s">
        <v>482</v>
      </c>
    </row>
    <row r="807" spans="1:24" ht="11.25" customHeight="1">
      <c r="A807" s="857">
        <v>15</v>
      </c>
      <c r="B807" s="155"/>
      <c r="C807" s="62" t="s">
        <v>131</v>
      </c>
      <c r="D807" s="178">
        <f>IF(N809="","",N809)</f>
        <v>60</v>
      </c>
      <c r="E807" s="288" t="str">
        <f>IF(N808="","",N808)</f>
        <v>cm</v>
      </c>
      <c r="F807" s="63"/>
      <c r="G807" s="56"/>
      <c r="H807" s="56"/>
      <c r="I807" s="62" t="s">
        <v>131</v>
      </c>
      <c r="J807" s="178">
        <f>IF(N740="","",N740)</f>
        <v>60</v>
      </c>
      <c r="K807" s="80" t="str">
        <f>IF(N739="","",N739)</f>
        <v>cm</v>
      </c>
      <c r="L807" s="957" t="s">
        <v>482</v>
      </c>
      <c r="M807" s="146" t="s">
        <v>114</v>
      </c>
      <c r="N807" s="281" t="s">
        <v>140</v>
      </c>
      <c r="O807" s="281" t="s">
        <v>116</v>
      </c>
      <c r="P807" s="281" t="s">
        <v>117</v>
      </c>
      <c r="Q807" s="56"/>
      <c r="R807" s="349" t="s">
        <v>154</v>
      </c>
      <c r="S807" s="354"/>
      <c r="T807" s="352"/>
      <c r="U807" s="350" t="s">
        <v>155</v>
      </c>
      <c r="V807" s="156"/>
      <c r="W807" s="79"/>
      <c r="X807" s="939" t="s">
        <v>482</v>
      </c>
    </row>
    <row r="808" spans="1:24" ht="11.25" customHeight="1" thickBot="1">
      <c r="A808" s="857">
        <v>16</v>
      </c>
      <c r="B808" s="155"/>
      <c r="C808" s="62" t="s">
        <v>683</v>
      </c>
      <c r="D808" s="55">
        <f>IF(Q809="","",Q809)</f>
        <v>80</v>
      </c>
      <c r="E808" s="56"/>
      <c r="F808" s="63"/>
      <c r="G808" s="56"/>
      <c r="H808" s="56"/>
      <c r="I808" s="62" t="s">
        <v>683</v>
      </c>
      <c r="J808" s="55">
        <f>IF(Q740="","",Q740)</f>
        <v>80</v>
      </c>
      <c r="K808" s="79"/>
      <c r="L808" s="957" t="s">
        <v>482</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1167</v>
      </c>
      <c r="X808" s="939" t="s">
        <v>482</v>
      </c>
    </row>
    <row r="809" spans="1:24" ht="11.25" customHeight="1">
      <c r="A809" s="857">
        <v>17</v>
      </c>
      <c r="B809" s="137"/>
      <c r="C809" s="63"/>
      <c r="D809" s="470"/>
      <c r="E809" s="56"/>
      <c r="F809" s="63"/>
      <c r="G809" s="56"/>
      <c r="H809" s="56"/>
      <c r="I809" s="62" t="s">
        <v>684</v>
      </c>
      <c r="J809" s="278">
        <f>IF(R740="","",IF(R739="mA",R740,""))</f>
        <v>400</v>
      </c>
      <c r="K809" s="79"/>
      <c r="L809" s="957" t="s">
        <v>482</v>
      </c>
      <c r="M809" s="636" t="str">
        <f t="shared" ref="M809:M814" si="126">IF(OR(AM724="",AM724=0),"","Delay:"&amp;AM724&amp;"ms")</f>
        <v/>
      </c>
      <c r="N809" s="644">
        <f>$N$694</f>
        <v>60</v>
      </c>
      <c r="O809" s="645" t="str">
        <f t="shared" ref="O809:O814" si="127">IF(AO724="","Large",AO724)</f>
        <v>Large</v>
      </c>
      <c r="P809" s="646" t="str">
        <f>IF(OR(Q809="",AE724=""),"",AE724&amp;"/"&amp;AK724)</f>
        <v>70-120/Low</v>
      </c>
      <c r="Q809" s="647">
        <f>IF(AA724="",$Q$740,AA724)</f>
        <v>80</v>
      </c>
      <c r="R809" s="648">
        <f t="shared" ref="R809:R814" si="128">IF(AD724&gt;0,AD724,IF(OR(AB724="",AB724=0),"",AB724))</f>
        <v>200</v>
      </c>
      <c r="S809" s="653">
        <f t="shared" ref="S809:S814" si="129">IF(AD724&gt;0,IF(OR(AP724="",AP724="No Anomolies"),"",AP724),IF(OR(AC724="",AC724=0),"",AC724))</f>
        <v>0.01</v>
      </c>
      <c r="T809" s="580" t="str">
        <f t="shared" ref="T809:T814" si="130">IF(AZ724="","",AZ724)</f>
        <v/>
      </c>
      <c r="U809" s="580" t="str">
        <f t="shared" ref="U809:U814" si="131">IF(AX724="","",AX724)</f>
        <v/>
      </c>
      <c r="V809" s="581" t="str">
        <f t="shared" ref="V809:W814" si="132">IF(BA724="","",BA724)</f>
        <v/>
      </c>
      <c r="W809" s="582" t="str">
        <f t="shared" si="132"/>
        <v/>
      </c>
      <c r="X809" s="939" t="s">
        <v>482</v>
      </c>
    </row>
    <row r="810" spans="1:24" ht="11.25" customHeight="1">
      <c r="A810" s="857">
        <v>18</v>
      </c>
      <c r="B810" s="137"/>
      <c r="C810" s="63"/>
      <c r="D810" s="63"/>
      <c r="E810" s="63"/>
      <c r="F810" s="56"/>
      <c r="G810" s="56"/>
      <c r="H810" s="56"/>
      <c r="I810" s="62" t="s">
        <v>686</v>
      </c>
      <c r="J810" s="289" t="str">
        <f>IF(R740="","",IF(R739="mAs",R740,""))</f>
        <v/>
      </c>
      <c r="K810" s="79"/>
      <c r="L810" s="957" t="s">
        <v>482</v>
      </c>
      <c r="M810" s="636" t="str">
        <f t="shared" si="126"/>
        <v/>
      </c>
      <c r="N810" s="651">
        <f>IF(AND(R810="",S810=""),"",$N$809)</f>
        <v>60</v>
      </c>
      <c r="O810" s="645" t="str">
        <f t="shared" si="127"/>
        <v>Large</v>
      </c>
      <c r="P810" s="654" t="str">
        <f>IF(AND(R810="",S810=""),"",$P$809)</f>
        <v>70-120/Low</v>
      </c>
      <c r="Q810" s="647">
        <f>IF(AND(R810="",S810=""),"",$Q$809)</f>
        <v>80</v>
      </c>
      <c r="R810" s="648">
        <f t="shared" si="128"/>
        <v>200</v>
      </c>
      <c r="S810" s="653">
        <f t="shared" si="129"/>
        <v>0.02</v>
      </c>
      <c r="T810" s="580" t="str">
        <f t="shared" si="130"/>
        <v/>
      </c>
      <c r="U810" s="580" t="str">
        <f t="shared" si="131"/>
        <v/>
      </c>
      <c r="V810" s="581" t="str">
        <f t="shared" si="132"/>
        <v/>
      </c>
      <c r="W810" s="582" t="str">
        <f t="shared" si="132"/>
        <v/>
      </c>
      <c r="X810" s="939" t="s">
        <v>482</v>
      </c>
    </row>
    <row r="811" spans="1:24" ht="11.25" customHeight="1">
      <c r="A811" s="857">
        <v>19</v>
      </c>
      <c r="B811" s="146"/>
      <c r="C811" s="63"/>
      <c r="D811" s="56"/>
      <c r="E811" s="56"/>
      <c r="F811" s="56"/>
      <c r="G811" s="56"/>
      <c r="H811" s="56"/>
      <c r="I811" s="56"/>
      <c r="J811" s="56"/>
      <c r="K811" s="79"/>
      <c r="L811" s="957" t="s">
        <v>482</v>
      </c>
      <c r="M811" s="636" t="str">
        <f t="shared" si="126"/>
        <v/>
      </c>
      <c r="N811" s="651">
        <f>IF(AND(R811="",S811=""),"",$N$809)</f>
        <v>60</v>
      </c>
      <c r="O811" s="645" t="str">
        <f t="shared" si="127"/>
        <v>Large</v>
      </c>
      <c r="P811" s="654" t="str">
        <f>IF(AND(R811="",S811=""),"",$P$809)</f>
        <v>70-120/Low</v>
      </c>
      <c r="Q811" s="647">
        <f>IF(AND(R811="",S811=""),"",$Q$809)</f>
        <v>80</v>
      </c>
      <c r="R811" s="648">
        <f t="shared" si="128"/>
        <v>200</v>
      </c>
      <c r="S811" s="653">
        <f t="shared" si="129"/>
        <v>0.04</v>
      </c>
      <c r="T811" s="580" t="str">
        <f t="shared" si="130"/>
        <v/>
      </c>
      <c r="U811" s="580" t="str">
        <f t="shared" si="131"/>
        <v/>
      </c>
      <c r="V811" s="581" t="str">
        <f t="shared" si="132"/>
        <v/>
      </c>
      <c r="W811" s="582" t="str">
        <f t="shared" si="132"/>
        <v/>
      </c>
      <c r="X811" s="939" t="s">
        <v>482</v>
      </c>
    </row>
    <row r="812" spans="1:24" ht="11.25" customHeight="1">
      <c r="A812" s="857">
        <v>20</v>
      </c>
      <c r="B812" s="632" t="s">
        <v>156</v>
      </c>
      <c r="C812" s="921"/>
      <c r="D812" s="56"/>
      <c r="E812" s="186" t="str">
        <f>"Time"&amp;IF($O$805=1," (Pulses)"," (sec)")</f>
        <v>Time (sec)</v>
      </c>
      <c r="F812" s="187"/>
      <c r="G812" s="56" t="s">
        <v>645</v>
      </c>
      <c r="H812" s="56"/>
      <c r="I812" s="56"/>
      <c r="J812" s="186" t="str">
        <f>"Time"&amp;IF($O$805=1," (Pulses)"," (sec)")</f>
        <v>Time (sec)</v>
      </c>
      <c r="K812" s="503"/>
      <c r="L812" s="957" t="s">
        <v>482</v>
      </c>
      <c r="M812" s="636" t="str">
        <f t="shared" si="126"/>
        <v/>
      </c>
      <c r="N812" s="651">
        <f>IF(AND(R812="",S812=""),"",$N$809)</f>
        <v>60</v>
      </c>
      <c r="O812" s="645" t="str">
        <f t="shared" si="127"/>
        <v>Large</v>
      </c>
      <c r="P812" s="654" t="str">
        <f>IF(AND(R812="",S812=""),"",$P$809)</f>
        <v>70-120/Low</v>
      </c>
      <c r="Q812" s="647">
        <f>IF(AND(R812="",S812=""),"",$Q$809)</f>
        <v>80</v>
      </c>
      <c r="R812" s="648">
        <f t="shared" si="128"/>
        <v>200</v>
      </c>
      <c r="S812" s="653">
        <f t="shared" si="129"/>
        <v>0.1</v>
      </c>
      <c r="T812" s="580" t="str">
        <f t="shared" si="130"/>
        <v/>
      </c>
      <c r="U812" s="580" t="str">
        <f t="shared" si="131"/>
        <v/>
      </c>
      <c r="V812" s="581" t="str">
        <f t="shared" si="132"/>
        <v/>
      </c>
      <c r="W812" s="582" t="str">
        <f t="shared" si="132"/>
        <v/>
      </c>
      <c r="X812" s="939" t="s">
        <v>482</v>
      </c>
    </row>
    <row r="813" spans="1:24" ht="11.25" customHeight="1" thickBot="1">
      <c r="A813" s="857">
        <v>21</v>
      </c>
      <c r="B813" s="284" t="s">
        <v>125</v>
      </c>
      <c r="C813" s="171" t="s">
        <v>126</v>
      </c>
      <c r="D813" s="171" t="str">
        <f t="shared" ref="D813:D823" si="133">IF(R808="","",R808)</f>
        <v>mA/mAs</v>
      </c>
      <c r="E813" s="183" t="s">
        <v>643</v>
      </c>
      <c r="F813" s="170" t="s">
        <v>644</v>
      </c>
      <c r="G813" s="183" t="str">
        <f>IF($O$805=1," (Pulses)"," (Percent)")</f>
        <v xml:space="preserve"> (Percent)</v>
      </c>
      <c r="H813" s="183" t="s">
        <v>708</v>
      </c>
      <c r="I813" s="56"/>
      <c r="J813" s="183" t="s">
        <v>643</v>
      </c>
      <c r="K813" s="291" t="s">
        <v>644</v>
      </c>
      <c r="L813" s="957" t="s">
        <v>482</v>
      </c>
      <c r="M813" s="636" t="str">
        <f t="shared" si="126"/>
        <v/>
      </c>
      <c r="N813" s="651">
        <f>IF(AND(R813="",S813=""),"",$N$809)</f>
        <v>60</v>
      </c>
      <c r="O813" s="645" t="str">
        <f t="shared" si="127"/>
        <v>Large</v>
      </c>
      <c r="P813" s="654" t="str">
        <f>IF(AND(R813="",S813=""),"",$P$809)</f>
        <v>70-120/Low</v>
      </c>
      <c r="Q813" s="647">
        <f>IF(AND(R813="",S813=""),"",$Q$809)</f>
        <v>80</v>
      </c>
      <c r="R813" s="648">
        <f t="shared" si="128"/>
        <v>200</v>
      </c>
      <c r="S813" s="653">
        <f t="shared" si="129"/>
        <v>0.25</v>
      </c>
      <c r="T813" s="580" t="str">
        <f t="shared" si="130"/>
        <v/>
      </c>
      <c r="U813" s="580" t="str">
        <f t="shared" si="131"/>
        <v/>
      </c>
      <c r="V813" s="581" t="str">
        <f t="shared" si="132"/>
        <v/>
      </c>
      <c r="W813" s="582" t="str">
        <f t="shared" si="132"/>
        <v/>
      </c>
      <c r="X813" s="939" t="s">
        <v>482</v>
      </c>
    </row>
    <row r="814" spans="1:24" ht="11.25" customHeight="1">
      <c r="A814" s="857">
        <v>22</v>
      </c>
      <c r="B814" s="629" t="str">
        <f t="shared" ref="B814:B823" si="134">IF(T809="","",T809)</f>
        <v/>
      </c>
      <c r="C814" s="631"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6" t="str">
        <f t="shared" ref="K814:K823" si="140">IF(V740="","",V740)</f>
        <v/>
      </c>
      <c r="L814" s="957" t="s">
        <v>482</v>
      </c>
      <c r="M814" s="636" t="str">
        <f t="shared" si="126"/>
        <v/>
      </c>
      <c r="N814" s="651">
        <f>IF(AND(R814="",S814=""),"",$N$809)</f>
        <v>60</v>
      </c>
      <c r="O814" s="645" t="str">
        <f t="shared" si="127"/>
        <v>Large</v>
      </c>
      <c r="P814" s="654" t="str">
        <f>IF(AND(R814="",S814=""),"",$P$809)</f>
        <v>70-120/Low</v>
      </c>
      <c r="Q814" s="647">
        <f>IF(AND(R814="",S814=""),"",$Q$809)</f>
        <v>80</v>
      </c>
      <c r="R814" s="648">
        <f t="shared" si="128"/>
        <v>200</v>
      </c>
      <c r="S814" s="653">
        <f t="shared" si="129"/>
        <v>0.4</v>
      </c>
      <c r="T814" s="580" t="str">
        <f t="shared" si="130"/>
        <v/>
      </c>
      <c r="U814" s="580" t="str">
        <f t="shared" si="131"/>
        <v/>
      </c>
      <c r="V814" s="581" t="str">
        <f t="shared" si="132"/>
        <v/>
      </c>
      <c r="W814" s="582" t="str">
        <f t="shared" si="132"/>
        <v/>
      </c>
      <c r="X814" s="939" t="s">
        <v>482</v>
      </c>
    </row>
    <row r="815" spans="1:24" ht="11.25" customHeight="1">
      <c r="A815" s="857">
        <v>23</v>
      </c>
      <c r="B815" s="629" t="str">
        <f t="shared" si="134"/>
        <v/>
      </c>
      <c r="C815" s="631" t="str">
        <f t="shared" si="135"/>
        <v/>
      </c>
      <c r="D815" s="280">
        <f t="shared" si="133"/>
        <v>200</v>
      </c>
      <c r="E815" s="144">
        <f t="shared" si="136"/>
        <v>0.02</v>
      </c>
      <c r="F815" s="344" t="str">
        <f t="shared" si="137"/>
        <v/>
      </c>
      <c r="G815" s="358" t="str">
        <f t="shared" si="138"/>
        <v/>
      </c>
      <c r="H815" s="142" t="str">
        <f t="shared" si="139"/>
        <v>TBD</v>
      </c>
      <c r="I815" s="56"/>
      <c r="J815" s="345"/>
      <c r="K815" s="626" t="str">
        <f t="shared" si="140"/>
        <v/>
      </c>
      <c r="L815" s="957" t="s">
        <v>482</v>
      </c>
      <c r="M815" s="126"/>
      <c r="N815" s="475" t="str">
        <f t="shared" ref="N815:Q818" si="141">IF(AND($R815="",$S815=""),"",N$809)</f>
        <v/>
      </c>
      <c r="O815" s="475" t="str">
        <f t="shared" si="141"/>
        <v/>
      </c>
      <c r="P815" s="475" t="str">
        <f t="shared" si="141"/>
        <v/>
      </c>
      <c r="Q815" s="475" t="str">
        <f t="shared" si="141"/>
        <v/>
      </c>
      <c r="R815" s="559" t="str">
        <f>IF($S815="","",$R$809)</f>
        <v/>
      </c>
      <c r="S815" s="888"/>
      <c r="T815" s="889"/>
      <c r="U815" s="877"/>
      <c r="V815" s="873"/>
      <c r="W815" s="874"/>
      <c r="X815" s="939" t="s">
        <v>482</v>
      </c>
    </row>
    <row r="816" spans="1:24" ht="11.25" customHeight="1">
      <c r="A816" s="857">
        <v>24</v>
      </c>
      <c r="B816" s="629" t="str">
        <f t="shared" si="134"/>
        <v/>
      </c>
      <c r="C816" s="631" t="str">
        <f t="shared" si="135"/>
        <v/>
      </c>
      <c r="D816" s="280">
        <f t="shared" si="133"/>
        <v>200</v>
      </c>
      <c r="E816" s="144">
        <f t="shared" si="136"/>
        <v>0.04</v>
      </c>
      <c r="F816" s="344" t="str">
        <f t="shared" si="137"/>
        <v/>
      </c>
      <c r="G816" s="358" t="str">
        <f t="shared" si="138"/>
        <v/>
      </c>
      <c r="H816" s="142" t="str">
        <f t="shared" si="139"/>
        <v>TBD</v>
      </c>
      <c r="I816" s="56"/>
      <c r="J816" s="345"/>
      <c r="K816" s="626" t="str">
        <f t="shared" si="140"/>
        <v/>
      </c>
      <c r="L816" s="957" t="s">
        <v>482</v>
      </c>
      <c r="M816" s="126"/>
      <c r="N816" s="475" t="str">
        <f t="shared" si="141"/>
        <v/>
      </c>
      <c r="O816" s="475" t="str">
        <f t="shared" si="141"/>
        <v/>
      </c>
      <c r="P816" s="475" t="str">
        <f t="shared" si="141"/>
        <v/>
      </c>
      <c r="Q816" s="475" t="str">
        <f t="shared" si="141"/>
        <v/>
      </c>
      <c r="R816" s="559" t="str">
        <f>IF($S816="","",$R$809)</f>
        <v/>
      </c>
      <c r="S816" s="888"/>
      <c r="T816" s="889"/>
      <c r="U816" s="877"/>
      <c r="V816" s="873"/>
      <c r="W816" s="874"/>
      <c r="X816" s="939" t="s">
        <v>482</v>
      </c>
    </row>
    <row r="817" spans="1:24" ht="11.25" customHeight="1">
      <c r="A817" s="857">
        <v>25</v>
      </c>
      <c r="B817" s="629" t="str">
        <f t="shared" si="134"/>
        <v/>
      </c>
      <c r="C817" s="631" t="str">
        <f t="shared" si="135"/>
        <v/>
      </c>
      <c r="D817" s="280">
        <f t="shared" si="133"/>
        <v>200</v>
      </c>
      <c r="E817" s="144">
        <f t="shared" si="136"/>
        <v>0.1</v>
      </c>
      <c r="F817" s="344" t="str">
        <f t="shared" si="137"/>
        <v/>
      </c>
      <c r="G817" s="358" t="str">
        <f t="shared" si="138"/>
        <v/>
      </c>
      <c r="H817" s="142" t="str">
        <f t="shared" si="139"/>
        <v>TBD</v>
      </c>
      <c r="I817" s="56"/>
      <c r="J817" s="345"/>
      <c r="K817" s="626" t="str">
        <f t="shared" si="140"/>
        <v/>
      </c>
      <c r="L817" s="957" t="s">
        <v>482</v>
      </c>
      <c r="M817" s="126"/>
      <c r="N817" s="475" t="str">
        <f t="shared" si="141"/>
        <v/>
      </c>
      <c r="O817" s="475" t="str">
        <f t="shared" si="141"/>
        <v/>
      </c>
      <c r="P817" s="475" t="str">
        <f t="shared" si="141"/>
        <v/>
      </c>
      <c r="Q817" s="475" t="str">
        <f t="shared" si="141"/>
        <v/>
      </c>
      <c r="R817" s="559" t="str">
        <f>IF($S817="","",$R$809)</f>
        <v/>
      </c>
      <c r="S817" s="888"/>
      <c r="T817" s="889"/>
      <c r="U817" s="877"/>
      <c r="V817" s="873"/>
      <c r="W817" s="874"/>
      <c r="X817" s="939" t="s">
        <v>482</v>
      </c>
    </row>
    <row r="818" spans="1:24" ht="11.25" customHeight="1" thickBot="1">
      <c r="A818" s="857">
        <v>26</v>
      </c>
      <c r="B818" s="629" t="str">
        <f t="shared" si="134"/>
        <v/>
      </c>
      <c r="C818" s="631" t="str">
        <f t="shared" si="135"/>
        <v/>
      </c>
      <c r="D818" s="280">
        <f t="shared" si="133"/>
        <v>200</v>
      </c>
      <c r="E818" s="144">
        <f t="shared" si="136"/>
        <v>0.25</v>
      </c>
      <c r="F818" s="344" t="str">
        <f t="shared" si="137"/>
        <v/>
      </c>
      <c r="G818" s="358" t="str">
        <f t="shared" si="138"/>
        <v/>
      </c>
      <c r="H818" s="142" t="str">
        <f t="shared" si="139"/>
        <v>TBD</v>
      </c>
      <c r="I818" s="56"/>
      <c r="J818" s="345"/>
      <c r="K818" s="626" t="str">
        <f t="shared" si="140"/>
        <v/>
      </c>
      <c r="L818" s="957" t="s">
        <v>482</v>
      </c>
      <c r="M818" s="164"/>
      <c r="N818" s="476" t="str">
        <f t="shared" si="141"/>
        <v/>
      </c>
      <c r="O818" s="476" t="str">
        <f t="shared" si="141"/>
        <v/>
      </c>
      <c r="P818" s="476" t="str">
        <f t="shared" si="141"/>
        <v/>
      </c>
      <c r="Q818" s="476" t="str">
        <f t="shared" si="141"/>
        <v/>
      </c>
      <c r="R818" s="613" t="str">
        <f>IF($S818="","",$R$809)</f>
        <v/>
      </c>
      <c r="S818" s="890"/>
      <c r="T818" s="891"/>
      <c r="U818" s="879"/>
      <c r="V818" s="880"/>
      <c r="W818" s="881"/>
      <c r="X818" s="939" t="s">
        <v>482</v>
      </c>
    </row>
    <row r="819" spans="1:24" ht="11.25" customHeight="1" thickTop="1">
      <c r="A819" s="857">
        <v>27</v>
      </c>
      <c r="B819" s="629" t="str">
        <f t="shared" si="134"/>
        <v/>
      </c>
      <c r="C819" s="631" t="str">
        <f t="shared" si="135"/>
        <v/>
      </c>
      <c r="D819" s="280">
        <f t="shared" si="133"/>
        <v>200</v>
      </c>
      <c r="E819" s="144">
        <f t="shared" si="136"/>
        <v>0.4</v>
      </c>
      <c r="F819" s="344" t="str">
        <f t="shared" si="137"/>
        <v/>
      </c>
      <c r="G819" s="358" t="str">
        <f t="shared" si="138"/>
        <v/>
      </c>
      <c r="H819" s="142" t="str">
        <f t="shared" si="139"/>
        <v>TBD</v>
      </c>
      <c r="I819" s="56"/>
      <c r="J819" s="345"/>
      <c r="K819" s="626" t="str">
        <f t="shared" si="140"/>
        <v/>
      </c>
      <c r="L819" s="957" t="s">
        <v>482</v>
      </c>
      <c r="M819" s="89"/>
      <c r="N819" s="592" t="s">
        <v>157</v>
      </c>
      <c r="O819" s="72"/>
      <c r="P819" s="72"/>
      <c r="Q819" s="72"/>
      <c r="R819" s="72"/>
      <c r="S819" s="72"/>
      <c r="T819" s="72"/>
      <c r="U819" s="72"/>
      <c r="V819" s="72"/>
      <c r="W819" s="90"/>
      <c r="X819" s="939" t="s">
        <v>482</v>
      </c>
    </row>
    <row r="820" spans="1:24" ht="11.25" customHeight="1">
      <c r="A820" s="857">
        <v>28</v>
      </c>
      <c r="B820" s="629" t="str">
        <f t="shared" si="134"/>
        <v/>
      </c>
      <c r="C820" s="630" t="str">
        <f t="shared" si="135"/>
        <v/>
      </c>
      <c r="D820" s="280" t="str">
        <f t="shared" si="133"/>
        <v/>
      </c>
      <c r="E820" s="144" t="str">
        <f t="shared" si="136"/>
        <v/>
      </c>
      <c r="F820" s="344" t="str">
        <f t="shared" si="137"/>
        <v/>
      </c>
      <c r="G820" s="358" t="str">
        <f t="shared" si="138"/>
        <v/>
      </c>
      <c r="H820" s="142" t="str">
        <f t="shared" si="139"/>
        <v/>
      </c>
      <c r="I820" s="56"/>
      <c r="J820" s="345"/>
      <c r="K820" s="626" t="str">
        <f t="shared" si="140"/>
        <v/>
      </c>
      <c r="L820" s="957" t="s">
        <v>482</v>
      </c>
      <c r="M820" s="155"/>
      <c r="N820" s="58" t="s">
        <v>158</v>
      </c>
      <c r="O820" s="63"/>
      <c r="P820" s="63"/>
      <c r="Q820" s="63"/>
      <c r="R820" s="63"/>
      <c r="S820" s="63"/>
      <c r="T820" s="63"/>
      <c r="U820" s="63"/>
      <c r="V820" s="63"/>
      <c r="W820" s="81"/>
      <c r="X820" s="939" t="s">
        <v>482</v>
      </c>
    </row>
    <row r="821" spans="1:24" ht="11.25" customHeight="1">
      <c r="A821" s="857">
        <v>29</v>
      </c>
      <c r="B821" s="629" t="str">
        <f t="shared" si="134"/>
        <v/>
      </c>
      <c r="C821" s="630" t="str">
        <f t="shared" si="135"/>
        <v/>
      </c>
      <c r="D821" s="280" t="str">
        <f t="shared" si="133"/>
        <v/>
      </c>
      <c r="E821" s="144" t="str">
        <f t="shared" si="136"/>
        <v/>
      </c>
      <c r="F821" s="344" t="str">
        <f t="shared" si="137"/>
        <v/>
      </c>
      <c r="G821" s="358" t="str">
        <f t="shared" si="138"/>
        <v/>
      </c>
      <c r="H821" s="142" t="str">
        <f t="shared" si="139"/>
        <v/>
      </c>
      <c r="I821" s="56"/>
      <c r="J821" s="345"/>
      <c r="K821" s="626" t="str">
        <f t="shared" si="140"/>
        <v/>
      </c>
      <c r="L821" s="957" t="s">
        <v>482</v>
      </c>
      <c r="M821" s="155"/>
      <c r="N821" s="63"/>
      <c r="O821" s="63"/>
      <c r="P821" s="63"/>
      <c r="Q821" s="63"/>
      <c r="R821" s="63"/>
      <c r="S821" s="63"/>
      <c r="T821" s="63"/>
      <c r="U821" s="63"/>
      <c r="V821" s="63"/>
      <c r="W821" s="81"/>
      <c r="X821" s="939" t="s">
        <v>482</v>
      </c>
    </row>
    <row r="822" spans="1:24" ht="11.25" customHeight="1">
      <c r="A822" s="857">
        <v>30</v>
      </c>
      <c r="B822" s="629" t="str">
        <f t="shared" si="134"/>
        <v/>
      </c>
      <c r="C822" s="630" t="str">
        <f t="shared" si="135"/>
        <v/>
      </c>
      <c r="D822" s="280" t="str">
        <f t="shared" si="133"/>
        <v/>
      </c>
      <c r="E822" s="144" t="str">
        <f t="shared" si="136"/>
        <v/>
      </c>
      <c r="F822" s="344" t="str">
        <f t="shared" si="137"/>
        <v/>
      </c>
      <c r="G822" s="358" t="str">
        <f t="shared" si="138"/>
        <v/>
      </c>
      <c r="H822" s="142" t="str">
        <f t="shared" si="139"/>
        <v/>
      </c>
      <c r="I822" s="56"/>
      <c r="J822" s="345"/>
      <c r="K822" s="626" t="str">
        <f t="shared" si="140"/>
        <v/>
      </c>
      <c r="L822" s="957" t="s">
        <v>482</v>
      </c>
      <c r="M822" s="146"/>
      <c r="N822" s="182" t="s">
        <v>629</v>
      </c>
      <c r="O822" s="1314" t="str">
        <f>IF(O805="1*","Note: Although this is a single phase generator, the exposure time was recorded in seconds, rather than pulses.","")</f>
        <v/>
      </c>
      <c r="P822" s="55"/>
      <c r="Q822" s="55"/>
      <c r="R822" s="55"/>
      <c r="S822" s="55"/>
      <c r="T822" s="55"/>
      <c r="U822" s="55"/>
      <c r="V822" s="55"/>
      <c r="W822" s="122"/>
      <c r="X822" s="939" t="s">
        <v>482</v>
      </c>
    </row>
    <row r="823" spans="1:24" ht="11.25" customHeight="1">
      <c r="A823" s="857">
        <v>31</v>
      </c>
      <c r="B823" s="629" t="str">
        <f t="shared" si="134"/>
        <v/>
      </c>
      <c r="C823" s="630" t="str">
        <f t="shared" si="135"/>
        <v/>
      </c>
      <c r="D823" s="280" t="str">
        <f t="shared" si="133"/>
        <v/>
      </c>
      <c r="E823" s="144" t="str">
        <f t="shared" si="136"/>
        <v/>
      </c>
      <c r="F823" s="344" t="str">
        <f t="shared" si="137"/>
        <v/>
      </c>
      <c r="G823" s="358" t="str">
        <f t="shared" si="138"/>
        <v/>
      </c>
      <c r="H823" s="142" t="str">
        <f t="shared" si="139"/>
        <v/>
      </c>
      <c r="I823" s="56"/>
      <c r="J823" s="345"/>
      <c r="K823" s="626" t="str">
        <f t="shared" si="140"/>
        <v/>
      </c>
      <c r="L823" s="957" t="s">
        <v>482</v>
      </c>
      <c r="M823" s="123" t="s">
        <v>159</v>
      </c>
      <c r="N823" s="55"/>
      <c r="O823" s="55"/>
      <c r="P823" s="55"/>
      <c r="Q823" s="55"/>
      <c r="R823" s="55"/>
      <c r="S823" s="55"/>
      <c r="T823" s="55"/>
      <c r="U823" s="55"/>
      <c r="V823" s="55"/>
      <c r="W823" s="122"/>
      <c r="X823" s="939" t="s">
        <v>482</v>
      </c>
    </row>
    <row r="824" spans="1:24" ht="11.25" customHeight="1">
      <c r="A824" s="857">
        <v>32</v>
      </c>
      <c r="B824" s="146"/>
      <c r="C824" s="63"/>
      <c r="D824" s="56"/>
      <c r="E824" s="56"/>
      <c r="F824" s="56"/>
      <c r="G824" s="56"/>
      <c r="H824" s="56"/>
      <c r="I824" s="56"/>
      <c r="J824" s="56"/>
      <c r="K824" s="79"/>
      <c r="L824" s="957" t="s">
        <v>482</v>
      </c>
      <c r="M824" s="126"/>
      <c r="N824" s="293" t="s">
        <v>143</v>
      </c>
      <c r="O824" s="994" t="str">
        <f>IF(O825&lt;&gt;"",O825,IF(OR(AB446=0,AB446=""),"",AB446))</f>
        <v/>
      </c>
      <c r="P824" s="55"/>
      <c r="Q824" s="55"/>
      <c r="R824" s="55"/>
      <c r="S824" s="55"/>
      <c r="T824" s="55"/>
      <c r="U824" s="55"/>
      <c r="V824" s="55"/>
      <c r="W824" s="122"/>
      <c r="X824" s="939" t="s">
        <v>482</v>
      </c>
    </row>
    <row r="825" spans="1:24" ht="11.25" customHeight="1">
      <c r="A825" s="857">
        <v>33</v>
      </c>
      <c r="B825" s="146"/>
      <c r="C825" s="63"/>
      <c r="D825" s="56"/>
      <c r="E825" s="56"/>
      <c r="F825" s="56"/>
      <c r="G825" s="56"/>
      <c r="H825" s="56"/>
      <c r="I825" s="56"/>
      <c r="J825" s="345" t="s">
        <v>144</v>
      </c>
      <c r="K825" s="411" t="str">
        <f>IF(AND(K814&gt;0,MIN(K815:K823)&gt;0),AVERAGE(K814:K823),"")</f>
        <v/>
      </c>
      <c r="L825" s="957" t="s">
        <v>482</v>
      </c>
      <c r="M825" s="146"/>
      <c r="N825" s="1378" t="s">
        <v>696</v>
      </c>
      <c r="O825" s="1380"/>
      <c r="P825" s="1237">
        <f>LEN(O824)</f>
        <v>0</v>
      </c>
      <c r="Q825" s="917"/>
      <c r="R825" s="917"/>
      <c r="S825" s="917"/>
      <c r="T825" s="917"/>
      <c r="U825" s="917"/>
      <c r="V825" s="917"/>
      <c r="W825" s="1381"/>
      <c r="X825" s="939" t="s">
        <v>482</v>
      </c>
    </row>
    <row r="826" spans="1:24" ht="11.25" customHeight="1">
      <c r="A826" s="857">
        <v>34</v>
      </c>
      <c r="B826" s="146"/>
      <c r="C826" s="63"/>
      <c r="D826" s="56"/>
      <c r="E826" s="56"/>
      <c r="F826" s="56"/>
      <c r="G826" s="56"/>
      <c r="H826" s="56"/>
      <c r="I826" s="56"/>
      <c r="J826" s="345" t="s">
        <v>145</v>
      </c>
      <c r="K826" s="626" t="str">
        <f>IF(AND(K814&gt;0,MIN(K815:K823)&gt;0),STDEV(K814:K823),"")</f>
        <v/>
      </c>
      <c r="L826" s="957" t="s">
        <v>482</v>
      </c>
      <c r="M826" s="146"/>
      <c r="N826" s="63"/>
      <c r="O826" s="63"/>
      <c r="P826" s="63"/>
      <c r="Q826" s="63"/>
      <c r="R826" s="186" t="str">
        <f>"Time"&amp;IF($O$805=1," (Pulses)"," (sec)")</f>
        <v>Time (sec)</v>
      </c>
      <c r="S826" s="187"/>
      <c r="T826" s="56" t="s">
        <v>645</v>
      </c>
      <c r="U826" s="1036" t="s">
        <v>160</v>
      </c>
      <c r="V826" s="1036" t="s">
        <v>161</v>
      </c>
      <c r="W826" s="1037" t="s">
        <v>162</v>
      </c>
      <c r="X826" s="939" t="s">
        <v>482</v>
      </c>
    </row>
    <row r="827" spans="1:24" ht="11.25" customHeight="1" thickBot="1">
      <c r="A827" s="857">
        <v>35</v>
      </c>
      <c r="B827" s="146"/>
      <c r="C827" s="63"/>
      <c r="D827" s="56"/>
      <c r="E827" s="56"/>
      <c r="F827" s="56"/>
      <c r="G827" s="56"/>
      <c r="H827" s="56"/>
      <c r="I827" s="56"/>
      <c r="J827" s="345" t="s">
        <v>163</v>
      </c>
      <c r="K827" s="627" t="str">
        <f>IF(OR(K825="",K825=0,K826=""),"TBD",IF(K825&gt;0,K826/K825,"TBD"))</f>
        <v>TBD</v>
      </c>
      <c r="L827" s="957" t="s">
        <v>482</v>
      </c>
      <c r="M827" s="146"/>
      <c r="N827" s="63"/>
      <c r="O827" s="63"/>
      <c r="P827" s="63"/>
      <c r="Q827" s="63"/>
      <c r="R827" s="183" t="s">
        <v>643</v>
      </c>
      <c r="S827" s="170" t="s">
        <v>644</v>
      </c>
      <c r="T827" s="183" t="str">
        <f>IF($O$805=1," (Pulses)"," (Percent)")</f>
        <v xml:space="preserve"> (Percent)</v>
      </c>
      <c r="U827" s="1038" t="s">
        <v>708</v>
      </c>
      <c r="V827" s="1038" t="s">
        <v>708</v>
      </c>
      <c r="W827" s="1039" t="s">
        <v>708</v>
      </c>
      <c r="X827" s="939" t="s">
        <v>482</v>
      </c>
    </row>
    <row r="828" spans="1:24" ht="11.25" customHeight="1" thickBot="1">
      <c r="A828" s="857">
        <v>36</v>
      </c>
      <c r="B828" s="146"/>
      <c r="C828" s="63"/>
      <c r="D828" s="56"/>
      <c r="E828" s="56"/>
      <c r="F828" s="56"/>
      <c r="G828" s="56"/>
      <c r="H828" s="56"/>
      <c r="I828" s="56"/>
      <c r="J828" s="56"/>
      <c r="K828" s="79"/>
      <c r="L828" s="957" t="s">
        <v>482</v>
      </c>
      <c r="M828" s="146"/>
      <c r="N828" s="63"/>
      <c r="O828" s="63"/>
      <c r="P828" s="63"/>
      <c r="Q828" s="63"/>
      <c r="R828" s="144">
        <f>IF(S809="","",S809)</f>
        <v>0.01</v>
      </c>
      <c r="S828" s="344" t="str">
        <f>IF(V809="","",V809)</f>
        <v/>
      </c>
      <c r="T828" s="1069" t="str">
        <f t="shared" ref="T828:T837" si="142">IF(OR(E814="",F814="",AND(LFMAS="",SFMAS=""),AND($AO$722="Large",LFMAS="mAs"),AND($AO$722="Small",SFMAS="mAs")),"",IF($O$805=1,(F814-E814),IF(AND(E814&gt;0,F814&gt;0),(ROUND(100*(F814-E814)/E814,1)),"")))</f>
        <v/>
      </c>
      <c r="U828" s="1022" t="str">
        <f t="shared" ref="U828:U837" si="143">IF(OR($M$806&lt;&gt;1,P805=1,AND(LFMAS="",SFMAS="")),"",IF(V809="","",IF(E814&lt;0.002,IF(ABS(G814)&gt;25,"NO","YES"),IF(E814&lt;=0.01,IF(ABS(G814)&gt;20,"NO","YES"),IF(E814&lt;=0.05,IF(ABS(G814)&gt;15,"NO","YES"),IF(E814&lt;=0.1,IF(ABS(G814)&gt;10,"NO","YES"),IF(ABS(G814)&gt;5,"NO","YES")))))))</f>
        <v/>
      </c>
      <c r="V828" s="1022" t="str">
        <f t="shared" ref="V828:V837" si="144">IF(OR($M$806&lt;&gt;1,P805&lt;&gt;1,AND(LFMAS="",SFMAS="")),"",IF(V809="","",IF(E814&lt;=4,IF(ABS(G814)&gt;0,"NO","YES"),IF(E814&lt;=24,IF(ABS(G814)&gt;1,"NO","YES"),IF(E814&lt;=60,IF(ABS(G814)&gt;2,"NO","YES"),IF(ABS(G814)&gt;3,"NO","YES"))))))</f>
        <v/>
      </c>
      <c r="W828" s="1023" t="str">
        <f t="shared" ref="W828:W837" si="145">IF(OR($M$806&lt;&gt;1,P805&lt;&gt;"Dent",AND(LFMAS="",SFMAS="")),"",IF(V809="","",IF(ABS(G814)&gt;15,"NO","YES")))</f>
        <v/>
      </c>
      <c r="X828" s="939" t="s">
        <v>482</v>
      </c>
    </row>
    <row r="829" spans="1:24" ht="11.25" customHeight="1" thickBot="1">
      <c r="A829" s="857">
        <v>37</v>
      </c>
      <c r="B829" s="146"/>
      <c r="C829" s="63"/>
      <c r="D829" s="56"/>
      <c r="E829" s="56"/>
      <c r="F829" s="56"/>
      <c r="G829" s="174" t="s">
        <v>646</v>
      </c>
      <c r="H829" s="175" t="str">
        <f>IF(M806&lt;&gt;1,"NA",IF(MIN(F814:F823)=0,"TBD",IF(OR(H814="NO",H815="NO",H816="NO",H817="NO",H818="NO",H819="NO",H820="NO",H821="NO",H822="NO",H823="NO"),"NO","YES")))</f>
        <v>NA</v>
      </c>
      <c r="I829" s="56"/>
      <c r="J829" s="361" t="s">
        <v>646</v>
      </c>
      <c r="K829" s="628" t="str">
        <f>IF(M806&lt;&gt;1,"NA",IF(K827="TBD","TBD",IF(K827&gt;=0.05,"NO","YES")))</f>
        <v>NA</v>
      </c>
      <c r="L829" s="957" t="s">
        <v>482</v>
      </c>
      <c r="M829" s="146"/>
      <c r="N829" s="63"/>
      <c r="O829" s="63"/>
      <c r="P829" s="63"/>
      <c r="Q829" s="63"/>
      <c r="R829" s="144">
        <f t="shared" ref="R829:R837" si="146">IF(S810="","",S810)</f>
        <v>0.02</v>
      </c>
      <c r="S829" s="344" t="str">
        <f t="shared" ref="S829:S837" si="147">IF(V810="","",V810)</f>
        <v/>
      </c>
      <c r="T829" s="1069" t="str">
        <f t="shared" si="142"/>
        <v/>
      </c>
      <c r="U829" s="1022" t="str">
        <f t="shared" si="143"/>
        <v/>
      </c>
      <c r="V829" s="1022" t="str">
        <f t="shared" si="144"/>
        <v/>
      </c>
      <c r="W829" s="1023" t="str">
        <f t="shared" si="145"/>
        <v/>
      </c>
      <c r="X829" s="939" t="s">
        <v>482</v>
      </c>
    </row>
    <row r="830" spans="1:24" ht="11.25" customHeight="1">
      <c r="A830" s="857">
        <v>38</v>
      </c>
      <c r="B830" s="137" t="s">
        <v>629</v>
      </c>
      <c r="C830" s="1238" t="str">
        <f>IF(O833="","",IF(LEN(O833)&lt;=135,O833,IF(LEN(O833)&lt;=260,LEFT(O833,SEARCH(" ",O833,125)),LEFT(O833,SEARCH(" ",O833,130)))))</f>
        <v/>
      </c>
      <c r="D830" s="55"/>
      <c r="E830" s="55"/>
      <c r="F830" s="55"/>
      <c r="G830" s="55"/>
      <c r="H830" s="55"/>
      <c r="I830" s="55"/>
      <c r="J830" s="55"/>
      <c r="K830" s="79"/>
      <c r="L830" s="957" t="s">
        <v>482</v>
      </c>
      <c r="M830" s="146"/>
      <c r="N830" s="63"/>
      <c r="O830" s="63"/>
      <c r="P830" s="63"/>
      <c r="Q830" s="63"/>
      <c r="R830" s="144">
        <f t="shared" si="146"/>
        <v>0.04</v>
      </c>
      <c r="S830" s="344" t="str">
        <f t="shared" si="147"/>
        <v/>
      </c>
      <c r="T830" s="1069" t="str">
        <f t="shared" si="142"/>
        <v/>
      </c>
      <c r="U830" s="1022" t="str">
        <f t="shared" si="143"/>
        <v/>
      </c>
      <c r="V830" s="1022" t="str">
        <f t="shared" si="144"/>
        <v/>
      </c>
      <c r="W830" s="1023" t="str">
        <f t="shared" si="145"/>
        <v/>
      </c>
      <c r="X830" s="939" t="s">
        <v>482</v>
      </c>
    </row>
    <row r="831" spans="1:24" ht="11.25" customHeight="1">
      <c r="A831" s="857">
        <v>39</v>
      </c>
      <c r="B831" s="146"/>
      <c r="C831" s="1239" t="str">
        <f>IF(LEN(O833)&lt;=135,"",IF(LEN(O833)&lt;=260,RIGHT(O833,LEN(O833)-SEARCH(" ",O833,125)),MID(O833,SEARCH(" ",O833,130),IF(LEN(O833)&lt;=265,LEN(O833),SEARCH(" ",O833,255)-SEARCH(" ",O833,130)))))</f>
        <v/>
      </c>
      <c r="D831" s="55"/>
      <c r="E831" s="55"/>
      <c r="F831" s="55"/>
      <c r="G831" s="55"/>
      <c r="H831" s="55"/>
      <c r="I831" s="55"/>
      <c r="J831" s="55"/>
      <c r="K831" s="79"/>
      <c r="L831" s="957" t="s">
        <v>482</v>
      </c>
      <c r="M831" s="155"/>
      <c r="N831" s="63"/>
      <c r="O831" s="63"/>
      <c r="P831" s="63"/>
      <c r="Q831" s="63"/>
      <c r="R831" s="144">
        <f t="shared" si="146"/>
        <v>0.1</v>
      </c>
      <c r="S831" s="344" t="str">
        <f t="shared" si="147"/>
        <v/>
      </c>
      <c r="T831" s="1069" t="str">
        <f t="shared" si="142"/>
        <v/>
      </c>
      <c r="U831" s="1022" t="str">
        <f t="shared" si="143"/>
        <v/>
      </c>
      <c r="V831" s="1022" t="str">
        <f t="shared" si="144"/>
        <v/>
      </c>
      <c r="W831" s="1023" t="str">
        <f t="shared" si="145"/>
        <v/>
      </c>
      <c r="X831" s="939" t="s">
        <v>482</v>
      </c>
    </row>
    <row r="832" spans="1:24" ht="11.25" customHeight="1">
      <c r="A832" s="857">
        <v>40</v>
      </c>
      <c r="B832" s="146"/>
      <c r="C832" s="1238" t="str">
        <f>IF(LEN(O833)&lt;=265,"",RIGHT(O833,LEN(O833)-SEARCH(" ",O833,255)))</f>
        <v/>
      </c>
      <c r="D832" s="55"/>
      <c r="E832" s="55"/>
      <c r="F832" s="55"/>
      <c r="G832" s="55"/>
      <c r="H832" s="55"/>
      <c r="I832" s="55"/>
      <c r="J832" s="55"/>
      <c r="K832" s="79"/>
      <c r="L832" s="957" t="s">
        <v>482</v>
      </c>
      <c r="M832" s="121"/>
      <c r="N832" s="63"/>
      <c r="O832" s="63"/>
      <c r="P832" s="63"/>
      <c r="Q832" s="63"/>
      <c r="R832" s="144">
        <f t="shared" si="146"/>
        <v>0.25</v>
      </c>
      <c r="S832" s="344" t="str">
        <f t="shared" si="147"/>
        <v/>
      </c>
      <c r="T832" s="1069" t="str">
        <f t="shared" si="142"/>
        <v/>
      </c>
      <c r="U832" s="1022" t="str">
        <f t="shared" si="143"/>
        <v/>
      </c>
      <c r="V832" s="1022" t="str">
        <f t="shared" si="144"/>
        <v/>
      </c>
      <c r="W832" s="1023" t="str">
        <f t="shared" si="145"/>
        <v/>
      </c>
      <c r="X832" s="939" t="s">
        <v>482</v>
      </c>
    </row>
    <row r="833" spans="1:24" ht="11.25" customHeight="1">
      <c r="A833" s="857">
        <v>41</v>
      </c>
      <c r="B833" s="146"/>
      <c r="C833" s="1238" t="str">
        <f>IF(O836="","",IF(LEN(O836)&lt;=135,O836,IF(LEN(O836)&lt;=260,LEFT(O836,SEARCH(" ",O836,125)),LEFT(O836,SEARCH(" ",O836,130)))))</f>
        <v/>
      </c>
      <c r="D833" s="55"/>
      <c r="E833" s="55"/>
      <c r="F833" s="55"/>
      <c r="G833" s="55"/>
      <c r="H833" s="55"/>
      <c r="I833" s="55"/>
      <c r="J833" s="55"/>
      <c r="K833" s="79"/>
      <c r="L833" s="957" t="s">
        <v>482</v>
      </c>
      <c r="M833" s="146"/>
      <c r="N833" s="56"/>
      <c r="O833" s="496" t="str">
        <f>IF(AND(O822="",O751=""),"",IF(AND(O822&lt;&gt;"",O751=""),"Accuracy:  "&amp;O822,IF(AND(O822="",O751&lt;&gt;""),"Reproducibility:  "&amp;O751,"Accuracy:  "&amp;O822&amp;";  Reproducibility:  "&amp;O751)))</f>
        <v/>
      </c>
      <c r="P833" s="56"/>
      <c r="Q833" s="56"/>
      <c r="R833" s="144">
        <f t="shared" si="146"/>
        <v>0.4</v>
      </c>
      <c r="S833" s="344" t="str">
        <f t="shared" si="147"/>
        <v/>
      </c>
      <c r="T833" s="1069" t="str">
        <f t="shared" si="142"/>
        <v/>
      </c>
      <c r="U833" s="1022" t="str">
        <f t="shared" si="143"/>
        <v/>
      </c>
      <c r="V833" s="1022" t="str">
        <f t="shared" si="144"/>
        <v/>
      </c>
      <c r="W833" s="1023" t="str">
        <f t="shared" si="145"/>
        <v/>
      </c>
      <c r="X833" s="939" t="s">
        <v>482</v>
      </c>
    </row>
    <row r="834" spans="1:24" ht="11.25" customHeight="1">
      <c r="A834" s="857">
        <v>42</v>
      </c>
      <c r="B834" s="146"/>
      <c r="C834" s="1239" t="str">
        <f>IF(LEN(O836)&lt;=135,"",IF(LEN(O836)&lt;=260,RIGHT(O836,LEN(O836)-SEARCH(" ",O836,125)),MID(O836,SEARCH(" ",O836,130),IF(LEN(O836)&lt;=265,LEN(O836),SEARCH(" ",O836,255)-SEARCH(" ",O836,130)))))</f>
        <v/>
      </c>
      <c r="D834" s="55"/>
      <c r="E834" s="55"/>
      <c r="F834" s="55"/>
      <c r="G834" s="55"/>
      <c r="H834" s="55"/>
      <c r="I834" s="55"/>
      <c r="J834" s="55"/>
      <c r="K834" s="79"/>
      <c r="L834" s="957" t="s">
        <v>482</v>
      </c>
      <c r="M834" s="146"/>
      <c r="N834" s="56"/>
      <c r="O834" s="58"/>
      <c r="P834" s="56" t="s">
        <v>164</v>
      </c>
      <c r="Q834" s="56"/>
      <c r="R834" s="144" t="str">
        <f t="shared" si="146"/>
        <v/>
      </c>
      <c r="S834" s="344" t="str">
        <f t="shared" si="147"/>
        <v/>
      </c>
      <c r="T834" s="393" t="str">
        <f t="shared" si="142"/>
        <v/>
      </c>
      <c r="U834" s="1022" t="str">
        <f t="shared" si="143"/>
        <v/>
      </c>
      <c r="V834" s="1022" t="str">
        <f t="shared" si="144"/>
        <v/>
      </c>
      <c r="W834" s="1023" t="str">
        <f t="shared" si="145"/>
        <v/>
      </c>
      <c r="X834" s="939" t="s">
        <v>482</v>
      </c>
    </row>
    <row r="835" spans="1:24" ht="11.25" customHeight="1">
      <c r="A835" s="857">
        <v>43</v>
      </c>
      <c r="B835" s="146"/>
      <c r="C835" s="1238" t="str">
        <f>IF(LEN(O836)&lt;=265,"",RIGHT(O836,LEN(O836)-SEARCH(" ",O836,255)))</f>
        <v/>
      </c>
      <c r="D835" s="55"/>
      <c r="E835" s="55"/>
      <c r="F835" s="55"/>
      <c r="G835" s="55"/>
      <c r="H835" s="55"/>
      <c r="I835" s="55"/>
      <c r="J835" s="55"/>
      <c r="K835" s="79"/>
      <c r="L835" s="957" t="s">
        <v>482</v>
      </c>
      <c r="M835" s="146"/>
      <c r="N835" s="56"/>
      <c r="O835" s="63"/>
      <c r="P835" s="56"/>
      <c r="Q835" s="56"/>
      <c r="R835" s="144" t="str">
        <f t="shared" si="146"/>
        <v/>
      </c>
      <c r="S835" s="344" t="str">
        <f t="shared" si="147"/>
        <v/>
      </c>
      <c r="T835" s="393" t="str">
        <f t="shared" si="142"/>
        <v/>
      </c>
      <c r="U835" s="1022" t="str">
        <f t="shared" si="143"/>
        <v/>
      </c>
      <c r="V835" s="1022" t="str">
        <f t="shared" si="144"/>
        <v/>
      </c>
      <c r="W835" s="1023" t="str">
        <f t="shared" si="145"/>
        <v/>
      </c>
      <c r="X835" s="939" t="s">
        <v>482</v>
      </c>
    </row>
    <row r="836" spans="1:24" ht="11.25" customHeight="1">
      <c r="A836" s="857">
        <v>44</v>
      </c>
      <c r="B836" s="155"/>
      <c r="C836" s="63"/>
      <c r="D836" s="63"/>
      <c r="E836" s="63"/>
      <c r="F836" s="63"/>
      <c r="G836" s="63"/>
      <c r="H836" s="63"/>
      <c r="I836" s="63"/>
      <c r="J836" s="63"/>
      <c r="K836" s="79"/>
      <c r="L836" s="957" t="s">
        <v>482</v>
      </c>
      <c r="M836" s="146"/>
      <c r="N836" s="56"/>
      <c r="O836" s="496"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2" t="str">
        <f t="shared" si="143"/>
        <v/>
      </c>
      <c r="V836" s="1022" t="str">
        <f t="shared" si="144"/>
        <v/>
      </c>
      <c r="W836" s="1023" t="str">
        <f t="shared" si="145"/>
        <v/>
      </c>
      <c r="X836" s="939" t="s">
        <v>482</v>
      </c>
    </row>
    <row r="837" spans="1:24" ht="11.25" customHeight="1">
      <c r="A837" s="857">
        <v>45</v>
      </c>
      <c r="B837" s="146"/>
      <c r="C837" s="459" t="s">
        <v>165</v>
      </c>
      <c r="D837" s="56"/>
      <c r="E837" s="56"/>
      <c r="F837" s="56"/>
      <c r="G837" s="56"/>
      <c r="H837" s="56"/>
      <c r="I837" s="56"/>
      <c r="J837" s="56"/>
      <c r="K837" s="79"/>
      <c r="L837" s="957" t="s">
        <v>482</v>
      </c>
      <c r="M837" s="146"/>
      <c r="N837" s="56"/>
      <c r="O837" s="56"/>
      <c r="P837" s="56"/>
      <c r="Q837" s="56"/>
      <c r="R837" s="144" t="str">
        <f t="shared" si="146"/>
        <v/>
      </c>
      <c r="S837" s="344" t="str">
        <f t="shared" si="147"/>
        <v/>
      </c>
      <c r="T837" s="393" t="str">
        <f t="shared" si="142"/>
        <v/>
      </c>
      <c r="U837" s="1022" t="str">
        <f t="shared" si="143"/>
        <v/>
      </c>
      <c r="V837" s="1022" t="str">
        <f t="shared" si="144"/>
        <v/>
      </c>
      <c r="W837" s="1023" t="str">
        <f t="shared" si="145"/>
        <v/>
      </c>
      <c r="X837" s="939" t="s">
        <v>482</v>
      </c>
    </row>
    <row r="838" spans="1:24" ht="11.25" customHeight="1">
      <c r="A838" s="857">
        <v>46</v>
      </c>
      <c r="B838" s="155"/>
      <c r="C838" s="56" t="s">
        <v>534</v>
      </c>
      <c r="D838" s="56"/>
      <c r="E838" s="56"/>
      <c r="F838" s="56"/>
      <c r="G838" s="56" t="s">
        <v>534</v>
      </c>
      <c r="H838" s="56"/>
      <c r="I838" s="56"/>
      <c r="J838" s="63"/>
      <c r="K838" s="79"/>
      <c r="L838" s="957" t="s">
        <v>482</v>
      </c>
      <c r="M838" s="146"/>
      <c r="N838" s="459" t="s">
        <v>165</v>
      </c>
      <c r="O838" s="56"/>
      <c r="P838" s="56"/>
      <c r="Q838" s="56"/>
      <c r="R838" s="56"/>
      <c r="S838" s="56"/>
      <c r="T838" s="56"/>
      <c r="U838" s="56"/>
      <c r="V838" s="56"/>
      <c r="W838" s="79"/>
      <c r="X838" s="939" t="s">
        <v>482</v>
      </c>
    </row>
    <row r="839" spans="1:24" ht="11.25" customHeight="1">
      <c r="A839" s="857">
        <v>47</v>
      </c>
      <c r="B839" s="155"/>
      <c r="C839" s="55" t="s">
        <v>166</v>
      </c>
      <c r="D839" s="280" t="s">
        <v>167</v>
      </c>
      <c r="E839" s="280" t="s">
        <v>168</v>
      </c>
      <c r="F839" s="56"/>
      <c r="G839" s="55" t="s">
        <v>166</v>
      </c>
      <c r="H839" s="280" t="s">
        <v>652</v>
      </c>
      <c r="I839" s="280" t="s">
        <v>168</v>
      </c>
      <c r="J839" s="56"/>
      <c r="K839" s="79"/>
      <c r="L839" s="957" t="s">
        <v>482</v>
      </c>
      <c r="M839" s="146"/>
      <c r="N839" s="56" t="s">
        <v>534</v>
      </c>
      <c r="O839" s="56"/>
      <c r="P839" s="56"/>
      <c r="Q839" s="56"/>
      <c r="R839" s="56" t="s">
        <v>534</v>
      </c>
      <c r="S839" s="56"/>
      <c r="T839" s="56"/>
      <c r="U839" s="56"/>
      <c r="V839" s="56"/>
      <c r="W839" s="79"/>
      <c r="X839" s="939" t="s">
        <v>482</v>
      </c>
    </row>
    <row r="840" spans="1:24" ht="11.25" customHeight="1">
      <c r="A840" s="857">
        <v>48</v>
      </c>
      <c r="B840" s="121"/>
      <c r="C840" s="56" t="s">
        <v>169</v>
      </c>
      <c r="D840" s="281" t="s">
        <v>1126</v>
      </c>
      <c r="E840" s="294">
        <v>0</v>
      </c>
      <c r="F840" s="58" t="s">
        <v>170</v>
      </c>
      <c r="G840" s="56" t="s">
        <v>171</v>
      </c>
      <c r="H840" s="281" t="s">
        <v>172</v>
      </c>
      <c r="I840" s="295">
        <v>0.15</v>
      </c>
      <c r="J840" s="56"/>
      <c r="K840" s="79"/>
      <c r="L840" s="957" t="s">
        <v>482</v>
      </c>
      <c r="M840" s="146"/>
      <c r="N840" s="55" t="s">
        <v>166</v>
      </c>
      <c r="O840" s="280" t="s">
        <v>167</v>
      </c>
      <c r="P840" s="280" t="s">
        <v>168</v>
      </c>
      <c r="Q840" s="56"/>
      <c r="R840" s="55" t="s">
        <v>166</v>
      </c>
      <c r="S840" s="280" t="s">
        <v>652</v>
      </c>
      <c r="T840" s="280" t="s">
        <v>168</v>
      </c>
      <c r="U840" s="56"/>
      <c r="V840" s="56"/>
      <c r="W840" s="79"/>
      <c r="X840" s="939" t="s">
        <v>482</v>
      </c>
    </row>
    <row r="841" spans="1:24" ht="11.25" customHeight="1">
      <c r="A841" s="857">
        <v>49</v>
      </c>
      <c r="B841" s="146"/>
      <c r="C841" s="56"/>
      <c r="D841" s="281" t="s">
        <v>1127</v>
      </c>
      <c r="E841" s="294">
        <v>1</v>
      </c>
      <c r="F841" s="58" t="s">
        <v>170</v>
      </c>
      <c r="G841" s="56"/>
      <c r="H841" s="296" t="s">
        <v>173</v>
      </c>
      <c r="I841" s="295">
        <v>0.1</v>
      </c>
      <c r="J841" s="56"/>
      <c r="K841" s="79"/>
      <c r="L841" s="957" t="s">
        <v>482</v>
      </c>
      <c r="M841" s="146"/>
      <c r="N841" s="56" t="s">
        <v>169</v>
      </c>
      <c r="O841" s="281" t="s">
        <v>1126</v>
      </c>
      <c r="P841" s="294">
        <v>0</v>
      </c>
      <c r="Q841" s="58" t="s">
        <v>170</v>
      </c>
      <c r="R841" s="56" t="s">
        <v>171</v>
      </c>
      <c r="S841" s="281" t="s">
        <v>172</v>
      </c>
      <c r="T841" s="295">
        <v>0.15</v>
      </c>
      <c r="U841" s="56"/>
      <c r="V841" s="56"/>
      <c r="W841" s="79"/>
      <c r="X841" s="939" t="s">
        <v>482</v>
      </c>
    </row>
    <row r="842" spans="1:24" ht="11.25" customHeight="1">
      <c r="A842" s="857">
        <v>50</v>
      </c>
      <c r="B842" s="146"/>
      <c r="C842" s="56"/>
      <c r="D842" s="281" t="s">
        <v>1124</v>
      </c>
      <c r="E842" s="294">
        <v>2</v>
      </c>
      <c r="F842" s="58" t="s">
        <v>170</v>
      </c>
      <c r="G842" s="56"/>
      <c r="H842" s="281" t="s">
        <v>174</v>
      </c>
      <c r="I842" s="295">
        <v>0.05</v>
      </c>
      <c r="J842" s="56"/>
      <c r="K842" s="79"/>
      <c r="L842" s="957" t="s">
        <v>482</v>
      </c>
      <c r="M842" s="146"/>
      <c r="N842" s="56"/>
      <c r="O842" s="281" t="s">
        <v>1127</v>
      </c>
      <c r="P842" s="294">
        <v>1</v>
      </c>
      <c r="Q842" s="58" t="s">
        <v>1123</v>
      </c>
      <c r="R842" s="56"/>
      <c r="S842" s="296" t="s">
        <v>173</v>
      </c>
      <c r="T842" s="295">
        <v>0.1</v>
      </c>
      <c r="U842" s="56"/>
      <c r="V842" s="56"/>
      <c r="W842" s="79"/>
      <c r="X842" s="939" t="s">
        <v>482</v>
      </c>
    </row>
    <row r="843" spans="1:24" ht="11.25" customHeight="1">
      <c r="A843" s="857">
        <v>51</v>
      </c>
      <c r="B843" s="146"/>
      <c r="C843" s="55"/>
      <c r="D843" s="280" t="s">
        <v>1125</v>
      </c>
      <c r="E843" s="290">
        <v>3</v>
      </c>
      <c r="F843" s="58" t="s">
        <v>170</v>
      </c>
      <c r="G843" s="85" t="s">
        <v>175</v>
      </c>
      <c r="H843" s="298" t="s">
        <v>172</v>
      </c>
      <c r="I843" s="299">
        <v>0.2</v>
      </c>
      <c r="J843" s="56"/>
      <c r="K843" s="79"/>
      <c r="L843" s="957" t="s">
        <v>482</v>
      </c>
      <c r="M843" s="146"/>
      <c r="N843" s="56"/>
      <c r="O843" s="281" t="s">
        <v>1124</v>
      </c>
      <c r="P843" s="294">
        <v>2</v>
      </c>
      <c r="Q843" s="58" t="s">
        <v>170</v>
      </c>
      <c r="R843" s="56"/>
      <c r="S843" s="281" t="s">
        <v>174</v>
      </c>
      <c r="T843" s="295">
        <v>0.05</v>
      </c>
      <c r="U843" s="56"/>
      <c r="V843" s="56"/>
      <c r="W843" s="79"/>
      <c r="X843" s="939" t="s">
        <v>482</v>
      </c>
    </row>
    <row r="844" spans="1:24" ht="11.25" customHeight="1">
      <c r="A844" s="857">
        <v>52</v>
      </c>
      <c r="B844" s="146"/>
      <c r="C844" s="56" t="s">
        <v>176</v>
      </c>
      <c r="D844" s="281" t="s">
        <v>172</v>
      </c>
      <c r="E844" s="295">
        <v>0.25</v>
      </c>
      <c r="F844" s="56"/>
      <c r="G844" s="56"/>
      <c r="H844" s="296" t="s">
        <v>173</v>
      </c>
      <c r="I844" s="295">
        <v>0.15</v>
      </c>
      <c r="J844" s="56"/>
      <c r="K844" s="79"/>
      <c r="L844" s="957" t="s">
        <v>482</v>
      </c>
      <c r="M844" s="146"/>
      <c r="N844" s="55"/>
      <c r="O844" s="280" t="s">
        <v>1125</v>
      </c>
      <c r="P844" s="290">
        <v>3</v>
      </c>
      <c r="Q844" s="58" t="s">
        <v>170</v>
      </c>
      <c r="R844" s="85" t="s">
        <v>175</v>
      </c>
      <c r="S844" s="298" t="s">
        <v>172</v>
      </c>
      <c r="T844" s="299">
        <v>0.2</v>
      </c>
      <c r="U844" s="56"/>
      <c r="V844" s="56"/>
      <c r="W844" s="79"/>
      <c r="X844" s="939" t="s">
        <v>482</v>
      </c>
    </row>
    <row r="845" spans="1:24" ht="11.25" customHeight="1">
      <c r="A845" s="857">
        <v>53</v>
      </c>
      <c r="B845" s="146"/>
      <c r="C845" s="56"/>
      <c r="D845" s="296" t="s">
        <v>177</v>
      </c>
      <c r="E845" s="295">
        <v>0.2</v>
      </c>
      <c r="F845" s="56"/>
      <c r="G845" s="56"/>
      <c r="H845" s="296" t="s">
        <v>178</v>
      </c>
      <c r="I845" s="295">
        <v>0.1</v>
      </c>
      <c r="J845" s="56"/>
      <c r="K845" s="79"/>
      <c r="L845" s="957" t="s">
        <v>482</v>
      </c>
      <c r="M845" s="146"/>
      <c r="N845" s="56" t="s">
        <v>176</v>
      </c>
      <c r="O845" s="281" t="s">
        <v>172</v>
      </c>
      <c r="P845" s="295">
        <v>0.25</v>
      </c>
      <c r="Q845" s="56"/>
      <c r="R845" s="56"/>
      <c r="S845" s="296" t="s">
        <v>173</v>
      </c>
      <c r="T845" s="295">
        <v>0.15</v>
      </c>
      <c r="U845" s="56"/>
      <c r="V845" s="56"/>
      <c r="W845" s="79"/>
      <c r="X845" s="939" t="s">
        <v>482</v>
      </c>
    </row>
    <row r="846" spans="1:24" ht="11.25" customHeight="1">
      <c r="A846" s="857">
        <v>54</v>
      </c>
      <c r="B846" s="146"/>
      <c r="C846" s="56"/>
      <c r="D846" s="296" t="s">
        <v>179</v>
      </c>
      <c r="E846" s="295">
        <v>0.15</v>
      </c>
      <c r="F846" s="56"/>
      <c r="G846" s="56"/>
      <c r="H846" s="281" t="s">
        <v>180</v>
      </c>
      <c r="I846" s="295">
        <v>0.05</v>
      </c>
      <c r="J846" s="56"/>
      <c r="K846" s="79"/>
      <c r="L846" s="957" t="s">
        <v>482</v>
      </c>
      <c r="M846" s="146"/>
      <c r="N846" s="56"/>
      <c r="O846" s="296" t="s">
        <v>177</v>
      </c>
      <c r="P846" s="295">
        <v>0.2</v>
      </c>
      <c r="Q846" s="56"/>
      <c r="R846" s="56"/>
      <c r="S846" s="296" t="s">
        <v>178</v>
      </c>
      <c r="T846" s="295">
        <v>0.1</v>
      </c>
      <c r="U846" s="56"/>
      <c r="V846" s="56"/>
      <c r="W846" s="79"/>
      <c r="X846" s="939" t="s">
        <v>482</v>
      </c>
    </row>
    <row r="847" spans="1:24" ht="11.25" customHeight="1">
      <c r="A847" s="857">
        <v>55</v>
      </c>
      <c r="B847" s="146"/>
      <c r="C847" s="56"/>
      <c r="D847" s="296" t="s">
        <v>181</v>
      </c>
      <c r="E847" s="295">
        <v>0.1</v>
      </c>
      <c r="F847" s="56"/>
      <c r="G847" s="56"/>
      <c r="H847" s="56"/>
      <c r="I847" s="56"/>
      <c r="J847" s="56"/>
      <c r="K847" s="79"/>
      <c r="L847" s="957" t="s">
        <v>482</v>
      </c>
      <c r="M847" s="146"/>
      <c r="N847" s="56"/>
      <c r="O847" s="296" t="s">
        <v>179</v>
      </c>
      <c r="P847" s="295">
        <v>0.15</v>
      </c>
      <c r="Q847" s="56"/>
      <c r="R847" s="56"/>
      <c r="S847" s="281" t="s">
        <v>180</v>
      </c>
      <c r="T847" s="295">
        <v>0.05</v>
      </c>
      <c r="U847" s="56"/>
      <c r="V847" s="56"/>
      <c r="W847" s="79"/>
      <c r="X847" s="939" t="s">
        <v>482</v>
      </c>
    </row>
    <row r="848" spans="1:24" ht="11.25" customHeight="1">
      <c r="A848" s="857">
        <v>56</v>
      </c>
      <c r="B848" s="146"/>
      <c r="C848" s="56"/>
      <c r="D848" s="281" t="s">
        <v>180</v>
      </c>
      <c r="E848" s="295">
        <v>0.05</v>
      </c>
      <c r="F848" s="56"/>
      <c r="G848" s="56"/>
      <c r="H848" s="56"/>
      <c r="I848" s="56"/>
      <c r="J848" s="56"/>
      <c r="K848" s="79"/>
      <c r="L848" s="957" t="s">
        <v>482</v>
      </c>
      <c r="M848" s="146"/>
      <c r="N848" s="56"/>
      <c r="O848" s="296" t="s">
        <v>181</v>
      </c>
      <c r="P848" s="295">
        <v>0.1</v>
      </c>
      <c r="Q848" s="56"/>
      <c r="R848" s="56"/>
      <c r="S848" s="56"/>
      <c r="T848" s="56"/>
      <c r="U848" s="56"/>
      <c r="V848" s="56"/>
      <c r="W848" s="79"/>
      <c r="X848" s="939" t="s">
        <v>482</v>
      </c>
    </row>
    <row r="849" spans="1:24" ht="11.25" customHeight="1">
      <c r="A849" s="857">
        <v>57</v>
      </c>
      <c r="B849" s="146"/>
      <c r="C849" s="56" t="s">
        <v>182</v>
      </c>
      <c r="D849" s="281" t="s">
        <v>183</v>
      </c>
      <c r="E849" s="767" t="s">
        <v>185</v>
      </c>
      <c r="F849" s="58" t="s">
        <v>170</v>
      </c>
      <c r="G849" s="63"/>
      <c r="H849" s="63"/>
      <c r="I849" s="63"/>
      <c r="J849" s="56"/>
      <c r="K849" s="79"/>
      <c r="L849" s="957" t="s">
        <v>482</v>
      </c>
      <c r="M849" s="146"/>
      <c r="N849" s="55"/>
      <c r="O849" s="280" t="s">
        <v>180</v>
      </c>
      <c r="P849" s="297">
        <v>0.05</v>
      </c>
      <c r="Q849" s="56"/>
      <c r="R849" s="56"/>
      <c r="S849" s="56"/>
      <c r="T849" s="56"/>
      <c r="U849" s="56"/>
      <c r="V849" s="56"/>
      <c r="W849" s="79"/>
      <c r="X849" s="939" t="s">
        <v>482</v>
      </c>
    </row>
    <row r="850" spans="1:24" ht="11.25" customHeight="1">
      <c r="A850" s="857">
        <v>58</v>
      </c>
      <c r="B850" s="146"/>
      <c r="C850" s="55"/>
      <c r="D850" s="280" t="s">
        <v>183</v>
      </c>
      <c r="E850" s="766" t="s">
        <v>203</v>
      </c>
      <c r="F850" s="56"/>
      <c r="G850" s="63"/>
      <c r="H850" s="63"/>
      <c r="I850" s="63"/>
      <c r="J850" s="56"/>
      <c r="K850" s="79"/>
      <c r="L850" s="957" t="s">
        <v>482</v>
      </c>
      <c r="M850" s="146"/>
      <c r="N850" s="56" t="s">
        <v>182</v>
      </c>
      <c r="O850" s="281" t="s">
        <v>183</v>
      </c>
      <c r="P850" s="767" t="s">
        <v>184</v>
      </c>
      <c r="Q850" s="58" t="s">
        <v>170</v>
      </c>
      <c r="R850" s="56"/>
      <c r="S850" s="56"/>
      <c r="T850" s="56"/>
      <c r="U850" s="56"/>
      <c r="V850" s="56"/>
      <c r="W850" s="79"/>
      <c r="X850" s="939" t="s">
        <v>482</v>
      </c>
    </row>
    <row r="851" spans="1:24" ht="11.25" customHeight="1" thickBot="1">
      <c r="A851" s="857">
        <v>59</v>
      </c>
      <c r="B851" s="164"/>
      <c r="C851" s="83"/>
      <c r="D851" s="83"/>
      <c r="E851" s="83"/>
      <c r="F851" s="83"/>
      <c r="G851" s="83"/>
      <c r="H851" s="83"/>
      <c r="I851" s="83"/>
      <c r="J851" s="83"/>
      <c r="K851" s="84"/>
      <c r="L851" s="957" t="s">
        <v>482</v>
      </c>
      <c r="M851" s="146"/>
      <c r="N851" s="55"/>
      <c r="O851" s="280" t="s">
        <v>183</v>
      </c>
      <c r="P851" s="766" t="s">
        <v>186</v>
      </c>
      <c r="Q851" s="56"/>
      <c r="R851" s="56"/>
      <c r="S851" s="56"/>
      <c r="T851" s="56"/>
      <c r="U851" s="56"/>
      <c r="V851" s="56"/>
      <c r="W851" s="79"/>
      <c r="X851" s="939" t="s">
        <v>482</v>
      </c>
    </row>
    <row r="852" spans="1:24" ht="11.25" customHeight="1" thickTop="1">
      <c r="A852" s="857">
        <v>60</v>
      </c>
      <c r="L852" s="957" t="s">
        <v>482</v>
      </c>
      <c r="M852" s="146"/>
      <c r="N852" s="56"/>
      <c r="O852" s="56"/>
      <c r="P852" s="56"/>
      <c r="Q852" s="56"/>
      <c r="R852" s="56"/>
      <c r="S852" s="56"/>
      <c r="T852" s="56"/>
      <c r="U852" s="56"/>
      <c r="V852" s="56"/>
      <c r="W852" s="79"/>
      <c r="X852" s="939" t="s">
        <v>482</v>
      </c>
    </row>
    <row r="853" spans="1:24" ht="11.25" customHeight="1" thickBot="1">
      <c r="A853" s="857">
        <v>61</v>
      </c>
      <c r="L853" s="957" t="s">
        <v>482</v>
      </c>
      <c r="M853" s="164"/>
      <c r="N853" s="83"/>
      <c r="O853" s="83"/>
      <c r="P853" s="83"/>
      <c r="Q853" s="83"/>
      <c r="R853" s="83"/>
      <c r="S853" s="83"/>
      <c r="T853" s="83"/>
      <c r="U853" s="83"/>
      <c r="V853" s="83"/>
      <c r="W853" s="84"/>
      <c r="X853" s="939" t="s">
        <v>482</v>
      </c>
    </row>
    <row r="854" spans="1:24" ht="11.25" customHeight="1" thickTop="1">
      <c r="A854" s="857">
        <v>62</v>
      </c>
      <c r="B854" s="140"/>
      <c r="C854" s="140"/>
      <c r="D854" s="140"/>
      <c r="E854" s="140"/>
      <c r="F854" s="140"/>
      <c r="G854" s="140"/>
      <c r="H854" s="140"/>
      <c r="I854" s="140"/>
      <c r="J854" s="140"/>
      <c r="K854" s="140"/>
      <c r="L854" s="957" t="s">
        <v>482</v>
      </c>
      <c r="M854" s="140"/>
      <c r="N854" s="140"/>
      <c r="O854" s="140"/>
      <c r="P854" s="140"/>
      <c r="Q854" s="140"/>
      <c r="R854" s="140"/>
      <c r="S854" s="140"/>
      <c r="T854" s="140"/>
      <c r="U854" s="140"/>
      <c r="V854" s="140"/>
      <c r="W854" s="140"/>
      <c r="X854" s="939" t="s">
        <v>482</v>
      </c>
    </row>
    <row r="855" spans="1:24" ht="11.25" customHeight="1">
      <c r="A855" s="857">
        <v>63</v>
      </c>
      <c r="B855" s="140"/>
      <c r="C855" s="140"/>
      <c r="D855" s="140"/>
      <c r="E855" s="140"/>
      <c r="F855" s="140"/>
      <c r="G855" s="140"/>
      <c r="H855" s="140"/>
      <c r="I855" s="140"/>
      <c r="J855" s="140"/>
      <c r="K855" s="140"/>
      <c r="L855" s="957" t="s">
        <v>482</v>
      </c>
      <c r="M855" s="140"/>
      <c r="N855" s="140"/>
      <c r="O855" s="140"/>
      <c r="P855" s="140"/>
      <c r="Q855" s="140"/>
      <c r="R855" s="140"/>
      <c r="S855" s="140"/>
      <c r="T855" s="140"/>
      <c r="U855" s="140"/>
      <c r="V855" s="140"/>
      <c r="W855" s="140"/>
      <c r="X855" s="939" t="s">
        <v>482</v>
      </c>
    </row>
    <row r="856" spans="1:24" ht="11.25" customHeight="1">
      <c r="A856" s="857">
        <v>64</v>
      </c>
      <c r="B856" s="140"/>
      <c r="C856" s="140"/>
      <c r="D856" s="140"/>
      <c r="E856" s="140"/>
      <c r="F856" s="140"/>
      <c r="G856" s="140"/>
      <c r="H856" s="140"/>
      <c r="I856" s="140"/>
      <c r="J856" s="140"/>
      <c r="K856" s="140"/>
      <c r="L856" s="957" t="s">
        <v>482</v>
      </c>
      <c r="M856" s="140"/>
      <c r="N856" s="140"/>
      <c r="O856" s="140"/>
      <c r="P856" s="140"/>
      <c r="Q856" s="140"/>
      <c r="R856" s="140"/>
      <c r="S856" s="140"/>
      <c r="T856" s="140"/>
      <c r="U856" s="140"/>
      <c r="V856" s="140"/>
      <c r="W856" s="140"/>
      <c r="X856" s="939" t="s">
        <v>482</v>
      </c>
    </row>
    <row r="857" spans="1:24" ht="11.25" customHeight="1">
      <c r="A857" s="857">
        <v>65</v>
      </c>
      <c r="B857" s="60" t="str">
        <f t="array" ref="B857:C858">$B$65:$C$66</f>
        <v>Date:</v>
      </c>
      <c r="C857" s="1664" t="str">
        <v/>
      </c>
      <c r="D857" s="140"/>
      <c r="E857" s="140"/>
      <c r="F857" s="140"/>
      <c r="G857" s="140"/>
      <c r="H857" s="140"/>
      <c r="I857" s="60" t="str">
        <f t="array" ref="I857:J858">$I$65:$J$66</f>
        <v>Inspector:</v>
      </c>
      <c r="J857" s="554" t="str">
        <v>Eugene Mah</v>
      </c>
      <c r="L857" s="957" t="s">
        <v>482</v>
      </c>
      <c r="M857" s="140"/>
      <c r="N857" s="140"/>
      <c r="O857" s="140"/>
      <c r="P857" s="140"/>
      <c r="Q857" s="140"/>
      <c r="R857" s="140"/>
      <c r="S857" s="140"/>
      <c r="T857" s="140"/>
      <c r="U857" s="140"/>
      <c r="V857" s="140"/>
      <c r="W857" s="140"/>
      <c r="X857" s="939" t="s">
        <v>482</v>
      </c>
    </row>
    <row r="858" spans="1:24" ht="11.25" customHeight="1">
      <c r="A858" s="857">
        <v>66</v>
      </c>
      <c r="B858" s="60" t="str">
        <v>Room Number:</v>
      </c>
      <c r="C858" s="499" t="str">
        <v/>
      </c>
      <c r="D858" s="140"/>
      <c r="E858" s="140"/>
      <c r="F858" s="140"/>
      <c r="G858" s="140"/>
      <c r="H858" s="140"/>
      <c r="I858" s="60" t="str">
        <v>Survey ID:</v>
      </c>
      <c r="J858" s="1404" t="str">
        <v/>
      </c>
      <c r="L858" s="957" t="s">
        <v>482</v>
      </c>
      <c r="M858" s="140"/>
      <c r="N858" s="140"/>
      <c r="O858" s="140"/>
      <c r="P858" s="140"/>
      <c r="Q858" s="140"/>
      <c r="R858" s="140"/>
      <c r="S858" s="140"/>
      <c r="T858" s="140"/>
      <c r="U858" s="140"/>
      <c r="V858" s="140"/>
      <c r="W858" s="140"/>
      <c r="X858" s="939" t="s">
        <v>482</v>
      </c>
    </row>
    <row r="859" spans="1:24" ht="11.25" customHeight="1">
      <c r="A859" s="857">
        <v>1</v>
      </c>
      <c r="K859" s="161" t="str">
        <f>$F$2</f>
        <v>Medical University of South Carolina</v>
      </c>
      <c r="L859" s="957" t="s">
        <v>482</v>
      </c>
      <c r="W859" s="161" t="str">
        <f>$F$2</f>
        <v>Medical University of South Carolina</v>
      </c>
      <c r="X859" s="939" t="s">
        <v>482</v>
      </c>
    </row>
    <row r="860" spans="1:24" ht="11.25" customHeight="1">
      <c r="A860" s="857">
        <v>2</v>
      </c>
      <c r="F860" s="336" t="str">
        <f>$F$464</f>
        <v>Measurement Data</v>
      </c>
      <c r="K860" s="162" t="str">
        <f>$F$5</f>
        <v>Radiographic System Compliance Inspection</v>
      </c>
      <c r="L860" s="957" t="s">
        <v>482</v>
      </c>
      <c r="R860" s="336" t="str">
        <f>$F$464</f>
        <v>Measurement Data</v>
      </c>
      <c r="W860" s="162" t="str">
        <f>$F$5</f>
        <v>Radiographic System Compliance Inspection</v>
      </c>
      <c r="X860" s="939" t="s">
        <v>482</v>
      </c>
    </row>
    <row r="861" spans="1:24" ht="11.25" customHeight="1" thickBot="1">
      <c r="A861" s="857">
        <v>3</v>
      </c>
      <c r="L861" s="957" t="s">
        <v>482</v>
      </c>
      <c r="X861" s="939" t="s">
        <v>482</v>
      </c>
    </row>
    <row r="862" spans="1:24" ht="11.25" customHeight="1" thickTop="1">
      <c r="A862" s="857">
        <v>4</v>
      </c>
      <c r="B862" s="89"/>
      <c r="C862" s="72"/>
      <c r="D862" s="72"/>
      <c r="E862" s="72"/>
      <c r="F862" s="72"/>
      <c r="G862" s="72"/>
      <c r="H862" s="72"/>
      <c r="I862" s="72"/>
      <c r="J862" s="72"/>
      <c r="K862" s="90"/>
      <c r="L862" s="957" t="s">
        <v>482</v>
      </c>
      <c r="M862" s="89"/>
      <c r="N862" s="72"/>
      <c r="O862" s="72"/>
      <c r="P862" s="72"/>
      <c r="Q862" s="72"/>
      <c r="R862" s="72"/>
      <c r="S862" s="72"/>
      <c r="T862" s="72"/>
      <c r="U862" s="72"/>
      <c r="V862" s="72"/>
      <c r="W862" s="90"/>
      <c r="X862" s="939" t="s">
        <v>482</v>
      </c>
    </row>
    <row r="863" spans="1:24" ht="11.25" customHeight="1">
      <c r="A863" s="857">
        <v>5</v>
      </c>
      <c r="B863" s="155"/>
      <c r="C863" s="62" t="s">
        <v>79</v>
      </c>
      <c r="D863" s="69" t="str">
        <f>IF($O$687="","",$O$687)</f>
        <v>Piranha CB2-17090320</v>
      </c>
      <c r="E863" s="55"/>
      <c r="F863" s="55"/>
      <c r="G863" s="63"/>
      <c r="H863" s="63"/>
      <c r="I863" s="63"/>
      <c r="J863" s="63"/>
      <c r="K863" s="81"/>
      <c r="L863" s="957" t="s">
        <v>482</v>
      </c>
      <c r="M863" s="204"/>
      <c r="N863" s="62" t="s">
        <v>79</v>
      </c>
      <c r="O863" s="69" t="str">
        <f>IF($O$687="","",$O$687)</f>
        <v>Piranha CB2-17090320</v>
      </c>
      <c r="P863" s="55"/>
      <c r="Q863" s="55"/>
      <c r="R863" s="63"/>
      <c r="S863" s="63"/>
      <c r="T863" s="3"/>
      <c r="U863" s="3"/>
      <c r="V863" s="3"/>
      <c r="W863" s="43"/>
      <c r="X863" s="939" t="s">
        <v>482</v>
      </c>
    </row>
    <row r="864" spans="1:24" ht="11.25" customHeight="1">
      <c r="A864" s="857">
        <v>6</v>
      </c>
      <c r="B864" s="155"/>
      <c r="C864" s="63"/>
      <c r="D864" s="63"/>
      <c r="E864" s="63"/>
      <c r="F864" s="63"/>
      <c r="G864" s="63"/>
      <c r="H864" s="63"/>
      <c r="I864" s="63"/>
      <c r="J864" s="63"/>
      <c r="K864" s="81"/>
      <c r="L864" s="957" t="s">
        <v>482</v>
      </c>
      <c r="M864" s="52"/>
      <c r="N864" s="3"/>
      <c r="O864" s="41"/>
      <c r="P864" s="3"/>
      <c r="Q864" s="3"/>
      <c r="R864" s="3"/>
      <c r="S864" s="3"/>
      <c r="T864" s="3"/>
      <c r="U864" s="3"/>
      <c r="V864" s="3"/>
      <c r="W864" s="43"/>
      <c r="X864" s="939" t="s">
        <v>482</v>
      </c>
    </row>
    <row r="865" spans="1:24" ht="11.25" customHeight="1">
      <c r="A865" s="857">
        <v>7</v>
      </c>
      <c r="B865" s="155"/>
      <c r="C865" s="61"/>
      <c r="D865" s="63"/>
      <c r="E865" s="63"/>
      <c r="F865" s="63"/>
      <c r="G865" s="63"/>
      <c r="H865" s="63"/>
      <c r="I865" s="63"/>
      <c r="J865" s="63"/>
      <c r="K865" s="81"/>
      <c r="L865" s="957" t="s">
        <v>482</v>
      </c>
      <c r="M865" s="386" t="s">
        <v>737</v>
      </c>
      <c r="N865" s="61"/>
      <c r="O865" s="61"/>
      <c r="P865" s="63"/>
      <c r="Q865" s="63"/>
      <c r="R865" s="63"/>
      <c r="S865" s="63"/>
      <c r="T865" s="63"/>
      <c r="U865" s="63"/>
      <c r="V865" s="63"/>
      <c r="W865" s="81"/>
      <c r="X865" s="939" t="s">
        <v>482</v>
      </c>
    </row>
    <row r="866" spans="1:24" ht="11.25" customHeight="1">
      <c r="A866" s="857">
        <v>8</v>
      </c>
      <c r="B866" s="457" t="s">
        <v>737</v>
      </c>
      <c r="C866" s="63"/>
      <c r="D866" s="63"/>
      <c r="E866" s="62" t="s">
        <v>683</v>
      </c>
      <c r="F866" s="278">
        <f>IF(Q870="","",Q870)</f>
        <v>80</v>
      </c>
      <c r="G866" s="62" t="s">
        <v>204</v>
      </c>
      <c r="H866" s="55" t="str">
        <f>IF(P870="","",P870)</f>
        <v>70-120/Low</v>
      </c>
      <c r="I866" s="63"/>
      <c r="J866" s="56"/>
      <c r="K866" s="79"/>
      <c r="L866" s="957" t="s">
        <v>482</v>
      </c>
      <c r="M866" s="146"/>
      <c r="N866" s="56"/>
      <c r="O866" s="56"/>
      <c r="P866" s="56"/>
      <c r="Q866" s="56"/>
      <c r="R866" s="56"/>
      <c r="S866" s="56"/>
      <c r="T866" s="56"/>
      <c r="U866" s="56"/>
      <c r="V866" s="56"/>
      <c r="W866" s="79"/>
      <c r="X866" s="939" t="s">
        <v>482</v>
      </c>
    </row>
    <row r="867" spans="1:24" ht="11.25" customHeight="1">
      <c r="A867" s="857">
        <v>9</v>
      </c>
      <c r="B867" s="146"/>
      <c r="C867" s="56"/>
      <c r="D867" s="56"/>
      <c r="E867" s="62" t="s">
        <v>131</v>
      </c>
      <c r="F867" s="55">
        <f>IF(N870="","",N870)</f>
        <v>60</v>
      </c>
      <c r="G867" s="58" t="str">
        <f>LFSDD</f>
        <v>cm</v>
      </c>
      <c r="H867" s="56"/>
      <c r="I867" s="56"/>
      <c r="J867" s="56" t="s">
        <v>205</v>
      </c>
      <c r="K867" s="79"/>
      <c r="L867" s="957" t="s">
        <v>482</v>
      </c>
      <c r="M867" s="146"/>
      <c r="N867" s="56"/>
      <c r="O867" s="56"/>
      <c r="P867" s="56"/>
      <c r="Q867" s="56"/>
      <c r="R867" s="56"/>
      <c r="S867" s="56"/>
      <c r="T867" s="56"/>
      <c r="U867" s="56"/>
      <c r="V867" s="56"/>
      <c r="W867" s="79"/>
      <c r="X867" s="939" t="s">
        <v>482</v>
      </c>
    </row>
    <row r="868" spans="1:24" ht="11.25" customHeight="1" thickBot="1">
      <c r="A868" s="857">
        <v>10</v>
      </c>
      <c r="B868" s="146" t="s">
        <v>114</v>
      </c>
      <c r="C868" s="141"/>
      <c r="D868" s="147" t="s">
        <v>119</v>
      </c>
      <c r="E868" s="146"/>
      <c r="F868" s="58" t="s">
        <v>120</v>
      </c>
      <c r="G868" s="56"/>
      <c r="H868" s="56"/>
      <c r="I868" s="56" t="s">
        <v>1168</v>
      </c>
      <c r="J868" s="141" t="s">
        <v>206</v>
      </c>
      <c r="K868" s="79"/>
      <c r="L868" s="957" t="s">
        <v>482</v>
      </c>
      <c r="M868" s="146" t="s">
        <v>587</v>
      </c>
      <c r="N868" s="281" t="s">
        <v>140</v>
      </c>
      <c r="O868" s="281" t="s">
        <v>116</v>
      </c>
      <c r="P868" s="281" t="s">
        <v>117</v>
      </c>
      <c r="Q868" s="56"/>
      <c r="R868" s="281"/>
      <c r="S868" s="147" t="s">
        <v>119</v>
      </c>
      <c r="T868" s="56"/>
      <c r="U868" s="58" t="s">
        <v>120</v>
      </c>
      <c r="V868" s="56"/>
      <c r="W868" s="79"/>
      <c r="X868" s="939" t="s">
        <v>482</v>
      </c>
    </row>
    <row r="869" spans="1:24" ht="11.25" customHeight="1" thickBot="1">
      <c r="A869" s="857">
        <v>11</v>
      </c>
      <c r="B869" s="284" t="s">
        <v>121</v>
      </c>
      <c r="C869" s="183" t="str">
        <f>IF(LFMAS="","mA/mAs",LFMAS)</f>
        <v>mA</v>
      </c>
      <c r="D869" s="291" t="s">
        <v>124</v>
      </c>
      <c r="E869" s="284" t="s">
        <v>125</v>
      </c>
      <c r="F869" s="171" t="s">
        <v>126</v>
      </c>
      <c r="G869" s="171" t="s">
        <v>124</v>
      </c>
      <c r="H869" s="171" t="s">
        <v>1167</v>
      </c>
      <c r="I869" s="300" t="s">
        <v>207</v>
      </c>
      <c r="J869" s="170" t="s">
        <v>96</v>
      </c>
      <c r="K869" s="364" t="s">
        <v>708</v>
      </c>
      <c r="L869" s="957" t="s">
        <v>482</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1167</v>
      </c>
      <c r="X869" s="939" t="s">
        <v>482</v>
      </c>
    </row>
    <row r="870" spans="1:24" ht="11.25" customHeight="1">
      <c r="A870" s="857">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4" t="str">
        <f>IF(OR(H870="",AND(LFMAS="",SFMAS=""),AND($C$869="mA",D870="")),"",IF($C$869="mAs",H870/C870,H870/(C870*D870)))</f>
        <v/>
      </c>
      <c r="J870" s="141"/>
      <c r="K870" s="366" t="s">
        <v>209</v>
      </c>
      <c r="L870" s="957" t="s">
        <v>482</v>
      </c>
      <c r="M870" s="365" t="s">
        <v>208</v>
      </c>
      <c r="N870" s="644">
        <f>$N$694</f>
        <v>60</v>
      </c>
      <c r="O870" s="645" t="str">
        <f>IF(Q870="","","Large")</f>
        <v>Large</v>
      </c>
      <c r="P870" s="646" t="str">
        <f>IF(OR(Q870="",R870="",AE690=""),"",AE690&amp;"/"&amp;AK690)</f>
        <v>70-120/Low</v>
      </c>
      <c r="Q870" s="647">
        <f>IF(R870="","",AA690)</f>
        <v>80</v>
      </c>
      <c r="R870" s="648">
        <f>IF(AD690&gt;0,AD690,IF(AB690&gt;0,AB690,""))</f>
        <v>400</v>
      </c>
      <c r="S870" s="302">
        <f>IF(AD690&gt;0,IF(OR(AP690="",AP690="No Anomolies"),"",AP690),IF(AC690&gt;0,AC690,""))</f>
        <v>0.05</v>
      </c>
      <c r="T870" s="580" t="str">
        <f>IF(AZ690="","",AZ690)</f>
        <v/>
      </c>
      <c r="U870" s="580" t="str">
        <f>IF(AX690="","",AX690)</f>
        <v/>
      </c>
      <c r="V870" s="581" t="str">
        <f>IF(BA690="","",BA690)</f>
        <v/>
      </c>
      <c r="W870" s="582" t="str">
        <f>IF(BB690="","",BB690)</f>
        <v/>
      </c>
      <c r="X870" s="939" t="s">
        <v>482</v>
      </c>
    </row>
    <row r="871" spans="1:24" ht="11.25" customHeight="1" thickBot="1">
      <c r="A871" s="857">
        <v>13</v>
      </c>
      <c r="B871" s="284" t="s">
        <v>208</v>
      </c>
      <c r="C871" s="306">
        <f t="shared" si="148"/>
        <v>500</v>
      </c>
      <c r="D871" s="307">
        <f t="shared" si="148"/>
        <v>0.05</v>
      </c>
      <c r="E871" s="308" t="str">
        <f t="shared" si="148"/>
        <v/>
      </c>
      <c r="F871" s="309" t="str">
        <f t="shared" si="148"/>
        <v/>
      </c>
      <c r="G871" s="310" t="str">
        <f t="shared" si="148"/>
        <v/>
      </c>
      <c r="H871" s="309" t="str">
        <f t="shared" si="148"/>
        <v/>
      </c>
      <c r="I871" s="1535" t="str">
        <f>IF(OR(H871="",AND(LFMAS="",SFMAS=""),AND($C$869="mA",D871="")),"",IF($C$869="mAs",H871/C871,H871/(C871*D871)))</f>
        <v/>
      </c>
      <c r="J871" s="169" t="str">
        <f>IF(OR(I870="",I871=""),"",(MAX(I870:I871)-MIN(I870:I871))/(MAX(I870:I871)+MIN(I870:I871)))</f>
        <v/>
      </c>
      <c r="K871" s="367" t="str">
        <f>IF(J871="","TBD",IF(J871&gt;0.1,"NO","YES"))</f>
        <v>TBD</v>
      </c>
      <c r="L871" s="957" t="s">
        <v>482</v>
      </c>
      <c r="M871" s="284" t="s">
        <v>208</v>
      </c>
      <c r="N871" s="655">
        <f>IF(R871="","",$N$870)</f>
        <v>60</v>
      </c>
      <c r="O871" s="656" t="str">
        <f>IF(Q871="","",O870)</f>
        <v>Large</v>
      </c>
      <c r="P871" s="657" t="str">
        <f>IF(OR(Q871="",R871="",AE701=""),"",AE701&amp;"/"&amp;AK701)</f>
        <v>70-120/Low</v>
      </c>
      <c r="Q871" s="658">
        <f>IF(R871="","",AA701)</f>
        <v>80</v>
      </c>
      <c r="R871" s="659">
        <f>IF(AD701&gt;0,AD701,IF(AB701&gt;0,AB701,""))</f>
        <v>500</v>
      </c>
      <c r="S871" s="307">
        <f>IF(AD701&gt;0,IF(OR(AP701="",AP701="No Anomolies"),"",AP701),IF(AC701&gt;0,AC701,""))</f>
        <v>0.05</v>
      </c>
      <c r="T871" s="660" t="str">
        <f>IF(AZ701="","",AZ701)</f>
        <v/>
      </c>
      <c r="U871" s="660" t="str">
        <f>IF(AX701="","",AX701)</f>
        <v/>
      </c>
      <c r="V871" s="661" t="str">
        <f t="shared" ref="V871:W874" si="149">IF(BA701="","",BA701)</f>
        <v/>
      </c>
      <c r="W871" s="662" t="str">
        <f t="shared" si="149"/>
        <v/>
      </c>
      <c r="X871" s="939" t="s">
        <v>482</v>
      </c>
    </row>
    <row r="872" spans="1:24" ht="11.25" customHeight="1">
      <c r="A872" s="857">
        <v>14</v>
      </c>
      <c r="B872" s="126" t="s">
        <v>210</v>
      </c>
      <c r="C872" s="301">
        <f t="shared" si="148"/>
        <v>50</v>
      </c>
      <c r="D872" s="302">
        <f t="shared" si="148"/>
        <v>0.05</v>
      </c>
      <c r="E872" s="303" t="str">
        <f t="shared" si="148"/>
        <v/>
      </c>
      <c r="F872" s="304" t="str">
        <f t="shared" si="148"/>
        <v/>
      </c>
      <c r="G872" s="305" t="str">
        <f t="shared" si="148"/>
        <v/>
      </c>
      <c r="H872" s="304" t="str">
        <f t="shared" si="148"/>
        <v/>
      </c>
      <c r="I872" s="1534" t="str">
        <f>IF(OR(H872="",AND(LFMAS="",SFMAS=""),AND($C$869="mA",D872="")),"",IF($C$869="mAs",H872/C872,H872/(C872*D872)))</f>
        <v/>
      </c>
      <c r="J872" s="141"/>
      <c r="K872" s="368"/>
      <c r="L872" s="957" t="s">
        <v>482</v>
      </c>
      <c r="M872" s="126" t="s">
        <v>210</v>
      </c>
      <c r="N872" s="651">
        <f>IF(R872="","",$N$870)</f>
        <v>60</v>
      </c>
      <c r="O872" s="645" t="str">
        <f>IF(Q872="","",O871)</f>
        <v>Large</v>
      </c>
      <c r="P872" s="646" t="str">
        <f>IF(OR(Q872="",R872="",AE702=""),"",AE702&amp;"/"&amp;AK702)</f>
        <v>70-120/High</v>
      </c>
      <c r="Q872" s="647">
        <f>IF(R872="","",AA702)</f>
        <v>80</v>
      </c>
      <c r="R872" s="648">
        <f>IF(AD702&gt;0,AD702,IF(AB702&gt;0,AB702,""))</f>
        <v>50</v>
      </c>
      <c r="S872" s="302">
        <f>IF(AD702&gt;0,IF(OR(AP702="",AP702="No Anomolies"),"",AP702),IF(AC702&gt;0,AC702,""))</f>
        <v>0.05</v>
      </c>
      <c r="T872" s="580" t="str">
        <f>IF(AZ702="","",AZ702)</f>
        <v/>
      </c>
      <c r="U872" s="580" t="str">
        <f>IF(AX702="","",AX702)</f>
        <v/>
      </c>
      <c r="V872" s="581" t="str">
        <f t="shared" si="149"/>
        <v/>
      </c>
      <c r="W872" s="582" t="str">
        <f t="shared" si="149"/>
        <v/>
      </c>
      <c r="X872" s="939" t="s">
        <v>482</v>
      </c>
    </row>
    <row r="873" spans="1:24" ht="11.25" customHeight="1">
      <c r="A873" s="857">
        <v>15</v>
      </c>
      <c r="B873" s="126" t="s">
        <v>210</v>
      </c>
      <c r="C873" s="301">
        <f t="shared" si="148"/>
        <v>800</v>
      </c>
      <c r="D873" s="302">
        <f t="shared" si="148"/>
        <v>0.05</v>
      </c>
      <c r="E873" s="303" t="str">
        <f t="shared" si="148"/>
        <v/>
      </c>
      <c r="F873" s="304" t="str">
        <f t="shared" si="148"/>
        <v/>
      </c>
      <c r="G873" s="305" t="str">
        <f t="shared" si="148"/>
        <v/>
      </c>
      <c r="H873" s="304" t="str">
        <f t="shared" si="148"/>
        <v/>
      </c>
      <c r="I873" s="1534" t="str">
        <f>IF(OR(H873="",AND(LFMAS="",SFMAS=""),AND($C$869="mA",D873="")),"",IF($C$869="mAs",H873/C873,H873/(C873*D873)))</f>
        <v/>
      </c>
      <c r="J873" s="141"/>
      <c r="K873" s="366" t="s">
        <v>210</v>
      </c>
      <c r="L873" s="957" t="s">
        <v>482</v>
      </c>
      <c r="M873" s="126" t="s">
        <v>210</v>
      </c>
      <c r="N873" s="651">
        <f>IF(R873="","",$N$870)</f>
        <v>60</v>
      </c>
      <c r="O873" s="645" t="str">
        <f>IF(Q873="","",O872)</f>
        <v>Large</v>
      </c>
      <c r="P873" s="646" t="str">
        <f>IF(OR(Q873="",R873="",AE703=""),"",AE703&amp;"/"&amp;AK703)</f>
        <v>70-120/Low</v>
      </c>
      <c r="Q873" s="647">
        <f>IF(R873="","",AA703)</f>
        <v>80</v>
      </c>
      <c r="R873" s="648">
        <f>IF(AD703&gt;0,AD703,IF(AB703&gt;0,AB703,""))</f>
        <v>800</v>
      </c>
      <c r="S873" s="302">
        <f>IF(AD703&gt;0,IF(OR(AP703="",AP703="No Anomolies"),"",AP703),IF(AC703&gt;0,AC703,""))</f>
        <v>0.05</v>
      </c>
      <c r="T873" s="580" t="str">
        <f>IF(AZ703="","",AZ703)</f>
        <v/>
      </c>
      <c r="U873" s="580" t="str">
        <f>IF(AX703="","",AX703)</f>
        <v/>
      </c>
      <c r="V873" s="581" t="str">
        <f t="shared" si="149"/>
        <v/>
      </c>
      <c r="W873" s="582" t="str">
        <f t="shared" si="149"/>
        <v/>
      </c>
      <c r="X873" s="939" t="s">
        <v>482</v>
      </c>
    </row>
    <row r="874" spans="1:24" ht="11.25" customHeight="1" thickBot="1">
      <c r="A874" s="857">
        <v>16</v>
      </c>
      <c r="B874" s="284" t="s">
        <v>210</v>
      </c>
      <c r="C874" s="306">
        <f t="shared" si="148"/>
        <v>250</v>
      </c>
      <c r="D874" s="307">
        <f t="shared" si="148"/>
        <v>0.05</v>
      </c>
      <c r="E874" s="308" t="str">
        <f t="shared" si="148"/>
        <v/>
      </c>
      <c r="F874" s="309" t="str">
        <f t="shared" si="148"/>
        <v/>
      </c>
      <c r="G874" s="310" t="str">
        <f t="shared" si="148"/>
        <v/>
      </c>
      <c r="H874" s="309" t="str">
        <f t="shared" si="148"/>
        <v/>
      </c>
      <c r="I874" s="1535" t="str">
        <f>IF(OR(H874="",AND(LFMAS="",SFMAS=""),AND($C$869="mA",D874="")),"",IF($C$869="mAs",H874/C874,H874/(C874*D874)))</f>
        <v/>
      </c>
      <c r="J874" s="169" t="str">
        <f>IF(OR(I870="",I872=""),"",(MAX(I870:I874)-MIN(I870:I874))/(MAX(I870:I874)+MIN(I870:I874)))</f>
        <v/>
      </c>
      <c r="K874" s="367" t="str">
        <f>IF(J874="","TBD",IF(J874&gt;0.1,"NO","YES"))</f>
        <v>TBD</v>
      </c>
      <c r="L874" s="957" t="s">
        <v>482</v>
      </c>
      <c r="M874" s="284" t="s">
        <v>210</v>
      </c>
      <c r="N874" s="655">
        <f>IF(R874="","",$N$870)</f>
        <v>60</v>
      </c>
      <c r="O874" s="656" t="str">
        <f>IF(Q874="","",O873)</f>
        <v>Large</v>
      </c>
      <c r="P874" s="657" t="str">
        <f>IF(OR(Q874="",R874="",AE704=""),"",AE704&amp;"/"&amp;AK704)</f>
        <v>70-120/Low</v>
      </c>
      <c r="Q874" s="658">
        <f>IF(R874="","",AA704)</f>
        <v>80</v>
      </c>
      <c r="R874" s="659">
        <f>IF(AD704&gt;0,AD704,IF(AB704&gt;0,AB704,""))</f>
        <v>250</v>
      </c>
      <c r="S874" s="307">
        <f>IF(AD704&gt;0,IF(OR(AP704="",AP704="No Anomolies"),"",AP704),IF(AC704&gt;0,AC704,""))</f>
        <v>0.05</v>
      </c>
      <c r="T874" s="660" t="str">
        <f>IF(AZ704="","",AZ704)</f>
        <v/>
      </c>
      <c r="U874" s="660" t="str">
        <f>IF(AX704="","",AX704)</f>
        <v/>
      </c>
      <c r="V874" s="661" t="str">
        <f t="shared" si="149"/>
        <v/>
      </c>
      <c r="W874" s="662" t="str">
        <f t="shared" si="149"/>
        <v/>
      </c>
      <c r="X874" s="939" t="s">
        <v>482</v>
      </c>
    </row>
    <row r="875" spans="1:24" ht="11.25" customHeight="1" thickBot="1">
      <c r="A875" s="857">
        <v>17</v>
      </c>
      <c r="B875" s="121" t="s">
        <v>211</v>
      </c>
      <c r="C875" s="56"/>
      <c r="D875" s="56"/>
      <c r="E875" s="56"/>
      <c r="F875" s="56"/>
      <c r="G875" s="56"/>
      <c r="H875" s="56"/>
      <c r="I875" s="62"/>
      <c r="J875" s="56"/>
      <c r="K875" s="79"/>
      <c r="L875" s="957" t="s">
        <v>482</v>
      </c>
      <c r="M875" s="121" t="s">
        <v>211</v>
      </c>
      <c r="N875" s="56"/>
      <c r="O875" s="56"/>
      <c r="P875" s="56"/>
      <c r="Q875" s="56"/>
      <c r="R875" s="56"/>
      <c r="S875" s="56"/>
      <c r="T875" s="56"/>
      <c r="U875" s="56"/>
      <c r="V875" s="56"/>
      <c r="W875" s="79"/>
      <c r="X875" s="939" t="s">
        <v>482</v>
      </c>
    </row>
    <row r="876" spans="1:24" ht="11.25" customHeight="1" thickBot="1">
      <c r="A876" s="857">
        <v>18</v>
      </c>
      <c r="B876" s="146"/>
      <c r="C876" s="56"/>
      <c r="D876" s="56"/>
      <c r="E876" s="56"/>
      <c r="F876" s="56"/>
      <c r="G876" s="56"/>
      <c r="H876" s="56"/>
      <c r="I876" s="56"/>
      <c r="J876" s="56"/>
      <c r="K876" s="79"/>
      <c r="L876" s="957" t="s">
        <v>482</v>
      </c>
      <c r="M876" s="146"/>
      <c r="N876" s="56"/>
      <c r="O876" s="56"/>
      <c r="P876" s="56"/>
      <c r="Q876" s="56"/>
      <c r="R876" s="56"/>
      <c r="S876" s="56"/>
      <c r="T876" s="56"/>
      <c r="U876" s="56"/>
      <c r="V876" s="1385" t="s">
        <v>708</v>
      </c>
      <c r="W876" s="80"/>
      <c r="X876" s="939" t="s">
        <v>482</v>
      </c>
    </row>
    <row r="877" spans="1:24" ht="11.25" customHeight="1">
      <c r="A877" s="857">
        <v>19</v>
      </c>
      <c r="B877" s="137" t="s">
        <v>629</v>
      </c>
      <c r="C877" s="1238" t="str">
        <f>IF(O877="","",IF(LEN(O877)&lt;=135,O877,IF(LEN(O877)&lt;=260,LEFT(O877,SEARCH(" ",O877,125)),LEFT(O877,SEARCH(" ",O877,130)))))</f>
        <v/>
      </c>
      <c r="D877" s="55"/>
      <c r="E877" s="55"/>
      <c r="F877" s="293"/>
      <c r="G877" s="55"/>
      <c r="H877" s="55"/>
      <c r="I877" s="55"/>
      <c r="J877" s="55"/>
      <c r="K877" s="79"/>
      <c r="L877" s="957" t="s">
        <v>482</v>
      </c>
      <c r="M877" s="155"/>
      <c r="N877" s="814" t="s">
        <v>629</v>
      </c>
      <c r="O877" s="994" t="str">
        <f>IF(O879&lt;&gt;"",O879,IF(OR(AB447=0,AB447=""),"",AB447))</f>
        <v/>
      </c>
      <c r="P877" s="55"/>
      <c r="Q877" s="55"/>
      <c r="R877" s="55"/>
      <c r="S877" s="55"/>
      <c r="T877" s="55"/>
      <c r="U877" s="55"/>
      <c r="V877" s="1667" t="s">
        <v>209</v>
      </c>
      <c r="W877" s="80"/>
      <c r="X877" s="939" t="s">
        <v>482</v>
      </c>
    </row>
    <row r="878" spans="1:24" ht="11.25" customHeight="1" thickBot="1">
      <c r="A878" s="857">
        <v>20</v>
      </c>
      <c r="B878" s="146"/>
      <c r="C878" s="1239" t="str">
        <f>IF(LEN(O877)&lt;=135,"",IF(LEN(O877)&lt;=260,RIGHT(O877,LEN(O877)-SEARCH(" ",O877,125)),MID(O877,SEARCH(" ",O877,130),IF(LEN(O877)&lt;=265,LEN(O877),SEARCH(" ",O877,255)-SEARCH(" ",O877,130)))))</f>
        <v/>
      </c>
      <c r="D878" s="55"/>
      <c r="E878" s="55"/>
      <c r="F878" s="293"/>
      <c r="G878" s="55"/>
      <c r="H878" s="55"/>
      <c r="I878" s="55"/>
      <c r="J878" s="55"/>
      <c r="K878" s="79"/>
      <c r="L878" s="957" t="s">
        <v>482</v>
      </c>
      <c r="M878" s="121"/>
      <c r="N878" s="855" t="s">
        <v>347</v>
      </c>
      <c r="O878" s="124"/>
      <c r="P878" s="1237">
        <f>LEN(O877)</f>
        <v>0</v>
      </c>
      <c r="Q878" s="55"/>
      <c r="R878" s="55"/>
      <c r="S878" s="55"/>
      <c r="T878" s="55"/>
      <c r="U878" s="55"/>
      <c r="V878" s="1356" t="str">
        <f>IF(J871="","TBD",IF(J871&gt;0.1,"NO","YES"))</f>
        <v>TBD</v>
      </c>
      <c r="W878" s="80"/>
      <c r="X878" s="939" t="s">
        <v>482</v>
      </c>
    </row>
    <row r="879" spans="1:24" ht="11.25" customHeight="1">
      <c r="A879" s="857">
        <v>21</v>
      </c>
      <c r="B879" s="146"/>
      <c r="C879" s="1238" t="str">
        <f>IF(LEN(O877)&lt;=265,"",RIGHT(O877,LEN(O877)-SEARCH(" ",O877,255)))</f>
        <v/>
      </c>
      <c r="D879" s="55"/>
      <c r="E879" s="55"/>
      <c r="F879" s="293"/>
      <c r="G879" s="55"/>
      <c r="H879" s="55"/>
      <c r="I879" s="55"/>
      <c r="J879" s="55"/>
      <c r="K879" s="79"/>
      <c r="L879" s="957" t="s">
        <v>482</v>
      </c>
      <c r="M879" s="146"/>
      <c r="N879" s="1378" t="s">
        <v>696</v>
      </c>
      <c r="O879" s="1380"/>
      <c r="P879" s="124"/>
      <c r="Q879" s="124"/>
      <c r="R879" s="124"/>
      <c r="S879" s="124"/>
      <c r="T879" s="124"/>
      <c r="U879" s="124"/>
      <c r="V879" s="1667" t="s">
        <v>210</v>
      </c>
      <c r="W879" s="80"/>
      <c r="X879" s="939" t="s">
        <v>482</v>
      </c>
    </row>
    <row r="880" spans="1:24" ht="11.25" customHeight="1" thickBot="1">
      <c r="A880" s="857">
        <v>22</v>
      </c>
      <c r="B880" s="146"/>
      <c r="C880" s="56"/>
      <c r="D880" s="56"/>
      <c r="E880" s="56"/>
      <c r="F880" s="56"/>
      <c r="G880" s="56"/>
      <c r="H880" s="56"/>
      <c r="I880" s="56"/>
      <c r="J880" s="56"/>
      <c r="K880" s="79"/>
      <c r="L880" s="957" t="s">
        <v>482</v>
      </c>
      <c r="M880" s="146"/>
      <c r="N880" s="56"/>
      <c r="O880" s="56"/>
      <c r="P880" s="56"/>
      <c r="Q880" s="56"/>
      <c r="R880" s="56"/>
      <c r="S880" s="56"/>
      <c r="T880" s="56"/>
      <c r="U880" s="56"/>
      <c r="V880" s="1356" t="str">
        <f>IF(J874="","TBD",IF(J874&gt;0.1,"NO","YES"))</f>
        <v>TBD</v>
      </c>
      <c r="W880" s="80"/>
      <c r="X880" s="939" t="s">
        <v>482</v>
      </c>
    </row>
    <row r="881" spans="1:24" ht="11.25" customHeight="1">
      <c r="A881" s="857">
        <v>23</v>
      </c>
      <c r="B881" s="457" t="s">
        <v>738</v>
      </c>
      <c r="C881" s="156"/>
      <c r="D881" s="56"/>
      <c r="E881" s="62" t="s">
        <v>683</v>
      </c>
      <c r="F881" s="278">
        <f>IF(Q885="","",Q885)</f>
        <v>80</v>
      </c>
      <c r="G881" s="62" t="s">
        <v>204</v>
      </c>
      <c r="H881" s="55" t="str">
        <f>IF(P885="","",P885)</f>
        <v>70-120/Low</v>
      </c>
      <c r="I881" s="63"/>
      <c r="J881" s="56"/>
      <c r="K881" s="79"/>
      <c r="L881" s="957" t="s">
        <v>482</v>
      </c>
      <c r="M881" s="457" t="s">
        <v>738</v>
      </c>
      <c r="N881" s="156"/>
      <c r="O881" s="156"/>
      <c r="P881" s="56"/>
      <c r="Q881" s="56"/>
      <c r="R881" s="56"/>
      <c r="S881" s="56"/>
      <c r="T881" s="56"/>
      <c r="U881" s="56"/>
      <c r="V881" s="56"/>
      <c r="W881" s="80"/>
      <c r="X881" s="939" t="s">
        <v>482</v>
      </c>
    </row>
    <row r="882" spans="1:24" ht="11.25" customHeight="1">
      <c r="A882" s="857">
        <v>24</v>
      </c>
      <c r="B882" s="146"/>
      <c r="C882" s="56"/>
      <c r="D882" s="56"/>
      <c r="E882" s="62" t="s">
        <v>131</v>
      </c>
      <c r="F882" s="55">
        <f>IF(N885="","",N885)</f>
        <v>60</v>
      </c>
      <c r="G882" s="58" t="str">
        <f>SFSDD</f>
        <v>cm</v>
      </c>
      <c r="H882" s="56"/>
      <c r="I882" s="56"/>
      <c r="J882" s="56" t="s">
        <v>212</v>
      </c>
      <c r="K882" s="79"/>
      <c r="L882" s="957" t="s">
        <v>482</v>
      </c>
      <c r="M882" s="146"/>
      <c r="N882" s="58"/>
      <c r="O882" s="58"/>
      <c r="P882" s="58"/>
      <c r="Q882" s="58"/>
      <c r="R882" s="58"/>
      <c r="S882" s="58"/>
      <c r="T882" s="58"/>
      <c r="U882" s="58"/>
      <c r="V882" s="58"/>
      <c r="W882" s="80"/>
      <c r="X882" s="939" t="s">
        <v>482</v>
      </c>
    </row>
    <row r="883" spans="1:24" ht="11.25" customHeight="1" thickBot="1">
      <c r="A883" s="857">
        <v>25</v>
      </c>
      <c r="B883" s="146" t="s">
        <v>114</v>
      </c>
      <c r="C883" s="141"/>
      <c r="D883" s="147" t="s">
        <v>119</v>
      </c>
      <c r="E883" s="146"/>
      <c r="F883" s="58" t="s">
        <v>120</v>
      </c>
      <c r="G883" s="56"/>
      <c r="H883" s="56"/>
      <c r="I883" s="281" t="s">
        <v>1168</v>
      </c>
      <c r="J883" s="141" t="s">
        <v>206</v>
      </c>
      <c r="K883" s="79"/>
      <c r="L883" s="957" t="s">
        <v>482</v>
      </c>
      <c r="M883" s="146" t="s">
        <v>587</v>
      </c>
      <c r="N883" s="281" t="s">
        <v>140</v>
      </c>
      <c r="O883" s="281" t="s">
        <v>116</v>
      </c>
      <c r="P883" s="281" t="s">
        <v>117</v>
      </c>
      <c r="Q883" s="56"/>
      <c r="R883" s="281"/>
      <c r="S883" s="147" t="s">
        <v>119</v>
      </c>
      <c r="T883" s="281"/>
      <c r="U883" s="58" t="s">
        <v>120</v>
      </c>
      <c r="V883" s="56"/>
      <c r="W883" s="79"/>
      <c r="X883" s="939" t="s">
        <v>482</v>
      </c>
    </row>
    <row r="884" spans="1:24" ht="11.25" customHeight="1" thickBot="1">
      <c r="A884" s="857">
        <v>26</v>
      </c>
      <c r="B884" s="284" t="s">
        <v>121</v>
      </c>
      <c r="C884" s="183" t="str">
        <f>IF(SFMAS="","mA/mAs",SFMAS)</f>
        <v>mA</v>
      </c>
      <c r="D884" s="291" t="s">
        <v>124</v>
      </c>
      <c r="E884" s="284" t="s">
        <v>125</v>
      </c>
      <c r="F884" s="171" t="s">
        <v>126</v>
      </c>
      <c r="G884" s="171" t="s">
        <v>124</v>
      </c>
      <c r="H884" s="171" t="s">
        <v>1167</v>
      </c>
      <c r="I884" s="300" t="s">
        <v>207</v>
      </c>
      <c r="J884" s="170" t="s">
        <v>96</v>
      </c>
      <c r="K884" s="1669" t="s">
        <v>708</v>
      </c>
      <c r="L884" s="957" t="s">
        <v>482</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1167</v>
      </c>
      <c r="X884" s="939" t="s">
        <v>482</v>
      </c>
    </row>
    <row r="885" spans="1:24" ht="11.25" customHeight="1">
      <c r="A885" s="857">
        <v>27</v>
      </c>
      <c r="B885" s="365" t="s">
        <v>208</v>
      </c>
      <c r="C885" s="301">
        <f t="shared" ref="C885:H889" si="150">IF(R885="","",R885)</f>
        <v>100</v>
      </c>
      <c r="D885" s="547">
        <f t="shared" si="150"/>
        <v>0.1</v>
      </c>
      <c r="E885" s="301" t="str">
        <f t="shared" si="150"/>
        <v/>
      </c>
      <c r="F885" s="301" t="str">
        <f t="shared" si="150"/>
        <v/>
      </c>
      <c r="G885" s="547" t="str">
        <f t="shared" si="150"/>
        <v/>
      </c>
      <c r="H885" s="1539" t="str">
        <f t="shared" si="150"/>
        <v/>
      </c>
      <c r="I885" s="1534" t="str">
        <f>IF(OR(H885="",AND(LFMAS="",SFMAS=""),AND($C$884="mA",D885="")),"",IF($C$884="mAs",H885/C885,H885/(C885*D885)))</f>
        <v/>
      </c>
      <c r="J885" s="549"/>
      <c r="K885" s="369" t="s">
        <v>209</v>
      </c>
      <c r="L885" s="957" t="s">
        <v>482</v>
      </c>
      <c r="M885" s="365" t="s">
        <v>208</v>
      </c>
      <c r="N885" s="644">
        <f>$N$694</f>
        <v>60</v>
      </c>
      <c r="O885" s="645" t="str">
        <f>IF(Q885="","","Small")</f>
        <v>Small</v>
      </c>
      <c r="P885" s="646" t="str">
        <f>IF(OR(Q885="",R885="",AE717=""),"",AE717&amp;"/"&amp;AK717)</f>
        <v>70-120/Low</v>
      </c>
      <c r="Q885" s="647">
        <f>IF(R885="","",AA717)</f>
        <v>80</v>
      </c>
      <c r="R885" s="648">
        <f>IF(AD717&gt;0,AD717,IF(AB717&gt;0,AB717,""))</f>
        <v>100</v>
      </c>
      <c r="S885" s="302">
        <f>IF(AD717&gt;0,IF(OR(AP717="",AP717="No Anomolies"),"",AP717),IF(AC717&gt;0,AC717,""))</f>
        <v>0.1</v>
      </c>
      <c r="T885" s="580" t="str">
        <f>IF(AZ717="","",AZ717)</f>
        <v/>
      </c>
      <c r="U885" s="580" t="str">
        <f>IF(AX717="","",AX717)</f>
        <v/>
      </c>
      <c r="V885" s="581" t="str">
        <f t="shared" ref="V885:W889" si="151">IF(BA717="","",BA717)</f>
        <v/>
      </c>
      <c r="W885" s="582" t="str">
        <f t="shared" si="151"/>
        <v/>
      </c>
      <c r="X885" s="939" t="s">
        <v>482</v>
      </c>
    </row>
    <row r="886" spans="1:24" ht="11.25" customHeight="1" thickBot="1">
      <c r="A886" s="857">
        <v>28</v>
      </c>
      <c r="B886" s="284" t="s">
        <v>208</v>
      </c>
      <c r="C886" s="306">
        <f t="shared" si="150"/>
        <v>110</v>
      </c>
      <c r="D886" s="548">
        <f t="shared" si="150"/>
        <v>0.1</v>
      </c>
      <c r="E886" s="306" t="str">
        <f t="shared" si="150"/>
        <v/>
      </c>
      <c r="F886" s="306" t="str">
        <f t="shared" si="150"/>
        <v/>
      </c>
      <c r="G886" s="548" t="str">
        <f t="shared" si="150"/>
        <v/>
      </c>
      <c r="H886" s="1540" t="str">
        <f t="shared" si="150"/>
        <v/>
      </c>
      <c r="I886" s="1535" t="str">
        <f>IF(OR(H886="",AND(LFMAS="",SFMAS=""),AND($C$884="mA",D886="")),"",IF($C$884="mAs",H886/C886,H886/(C886*D886)))</f>
        <v/>
      </c>
      <c r="J886" s="169" t="str">
        <f>IF(OR(I885="",I886=""),"",(MAX(I885:I886)-MIN(I885:I886))/(MAX(I885:I886)+MIN(I885:I886)))</f>
        <v/>
      </c>
      <c r="K886" s="367" t="str">
        <f>IF(J886="","TBD",IF(J886&gt;0.1,"NO","YES"))</f>
        <v>TBD</v>
      </c>
      <c r="L886" s="957" t="s">
        <v>482</v>
      </c>
      <c r="M886" s="284" t="s">
        <v>208</v>
      </c>
      <c r="N886" s="655">
        <f>IF(R886="","",$N$885)</f>
        <v>60</v>
      </c>
      <c r="O886" s="656" t="str">
        <f>IF(Q886="","",$O$885)</f>
        <v>Small</v>
      </c>
      <c r="P886" s="657" t="str">
        <f>IF(OR(Q886="",R886="",AE718=""),"",AE718&amp;"/"&amp;AK718)</f>
        <v>70-120/Low</v>
      </c>
      <c r="Q886" s="658">
        <f>IF(R886="","",AA718)</f>
        <v>80</v>
      </c>
      <c r="R886" s="659">
        <f>IF(AD718&gt;0,AD718,IF(AB718&gt;0,AB718,""))</f>
        <v>110</v>
      </c>
      <c r="S886" s="307">
        <f>IF(AD718&gt;0,IF(OR(AP718="",AP718="No Anomolies"),"",AP718),IF(AC718&gt;0,AC718,""))</f>
        <v>0.1</v>
      </c>
      <c r="T886" s="660" t="str">
        <f>IF(AZ718="","",AZ718)</f>
        <v/>
      </c>
      <c r="U886" s="660" t="str">
        <f>IF(AX718="","",AX718)</f>
        <v/>
      </c>
      <c r="V886" s="661" t="str">
        <f t="shared" si="151"/>
        <v/>
      </c>
      <c r="W886" s="662" t="str">
        <f t="shared" si="151"/>
        <v/>
      </c>
      <c r="X886" s="939" t="s">
        <v>482</v>
      </c>
    </row>
    <row r="887" spans="1:24" ht="11.25" customHeight="1">
      <c r="A887" s="857">
        <v>29</v>
      </c>
      <c r="B887" s="126" t="s">
        <v>210</v>
      </c>
      <c r="C887" s="301">
        <f t="shared" si="150"/>
        <v>250</v>
      </c>
      <c r="D887" s="547">
        <f t="shared" si="150"/>
        <v>0.1</v>
      </c>
      <c r="E887" s="301" t="str">
        <f t="shared" si="150"/>
        <v/>
      </c>
      <c r="F887" s="301" t="str">
        <f t="shared" si="150"/>
        <v/>
      </c>
      <c r="G887" s="547" t="str">
        <f t="shared" si="150"/>
        <v/>
      </c>
      <c r="H887" s="1539" t="str">
        <f t="shared" si="150"/>
        <v/>
      </c>
      <c r="I887" s="1534" t="str">
        <f>IF(OR(H887="",AND(LFMAS="",SFMAS=""),AND($C$884="mA",D887="")),"",IF($C$884="mAs",H887/C887,H887/(C887*D887)))</f>
        <v/>
      </c>
      <c r="J887" s="549"/>
      <c r="K887" s="370"/>
      <c r="L887" s="957" t="s">
        <v>482</v>
      </c>
      <c r="M887" s="126" t="s">
        <v>210</v>
      </c>
      <c r="N887" s="651">
        <f>IF(R887="","",$N$885)</f>
        <v>60</v>
      </c>
      <c r="O887" s="645" t="str">
        <f>IF(Q887="","",$O$885)</f>
        <v>Small</v>
      </c>
      <c r="P887" s="646" t="str">
        <f>IF(OR(Q887="",R887="",AE719=""),"",AE719&amp;"/"&amp;AK719)</f>
        <v>70-120/High</v>
      </c>
      <c r="Q887" s="647">
        <f>IF(R887="","",AA719)</f>
        <v>80</v>
      </c>
      <c r="R887" s="648">
        <f>IF(AD719&gt;0,AD719,IF(AB719&gt;0,AB719,""))</f>
        <v>250</v>
      </c>
      <c r="S887" s="302">
        <f>IF(AD719&gt;0,IF(OR(AP719="",AP719="No Anomolies"),"",AP719),IF(AC719&gt;0,AC719,""))</f>
        <v>0.1</v>
      </c>
      <c r="T887" s="580" t="str">
        <f>IF(AZ719="","",AZ719)</f>
        <v/>
      </c>
      <c r="U887" s="580" t="str">
        <f>IF(AX719="","",AX719)</f>
        <v/>
      </c>
      <c r="V887" s="581" t="str">
        <f t="shared" si="151"/>
        <v/>
      </c>
      <c r="W887" s="582" t="str">
        <f t="shared" si="151"/>
        <v/>
      </c>
      <c r="X887" s="939" t="s">
        <v>482</v>
      </c>
    </row>
    <row r="888" spans="1:24" ht="11.25" customHeight="1">
      <c r="A888" s="857">
        <v>30</v>
      </c>
      <c r="B888" s="126" t="s">
        <v>210</v>
      </c>
      <c r="C888" s="301">
        <f t="shared" si="150"/>
        <v>50</v>
      </c>
      <c r="D888" s="547">
        <f t="shared" si="150"/>
        <v>0.1</v>
      </c>
      <c r="E888" s="301" t="str">
        <f t="shared" si="150"/>
        <v/>
      </c>
      <c r="F888" s="301" t="str">
        <f t="shared" si="150"/>
        <v/>
      </c>
      <c r="G888" s="547" t="str">
        <f t="shared" si="150"/>
        <v/>
      </c>
      <c r="H888" s="1539" t="str">
        <f t="shared" si="150"/>
        <v/>
      </c>
      <c r="I888" s="1534" t="str">
        <f>IF(OR(H888="",AND(LFMAS="",SFMAS=""),AND($C$884="mA",D888="")),"",IF($C$884="mAs",H888/C888,H888/(C888*D888)))</f>
        <v/>
      </c>
      <c r="J888" s="549"/>
      <c r="K888" s="366" t="s">
        <v>210</v>
      </c>
      <c r="L888" s="957" t="s">
        <v>482</v>
      </c>
      <c r="M888" s="126" t="s">
        <v>210</v>
      </c>
      <c r="N888" s="651">
        <f>IF(R888="","",$N$885)</f>
        <v>60</v>
      </c>
      <c r="O888" s="645" t="str">
        <f>IF(Q888="","",$O$885)</f>
        <v>Small</v>
      </c>
      <c r="P888" s="646" t="str">
        <f>IF(OR(Q888="",R888="",AE720=""),"",AE720&amp;"/"&amp;AK720)</f>
        <v>70-120/High</v>
      </c>
      <c r="Q888" s="647">
        <f>IF(R888="","",AA720)</f>
        <v>80</v>
      </c>
      <c r="R888" s="648">
        <f>IF(AD720&gt;0,AD720,IF(AB720&gt;0,AB720,""))</f>
        <v>50</v>
      </c>
      <c r="S888" s="302">
        <f>IF(AD720&gt;0,IF(OR(AP720="",AP720="No Anomolies"),"",AP720),IF(AC720&gt;0,AC720,""))</f>
        <v>0.1</v>
      </c>
      <c r="T888" s="580" t="str">
        <f>IF(AZ720="","",AZ720)</f>
        <v/>
      </c>
      <c r="U888" s="580" t="str">
        <f>IF(AX720="","",AX720)</f>
        <v/>
      </c>
      <c r="V888" s="581" t="str">
        <f t="shared" si="151"/>
        <v/>
      </c>
      <c r="W888" s="582" t="str">
        <f t="shared" si="151"/>
        <v/>
      </c>
      <c r="X888" s="939" t="s">
        <v>482</v>
      </c>
    </row>
    <row r="889" spans="1:24" ht="11.25" customHeight="1" thickBot="1">
      <c r="A889" s="857">
        <v>31</v>
      </c>
      <c r="B889" s="284" t="s">
        <v>210</v>
      </c>
      <c r="C889" s="306">
        <f t="shared" si="150"/>
        <v>160</v>
      </c>
      <c r="D889" s="548">
        <f t="shared" si="150"/>
        <v>0.1</v>
      </c>
      <c r="E889" s="306" t="str">
        <f t="shared" si="150"/>
        <v/>
      </c>
      <c r="F889" s="306" t="str">
        <f t="shared" si="150"/>
        <v/>
      </c>
      <c r="G889" s="548" t="str">
        <f t="shared" si="150"/>
        <v/>
      </c>
      <c r="H889" s="1540" t="str">
        <f t="shared" si="150"/>
        <v/>
      </c>
      <c r="I889" s="1535" t="str">
        <f>IF(OR(H889="",AND(LFMAS="",SFMAS=""),AND($C$884="mA",D889="")),"",IF($C$884="mAs",H889/C889,H889/(C889*D889)))</f>
        <v/>
      </c>
      <c r="J889" s="169" t="str">
        <f>IF(OR(I885="",I887=""),"",(MAX(I885:I889)-MIN(I885:I889))/(MAX(I885:I889)+MIN(I885:I889)))</f>
        <v/>
      </c>
      <c r="K889" s="367" t="str">
        <f>IF(J889="","TBD",IF(J889&gt;0.1,"NO","YES"))</f>
        <v>TBD</v>
      </c>
      <c r="L889" s="957" t="s">
        <v>482</v>
      </c>
      <c r="M889" s="284" t="s">
        <v>210</v>
      </c>
      <c r="N889" s="655">
        <f>IF(R889="","",$N$885)</f>
        <v>60</v>
      </c>
      <c r="O889" s="656" t="str">
        <f>IF(Q889="","",$O$885)</f>
        <v>Small</v>
      </c>
      <c r="P889" s="657" t="str">
        <f>IF(OR(Q889="",R889="",AE721=""),"",AE721&amp;"/"&amp;AK721)</f>
        <v>70-120/Low</v>
      </c>
      <c r="Q889" s="658">
        <f>IF(R889="","",AA721)</f>
        <v>80</v>
      </c>
      <c r="R889" s="659">
        <f>IF(AD721&gt;0,AD721,IF(AB721&gt;0,AB721,""))</f>
        <v>160</v>
      </c>
      <c r="S889" s="307">
        <f>IF(AD721&gt;0,IF(OR(AP721="",AP721="No Anomolies"),"",AP721),IF(AC721&gt;0,AC721,""))</f>
        <v>0.1</v>
      </c>
      <c r="T889" s="660" t="str">
        <f>IF(AZ721="","",AZ721)</f>
        <v/>
      </c>
      <c r="U889" s="660" t="str">
        <f>IF(AX721="","",AX721)</f>
        <v/>
      </c>
      <c r="V889" s="661" t="str">
        <f t="shared" si="151"/>
        <v/>
      </c>
      <c r="W889" s="662" t="str">
        <f t="shared" si="151"/>
        <v/>
      </c>
      <c r="X889" s="939" t="s">
        <v>482</v>
      </c>
    </row>
    <row r="890" spans="1:24" ht="11.25" customHeight="1" thickBot="1">
      <c r="A890" s="857">
        <v>32</v>
      </c>
      <c r="B890" s="121" t="s">
        <v>211</v>
      </c>
      <c r="C890" s="56"/>
      <c r="D890" s="56"/>
      <c r="E890" s="56"/>
      <c r="F890" s="56"/>
      <c r="G890" s="56"/>
      <c r="H890" s="56"/>
      <c r="I890" s="62"/>
      <c r="J890" s="56"/>
      <c r="K890" s="79"/>
      <c r="L890" s="957" t="s">
        <v>482</v>
      </c>
      <c r="M890" s="121" t="s">
        <v>211</v>
      </c>
      <c r="N890" s="56"/>
      <c r="O890" s="56"/>
      <c r="P890" s="56"/>
      <c r="Q890" s="56"/>
      <c r="R890" s="56"/>
      <c r="S890" s="56"/>
      <c r="T890" s="56"/>
      <c r="U890" s="56"/>
      <c r="V890" s="56"/>
      <c r="W890" s="79"/>
      <c r="X890" s="939" t="s">
        <v>482</v>
      </c>
    </row>
    <row r="891" spans="1:24" ht="11.25" customHeight="1" thickBot="1">
      <c r="A891" s="857">
        <v>33</v>
      </c>
      <c r="B891" s="146"/>
      <c r="C891" s="56"/>
      <c r="D891" s="56"/>
      <c r="E891" s="56"/>
      <c r="F891" s="56"/>
      <c r="G891" s="56"/>
      <c r="H891" s="56"/>
      <c r="I891" s="56"/>
      <c r="J891" s="56"/>
      <c r="K891" s="79"/>
      <c r="L891" s="957" t="s">
        <v>482</v>
      </c>
      <c r="M891" s="146"/>
      <c r="N891" s="56"/>
      <c r="O891" s="56"/>
      <c r="P891" s="56"/>
      <c r="Q891" s="56"/>
      <c r="R891" s="56"/>
      <c r="S891" s="56"/>
      <c r="T891" s="56"/>
      <c r="U891" s="56"/>
      <c r="V891" s="1385" t="s">
        <v>708</v>
      </c>
      <c r="W891" s="79"/>
      <c r="X891" s="939" t="s">
        <v>482</v>
      </c>
    </row>
    <row r="892" spans="1:24" ht="11.25" customHeight="1">
      <c r="A892" s="857">
        <v>34</v>
      </c>
      <c r="B892" s="137" t="s">
        <v>629</v>
      </c>
      <c r="C892" s="1238" t="str">
        <f>IF(O892="","",IF(LEN(O892)&lt;=135,O892,IF(LEN(O892)&lt;=260,LEFT(O892,SEARCH(" ",O892,125)),LEFT(O892,SEARCH(" ",O892,130)))))</f>
        <v/>
      </c>
      <c r="D892" s="55"/>
      <c r="E892" s="55"/>
      <c r="F892" s="293"/>
      <c r="G892" s="55"/>
      <c r="H892" s="55"/>
      <c r="I892" s="55"/>
      <c r="J892" s="55"/>
      <c r="K892" s="79"/>
      <c r="L892" s="957" t="s">
        <v>482</v>
      </c>
      <c r="M892" s="155"/>
      <c r="N892" s="814" t="s">
        <v>629</v>
      </c>
      <c r="O892" s="994" t="str">
        <f>IF(O894&lt;&gt;"",O894,IF(OR(AB448=0,AB448=""),"",AB448))</f>
        <v/>
      </c>
      <c r="P892" s="55"/>
      <c r="Q892" s="55"/>
      <c r="R892" s="55"/>
      <c r="S892" s="55"/>
      <c r="T892" s="55"/>
      <c r="U892" s="55"/>
      <c r="V892" s="1667" t="s">
        <v>209</v>
      </c>
      <c r="W892" s="79"/>
      <c r="X892" s="939" t="s">
        <v>482</v>
      </c>
    </row>
    <row r="893" spans="1:24" ht="11.25" customHeight="1" thickBot="1">
      <c r="A893" s="857">
        <v>35</v>
      </c>
      <c r="B893" s="146"/>
      <c r="C893" s="1239" t="str">
        <f>IF(LEN(O892)&lt;=135,"",IF(LEN(O892)&lt;=260,RIGHT(O892,LEN(O892)-SEARCH(" ",O892,125)),MID(O892,SEARCH(" ",O892,130),IF(LEN(O892)&lt;=265,LEN(O892),SEARCH(" ",O892,255)-SEARCH(" ",O892,130)))))</f>
        <v/>
      </c>
      <c r="D893" s="55"/>
      <c r="E893" s="55"/>
      <c r="F893" s="293"/>
      <c r="G893" s="55"/>
      <c r="H893" s="55"/>
      <c r="I893" s="55"/>
      <c r="J893" s="55"/>
      <c r="K893" s="79"/>
      <c r="L893" s="957" t="s">
        <v>482</v>
      </c>
      <c r="M893" s="121"/>
      <c r="N893" s="855" t="s">
        <v>347</v>
      </c>
      <c r="O893" s="124"/>
      <c r="P893" s="1237">
        <f>LEN(O892)</f>
        <v>0</v>
      </c>
      <c r="Q893" s="124"/>
      <c r="R893" s="124"/>
      <c r="S893" s="124"/>
      <c r="T893" s="124"/>
      <c r="U893" s="124"/>
      <c r="V893" s="1356" t="str">
        <f>IF(J886="","TBD",IF(J886&gt;0.1,"NO","YES"))</f>
        <v>TBD</v>
      </c>
      <c r="W893" s="79"/>
      <c r="X893" s="939" t="s">
        <v>482</v>
      </c>
    </row>
    <row r="894" spans="1:24" ht="11.25" customHeight="1">
      <c r="A894" s="857">
        <v>36</v>
      </c>
      <c r="B894" s="146"/>
      <c r="C894" s="1238" t="str">
        <f>IF(LEN(O892)&lt;=265,"",RIGHT(O892,LEN(O892)-SEARCH(" ",O892,255)))</f>
        <v/>
      </c>
      <c r="D894" s="55"/>
      <c r="E894" s="55"/>
      <c r="F894" s="293"/>
      <c r="G894" s="55"/>
      <c r="H894" s="55"/>
      <c r="I894" s="55"/>
      <c r="J894" s="55"/>
      <c r="K894" s="79"/>
      <c r="L894" s="957" t="s">
        <v>482</v>
      </c>
      <c r="M894" s="146"/>
      <c r="N894" s="1378" t="s">
        <v>696</v>
      </c>
      <c r="O894" s="1380"/>
      <c r="P894" s="55"/>
      <c r="Q894" s="55"/>
      <c r="R894" s="55"/>
      <c r="S894" s="55"/>
      <c r="T894" s="55"/>
      <c r="U894" s="55"/>
      <c r="V894" s="1667" t="s">
        <v>210</v>
      </c>
      <c r="W894" s="79"/>
      <c r="X894" s="939" t="s">
        <v>482</v>
      </c>
    </row>
    <row r="895" spans="1:24" ht="11.25" customHeight="1" thickBot="1">
      <c r="A895" s="857">
        <v>37</v>
      </c>
      <c r="B895" s="146"/>
      <c r="C895" s="56"/>
      <c r="D895" s="56"/>
      <c r="E895" s="56"/>
      <c r="F895" s="172"/>
      <c r="G895" s="56"/>
      <c r="H895" s="56"/>
      <c r="I895" s="56"/>
      <c r="J895" s="56"/>
      <c r="K895" s="79"/>
      <c r="L895" s="957" t="s">
        <v>482</v>
      </c>
      <c r="M895" s="146"/>
      <c r="N895" s="56"/>
      <c r="O895" s="56"/>
      <c r="P895" s="56"/>
      <c r="Q895" s="56"/>
      <c r="R895" s="56"/>
      <c r="S895" s="56"/>
      <c r="T895" s="56"/>
      <c r="U895" s="56"/>
      <c r="V895" s="1356" t="str">
        <f>IF(J889="","TBD",IF(J889&gt;0.1,"NO","YES"))</f>
        <v>TBD</v>
      </c>
      <c r="W895" s="79"/>
      <c r="X895" s="939" t="s">
        <v>482</v>
      </c>
    </row>
    <row r="896" spans="1:24" ht="11.25" customHeight="1">
      <c r="A896" s="857">
        <v>38</v>
      </c>
      <c r="B896" s="457" t="s">
        <v>213</v>
      </c>
      <c r="C896" s="156"/>
      <c r="D896" s="156"/>
      <c r="E896" s="56"/>
      <c r="F896" s="56"/>
      <c r="G896" s="56"/>
      <c r="H896" s="56"/>
      <c r="I896" s="56"/>
      <c r="J896" s="56"/>
      <c r="K896" s="79"/>
      <c r="L896" s="957" t="s">
        <v>482</v>
      </c>
      <c r="M896" s="146"/>
      <c r="N896" s="56"/>
      <c r="O896" s="56"/>
      <c r="P896" s="56"/>
      <c r="Q896" s="56"/>
      <c r="R896" s="56"/>
      <c r="S896" s="56"/>
      <c r="T896" s="56"/>
      <c r="U896" s="56"/>
      <c r="V896" s="56"/>
      <c r="W896" s="79"/>
      <c r="X896" s="939" t="s">
        <v>482</v>
      </c>
    </row>
    <row r="897" spans="1:24" ht="11.25" customHeight="1">
      <c r="A897" s="857">
        <v>39</v>
      </c>
      <c r="B897" s="146"/>
      <c r="C897" s="56"/>
      <c r="D897" s="56"/>
      <c r="E897" s="56" t="s">
        <v>214</v>
      </c>
      <c r="F897" s="56"/>
      <c r="G897" s="56"/>
      <c r="H897" s="56"/>
      <c r="I897" s="56"/>
      <c r="J897" s="56"/>
      <c r="K897" s="79"/>
      <c r="L897" s="957" t="s">
        <v>482</v>
      </c>
      <c r="M897" s="146"/>
      <c r="N897" s="56"/>
      <c r="O897" s="56"/>
      <c r="P897" s="56"/>
      <c r="Q897" s="56"/>
      <c r="R897" s="56"/>
      <c r="S897" s="56"/>
      <c r="T897" s="56"/>
      <c r="U897" s="56"/>
      <c r="V897" s="56"/>
      <c r="W897" s="79"/>
      <c r="X897" s="939" t="s">
        <v>482</v>
      </c>
    </row>
    <row r="898" spans="1:24" ht="11.25" customHeight="1" thickBot="1">
      <c r="A898" s="857">
        <v>40</v>
      </c>
      <c r="B898" s="146"/>
      <c r="C898" s="186" t="s">
        <v>1168</v>
      </c>
      <c r="D898" s="156"/>
      <c r="E898" s="141" t="s">
        <v>206</v>
      </c>
      <c r="F898" s="56"/>
      <c r="G898" s="56"/>
      <c r="H898" s="56"/>
      <c r="I898" s="56"/>
      <c r="J898" s="56"/>
      <c r="K898" s="79"/>
      <c r="L898" s="957" t="s">
        <v>482</v>
      </c>
      <c r="M898" s="146"/>
      <c r="N898" s="56"/>
      <c r="O898" s="56"/>
      <c r="P898" s="56"/>
      <c r="Q898" s="56"/>
      <c r="R898" s="56"/>
      <c r="S898" s="56"/>
      <c r="T898" s="56"/>
      <c r="U898" s="56"/>
      <c r="V898" s="56"/>
      <c r="W898" s="79"/>
      <c r="X898" s="939" t="s">
        <v>482</v>
      </c>
    </row>
    <row r="899" spans="1:24" ht="11.25" customHeight="1" thickBot="1">
      <c r="A899" s="857">
        <v>41</v>
      </c>
      <c r="B899" s="146"/>
      <c r="C899" s="311" t="s">
        <v>207</v>
      </c>
      <c r="D899" s="313"/>
      <c r="E899" s="183" t="s">
        <v>96</v>
      </c>
      <c r="F899" s="56"/>
      <c r="G899" s="1668" t="s">
        <v>708</v>
      </c>
      <c r="H899" s="56"/>
      <c r="I899" s="56"/>
      <c r="J899" s="56"/>
      <c r="K899" s="79"/>
      <c r="L899" s="957" t="s">
        <v>482</v>
      </c>
      <c r="M899" s="146"/>
      <c r="N899" s="58" t="s">
        <v>215</v>
      </c>
      <c r="O899" s="56"/>
      <c r="P899" s="56"/>
      <c r="Q899" s="56"/>
      <c r="R899" s="56"/>
      <c r="S899" s="56"/>
      <c r="T899" s="56"/>
      <c r="U899" s="56"/>
      <c r="V899" s="1349" t="s">
        <v>213</v>
      </c>
      <c r="W899" s="1350"/>
      <c r="X899" s="939" t="s">
        <v>482</v>
      </c>
    </row>
    <row r="900" spans="1:24" ht="11.25" customHeight="1" thickBot="1">
      <c r="A900" s="857">
        <v>42</v>
      </c>
      <c r="B900" s="146"/>
      <c r="C900" s="312" t="s">
        <v>216</v>
      </c>
      <c r="D900" s="1536">
        <f>MAX(I870:I874,I885:I889)</f>
        <v>0</v>
      </c>
      <c r="E900" s="141" t="s">
        <v>210</v>
      </c>
      <c r="F900" s="56"/>
      <c r="G900" s="363" t="s">
        <v>210</v>
      </c>
      <c r="H900" s="56"/>
      <c r="I900" s="56"/>
      <c r="J900" s="56"/>
      <c r="K900" s="79"/>
      <c r="L900" s="957" t="s">
        <v>482</v>
      </c>
      <c r="M900" s="146"/>
      <c r="N900" s="56"/>
      <c r="O900" s="62" t="s">
        <v>217</v>
      </c>
      <c r="P900" s="56"/>
      <c r="Q900" s="172" t="s">
        <v>1172</v>
      </c>
      <c r="R900" s="56"/>
      <c r="S900" s="56"/>
      <c r="T900" s="56"/>
      <c r="U900" s="56"/>
      <c r="V900" s="56"/>
      <c r="W900" s="81"/>
      <c r="X900" s="939" t="s">
        <v>482</v>
      </c>
    </row>
    <row r="901" spans="1:24" ht="11.25" customHeight="1" thickBot="1">
      <c r="A901" s="857">
        <v>43</v>
      </c>
      <c r="B901" s="146"/>
      <c r="C901" s="312" t="s">
        <v>218</v>
      </c>
      <c r="D901" s="1536">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7" t="s">
        <v>482</v>
      </c>
      <c r="M901" s="146"/>
      <c r="N901" s="56"/>
      <c r="O901" s="56"/>
      <c r="P901" s="56"/>
      <c r="Q901" s="1498" t="s">
        <v>1173</v>
      </c>
      <c r="R901" s="56"/>
      <c r="S901" s="56"/>
      <c r="T901" s="56"/>
      <c r="U901" s="56"/>
      <c r="V901" s="1385" t="s">
        <v>708</v>
      </c>
      <c r="W901" s="81"/>
      <c r="X901" s="939" t="s">
        <v>482</v>
      </c>
    </row>
    <row r="902" spans="1:24" ht="11.25" customHeight="1">
      <c r="A902" s="857">
        <v>44</v>
      </c>
      <c r="B902" s="155"/>
      <c r="C902" s="63"/>
      <c r="D902" s="63"/>
      <c r="E902" s="63"/>
      <c r="F902" s="63"/>
      <c r="G902" s="63"/>
      <c r="H902" s="63"/>
      <c r="I902" s="63"/>
      <c r="J902" s="63"/>
      <c r="K902" s="81"/>
      <c r="L902" s="957" t="s">
        <v>482</v>
      </c>
      <c r="M902" s="155"/>
      <c r="N902" s="56"/>
      <c r="O902" s="56"/>
      <c r="P902" s="56"/>
      <c r="Q902" s="1498"/>
      <c r="R902" s="56"/>
      <c r="S902" s="56"/>
      <c r="T902" s="56"/>
      <c r="U902" s="63"/>
      <c r="V902" s="1667" t="s">
        <v>210</v>
      </c>
      <c r="W902" s="81"/>
      <c r="X902" s="939" t="s">
        <v>482</v>
      </c>
    </row>
    <row r="903" spans="1:24" ht="11.25" customHeight="1" thickBot="1">
      <c r="A903" s="857">
        <v>45</v>
      </c>
      <c r="B903" s="155"/>
      <c r="C903" s="58" t="s">
        <v>215</v>
      </c>
      <c r="D903" s="56"/>
      <c r="E903" s="56"/>
      <c r="F903" s="56"/>
      <c r="G903" s="56"/>
      <c r="H903" s="56"/>
      <c r="I903" s="56"/>
      <c r="J903" s="56"/>
      <c r="K903" s="79"/>
      <c r="L903" s="957" t="s">
        <v>482</v>
      </c>
      <c r="M903" s="155"/>
      <c r="N903" s="56"/>
      <c r="O903" s="62" t="s">
        <v>219</v>
      </c>
      <c r="P903" s="56"/>
      <c r="Q903" s="172" t="s">
        <v>1174</v>
      </c>
      <c r="R903" s="56"/>
      <c r="S903" s="56"/>
      <c r="T903" s="56"/>
      <c r="U903" s="63"/>
      <c r="V903" s="1356" t="str">
        <f>IF(OR(E901="NA",$Q$870&lt;&gt;$Q$885),"NA",IF(E901&gt;0.1,"NO","YES"))</f>
        <v>NA</v>
      </c>
      <c r="W903" s="81"/>
      <c r="X903" s="939" t="s">
        <v>482</v>
      </c>
    </row>
    <row r="904" spans="1:24" ht="11.25" customHeight="1">
      <c r="A904" s="857">
        <v>46</v>
      </c>
      <c r="B904" s="155"/>
      <c r="C904" s="56"/>
      <c r="D904" s="62" t="s">
        <v>217</v>
      </c>
      <c r="E904" s="56"/>
      <c r="F904" s="172" t="s">
        <v>1172</v>
      </c>
      <c r="G904" s="56"/>
      <c r="H904" s="56"/>
      <c r="I904" s="56"/>
      <c r="J904" s="56"/>
      <c r="K904" s="79"/>
      <c r="L904" s="957" t="s">
        <v>482</v>
      </c>
      <c r="M904" s="155"/>
      <c r="N904" s="56"/>
      <c r="O904" s="56"/>
      <c r="P904" s="56"/>
      <c r="Q904" s="1498" t="s">
        <v>1175</v>
      </c>
      <c r="R904" s="56"/>
      <c r="S904" s="56"/>
      <c r="T904" s="56"/>
      <c r="U904" s="63"/>
      <c r="V904" s="63"/>
      <c r="W904" s="81"/>
      <c r="X904" s="939" t="s">
        <v>482</v>
      </c>
    </row>
    <row r="905" spans="1:24" ht="11.25" customHeight="1">
      <c r="A905" s="857">
        <v>47</v>
      </c>
      <c r="B905" s="155"/>
      <c r="C905" s="56"/>
      <c r="D905" s="56"/>
      <c r="E905" s="56"/>
      <c r="F905" s="1498" t="s">
        <v>1173</v>
      </c>
      <c r="G905" s="56"/>
      <c r="H905" s="56"/>
      <c r="I905" s="56"/>
      <c r="J905" s="56"/>
      <c r="K905" s="79"/>
      <c r="L905" s="957" t="s">
        <v>482</v>
      </c>
      <c r="M905" s="146"/>
      <c r="N905" s="63"/>
      <c r="O905" s="63"/>
      <c r="P905" s="63"/>
      <c r="Q905" s="56"/>
      <c r="R905" s="56"/>
      <c r="S905" s="56"/>
      <c r="T905" s="56"/>
      <c r="U905" s="56"/>
      <c r="V905" s="56"/>
      <c r="W905" s="79"/>
      <c r="X905" s="939" t="s">
        <v>482</v>
      </c>
    </row>
    <row r="906" spans="1:24" ht="11.25" customHeight="1">
      <c r="A906" s="857">
        <v>48</v>
      </c>
      <c r="B906" s="155"/>
      <c r="C906" s="56"/>
      <c r="D906" s="56"/>
      <c r="E906" s="56"/>
      <c r="F906" s="1498"/>
      <c r="G906" s="56"/>
      <c r="H906" s="56"/>
      <c r="I906" s="56"/>
      <c r="J906" s="56"/>
      <c r="K906" s="79"/>
      <c r="L906" s="957" t="s">
        <v>482</v>
      </c>
      <c r="M906" s="146"/>
      <c r="N906" s="162" t="s">
        <v>647</v>
      </c>
      <c r="O906" s="238" t="s">
        <v>220</v>
      </c>
      <c r="P906" s="56"/>
      <c r="Q906" s="56"/>
      <c r="R906" s="56"/>
      <c r="S906" s="56"/>
      <c r="T906" s="56"/>
      <c r="U906" s="56"/>
      <c r="V906" s="56"/>
      <c r="W906" s="79"/>
      <c r="X906" s="939" t="s">
        <v>482</v>
      </c>
    </row>
    <row r="907" spans="1:24" ht="11.25" customHeight="1">
      <c r="A907" s="857">
        <v>49</v>
      </c>
      <c r="B907" s="155"/>
      <c r="C907" s="56"/>
      <c r="D907" s="62" t="s">
        <v>219</v>
      </c>
      <c r="E907" s="56"/>
      <c r="F907" s="172" t="s">
        <v>1174</v>
      </c>
      <c r="G907" s="56"/>
      <c r="H907" s="56"/>
      <c r="I907" s="56"/>
      <c r="J907" s="56"/>
      <c r="K907" s="79"/>
      <c r="L907" s="957" t="s">
        <v>482</v>
      </c>
      <c r="M907" s="146"/>
      <c r="N907" s="56"/>
      <c r="O907" s="56"/>
      <c r="P907" s="56"/>
      <c r="Q907" s="56"/>
      <c r="R907" s="56"/>
      <c r="S907" s="56"/>
      <c r="T907" s="56"/>
      <c r="U907" s="56"/>
      <c r="V907" s="56"/>
      <c r="W907" s="79"/>
      <c r="X907" s="939" t="s">
        <v>482</v>
      </c>
    </row>
    <row r="908" spans="1:24" ht="11.25" customHeight="1">
      <c r="A908" s="857">
        <v>50</v>
      </c>
      <c r="B908" s="155"/>
      <c r="C908" s="56"/>
      <c r="D908" s="56"/>
      <c r="E908" s="56"/>
      <c r="F908" s="1498" t="s">
        <v>1175</v>
      </c>
      <c r="G908" s="56"/>
      <c r="H908" s="56"/>
      <c r="I908" s="56"/>
      <c r="J908" s="56"/>
      <c r="K908" s="79"/>
      <c r="L908" s="957" t="s">
        <v>482</v>
      </c>
      <c r="M908" s="146"/>
      <c r="N908" s="56"/>
      <c r="O908" s="56"/>
      <c r="P908" s="56"/>
      <c r="Q908" s="56"/>
      <c r="R908" s="56"/>
      <c r="S908" s="56"/>
      <c r="T908" s="56"/>
      <c r="U908" s="56"/>
      <c r="V908" s="56"/>
      <c r="W908" s="79"/>
      <c r="X908" s="939" t="s">
        <v>482</v>
      </c>
    </row>
    <row r="909" spans="1:24" ht="11.25" customHeight="1">
      <c r="A909" s="857">
        <v>51</v>
      </c>
      <c r="B909" s="146"/>
      <c r="C909" s="63"/>
      <c r="D909" s="63"/>
      <c r="E909" s="63"/>
      <c r="F909" s="56"/>
      <c r="G909" s="56"/>
      <c r="H909" s="56"/>
      <c r="I909" s="56"/>
      <c r="J909" s="56"/>
      <c r="K909" s="79"/>
      <c r="L909" s="957" t="s">
        <v>482</v>
      </c>
      <c r="M909" s="146"/>
      <c r="N909" s="56"/>
      <c r="O909" s="56"/>
      <c r="P909" s="56"/>
      <c r="Q909" s="56"/>
      <c r="R909" s="56"/>
      <c r="S909" s="56"/>
      <c r="T909" s="56"/>
      <c r="U909" s="56"/>
      <c r="V909" s="56"/>
      <c r="W909" s="79"/>
      <c r="X909" s="939" t="s">
        <v>482</v>
      </c>
    </row>
    <row r="910" spans="1:24" ht="11.25" customHeight="1">
      <c r="A910" s="857">
        <v>52</v>
      </c>
      <c r="B910" s="146"/>
      <c r="C910" s="162" t="s">
        <v>647</v>
      </c>
      <c r="D910" s="238" t="s">
        <v>220</v>
      </c>
      <c r="E910" s="56"/>
      <c r="F910" s="56"/>
      <c r="G910" s="56"/>
      <c r="H910" s="56"/>
      <c r="I910" s="56"/>
      <c r="J910" s="56"/>
      <c r="K910" s="79"/>
      <c r="L910" s="957" t="s">
        <v>482</v>
      </c>
      <c r="M910" s="146"/>
      <c r="N910" s="56"/>
      <c r="O910" s="56"/>
      <c r="P910" s="56"/>
      <c r="Q910" s="56"/>
      <c r="R910" s="56"/>
      <c r="S910" s="56"/>
      <c r="T910" s="56"/>
      <c r="U910" s="56"/>
      <c r="V910" s="56"/>
      <c r="W910" s="79"/>
      <c r="X910" s="939" t="s">
        <v>482</v>
      </c>
    </row>
    <row r="911" spans="1:24" ht="11.25" customHeight="1">
      <c r="A911" s="857">
        <v>53</v>
      </c>
      <c r="B911" s="146"/>
      <c r="C911" s="56"/>
      <c r="D911" s="56"/>
      <c r="E911" s="56"/>
      <c r="F911" s="56"/>
      <c r="G911" s="56"/>
      <c r="H911" s="56"/>
      <c r="I911" s="56"/>
      <c r="J911" s="56"/>
      <c r="K911" s="79"/>
      <c r="L911" s="957" t="s">
        <v>482</v>
      </c>
      <c r="M911" s="256" t="s">
        <v>488</v>
      </c>
      <c r="N911" s="56"/>
      <c r="O911" s="56"/>
      <c r="P911" s="56"/>
      <c r="Q911" s="56"/>
      <c r="R911" s="56"/>
      <c r="S911" s="56"/>
      <c r="T911" s="56"/>
      <c r="U911" s="56"/>
      <c r="V911" s="56"/>
      <c r="W911" s="79"/>
      <c r="X911" s="939" t="s">
        <v>482</v>
      </c>
    </row>
    <row r="912" spans="1:24" ht="11.25" customHeight="1">
      <c r="A912" s="857">
        <v>54</v>
      </c>
      <c r="B912" s="128" t="s">
        <v>485</v>
      </c>
      <c r="C912" s="61"/>
      <c r="D912" s="63"/>
      <c r="E912" s="63"/>
      <c r="F912" s="117" t="s">
        <v>221</v>
      </c>
      <c r="G912" s="63"/>
      <c r="H912" s="63"/>
      <c r="I912" s="63"/>
      <c r="J912" s="523" t="s">
        <v>487</v>
      </c>
      <c r="K912" s="524"/>
      <c r="L912" s="957" t="s">
        <v>482</v>
      </c>
      <c r="M912" s="146"/>
      <c r="N912" s="63"/>
      <c r="O912" s="63"/>
      <c r="P912" s="63"/>
      <c r="Q912" s="117" t="s">
        <v>221</v>
      </c>
      <c r="R912" s="63"/>
      <c r="S912" s="63"/>
      <c r="T912" s="63"/>
      <c r="U912" s="63"/>
      <c r="V912" s="63"/>
      <c r="W912" s="81"/>
      <c r="X912" s="939" t="s">
        <v>482</v>
      </c>
    </row>
    <row r="913" spans="1:33" ht="11.25" customHeight="1">
      <c r="A913" s="857">
        <v>55</v>
      </c>
      <c r="B913" s="390" t="s">
        <v>2</v>
      </c>
      <c r="C913" s="131"/>
      <c r="D913" s="118" t="s">
        <v>222</v>
      </c>
      <c r="E913" s="119"/>
      <c r="F913" s="119"/>
      <c r="G913" s="119"/>
      <c r="H913" s="119"/>
      <c r="I913" s="119"/>
      <c r="J913" s="1579" t="str">
        <f>IF($M$53=1,$T$52,IF($M913="","TBD",IF($M913=1,"YES",IF($M913=3,"NA",""))))</f>
        <v>TBD</v>
      </c>
      <c r="K913" s="522" t="str">
        <f>IF($M$53=1,"",IF($M913=2,"NO",""))</f>
        <v/>
      </c>
      <c r="L913" s="957" t="s">
        <v>482</v>
      </c>
      <c r="M913" s="864"/>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9" t="s">
        <v>482</v>
      </c>
    </row>
    <row r="914" spans="1:33" ht="11.25" customHeight="1">
      <c r="A914" s="857">
        <v>56</v>
      </c>
      <c r="B914" s="130"/>
      <c r="C914" s="131"/>
      <c r="D914" s="58" t="s">
        <v>223</v>
      </c>
      <c r="E914" s="63"/>
      <c r="F914" s="63"/>
      <c r="G914" s="63"/>
      <c r="H914" s="63"/>
      <c r="I914" s="63"/>
      <c r="J914" s="1579" t="str">
        <f>IF($M$53=1,$T$52,IF($M914="","TBD",IF($M914=1,"YES",IF($M914=3,"NA",""))))</f>
        <v>TBD</v>
      </c>
      <c r="K914" s="522" t="str">
        <f>IF($M$53=1,"",IF($M914=2,"NO",""))</f>
        <v/>
      </c>
      <c r="L914" s="957" t="s">
        <v>482</v>
      </c>
      <c r="M914" s="864"/>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9" t="s">
        <v>482</v>
      </c>
    </row>
    <row r="915" spans="1:33" ht="11.25" customHeight="1">
      <c r="A915" s="857">
        <v>57</v>
      </c>
      <c r="B915" s="130"/>
      <c r="C915" s="131"/>
      <c r="D915" s="118" t="s">
        <v>224</v>
      </c>
      <c r="E915" s="63"/>
      <c r="F915" s="63"/>
      <c r="G915" s="63"/>
      <c r="H915" s="63"/>
      <c r="I915" s="63"/>
      <c r="J915" s="1579" t="str">
        <f t="shared" ref="J915:J920" si="152">IF($M915="","TBD",IF($M915=1,"YES",IF($M915=3,"NA","")))</f>
        <v>TBD</v>
      </c>
      <c r="K915" s="522" t="str">
        <f t="shared" ref="K915:K920" si="153">IF($M915=2,"NO","")</f>
        <v/>
      </c>
      <c r="L915" s="957" t="s">
        <v>482</v>
      </c>
      <c r="M915" s="864"/>
      <c r="N915" s="63"/>
      <c r="O915" s="118" t="s">
        <v>225</v>
      </c>
      <c r="P915" s="63"/>
      <c r="Q915" s="63"/>
      <c r="R915" s="63"/>
      <c r="S915" s="63"/>
      <c r="T915" s="63"/>
      <c r="U915" s="63"/>
      <c r="V915" s="63"/>
      <c r="W915" s="81"/>
      <c r="X915" s="939" t="s">
        <v>482</v>
      </c>
      <c r="AC915"/>
      <c r="AD915"/>
      <c r="AE915"/>
      <c r="AF915"/>
      <c r="AG915"/>
    </row>
    <row r="916" spans="1:33" ht="11.25" customHeight="1">
      <c r="A916" s="857">
        <v>58</v>
      </c>
      <c r="B916" s="130"/>
      <c r="C916" s="131"/>
      <c r="D916" s="58" t="s">
        <v>226</v>
      </c>
      <c r="E916" s="63"/>
      <c r="F916" s="63"/>
      <c r="G916" s="63"/>
      <c r="H916" s="63"/>
      <c r="I916" s="63"/>
      <c r="J916" s="1579" t="str">
        <f t="shared" si="152"/>
        <v>TBD</v>
      </c>
      <c r="K916" s="522" t="str">
        <f t="shared" si="153"/>
        <v/>
      </c>
      <c r="L916" s="957" t="s">
        <v>482</v>
      </c>
      <c r="M916" s="864"/>
      <c r="N916" s="63"/>
      <c r="O916" s="58" t="s">
        <v>227</v>
      </c>
      <c r="P916" s="63"/>
      <c r="Q916" s="63"/>
      <c r="R916" s="63"/>
      <c r="S916" s="63"/>
      <c r="T916" s="63"/>
      <c r="U916" s="63"/>
      <c r="V916" s="63"/>
      <c r="W916" s="81"/>
      <c r="X916" s="939" t="s">
        <v>482</v>
      </c>
      <c r="AC916"/>
      <c r="AD916"/>
      <c r="AE916"/>
      <c r="AF916"/>
      <c r="AG916"/>
    </row>
    <row r="917" spans="1:33" ht="11.25" customHeight="1">
      <c r="A917" s="857">
        <v>59</v>
      </c>
      <c r="B917" s="390" t="s">
        <v>4</v>
      </c>
      <c r="C917" s="131"/>
      <c r="D917" s="118" t="s">
        <v>228</v>
      </c>
      <c r="E917" s="119"/>
      <c r="F917" s="119"/>
      <c r="G917" s="119"/>
      <c r="H917" s="119"/>
      <c r="I917" s="119"/>
      <c r="J917" s="1579" t="str">
        <f t="shared" si="152"/>
        <v>TBD</v>
      </c>
      <c r="K917" s="522" t="str">
        <f t="shared" si="153"/>
        <v/>
      </c>
      <c r="L917" s="957" t="s">
        <v>482</v>
      </c>
      <c r="M917" s="864"/>
      <c r="N917" s="58"/>
      <c r="O917" s="118" t="s">
        <v>229</v>
      </c>
      <c r="P917" s="119"/>
      <c r="Q917" s="119"/>
      <c r="R917" s="119"/>
      <c r="S917" s="119"/>
      <c r="T917" s="119"/>
      <c r="U917" s="56"/>
      <c r="V917" s="56"/>
      <c r="W917" s="79"/>
      <c r="X917" s="939" t="s">
        <v>482</v>
      </c>
      <c r="AC917"/>
      <c r="AD917"/>
      <c r="AE917"/>
      <c r="AF917"/>
      <c r="AG917"/>
    </row>
    <row r="918" spans="1:33" ht="11.25" customHeight="1">
      <c r="A918" s="857">
        <v>60</v>
      </c>
      <c r="B918" s="390" t="s">
        <v>3</v>
      </c>
      <c r="C918" s="131"/>
      <c r="D918" s="118" t="s">
        <v>230</v>
      </c>
      <c r="E918" s="119"/>
      <c r="F918" s="119"/>
      <c r="G918" s="119"/>
      <c r="H918" s="119"/>
      <c r="I918" s="119"/>
      <c r="J918" s="1579" t="str">
        <f t="shared" si="152"/>
        <v>TBD</v>
      </c>
      <c r="K918" s="522" t="str">
        <f t="shared" si="153"/>
        <v/>
      </c>
      <c r="L918" s="957" t="s">
        <v>482</v>
      </c>
      <c r="M918" s="864"/>
      <c r="N918" s="58"/>
      <c r="O918" s="118" t="s">
        <v>231</v>
      </c>
      <c r="P918" s="119"/>
      <c r="Q918" s="119"/>
      <c r="R918" s="119"/>
      <c r="S918" s="119"/>
      <c r="T918" s="119"/>
      <c r="U918" s="56"/>
      <c r="V918" s="56"/>
      <c r="W918" s="79"/>
      <c r="X918" s="939" t="s">
        <v>482</v>
      </c>
      <c r="AC918"/>
      <c r="AD918"/>
      <c r="AE918"/>
      <c r="AF918"/>
      <c r="AG918"/>
    </row>
    <row r="919" spans="1:33" ht="11.25" customHeight="1">
      <c r="A919" s="857">
        <v>61</v>
      </c>
      <c r="B919" s="390" t="s">
        <v>9</v>
      </c>
      <c r="C919" s="131"/>
      <c r="D919" s="118" t="s">
        <v>232</v>
      </c>
      <c r="E919" s="119"/>
      <c r="F919" s="119"/>
      <c r="G919" s="119"/>
      <c r="H919" s="119"/>
      <c r="I919" s="119"/>
      <c r="J919" s="1579" t="str">
        <f t="shared" si="152"/>
        <v>TBD</v>
      </c>
      <c r="K919" s="522" t="str">
        <f t="shared" si="153"/>
        <v/>
      </c>
      <c r="L919" s="957" t="s">
        <v>482</v>
      </c>
      <c r="M919" s="864"/>
      <c r="N919" s="58"/>
      <c r="O919" s="118" t="s">
        <v>233</v>
      </c>
      <c r="P919" s="119"/>
      <c r="Q919" s="119"/>
      <c r="R919" s="119"/>
      <c r="S919" s="119"/>
      <c r="T919" s="119"/>
      <c r="U919" s="56"/>
      <c r="V919" s="56"/>
      <c r="W919" s="79"/>
      <c r="X919" s="939" t="s">
        <v>482</v>
      </c>
      <c r="AC919"/>
      <c r="AD919"/>
      <c r="AE919"/>
      <c r="AF919"/>
      <c r="AG919"/>
    </row>
    <row r="920" spans="1:33" ht="11.25" customHeight="1">
      <c r="A920" s="857">
        <v>62</v>
      </c>
      <c r="B920" s="130"/>
      <c r="C920" s="131"/>
      <c r="D920" s="58" t="s">
        <v>234</v>
      </c>
      <c r="E920" s="111"/>
      <c r="F920" s="111"/>
      <c r="G920" s="111"/>
      <c r="H920" s="111"/>
      <c r="I920" s="111"/>
      <c r="J920" s="1579" t="str">
        <f t="shared" si="152"/>
        <v>TBD</v>
      </c>
      <c r="K920" s="522" t="str">
        <f t="shared" si="153"/>
        <v/>
      </c>
      <c r="L920" s="957" t="s">
        <v>482</v>
      </c>
      <c r="M920" s="864"/>
      <c r="N920" s="111"/>
      <c r="O920" s="58" t="s">
        <v>234</v>
      </c>
      <c r="P920" s="111"/>
      <c r="Q920" s="111"/>
      <c r="R920" s="111"/>
      <c r="S920" s="111"/>
      <c r="T920" s="111"/>
      <c r="U920" s="111"/>
      <c r="V920" s="111"/>
      <c r="W920" s="96"/>
      <c r="X920" s="939" t="s">
        <v>482</v>
      </c>
      <c r="AC920"/>
      <c r="AD920"/>
      <c r="AE920"/>
      <c r="AF920"/>
      <c r="AG920"/>
    </row>
    <row r="921" spans="1:33" ht="11.25" customHeight="1" thickBot="1">
      <c r="A921" s="857">
        <v>63</v>
      </c>
      <c r="B921" s="164"/>
      <c r="C921" s="83"/>
      <c r="D921" s="83"/>
      <c r="E921" s="83"/>
      <c r="F921" s="83"/>
      <c r="G921" s="83"/>
      <c r="H921" s="83"/>
      <c r="I921" s="83"/>
      <c r="J921" s="83"/>
      <c r="K921" s="84"/>
      <c r="L921" s="957" t="s">
        <v>482</v>
      </c>
      <c r="M921" s="164"/>
      <c r="N921" s="83"/>
      <c r="O921" s="83"/>
      <c r="P921" s="83"/>
      <c r="Q921" s="83"/>
      <c r="R921" s="83"/>
      <c r="S921" s="83"/>
      <c r="T921" s="83"/>
      <c r="U921" s="83"/>
      <c r="V921" s="83"/>
      <c r="W921" s="84"/>
      <c r="X921" s="939" t="s">
        <v>482</v>
      </c>
      <c r="AC921"/>
      <c r="AD921"/>
      <c r="AE921"/>
      <c r="AF921"/>
      <c r="AG921"/>
    </row>
    <row r="922" spans="1:33" ht="11.25" customHeight="1" thickTop="1">
      <c r="A922" s="857">
        <v>64</v>
      </c>
      <c r="L922" s="957" t="s">
        <v>482</v>
      </c>
      <c r="X922" s="939" t="s">
        <v>482</v>
      </c>
      <c r="AC922"/>
      <c r="AD922"/>
      <c r="AE922"/>
      <c r="AF922"/>
      <c r="AG922"/>
    </row>
    <row r="923" spans="1:33" ht="11.25" customHeight="1">
      <c r="A923" s="857">
        <v>65</v>
      </c>
      <c r="B923" s="60" t="str">
        <f t="array" ref="B923:C924">$B$65:$C$66</f>
        <v>Date:</v>
      </c>
      <c r="C923" s="1664" t="str">
        <v/>
      </c>
      <c r="D923" s="140"/>
      <c r="E923" s="140"/>
      <c r="F923" s="140"/>
      <c r="G923" s="140"/>
      <c r="H923" s="140"/>
      <c r="I923" s="60" t="str">
        <f t="array" ref="I923:J924">$I$65:$J$66</f>
        <v>Inspector:</v>
      </c>
      <c r="J923" s="554" t="str">
        <v>Eugene Mah</v>
      </c>
      <c r="L923" s="957" t="s">
        <v>482</v>
      </c>
      <c r="M923" s="140"/>
      <c r="N923" s="140"/>
      <c r="O923" s="140"/>
      <c r="P923" s="140"/>
      <c r="Q923" s="140"/>
      <c r="R923" s="140"/>
      <c r="S923" s="140"/>
      <c r="T923" s="140"/>
      <c r="U923" s="140"/>
      <c r="V923" s="140"/>
      <c r="W923" s="140"/>
      <c r="X923" s="939" t="s">
        <v>482</v>
      </c>
      <c r="AC923"/>
      <c r="AD923"/>
      <c r="AE923"/>
      <c r="AF923"/>
      <c r="AG923"/>
    </row>
    <row r="924" spans="1:33" ht="11.25" customHeight="1">
      <c r="A924" s="857">
        <v>66</v>
      </c>
      <c r="B924" s="60" t="str">
        <v>Room Number:</v>
      </c>
      <c r="C924" s="499" t="str">
        <v/>
      </c>
      <c r="D924" s="140"/>
      <c r="E924" s="140"/>
      <c r="F924" s="140"/>
      <c r="G924" s="140"/>
      <c r="H924" s="140"/>
      <c r="I924" s="60" t="str">
        <v>Survey ID:</v>
      </c>
      <c r="J924" s="1404" t="str">
        <v/>
      </c>
      <c r="L924" s="957" t="s">
        <v>482</v>
      </c>
      <c r="M924" s="140"/>
      <c r="N924" s="140"/>
      <c r="O924" s="140"/>
      <c r="P924" s="140"/>
      <c r="Q924" s="140"/>
      <c r="R924" s="140"/>
      <c r="S924" s="140"/>
      <c r="T924" s="140"/>
      <c r="U924" s="140"/>
      <c r="V924" s="140"/>
      <c r="W924" s="140"/>
      <c r="X924" s="939" t="s">
        <v>482</v>
      </c>
      <c r="AC924"/>
      <c r="AD924"/>
      <c r="AE924"/>
      <c r="AF924"/>
      <c r="AG924"/>
    </row>
    <row r="925" spans="1:33" ht="11.25" customHeight="1">
      <c r="A925" s="857">
        <v>1</v>
      </c>
      <c r="K925" s="161" t="str">
        <f>$F$2</f>
        <v>Medical University of South Carolina</v>
      </c>
      <c r="L925" s="957" t="s">
        <v>482</v>
      </c>
      <c r="W925" s="161" t="str">
        <f>$F$2</f>
        <v>Medical University of South Carolina</v>
      </c>
      <c r="X925" s="939" t="s">
        <v>482</v>
      </c>
      <c r="AC925"/>
      <c r="AD925"/>
      <c r="AE925"/>
      <c r="AF925"/>
      <c r="AG925"/>
    </row>
    <row r="926" spans="1:33" ht="11.25" customHeight="1">
      <c r="A926" s="857">
        <v>2</v>
      </c>
      <c r="C926" s="1"/>
      <c r="D926" s="1"/>
      <c r="E926" s="1"/>
      <c r="F926" s="336" t="str">
        <f>$F$464</f>
        <v>Measurement Data</v>
      </c>
      <c r="G926" s="1"/>
      <c r="H926" s="1"/>
      <c r="I926" s="1"/>
      <c r="J926" s="1"/>
      <c r="K926" s="162" t="str">
        <f>$F$5</f>
        <v>Radiographic System Compliance Inspection</v>
      </c>
      <c r="L926" s="957" t="s">
        <v>482</v>
      </c>
      <c r="O926" s="58"/>
      <c r="P926" s="1"/>
      <c r="Q926" s="1"/>
      <c r="R926" s="336" t="str">
        <f>$F$464</f>
        <v>Measurement Data</v>
      </c>
      <c r="S926" s="1"/>
      <c r="T926" s="1"/>
      <c r="U926" s="1"/>
      <c r="V926" s="1"/>
      <c r="W926" s="162" t="str">
        <f>$F$5</f>
        <v>Radiographic System Compliance Inspection</v>
      </c>
      <c r="X926" s="939" t="s">
        <v>482</v>
      </c>
      <c r="AC926"/>
      <c r="AD926"/>
      <c r="AE926"/>
      <c r="AF926"/>
      <c r="AG926"/>
    </row>
    <row r="927" spans="1:33" ht="11.25" customHeight="1">
      <c r="A927" s="857">
        <v>3</v>
      </c>
      <c r="B927" s="1"/>
      <c r="C927" s="1"/>
      <c r="D927" s="1"/>
      <c r="E927" s="1"/>
      <c r="F927" s="440" t="s">
        <v>235</v>
      </c>
      <c r="G927" s="1"/>
      <c r="H927" s="1"/>
      <c r="I927" s="1"/>
      <c r="J927" s="1"/>
      <c r="L927" s="957" t="s">
        <v>482</v>
      </c>
      <c r="M927" s="862">
        <v>2</v>
      </c>
      <c r="N927" s="115" t="s">
        <v>21</v>
      </c>
      <c r="X927" s="939" t="s">
        <v>482</v>
      </c>
      <c r="AC927"/>
      <c r="AD927"/>
      <c r="AE927"/>
      <c r="AF927"/>
      <c r="AG927"/>
    </row>
    <row r="928" spans="1:33" ht="11.25" customHeight="1" thickBot="1">
      <c r="A928" s="857">
        <v>4</v>
      </c>
      <c r="L928" s="957" t="s">
        <v>482</v>
      </c>
      <c r="M928" s="731" t="s">
        <v>22</v>
      </c>
      <c r="N928" s="571"/>
      <c r="X928" s="939" t="s">
        <v>482</v>
      </c>
      <c r="AC928"/>
      <c r="AD928"/>
      <c r="AE928"/>
      <c r="AF928"/>
      <c r="AG928"/>
    </row>
    <row r="929" spans="1:33" ht="11.25" customHeight="1" thickTop="1">
      <c r="A929" s="857">
        <v>5</v>
      </c>
      <c r="B929" s="89"/>
      <c r="C929" s="72"/>
      <c r="D929" s="72"/>
      <c r="E929" s="72"/>
      <c r="F929" s="72"/>
      <c r="G929" s="72"/>
      <c r="H929" s="72"/>
      <c r="I929" s="72"/>
      <c r="J929" s="72"/>
      <c r="K929" s="90"/>
      <c r="L929" s="957" t="s">
        <v>482</v>
      </c>
      <c r="M929" s="89"/>
      <c r="N929" s="72"/>
      <c r="O929" s="72"/>
      <c r="P929" s="72"/>
      <c r="Q929" s="72"/>
      <c r="R929" s="72"/>
      <c r="S929" s="72"/>
      <c r="T929" s="567" t="s">
        <v>236</v>
      </c>
      <c r="U929" s="573"/>
      <c r="V929" s="72"/>
      <c r="W929" s="90"/>
      <c r="X929" s="939" t="s">
        <v>482</v>
      </c>
      <c r="AC929"/>
      <c r="AD929"/>
      <c r="AE929"/>
      <c r="AF929"/>
      <c r="AG929"/>
    </row>
    <row r="930" spans="1:33" ht="11.25" customHeight="1">
      <c r="A930" s="857">
        <v>6</v>
      </c>
      <c r="B930" s="155"/>
      <c r="C930" s="63"/>
      <c r="D930" s="63"/>
      <c r="E930" s="63"/>
      <c r="F930" s="63"/>
      <c r="G930" s="63"/>
      <c r="H930" s="63"/>
      <c r="I930" s="63"/>
      <c r="J930" s="63"/>
      <c r="K930" s="81"/>
      <c r="L930" s="957" t="s">
        <v>482</v>
      </c>
      <c r="M930" s="457" t="s">
        <v>237</v>
      </c>
      <c r="N930" s="61"/>
      <c r="O930" s="61"/>
      <c r="P930" s="272"/>
      <c r="Q930" s="4" t="s">
        <v>238</v>
      </c>
      <c r="R930" s="3"/>
      <c r="S930" s="3"/>
      <c r="T930" s="3"/>
      <c r="U930" s="892" t="s">
        <v>239</v>
      </c>
      <c r="V930" s="3"/>
      <c r="W930" s="43"/>
      <c r="X930" s="939" t="s">
        <v>482</v>
      </c>
      <c r="AC930"/>
      <c r="AD930"/>
      <c r="AE930"/>
      <c r="AF930"/>
      <c r="AG930"/>
    </row>
    <row r="931" spans="1:33" ht="11.25" customHeight="1">
      <c r="A931" s="857">
        <v>7</v>
      </c>
      <c r="B931" s="155"/>
      <c r="C931" s="63"/>
      <c r="D931" s="63"/>
      <c r="E931" s="63"/>
      <c r="F931" s="63"/>
      <c r="G931" s="63"/>
      <c r="H931" s="63"/>
      <c r="I931" s="63"/>
      <c r="J931" s="63"/>
      <c r="K931" s="81"/>
      <c r="L931" s="957" t="s">
        <v>482</v>
      </c>
      <c r="M931" s="52"/>
      <c r="N931" s="3"/>
      <c r="O931" s="3"/>
      <c r="P931" s="3"/>
      <c r="Q931" s="4" t="s">
        <v>240</v>
      </c>
      <c r="R931" s="3"/>
      <c r="S931" s="3"/>
      <c r="T931" s="3"/>
      <c r="U931" s="3"/>
      <c r="V931" s="3"/>
      <c r="W931" s="43"/>
      <c r="X931" s="939" t="s">
        <v>482</v>
      </c>
      <c r="AC931"/>
      <c r="AD931"/>
      <c r="AE931"/>
      <c r="AF931"/>
      <c r="AG931"/>
    </row>
    <row r="932" spans="1:33" ht="11.25" customHeight="1">
      <c r="A932" s="857">
        <v>8</v>
      </c>
      <c r="B932" s="155"/>
      <c r="C932" s="63"/>
      <c r="D932" s="562" t="str">
        <f>O934&amp;" Focal Spot"</f>
        <v>Large Focal Spot</v>
      </c>
      <c r="E932" s="63"/>
      <c r="F932" s="63"/>
      <c r="G932" s="63"/>
      <c r="H932" s="63"/>
      <c r="I932" s="63"/>
      <c r="J932" s="63"/>
      <c r="K932" s="81"/>
      <c r="L932" s="957" t="s">
        <v>482</v>
      </c>
      <c r="M932" s="52"/>
      <c r="N932" s="5" t="s">
        <v>140</v>
      </c>
      <c r="O932" s="5" t="s">
        <v>116</v>
      </c>
      <c r="P932" s="642" t="s">
        <v>117</v>
      </c>
      <c r="Q932" s="3"/>
      <c r="R932" s="5"/>
      <c r="S932" s="5" t="s">
        <v>119</v>
      </c>
      <c r="T932" s="33"/>
      <c r="U932" s="4" t="s">
        <v>120</v>
      </c>
      <c r="V932" s="3"/>
      <c r="W932" s="43"/>
      <c r="X932" s="939" t="s">
        <v>482</v>
      </c>
      <c r="AC932"/>
      <c r="AD932"/>
      <c r="AE932"/>
      <c r="AF932"/>
      <c r="AG932"/>
    </row>
    <row r="933" spans="1:33" ht="11.25" customHeight="1" thickBot="1">
      <c r="A933" s="857">
        <v>9</v>
      </c>
      <c r="B933" s="52"/>
      <c r="C933" s="41" t="s">
        <v>141</v>
      </c>
      <c r="D933" s="44">
        <f>IF(N934="","",N934)</f>
        <v>60</v>
      </c>
      <c r="E933" s="4" t="str">
        <f>N933</f>
        <v>cm</v>
      </c>
      <c r="F933" s="3"/>
      <c r="G933" s="3"/>
      <c r="H933" s="41" t="s">
        <v>684</v>
      </c>
      <c r="I933" s="39">
        <f>IF(R934="","",IF(LFMAS="mA",R934,""))</f>
        <v>400</v>
      </c>
      <c r="J933" s="3"/>
      <c r="K933" s="81"/>
      <c r="L933" s="957" t="s">
        <v>482</v>
      </c>
      <c r="M933" s="8" t="s">
        <v>241</v>
      </c>
      <c r="N933" s="7" t="str">
        <f>LFSDD</f>
        <v>cm</v>
      </c>
      <c r="O933" s="7" t="s">
        <v>122</v>
      </c>
      <c r="P933" s="643" t="s">
        <v>90</v>
      </c>
      <c r="Q933" s="7" t="s">
        <v>123</v>
      </c>
      <c r="R933" s="7" t="str">
        <f>IF(MIN($T$694:$T$701)&gt;0,LFMAS,IF(MIN($T$712:$T$717)&gt;0,SFMAS,"mA/mAs"))</f>
        <v>mA/mAs</v>
      </c>
      <c r="S933" s="7" t="s">
        <v>124</v>
      </c>
      <c r="T933" s="391" t="s">
        <v>125</v>
      </c>
      <c r="U933" s="7" t="s">
        <v>126</v>
      </c>
      <c r="V933" s="7" t="s">
        <v>124</v>
      </c>
      <c r="W933" s="26" t="s">
        <v>1167</v>
      </c>
      <c r="X933" s="939" t="s">
        <v>482</v>
      </c>
      <c r="AC933"/>
      <c r="AD933"/>
      <c r="AE933"/>
      <c r="AF933"/>
      <c r="AG933"/>
    </row>
    <row r="934" spans="1:33" ht="11.25" customHeight="1">
      <c r="A934" s="857">
        <v>10</v>
      </c>
      <c r="B934" s="52"/>
      <c r="C934" s="41" t="s">
        <v>242</v>
      </c>
      <c r="D934" s="39">
        <f>IF(Q934="","",Q934)</f>
        <v>80</v>
      </c>
      <c r="E934" s="3"/>
      <c r="F934" s="3" t="str">
        <f>IF(OR(MAXAVG="",AND(MAXAVG="Avg kV",U934=""),AND(MAXAVG="Max kV",T934="")),"","Measured")</f>
        <v/>
      </c>
      <c r="G934" s="3"/>
      <c r="H934" s="41" t="s">
        <v>686</v>
      </c>
      <c r="I934" s="42" t="str">
        <f>IF(R934="","",IF(LFMAS="mAs",R934,""))</f>
        <v/>
      </c>
      <c r="J934" s="3"/>
      <c r="K934" s="81"/>
      <c r="L934" s="957" t="s">
        <v>482</v>
      </c>
      <c r="M934" s="663">
        <v>0</v>
      </c>
      <c r="N934" s="664">
        <f>$N$694</f>
        <v>60</v>
      </c>
      <c r="O934" s="665" t="s">
        <v>110</v>
      </c>
      <c r="P934" s="654" t="str">
        <f>$P$695</f>
        <v>70-120/Low</v>
      </c>
      <c r="Q934" s="666">
        <f>$Q$695</f>
        <v>80</v>
      </c>
      <c r="R934" s="667">
        <f>IF(R694="","",R694)</f>
        <v>400</v>
      </c>
      <c r="S934" s="585">
        <f>IF(S694="","",S694)</f>
        <v>0.05</v>
      </c>
      <c r="T934" s="583" t="str">
        <f t="shared" ref="T934:W935" si="154">IF(T743="","",T743)</f>
        <v/>
      </c>
      <c r="U934" s="584" t="str">
        <f t="shared" si="154"/>
        <v/>
      </c>
      <c r="V934" s="585" t="str">
        <f t="shared" si="154"/>
        <v/>
      </c>
      <c r="W934" s="586" t="str">
        <f t="shared" si="154"/>
        <v/>
      </c>
      <c r="X934" s="939" t="s">
        <v>482</v>
      </c>
      <c r="AC934"/>
      <c r="AD934"/>
      <c r="AE934"/>
      <c r="AF934"/>
      <c r="AG934"/>
    </row>
    <row r="935" spans="1:33" ht="11.25" customHeight="1" thickBot="1">
      <c r="A935" s="857">
        <v>11</v>
      </c>
      <c r="B935" s="52"/>
      <c r="C935" s="3"/>
      <c r="D935" s="3"/>
      <c r="E935" s="3"/>
      <c r="F935" s="3" t="str">
        <f>IF(OR(AND(MAXAVG="Max kV",T934&lt;&gt;""),AND(MAXAVG="Avg kV",U934&lt;&gt;"")),MAXAVG,IF(T934&lt;&gt;"","Measured","Set"))</f>
        <v>Set</v>
      </c>
      <c r="G935" s="3"/>
      <c r="H935" s="41" t="s">
        <v>133</v>
      </c>
      <c r="I935" s="40">
        <f>IF(S934="","",S934)</f>
        <v>0.05</v>
      </c>
      <c r="J935" s="3"/>
      <c r="K935" s="81"/>
      <c r="L935" s="957" t="s">
        <v>482</v>
      </c>
      <c r="M935" s="668">
        <v>0</v>
      </c>
      <c r="N935" s="669">
        <f>IF(N934="","",N934)</f>
        <v>60</v>
      </c>
      <c r="O935" s="670" t="str">
        <f t="shared" ref="O935:O945" si="155">IF(Q935="","",O934)</f>
        <v>Large</v>
      </c>
      <c r="P935" s="671" t="str">
        <f>IF(P934="","",P934)</f>
        <v>70-120/Low</v>
      </c>
      <c r="Q935" s="672">
        <f>IF(Q934="","",Q934)</f>
        <v>80</v>
      </c>
      <c r="R935" s="673">
        <f>IF(R934="","",R934)</f>
        <v>400</v>
      </c>
      <c r="S935" s="674">
        <f>IF(S934="","",S934)</f>
        <v>0.05</v>
      </c>
      <c r="T935" s="587" t="str">
        <f t="shared" si="154"/>
        <v/>
      </c>
      <c r="U935" s="588" t="str">
        <f t="shared" si="154"/>
        <v/>
      </c>
      <c r="V935" s="589" t="str">
        <f t="shared" si="154"/>
        <v/>
      </c>
      <c r="W935" s="590" t="str">
        <f t="shared" si="154"/>
        <v/>
      </c>
      <c r="X935" s="939" t="s">
        <v>482</v>
      </c>
      <c r="AC935"/>
      <c r="AD935"/>
      <c r="AE935"/>
      <c r="AF935"/>
      <c r="AG935"/>
    </row>
    <row r="936" spans="1:33" ht="11.25" customHeight="1">
      <c r="A936" s="857">
        <v>12</v>
      </c>
      <c r="B936" s="52"/>
      <c r="C936" s="2" t="s">
        <v>243</v>
      </c>
      <c r="D936" s="9" t="s">
        <v>1167</v>
      </c>
      <c r="E936" s="9" t="s">
        <v>1167</v>
      </c>
      <c r="F936" s="9" t="s">
        <v>539</v>
      </c>
      <c r="G936" s="3"/>
      <c r="H936" s="3"/>
      <c r="I936" s="3"/>
      <c r="J936" s="3"/>
      <c r="K936" s="81"/>
      <c r="L936" s="957" t="s">
        <v>482</v>
      </c>
      <c r="M936" s="675">
        <f>AF695</f>
        <v>3</v>
      </c>
      <c r="N936" s="676">
        <f>IF(M936="","",$N$934)</f>
        <v>60</v>
      </c>
      <c r="O936" s="665" t="str">
        <f t="shared" si="155"/>
        <v>Large</v>
      </c>
      <c r="P936" s="677" t="str">
        <f>IF(M936="","",P935)</f>
        <v>70-120/Low</v>
      </c>
      <c r="Q936" s="678">
        <f>IF(M936="","",Q935)</f>
        <v>80</v>
      </c>
      <c r="R936" s="679">
        <f>IF(M936="","",R935)</f>
        <v>400</v>
      </c>
      <c r="S936" s="680">
        <f>IF(M936="","",S935)</f>
        <v>0.05</v>
      </c>
      <c r="T936" s="583" t="str">
        <f>IF(AZ695="","",AZ695)</f>
        <v/>
      </c>
      <c r="U936" s="584" t="str">
        <f>IF(AX695="","",AX695)</f>
        <v/>
      </c>
      <c r="V936" s="585" t="str">
        <f>IF(BA695="","",BA695)</f>
        <v/>
      </c>
      <c r="W936" s="586" t="str">
        <f>IF(BB695="","",BB695)</f>
        <v/>
      </c>
      <c r="X936" s="939" t="s">
        <v>482</v>
      </c>
      <c r="AC936"/>
      <c r="AD936"/>
      <c r="AE936"/>
      <c r="AF936"/>
      <c r="AG936"/>
    </row>
    <row r="937" spans="1:33" ht="11.25" customHeight="1" thickBot="1">
      <c r="A937" s="857">
        <v>13</v>
      </c>
      <c r="B937" s="52"/>
      <c r="C937" s="2">
        <v>0</v>
      </c>
      <c r="D937" s="555" t="str">
        <f>IF(W934="","",W934)</f>
        <v/>
      </c>
      <c r="E937" s="555" t="str">
        <f>IF(W935="","",W935)</f>
        <v/>
      </c>
      <c r="F937" s="9">
        <f>avgkvp</f>
        <v>80</v>
      </c>
      <c r="G937" s="3"/>
      <c r="H937" s="41" t="str">
        <f>"kVp ("&amp;IF(AND(U930="",T934&lt;&gt;""),"Meas.",IF(MAXAVG="","Set",MAXAVG))&amp;")"</f>
        <v>kVp (Max kV)</v>
      </c>
      <c r="I937" s="3">
        <f>avgkvp</f>
        <v>80</v>
      </c>
      <c r="J937" s="3"/>
      <c r="K937" s="81"/>
      <c r="L937" s="957" t="s">
        <v>482</v>
      </c>
      <c r="M937" s="668">
        <f>IF(M936="","",M936)</f>
        <v>3</v>
      </c>
      <c r="N937" s="669">
        <f>IF(N936="","",N936)</f>
        <v>60</v>
      </c>
      <c r="O937" s="670" t="str">
        <f t="shared" si="155"/>
        <v>Large</v>
      </c>
      <c r="P937" s="671" t="str">
        <f>IF(P936="","",P936)</f>
        <v>70-120/Low</v>
      </c>
      <c r="Q937" s="672">
        <f>IF(Q936="","",Q936)</f>
        <v>80</v>
      </c>
      <c r="R937" s="673">
        <f>IF(R936="","",R936)</f>
        <v>400</v>
      </c>
      <c r="S937" s="674">
        <f>IF(S936="","",S936)</f>
        <v>0.05</v>
      </c>
      <c r="T937" s="587" t="str">
        <f>IF(AZ696="","",AZ696)</f>
        <v/>
      </c>
      <c r="U937" s="588" t="str">
        <f>IF(AX696="","",AX696)</f>
        <v/>
      </c>
      <c r="V937" s="589" t="str">
        <f>IF(BA696="","",BA696)</f>
        <v/>
      </c>
      <c r="W937" s="590" t="str">
        <f>IF(BB696="","",BB696)</f>
        <v/>
      </c>
      <c r="X937" s="939" t="s">
        <v>482</v>
      </c>
      <c r="AC937"/>
      <c r="AD937"/>
      <c r="AE937"/>
      <c r="AF937"/>
      <c r="AG937"/>
    </row>
    <row r="938" spans="1:33" ht="11.25" customHeight="1" thickBot="1">
      <c r="A938" s="857">
        <v>14</v>
      </c>
      <c r="B938" s="52"/>
      <c r="C938" s="44">
        <f>IF(M936="","",M936)</f>
        <v>3</v>
      </c>
      <c r="D938" s="555" t="str">
        <f>IF(W936="","",W936)</f>
        <v/>
      </c>
      <c r="E938" s="555" t="str">
        <f>IF(W937="","",W937)</f>
        <v/>
      </c>
      <c r="F938" s="9" t="str">
        <f>IF(T936="","",AVERAGE(T936:T937))</f>
        <v/>
      </c>
      <c r="G938" s="3"/>
      <c r="H938" s="41" t="s">
        <v>244</v>
      </c>
      <c r="I938" s="2" t="str">
        <f>HVL</f>
        <v>TBD</v>
      </c>
      <c r="J938" s="3"/>
      <c r="K938" s="81"/>
      <c r="L938" s="957" t="s">
        <v>482</v>
      </c>
      <c r="M938" s="675" t="str">
        <f>IF(AND(AZ697="",AZ699=""),"",IF(AZ697&lt;&gt;"",AF697,AF699))</f>
        <v/>
      </c>
      <c r="N938" s="676" t="str">
        <f>IF(M938="","",$N$934)</f>
        <v/>
      </c>
      <c r="O938" s="665" t="str">
        <f t="shared" si="155"/>
        <v/>
      </c>
      <c r="P938" s="677" t="str">
        <f>IF(M938="","",P937)</f>
        <v/>
      </c>
      <c r="Q938" s="678" t="str">
        <f>IF(M938="","",Q937)</f>
        <v/>
      </c>
      <c r="R938" s="679" t="str">
        <f>IF(M938="","",R937)</f>
        <v/>
      </c>
      <c r="S938" s="680" t="str">
        <f>IF(M938="","",S937)</f>
        <v/>
      </c>
      <c r="T938" s="583" t="str">
        <f>IF(AND(AZ697="",AZ699=""),"",IF($M$938=$AF$697,AZ697,IF($M$938=$AF$699,AZ699,"")))</f>
        <v/>
      </c>
      <c r="U938" s="584" t="str">
        <f>IF(AND(AX697="",AX699=""),"",IF($M$938=$AF$697,AX697,IF($M$938=$AF$699,AX699,"")))</f>
        <v/>
      </c>
      <c r="V938" s="585" t="str">
        <f>IF(AND(BA697="",BA699=""),"",IF($M$938=$AF$697,BA697,IF($M$938=$AF$699,BA699,"")))</f>
        <v/>
      </c>
      <c r="W938" s="586" t="str">
        <f>IF(AND(BB697="",BB699=""),"",IF($M$938=$AF$697,BB697,IF($M$938=$AF$699,BB699,"")))</f>
        <v/>
      </c>
      <c r="X938" s="939" t="s">
        <v>482</v>
      </c>
      <c r="AC938"/>
      <c r="AD938"/>
      <c r="AE938"/>
      <c r="AF938"/>
      <c r="AG938"/>
    </row>
    <row r="939" spans="1:33" ht="11.25" customHeight="1" thickTop="1" thickBot="1">
      <c r="A939" s="857">
        <v>15</v>
      </c>
      <c r="B939" s="52"/>
      <c r="C939" s="44" t="str">
        <f>IF(M938="","",M938)</f>
        <v/>
      </c>
      <c r="D939" s="555" t="str">
        <f>IF(W938="","",W938)</f>
        <v/>
      </c>
      <c r="E939" s="555" t="str">
        <f>IF(W939="","",W939)</f>
        <v/>
      </c>
      <c r="F939" s="9" t="str">
        <f>IF(T938="","",AVERAGE(T938:T939))</f>
        <v/>
      </c>
      <c r="G939" s="3"/>
      <c r="H939" s="41" t="s">
        <v>1162</v>
      </c>
      <c r="I939" s="1698" t="str">
        <f>IF(S959="","",S959)</f>
        <v>TBD</v>
      </c>
      <c r="J939" s="3"/>
      <c r="K939" s="81"/>
      <c r="L939" s="957" t="s">
        <v>482</v>
      </c>
      <c r="M939" s="668" t="str">
        <f>IF(M938="","",M938)</f>
        <v/>
      </c>
      <c r="N939" s="669" t="str">
        <f>IF(N938="","",N938)</f>
        <v/>
      </c>
      <c r="O939" s="670" t="str">
        <f t="shared" si="155"/>
        <v/>
      </c>
      <c r="P939" s="671" t="str">
        <f>IF(P938="","",P938)</f>
        <v/>
      </c>
      <c r="Q939" s="672" t="str">
        <f>IF(Q938="","",Q938)</f>
        <v/>
      </c>
      <c r="R939" s="673" t="str">
        <f>IF(R938="","",R938)</f>
        <v/>
      </c>
      <c r="S939" s="674" t="str">
        <f>IF(S938="","",S938)</f>
        <v/>
      </c>
      <c r="T939" s="587" t="str">
        <f>IF(AND(AZ698="",AZ700=""),"",IF($M$938=$AF$697,AZ698,IF($M$938=$AF$699,AZ700,"")))</f>
        <v/>
      </c>
      <c r="U939" s="588" t="str">
        <f>IF(AND(AX698="",AX700=""),"",IF($M$938=$AF$697,AX698,IF($M$938=$AF$699,AX700,"")))</f>
        <v/>
      </c>
      <c r="V939" s="589" t="str">
        <f>IF(AND(BA698="",BA700=""),"",IF($M$938=$AF$697,BA698,IF($M$938=$AF$699,BA700,"")))</f>
        <v/>
      </c>
      <c r="W939" s="590" t="str">
        <f>IF(AND(BB698="",BB700=""),"",IF($M$938=$AF$697,BB698,IF($M$938=$AF$699,BB700,"")))</f>
        <v/>
      </c>
      <c r="X939" s="939" t="s">
        <v>482</v>
      </c>
      <c r="AC939"/>
      <c r="AD939"/>
      <c r="AE939"/>
      <c r="AF939"/>
      <c r="AG939"/>
    </row>
    <row r="940" spans="1:33" ht="11.25" customHeight="1" thickTop="1">
      <c r="A940" s="857">
        <v>16</v>
      </c>
      <c r="B940" s="52"/>
      <c r="C940" s="2" t="str">
        <f>IF(M940="","",M940)</f>
        <v/>
      </c>
      <c r="D940" s="555" t="str">
        <f>IF(W940="","",W940)</f>
        <v/>
      </c>
      <c r="E940" s="555" t="str">
        <f>IF(W941="","",W941)</f>
        <v/>
      </c>
      <c r="F940" s="9" t="str">
        <f>IF(T940="","",AVERAGE(T940:T941))</f>
        <v/>
      </c>
      <c r="G940" s="3"/>
      <c r="J940" s="3"/>
      <c r="K940" s="81"/>
      <c r="L940" s="957" t="s">
        <v>482</v>
      </c>
      <c r="M940" s="675" t="str">
        <f>IF(OR(AZ699="",AND(AZ697="",AZ699&lt;&gt;"")),"",AF699)</f>
        <v/>
      </c>
      <c r="N940" s="676" t="str">
        <f>IF(M940="","",$N$934)</f>
        <v/>
      </c>
      <c r="O940" s="665" t="str">
        <f t="shared" si="155"/>
        <v/>
      </c>
      <c r="P940" s="677" t="str">
        <f>IF(M940="","",P939)</f>
        <v/>
      </c>
      <c r="Q940" s="678" t="str">
        <f>IF(M940="","",Q939)</f>
        <v/>
      </c>
      <c r="R940" s="679" t="str">
        <f>IF(M940="","",R939)</f>
        <v/>
      </c>
      <c r="S940" s="680" t="str">
        <f>IF(M940="","",S939)</f>
        <v/>
      </c>
      <c r="T940" s="583" t="str">
        <f>IF($M$940="","",AZ699)</f>
        <v/>
      </c>
      <c r="U940" s="584" t="str">
        <f>IF($M$940="","",AX699)</f>
        <v/>
      </c>
      <c r="V940" s="585" t="str">
        <f>IF($M$940="","",BA699)</f>
        <v/>
      </c>
      <c r="W940" s="586" t="str">
        <f>IF($M$940="","",BB699)</f>
        <v/>
      </c>
      <c r="X940" s="939" t="s">
        <v>482</v>
      </c>
      <c r="AC940"/>
      <c r="AD940"/>
      <c r="AE940"/>
      <c r="AF940"/>
      <c r="AG940"/>
    </row>
    <row r="941" spans="1:33" ht="11.25" customHeight="1" thickBot="1">
      <c r="A941" s="857">
        <v>17</v>
      </c>
      <c r="B941" s="52"/>
      <c r="C941" s="2" t="str">
        <f>IF(M942="","",M942)</f>
        <v/>
      </c>
      <c r="D941" s="555" t="str">
        <f>IF(W942="","",W942)</f>
        <v/>
      </c>
      <c r="E941" s="555" t="str">
        <f>IF(W943="","",W943)</f>
        <v/>
      </c>
      <c r="F941" s="9" t="str">
        <f>IF(T942="","",AVERAGE(T942:T943))</f>
        <v/>
      </c>
      <c r="G941" s="3"/>
      <c r="H941" s="115" t="str">
        <f>U950</f>
        <v>Criteria:  MUSC STANDARD</v>
      </c>
      <c r="I941" s="3"/>
      <c r="J941" s="3"/>
      <c r="K941" s="81"/>
      <c r="L941" s="957" t="s">
        <v>482</v>
      </c>
      <c r="M941" s="668" t="str">
        <f>IF(M940="","",M940)</f>
        <v/>
      </c>
      <c r="N941" s="669" t="str">
        <f>IF(N940="","",N940)</f>
        <v/>
      </c>
      <c r="O941" s="670" t="str">
        <f t="shared" si="155"/>
        <v/>
      </c>
      <c r="P941" s="671" t="str">
        <f>IF(P940="","",P940)</f>
        <v/>
      </c>
      <c r="Q941" s="672" t="str">
        <f>IF(Q940="","",Q940)</f>
        <v/>
      </c>
      <c r="R941" s="673" t="str">
        <f>IF(R940="","",R940)</f>
        <v/>
      </c>
      <c r="S941" s="674" t="str">
        <f>IF(S940="","",S940)</f>
        <v/>
      </c>
      <c r="T941" s="587" t="str">
        <f>IF($M$940="","",AZ700)</f>
        <v/>
      </c>
      <c r="U941" s="588" t="str">
        <f>IF($M$940="","",AX700)</f>
        <v/>
      </c>
      <c r="V941" s="589" t="str">
        <f>IF($M$940="","",BA700)</f>
        <v/>
      </c>
      <c r="W941" s="590" t="str">
        <f>IF($M$940="","",BB700)</f>
        <v/>
      </c>
      <c r="X941" s="939" t="s">
        <v>482</v>
      </c>
      <c r="AC941"/>
      <c r="AD941"/>
      <c r="AE941"/>
      <c r="AF941"/>
      <c r="AG941"/>
    </row>
    <row r="942" spans="1:33" ht="11.25" customHeight="1">
      <c r="A942" s="857">
        <v>18</v>
      </c>
      <c r="B942" s="52"/>
      <c r="C942" s="44" t="str">
        <f>IF(M944="","",M944)</f>
        <v/>
      </c>
      <c r="D942" s="555" t="str">
        <f>IF(W944="","",W944)</f>
        <v/>
      </c>
      <c r="E942" s="555" t="str">
        <f>IF(W945="","",W945)</f>
        <v/>
      </c>
      <c r="F942" s="9" t="str">
        <f>IF(T944="","",AVERAGE(T944:T945))</f>
        <v/>
      </c>
      <c r="G942" s="543"/>
      <c r="H942" s="413" t="s">
        <v>245</v>
      </c>
      <c r="I942" s="413" t="s">
        <v>246</v>
      </c>
      <c r="J942" s="544" t="s">
        <v>247</v>
      </c>
      <c r="K942" s="81"/>
      <c r="L942" s="957" t="s">
        <v>482</v>
      </c>
      <c r="M942" s="893"/>
      <c r="N942" s="478" t="str">
        <f>IF(M942="","",$N$934)</f>
        <v/>
      </c>
      <c r="O942" s="9" t="str">
        <f t="shared" si="155"/>
        <v/>
      </c>
      <c r="P942" s="641" t="str">
        <f>IF(M942="","",P941)</f>
        <v/>
      </c>
      <c r="Q942" s="11" t="str">
        <f>IF(M942="","",Q941)</f>
        <v/>
      </c>
      <c r="R942" s="561" t="str">
        <f>IF(M942="","",R941)</f>
        <v/>
      </c>
      <c r="S942" s="10" t="str">
        <f>IF(M942="","",S941)</f>
        <v/>
      </c>
      <c r="T942" s="894"/>
      <c r="U942" s="895"/>
      <c r="V942" s="896"/>
      <c r="W942" s="897"/>
      <c r="X942" s="939" t="s">
        <v>482</v>
      </c>
      <c r="AC942"/>
      <c r="AD942"/>
      <c r="AE942"/>
      <c r="AF942"/>
      <c r="AG942"/>
    </row>
    <row r="943" spans="1:33" ht="11.25" customHeight="1" thickBot="1">
      <c r="A943" s="857">
        <v>19</v>
      </c>
      <c r="B943" s="52"/>
      <c r="C943" s="4" t="s">
        <v>248</v>
      </c>
      <c r="D943" s="3"/>
      <c r="E943" s="3"/>
      <c r="F943" s="3"/>
      <c r="G943" s="419" t="s">
        <v>539</v>
      </c>
      <c r="H943" s="414" t="s">
        <v>249</v>
      </c>
      <c r="I943" s="414" t="s">
        <v>249</v>
      </c>
      <c r="J943" s="545" t="s">
        <v>249</v>
      </c>
      <c r="K943" s="81"/>
      <c r="L943" s="957" t="s">
        <v>482</v>
      </c>
      <c r="M943" s="8" t="str">
        <f>IF(M942="","",M942)</f>
        <v/>
      </c>
      <c r="N943" s="477" t="str">
        <f>IF(N942="","",N942)</f>
        <v/>
      </c>
      <c r="O943" s="7" t="str">
        <f t="shared" si="155"/>
        <v/>
      </c>
      <c r="P943" s="640" t="str">
        <f>IF(P942="","",P942)</f>
        <v/>
      </c>
      <c r="Q943" s="443" t="str">
        <f>IF(Q942="","",Q942)</f>
        <v/>
      </c>
      <c r="R943" s="560" t="str">
        <f>IF(R942="","",R942)</f>
        <v/>
      </c>
      <c r="S943" s="444" t="str">
        <f>IF(S942="","",S942)</f>
        <v/>
      </c>
      <c r="T943" s="898"/>
      <c r="U943" s="899"/>
      <c r="V943" s="900"/>
      <c r="W943" s="901"/>
      <c r="X943" s="939" t="s">
        <v>482</v>
      </c>
      <c r="AC943"/>
      <c r="AD943"/>
      <c r="AE943"/>
      <c r="AF943"/>
      <c r="AG943"/>
    </row>
    <row r="944" spans="1:33" ht="11.25" customHeight="1">
      <c r="A944" s="857">
        <v>20</v>
      </c>
      <c r="B944" s="155"/>
      <c r="C944" s="63"/>
      <c r="D944" s="63"/>
      <c r="E944" s="63"/>
      <c r="F944" s="63"/>
      <c r="G944" s="421">
        <f t="shared" ref="G944:J951" si="156">T953</f>
        <v>60</v>
      </c>
      <c r="H944" s="470">
        <f t="shared" si="156"/>
        <v>2.1854545454545447</v>
      </c>
      <c r="I944" s="416">
        <f t="shared" si="156"/>
        <v>1.9</v>
      </c>
      <c r="J944" s="546">
        <f t="shared" si="156"/>
        <v>2.4</v>
      </c>
      <c r="K944" s="81"/>
      <c r="L944" s="957" t="s">
        <v>482</v>
      </c>
      <c r="M944" s="893"/>
      <c r="N944" s="478" t="str">
        <f>IF(M944="","",$N$934)</f>
        <v/>
      </c>
      <c r="O944" s="9" t="str">
        <f t="shared" si="155"/>
        <v/>
      </c>
      <c r="P944" s="641" t="str">
        <f>IF(M944="","",P943)</f>
        <v/>
      </c>
      <c r="Q944" s="11" t="str">
        <f>IF(M944="","",Q943)</f>
        <v/>
      </c>
      <c r="R944" s="561" t="str">
        <f>IF(M944="","",R943)</f>
        <v/>
      </c>
      <c r="S944" s="10" t="str">
        <f>IF(M944="","",S943)</f>
        <v/>
      </c>
      <c r="T944" s="894"/>
      <c r="U944" s="895"/>
      <c r="V944" s="896"/>
      <c r="W944" s="897"/>
      <c r="X944" s="939" t="s">
        <v>482</v>
      </c>
      <c r="AB944" s="3"/>
      <c r="AC944" s="3"/>
      <c r="AD944" s="3"/>
    </row>
    <row r="945" spans="1:35" ht="11.25" customHeight="1" thickBot="1">
      <c r="A945" s="857">
        <v>21</v>
      </c>
      <c r="B945" s="155"/>
      <c r="C945" s="63"/>
      <c r="D945" s="63"/>
      <c r="E945" s="63"/>
      <c r="F945" s="63"/>
      <c r="G945" s="421">
        <f t="shared" si="156"/>
        <v>70</v>
      </c>
      <c r="H945" s="470">
        <f t="shared" si="156"/>
        <v>2.6109090909090904</v>
      </c>
      <c r="I945" s="416">
        <f t="shared" si="156"/>
        <v>2.2999999999999998</v>
      </c>
      <c r="J945" s="546">
        <f t="shared" si="156"/>
        <v>2.9</v>
      </c>
      <c r="K945" s="81"/>
      <c r="L945" s="957" t="s">
        <v>482</v>
      </c>
      <c r="M945" s="8" t="str">
        <f>IF(M944="","",M944)</f>
        <v/>
      </c>
      <c r="N945" s="477" t="str">
        <f>IF(N944="","",N944)</f>
        <v/>
      </c>
      <c r="O945" s="7" t="str">
        <f t="shared" si="155"/>
        <v/>
      </c>
      <c r="P945" s="640" t="str">
        <f>IF(P944="","",P944)</f>
        <v/>
      </c>
      <c r="Q945" s="443" t="str">
        <f>IF(Q944="","",Q944)</f>
        <v/>
      </c>
      <c r="R945" s="560" t="str">
        <f>IF(R944="","",R944)</f>
        <v/>
      </c>
      <c r="S945" s="444" t="str">
        <f>IF(S944="","",S944)</f>
        <v/>
      </c>
      <c r="T945" s="898"/>
      <c r="U945" s="899"/>
      <c r="V945" s="900"/>
      <c r="W945" s="901"/>
      <c r="X945" s="939" t="s">
        <v>482</v>
      </c>
    </row>
    <row r="946" spans="1:35" ht="11.25" customHeight="1">
      <c r="A946" s="857">
        <v>22</v>
      </c>
      <c r="B946" s="155"/>
      <c r="C946" s="535"/>
      <c r="D946" s="536" t="s">
        <v>250</v>
      </c>
      <c r="E946" s="536"/>
      <c r="F946" s="537"/>
      <c r="G946" s="421">
        <f t="shared" si="156"/>
        <v>80</v>
      </c>
      <c r="H946" s="470">
        <f t="shared" si="156"/>
        <v>3.0363636363636357</v>
      </c>
      <c r="I946" s="416">
        <f t="shared" si="156"/>
        <v>2.6</v>
      </c>
      <c r="J946" s="546">
        <f t="shared" si="156"/>
        <v>3.4</v>
      </c>
      <c r="K946" s="81"/>
      <c r="L946" s="957" t="s">
        <v>482</v>
      </c>
      <c r="M946" s="155"/>
      <c r="N946" s="182" t="s">
        <v>629</v>
      </c>
      <c r="O946" s="994" t="str">
        <f>IF(O948&lt;&gt;"",O948,IF(OR(AB449=0,AB449=""),"",AB449))</f>
        <v/>
      </c>
      <c r="P946" s="2"/>
      <c r="Q946" s="2"/>
      <c r="R946" s="2"/>
      <c r="S946" s="2"/>
      <c r="T946" s="2"/>
      <c r="U946" s="2"/>
      <c r="V946" s="2"/>
      <c r="W946" s="35"/>
      <c r="X946" s="939" t="s">
        <v>482</v>
      </c>
    </row>
    <row r="947" spans="1:35" ht="11.25" customHeight="1">
      <c r="A947" s="857">
        <v>23</v>
      </c>
      <c r="B947" s="155"/>
      <c r="C947" s="538"/>
      <c r="D947" s="732"/>
      <c r="E947" s="733" t="str">
        <f>"Min. acceptable HVL at "&amp;IF(avgkvp="TBD",avgkvp,ROUND(avgkvp,1))&amp;" kvp:"</f>
        <v>Min. acceptable HVL at 80 kvp:</v>
      </c>
      <c r="F947" s="550">
        <f>IF(avgkvp="TBD",avgkvp,$S$954)</f>
        <v>2.6</v>
      </c>
      <c r="G947" s="421">
        <f t="shared" si="156"/>
        <v>90</v>
      </c>
      <c r="H947" s="470">
        <f t="shared" si="156"/>
        <v>3.4618181818181815</v>
      </c>
      <c r="I947" s="416">
        <f t="shared" si="156"/>
        <v>3</v>
      </c>
      <c r="J947" s="546">
        <f t="shared" si="156"/>
        <v>3.8</v>
      </c>
      <c r="K947" s="81"/>
      <c r="L947" s="957" t="s">
        <v>482</v>
      </c>
      <c r="M947" s="121"/>
      <c r="N947" s="855" t="s">
        <v>347</v>
      </c>
      <c r="O947" s="124"/>
      <c r="P947" s="1237">
        <f>LEN(O946)</f>
        <v>0</v>
      </c>
      <c r="Q947" s="2"/>
      <c r="R947" s="2"/>
      <c r="S947" s="2"/>
      <c r="T947" s="2"/>
      <c r="U947" s="2"/>
      <c r="V947" s="2"/>
      <c r="W947" s="35"/>
      <c r="X947" s="939" t="s">
        <v>482</v>
      </c>
    </row>
    <row r="948" spans="1:35" ht="11.25" customHeight="1">
      <c r="A948" s="857">
        <v>24</v>
      </c>
      <c r="B948" s="155"/>
      <c r="C948" s="538"/>
      <c r="D948" s="732"/>
      <c r="E948" s="733" t="str">
        <f>"Desired HVL at meas. "&amp;IF(avgkvp="TBD",avgkvp,ROUND(avgkvp,1))&amp;" kVp:"</f>
        <v>Desired HVL at meas. 80 kVp:</v>
      </c>
      <c r="F948" s="550">
        <f>IF(avgkvp="TBD",avgkvp,$S$955)</f>
        <v>3</v>
      </c>
      <c r="G948" s="421">
        <f t="shared" si="156"/>
        <v>100</v>
      </c>
      <c r="H948" s="470">
        <f t="shared" si="156"/>
        <v>3.8872727272727272</v>
      </c>
      <c r="I948" s="416">
        <f t="shared" si="156"/>
        <v>3.4</v>
      </c>
      <c r="J948" s="546">
        <f t="shared" si="156"/>
        <v>4.3</v>
      </c>
      <c r="K948" s="81"/>
      <c r="L948" s="957" t="s">
        <v>482</v>
      </c>
      <c r="M948" s="52"/>
      <c r="N948" s="1378" t="s">
        <v>696</v>
      </c>
      <c r="O948" s="1380"/>
      <c r="P948" s="2"/>
      <c r="Q948" s="2"/>
      <c r="R948" s="2"/>
      <c r="S948" s="2"/>
      <c r="T948" s="2"/>
      <c r="U948" s="2"/>
      <c r="V948" s="2"/>
      <c r="W948" s="35"/>
      <c r="X948" s="939" t="s">
        <v>482</v>
      </c>
    </row>
    <row r="949" spans="1:35" ht="11.25" customHeight="1" thickBot="1">
      <c r="A949" s="857">
        <v>25</v>
      </c>
      <c r="B949" s="155"/>
      <c r="C949" s="539"/>
      <c r="D949" s="734"/>
      <c r="E949" s="735" t="str">
        <f>"Max. acceptable HVL at "&amp;IF(avgkvp="TBD",avgkvp,ROUND(avgkvp,1))&amp;" kvp:"</f>
        <v>Max. acceptable HVL at 80 kvp:</v>
      </c>
      <c r="F949" s="736">
        <f>IF(avgkvp="TBD",avgkvp,$S$956)</f>
        <v>3.4</v>
      </c>
      <c r="G949" s="421">
        <f t="shared" si="156"/>
        <v>110</v>
      </c>
      <c r="H949" s="470">
        <f t="shared" si="156"/>
        <v>4.3127272727272734</v>
      </c>
      <c r="I949" s="416">
        <f t="shared" si="156"/>
        <v>3.8</v>
      </c>
      <c r="J949" s="546">
        <f t="shared" si="156"/>
        <v>4.8</v>
      </c>
      <c r="K949" s="81"/>
      <c r="L949" s="957" t="s">
        <v>482</v>
      </c>
      <c r="M949" s="374" t="s">
        <v>251</v>
      </c>
      <c r="N949" s="3"/>
      <c r="O949" s="3"/>
      <c r="P949" s="3"/>
      <c r="Q949" s="3" t="str">
        <f>IF(AND(U930="",T934&lt;&gt;""),"Meas.",IF(MAXAVG="","Set",MAXAVG))</f>
        <v>Max kV</v>
      </c>
      <c r="R949" s="3"/>
      <c r="S949" s="4"/>
      <c r="T949" s="3"/>
      <c r="U949" s="63"/>
      <c r="V949" s="3"/>
      <c r="W949" s="43"/>
      <c r="X949" s="939" t="s">
        <v>482</v>
      </c>
      <c r="Z949" s="434"/>
      <c r="AA949" s="568" t="s">
        <v>24</v>
      </c>
      <c r="AB949" s="615"/>
      <c r="AC949" s="317"/>
      <c r="AD949" s="317"/>
      <c r="AE949" s="792"/>
      <c r="AF949" s="793" t="s">
        <v>23</v>
      </c>
      <c r="AG949" s="794"/>
      <c r="AH949" s="791"/>
      <c r="AI949" s="791"/>
    </row>
    <row r="950" spans="1:35" ht="11.25" customHeight="1" thickBot="1">
      <c r="A950" s="857">
        <v>26</v>
      </c>
      <c r="B950" s="155"/>
      <c r="C950" s="423"/>
      <c r="D950" s="737"/>
      <c r="E950" s="423"/>
      <c r="F950" s="423"/>
      <c r="G950" s="421">
        <f t="shared" si="156"/>
        <v>120</v>
      </c>
      <c r="H950" s="470">
        <f t="shared" si="156"/>
        <v>4.7381818181818192</v>
      </c>
      <c r="I950" s="416">
        <f t="shared" si="156"/>
        <v>4.2</v>
      </c>
      <c r="J950" s="546">
        <f t="shared" si="156"/>
        <v>5.2</v>
      </c>
      <c r="K950" s="81"/>
      <c r="L950" s="957" t="s">
        <v>482</v>
      </c>
      <c r="M950" s="8" t="s">
        <v>252</v>
      </c>
      <c r="N950" s="6" t="s">
        <v>253</v>
      </c>
      <c r="O950" s="6" t="s">
        <v>255</v>
      </c>
      <c r="P950" s="6" t="s">
        <v>256</v>
      </c>
      <c r="Q950" s="6" t="s">
        <v>539</v>
      </c>
      <c r="R950" s="3"/>
      <c r="S950" s="6" t="str">
        <f>"HVL @"&amp;ROUND(avgkvp,2)&amp;" kVp ("&amp;IF(AND(U930="",T934&lt;&gt;""),"Meas.",IF(MAXAVG="","Set",MAXAVG))&amp;")"</f>
        <v>HVL @80 kVp (Max kV)</v>
      </c>
      <c r="T950" s="3"/>
      <c r="U950" s="572" t="str">
        <f>"Criteria:  "&amp;IF(M927=1,"MDPH STANDARD","MUSC STANDARD")</f>
        <v>Criteria:  MUSC STANDARD</v>
      </c>
      <c r="V950" s="63"/>
      <c r="W950" s="81"/>
      <c r="X950" s="939" t="s">
        <v>482</v>
      </c>
      <c r="Z950" s="3"/>
      <c r="AA950" s="417" t="s">
        <v>647</v>
      </c>
      <c r="AC950" s="198"/>
      <c r="AD950" s="317"/>
      <c r="AE950" s="795"/>
      <c r="AF950" s="796" t="s">
        <v>647</v>
      </c>
      <c r="AH950" s="795"/>
      <c r="AI950" s="791"/>
    </row>
    <row r="951" spans="1:35" ht="11.25" customHeight="1" thickTop="1" thickBot="1">
      <c r="A951" s="857">
        <v>27</v>
      </c>
      <c r="B951" s="155"/>
      <c r="C951" s="63"/>
      <c r="D951" s="63"/>
      <c r="E951" s="63"/>
      <c r="F951" s="63"/>
      <c r="G951" s="421">
        <f t="shared" si="156"/>
        <v>130</v>
      </c>
      <c r="H951" s="470">
        <f t="shared" si="156"/>
        <v>5.1636363636363649</v>
      </c>
      <c r="I951" s="416">
        <f t="shared" si="156"/>
        <v>4.5999999999999996</v>
      </c>
      <c r="J951" s="546">
        <f t="shared" si="156"/>
        <v>5.7</v>
      </c>
      <c r="K951" s="81"/>
      <c r="L951" s="957" t="s">
        <v>482</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0" t="str">
        <f>IF(OR(MIN(ALUMLOW:ALUMHIGH)=0,MIN(EXPLOW:EXPHIGH)=0),"TBD",TREND(ALUM,LN_EXP,LN(EXP_0/2)))</f>
        <v>TBD</v>
      </c>
      <c r="T951" s="3"/>
      <c r="U951" s="413" t="s">
        <v>245</v>
      </c>
      <c r="V951" s="413" t="s">
        <v>246</v>
      </c>
      <c r="W951" s="418" t="s">
        <v>247</v>
      </c>
      <c r="X951" s="939" t="s">
        <v>482</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7">
        <v>28</v>
      </c>
      <c r="B952" s="137" t="s">
        <v>629</v>
      </c>
      <c r="C952" s="1238" t="str">
        <f>IF(O946="","",IF(LEN(O946)&lt;=135,O946,IF(LEN(O946)&lt;=260,LEFT(O946,SEARCH(" ",O946,125)),LEFT(O946,SEARCH(" ",O946,130)))))</f>
        <v/>
      </c>
      <c r="D952" s="2"/>
      <c r="E952" s="2"/>
      <c r="F952" s="2"/>
      <c r="G952" s="2"/>
      <c r="H952" s="2"/>
      <c r="I952" s="2"/>
      <c r="J952" s="2"/>
      <c r="K952" s="81"/>
      <c r="L952" s="957" t="s">
        <v>482</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539</v>
      </c>
      <c r="U952" s="415" t="s">
        <v>249</v>
      </c>
      <c r="V952" s="415" t="s">
        <v>249</v>
      </c>
      <c r="W952" s="420" t="s">
        <v>249</v>
      </c>
      <c r="X952" s="939" t="s">
        <v>482</v>
      </c>
      <c r="Z952" s="419" t="s">
        <v>539</v>
      </c>
      <c r="AA952" s="415" t="s">
        <v>249</v>
      </c>
      <c r="AB952" s="415" t="s">
        <v>249</v>
      </c>
      <c r="AC952" s="771" t="s">
        <v>249</v>
      </c>
      <c r="AD952" s="317"/>
      <c r="AE952" s="799" t="s">
        <v>539</v>
      </c>
      <c r="AF952" s="800" t="s">
        <v>249</v>
      </c>
      <c r="AG952" s="800" t="s">
        <v>249</v>
      </c>
      <c r="AH952" s="801" t="s">
        <v>249</v>
      </c>
      <c r="AI952" s="791"/>
    </row>
    <row r="953" spans="1:35" ht="11.25" customHeight="1">
      <c r="A953" s="857">
        <v>29</v>
      </c>
      <c r="B953" s="52"/>
      <c r="C953" s="1239" t="str">
        <f>IF(LEN(O946)&lt;=135,"",IF(LEN(O946)&lt;=260,RIGHT(O946,LEN(O946)-SEARCH(" ",O946,125)),MID(O946,SEARCH(" ",O946,130),IF(LEN(O946)&lt;=265,LEN(O946),SEARCH(" ",O946,255)-SEARCH(" ",O946,130)))))</f>
        <v/>
      </c>
      <c r="D953" s="2"/>
      <c r="E953" s="2"/>
      <c r="F953" s="2"/>
      <c r="G953" s="2"/>
      <c r="H953" s="2"/>
      <c r="I953" s="2"/>
      <c r="J953" s="2"/>
      <c r="K953" s="81"/>
      <c r="L953" s="957" t="s">
        <v>482</v>
      </c>
      <c r="M953" s="53" t="str">
        <f>IF(M938="","",M938)</f>
        <v/>
      </c>
      <c r="N953" s="379" t="str">
        <f>IF(MIN(W938:W939)=0,"",AVERAGE(W938:W939))</f>
        <v/>
      </c>
      <c r="O953" s="15" t="str">
        <f>IF(EXP_2="","",ABS(EXP_2-EXP_0/2))</f>
        <v/>
      </c>
      <c r="P953" s="3"/>
      <c r="Q953" s="3"/>
      <c r="R953" s="620" t="s">
        <v>257</v>
      </c>
      <c r="S953" s="540"/>
      <c r="T953" s="421">
        <f t="shared" ref="T953:W960" si="157">IF($M$927=1,AE953,Z953)</f>
        <v>60</v>
      </c>
      <c r="U953" s="470">
        <f t="shared" si="157"/>
        <v>2.1854545454545447</v>
      </c>
      <c r="V953" s="416">
        <f t="shared" si="157"/>
        <v>1.9</v>
      </c>
      <c r="W953" s="422">
        <f t="shared" si="157"/>
        <v>2.4</v>
      </c>
      <c r="X953" s="939" t="s">
        <v>482</v>
      </c>
      <c r="Z953" s="421">
        <v>60</v>
      </c>
      <c r="AA953" s="570">
        <v>2.1854545454545447</v>
      </c>
      <c r="AB953" s="416">
        <f t="shared" ref="AB953:AB960" si="158">TRUNC(TREND($AA$953:$AA$960,$Z$953:$Z$960,0.9*Z953),1)</f>
        <v>1.9</v>
      </c>
      <c r="AC953" s="772">
        <f t="shared" ref="AC953:AC960" si="159">MAX(TRUNC(TREND($AA$953:$AA$960,$Z$953:$Z$960,1.1*Z953),1),ROUND(TREND($AA$953:$AA$960,$Z$953:$Z$960,1.1*Z953),1))</f>
        <v>2.4</v>
      </c>
      <c r="AD953" s="317"/>
      <c r="AE953" s="802">
        <v>50</v>
      </c>
      <c r="AF953" s="803">
        <v>1.5</v>
      </c>
      <c r="AG953" s="803">
        <v>1.5</v>
      </c>
      <c r="AH953" s="804">
        <v>1.7</v>
      </c>
      <c r="AI953" s="791"/>
    </row>
    <row r="954" spans="1:35" ht="11.25" customHeight="1" thickBot="1">
      <c r="A954" s="857">
        <v>30</v>
      </c>
      <c r="B954" s="52"/>
      <c r="C954" s="1238" t="str">
        <f>IF(LEN(O946)&lt;=265,"",RIGHT(O946,LEN(O946)-SEARCH(" ",O946,255)))</f>
        <v/>
      </c>
      <c r="D954" s="2"/>
      <c r="E954" s="2"/>
      <c r="F954" s="2"/>
      <c r="G954" s="2"/>
      <c r="H954" s="2"/>
      <c r="I954" s="2"/>
      <c r="J954" s="2"/>
      <c r="K954" s="81"/>
      <c r="L954" s="957" t="s">
        <v>482</v>
      </c>
      <c r="M954" s="53" t="str">
        <f>IF(M940="","",M940)</f>
        <v/>
      </c>
      <c r="N954" s="379" t="str">
        <f>IF(MIN(W940:W941)=0,"",AVERAGE(W940:W941))</f>
        <v/>
      </c>
      <c r="O954" s="15" t="str">
        <f>IF(EXP_3="","",ABS(EXP_3-EXP_0/2))</f>
        <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70">
        <f t="shared" si="157"/>
        <v>2.6109090909090904</v>
      </c>
      <c r="V954" s="416">
        <f t="shared" si="157"/>
        <v>2.2999999999999998</v>
      </c>
      <c r="W954" s="422">
        <f t="shared" si="157"/>
        <v>2.9</v>
      </c>
      <c r="X954" s="939" t="s">
        <v>482</v>
      </c>
      <c r="Z954" s="421">
        <v>70</v>
      </c>
      <c r="AA954" s="570">
        <v>2.6109090909090904</v>
      </c>
      <c r="AB954" s="416">
        <f t="shared" si="158"/>
        <v>2.2999999999999998</v>
      </c>
      <c r="AC954" s="772">
        <f t="shared" si="159"/>
        <v>2.9</v>
      </c>
      <c r="AD954" s="430"/>
      <c r="AE954" s="802">
        <v>60</v>
      </c>
      <c r="AF954" s="803">
        <v>1.5</v>
      </c>
      <c r="AG954" s="803">
        <v>1.5</v>
      </c>
      <c r="AH954" s="804">
        <v>1.7</v>
      </c>
      <c r="AI954" s="791"/>
    </row>
    <row r="955" spans="1:35" ht="11.25" customHeight="1" thickBot="1">
      <c r="A955" s="857">
        <v>31</v>
      </c>
      <c r="B955" s="155"/>
      <c r="C955" s="63"/>
      <c r="D955" s="63"/>
      <c r="E955" s="63"/>
      <c r="F955" s="63"/>
      <c r="G955" s="63"/>
      <c r="H955" s="63"/>
      <c r="I955" s="63"/>
      <c r="J955" s="63"/>
      <c r="K955" s="81"/>
      <c r="L955" s="957" t="s">
        <v>482</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70">
        <f t="shared" si="157"/>
        <v>3.0363636363636357</v>
      </c>
      <c r="V955" s="416">
        <f t="shared" si="157"/>
        <v>2.6</v>
      </c>
      <c r="W955" s="422">
        <f t="shared" si="157"/>
        <v>3.4</v>
      </c>
      <c r="X955" s="939" t="s">
        <v>482</v>
      </c>
      <c r="Z955" s="421">
        <v>80</v>
      </c>
      <c r="AA955" s="570">
        <v>3.0363636363636357</v>
      </c>
      <c r="AB955" s="416">
        <f t="shared" si="158"/>
        <v>2.6</v>
      </c>
      <c r="AC955" s="772">
        <f t="shared" si="159"/>
        <v>3.4</v>
      </c>
      <c r="AD955" s="317"/>
      <c r="AE955" s="805">
        <v>70</v>
      </c>
      <c r="AF955" s="806">
        <v>1.5</v>
      </c>
      <c r="AG955" s="806">
        <v>1.5</v>
      </c>
      <c r="AH955" s="807">
        <v>1.7</v>
      </c>
      <c r="AI955" s="791"/>
    </row>
    <row r="956" spans="1:35" ht="11.25" customHeight="1" thickBot="1">
      <c r="A956" s="857">
        <v>32</v>
      </c>
      <c r="B956" s="155"/>
      <c r="D956" s="63"/>
      <c r="E956" s="63"/>
      <c r="F956" s="63"/>
      <c r="G956" s="63"/>
      <c r="H956" s="63"/>
      <c r="I956" s="63"/>
      <c r="J956" s="63"/>
      <c r="K956" s="81"/>
      <c r="L956" s="957" t="s">
        <v>482</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70">
        <f t="shared" si="157"/>
        <v>3.4618181818181815</v>
      </c>
      <c r="V956" s="416">
        <f t="shared" si="157"/>
        <v>3</v>
      </c>
      <c r="W956" s="422">
        <f t="shared" si="157"/>
        <v>3.8</v>
      </c>
      <c r="X956" s="939" t="s">
        <v>482</v>
      </c>
      <c r="Z956" s="421">
        <v>90</v>
      </c>
      <c r="AA956" s="570">
        <v>3.4618181818181815</v>
      </c>
      <c r="AB956" s="416">
        <f t="shared" si="158"/>
        <v>3</v>
      </c>
      <c r="AC956" s="772">
        <f t="shared" si="159"/>
        <v>3.8</v>
      </c>
      <c r="AD956" s="317"/>
      <c r="AE956" s="802">
        <v>80</v>
      </c>
      <c r="AF956" s="803">
        <v>2.2999999999999998</v>
      </c>
      <c r="AG956" s="803">
        <v>2.2999999999999998</v>
      </c>
      <c r="AH956" s="804">
        <v>2.7</v>
      </c>
      <c r="AI956" s="791"/>
    </row>
    <row r="957" spans="1:35" ht="11.25" customHeight="1" thickBot="1">
      <c r="A957" s="857">
        <v>33</v>
      </c>
      <c r="B957" s="197"/>
      <c r="D957" s="45"/>
      <c r="E957" s="45"/>
      <c r="F957" s="45"/>
      <c r="G957" s="45"/>
      <c r="H957" s="45"/>
      <c r="I957" s="45"/>
      <c r="J957" s="45"/>
      <c r="K957" s="603"/>
      <c r="L957" s="957" t="s">
        <v>482</v>
      </c>
      <c r="M957" s="1188" t="str">
        <f>HVL</f>
        <v>TBD</v>
      </c>
      <c r="N957" s="1196" t="str">
        <f>IF(HVL="TBD","TBD",EXP(TREND(LN_EXP,ALUM,M957)))</f>
        <v>TBD</v>
      </c>
      <c r="O957" s="3"/>
      <c r="P957" s="3"/>
      <c r="Q957" s="3"/>
      <c r="R957" s="3"/>
      <c r="S957" s="3"/>
      <c r="T957" s="421">
        <f t="shared" si="157"/>
        <v>100</v>
      </c>
      <c r="U957" s="470">
        <f t="shared" si="157"/>
        <v>3.8872727272727272</v>
      </c>
      <c r="V957" s="416">
        <f t="shared" si="157"/>
        <v>3.4</v>
      </c>
      <c r="W957" s="422">
        <f t="shared" si="157"/>
        <v>4.3</v>
      </c>
      <c r="X957" s="939" t="s">
        <v>482</v>
      </c>
      <c r="Z957" s="421">
        <v>100</v>
      </c>
      <c r="AA957" s="570">
        <v>3.8872727272727272</v>
      </c>
      <c r="AB957" s="416">
        <f t="shared" si="158"/>
        <v>3.4</v>
      </c>
      <c r="AC957" s="772">
        <f t="shared" si="159"/>
        <v>4.3</v>
      </c>
      <c r="AD957" s="317"/>
      <c r="AE957" s="802">
        <v>90</v>
      </c>
      <c r="AF957" s="803">
        <v>2.5</v>
      </c>
      <c r="AG957" s="803">
        <v>2.5</v>
      </c>
      <c r="AH957" s="804">
        <v>3</v>
      </c>
      <c r="AI957" s="791"/>
    </row>
    <row r="958" spans="1:35" ht="11.25" customHeight="1" thickBot="1">
      <c r="A958" s="857">
        <v>34</v>
      </c>
      <c r="B958" s="441"/>
      <c r="C958" s="604"/>
      <c r="D958" s="604"/>
      <c r="E958" s="604"/>
      <c r="F958" s="605"/>
      <c r="G958" s="94"/>
      <c r="H958" s="604"/>
      <c r="I958" s="604"/>
      <c r="J958" s="604"/>
      <c r="K958" s="606"/>
      <c r="L958" s="957" t="s">
        <v>482</v>
      </c>
      <c r="M958" s="52"/>
      <c r="N958" s="3"/>
      <c r="P958" s="3"/>
      <c r="Q958" s="3"/>
      <c r="R958" s="1040" t="s">
        <v>646</v>
      </c>
      <c r="S958" s="1021" t="str">
        <f>IF(OR($W$934="",$W$934=0,$W$936="",$W$936=0),"TBD",IF(AND(ROUND(HVL,2)&gt;=$S$954,TRUNC(100*HVL)/100&lt;=S956),"YES","NO"))</f>
        <v>TBD</v>
      </c>
      <c r="T958" s="421">
        <f t="shared" si="157"/>
        <v>110</v>
      </c>
      <c r="U958" s="470">
        <f t="shared" si="157"/>
        <v>4.3127272727272734</v>
      </c>
      <c r="V958" s="416">
        <f t="shared" si="157"/>
        <v>3.8</v>
      </c>
      <c r="W958" s="422">
        <f t="shared" si="157"/>
        <v>4.8</v>
      </c>
      <c r="X958" s="939" t="s">
        <v>482</v>
      </c>
      <c r="Z958" s="421">
        <v>110</v>
      </c>
      <c r="AA958" s="570">
        <v>4.3127272727272734</v>
      </c>
      <c r="AB958" s="416">
        <f t="shared" si="158"/>
        <v>3.8</v>
      </c>
      <c r="AC958" s="772">
        <f t="shared" si="159"/>
        <v>4.8</v>
      </c>
      <c r="AD958" s="430"/>
      <c r="AE958" s="802">
        <v>100</v>
      </c>
      <c r="AF958" s="803">
        <v>2.7</v>
      </c>
      <c r="AG958" s="803">
        <v>2.7</v>
      </c>
      <c r="AH958" s="804">
        <v>3.2</v>
      </c>
      <c r="AI958" s="791"/>
    </row>
    <row r="959" spans="1:35" ht="11.25" customHeight="1" thickTop="1" thickBot="1">
      <c r="A959" s="857">
        <v>35</v>
      </c>
      <c r="L959" s="957" t="s">
        <v>482</v>
      </c>
      <c r="M959" s="197"/>
      <c r="N959" s="3"/>
      <c r="O959" s="3"/>
      <c r="P959" s="3"/>
      <c r="Q959" s="3"/>
      <c r="R959" s="1040" t="s">
        <v>1161</v>
      </c>
      <c r="S959" s="1021" t="str">
        <f>IF(OR($W$934="",$W$934=0,$W$936="",$W$936=0),"TBD",IF(ROUND(HVL,2)&gt;=$S$954,"YES","NO"))</f>
        <v>TBD</v>
      </c>
      <c r="T959" s="421">
        <f t="shared" si="157"/>
        <v>120</v>
      </c>
      <c r="U959" s="470">
        <f t="shared" si="157"/>
        <v>4.7381818181818192</v>
      </c>
      <c r="V959" s="416">
        <f t="shared" si="157"/>
        <v>4.2</v>
      </c>
      <c r="W959" s="422">
        <f t="shared" si="157"/>
        <v>5.2</v>
      </c>
      <c r="X959" s="939" t="s">
        <v>482</v>
      </c>
      <c r="Z959" s="421">
        <v>120</v>
      </c>
      <c r="AA959" s="570">
        <v>4.7381818181818192</v>
      </c>
      <c r="AB959" s="416">
        <f t="shared" si="158"/>
        <v>4.2</v>
      </c>
      <c r="AC959" s="772">
        <f t="shared" si="159"/>
        <v>5.2</v>
      </c>
      <c r="AD959" s="430"/>
      <c r="AE959" s="802">
        <v>110</v>
      </c>
      <c r="AF959" s="803">
        <v>3</v>
      </c>
      <c r="AG959" s="803">
        <v>3</v>
      </c>
      <c r="AH959" s="808">
        <v>3.5</v>
      </c>
      <c r="AI959" s="791"/>
    </row>
    <row r="960" spans="1:35" ht="11.25" customHeight="1" thickBot="1">
      <c r="A960" s="857">
        <v>36</v>
      </c>
      <c r="L960" s="957" t="s">
        <v>482</v>
      </c>
      <c r="M960" s="441"/>
      <c r="N960" s="94"/>
      <c r="O960" s="94"/>
      <c r="P960" s="94"/>
      <c r="Q960" s="94"/>
      <c r="R960" s="94"/>
      <c r="S960" s="94"/>
      <c r="T960" s="532">
        <f t="shared" si="157"/>
        <v>130</v>
      </c>
      <c r="U960" s="623">
        <f t="shared" si="157"/>
        <v>5.1636363636363649</v>
      </c>
      <c r="V960" s="533">
        <f t="shared" si="157"/>
        <v>4.5999999999999996</v>
      </c>
      <c r="W960" s="534">
        <f t="shared" si="157"/>
        <v>5.7</v>
      </c>
      <c r="X960" s="939" t="s">
        <v>482</v>
      </c>
      <c r="Z960" s="421">
        <v>130</v>
      </c>
      <c r="AA960" s="569">
        <v>5.1636363636363649</v>
      </c>
      <c r="AB960" s="416">
        <f t="shared" si="158"/>
        <v>4.5999999999999996</v>
      </c>
      <c r="AC960" s="772">
        <f t="shared" si="159"/>
        <v>5.7</v>
      </c>
      <c r="AD960" s="317"/>
      <c r="AE960" s="802">
        <v>120</v>
      </c>
      <c r="AF960" s="808">
        <f>TREND(AF956:AF959,AE956:AE959,AE960)</f>
        <v>3.2</v>
      </c>
      <c r="AG960" s="803">
        <v>3.2</v>
      </c>
      <c r="AH960" s="804">
        <f>TREND(AH956:AH959,AE956:AE959,AE960)</f>
        <v>3.7499999999999996</v>
      </c>
      <c r="AI960" s="791"/>
    </row>
    <row r="961" spans="1:35" ht="11.25" customHeight="1" thickTop="1">
      <c r="A961" s="857">
        <v>37</v>
      </c>
      <c r="B961" s="45"/>
      <c r="C961" s="45"/>
      <c r="D961" s="45"/>
      <c r="E961" s="45"/>
      <c r="F961" s="45"/>
      <c r="G961" s="45"/>
      <c r="H961" s="45"/>
      <c r="I961" s="45"/>
      <c r="J961" s="45"/>
      <c r="K961" s="45"/>
      <c r="L961" s="957" t="s">
        <v>482</v>
      </c>
      <c r="M961" s="45"/>
      <c r="N961" s="63"/>
      <c r="O961" s="63"/>
      <c r="P961" s="63"/>
      <c r="Q961" s="63"/>
      <c r="R961" s="63"/>
      <c r="S961" s="63"/>
      <c r="T961" s="63"/>
      <c r="U961" s="63"/>
      <c r="V961" s="63"/>
      <c r="W961" s="63"/>
      <c r="X961" s="939" t="s">
        <v>482</v>
      </c>
      <c r="Y961" s="198"/>
      <c r="Z961" s="430"/>
      <c r="AA961" s="430"/>
      <c r="AB961" s="430"/>
      <c r="AC961" s="430"/>
      <c r="AD961" s="430"/>
      <c r="AE961" s="791"/>
      <c r="AF961" s="791"/>
      <c r="AG961" s="791"/>
      <c r="AH961" s="791"/>
      <c r="AI961" s="791"/>
    </row>
    <row r="962" spans="1:35" ht="11.25" customHeight="1" thickBot="1">
      <c r="A962" s="857">
        <v>38</v>
      </c>
      <c r="B962" s="63"/>
      <c r="C962" s="63"/>
      <c r="D962" s="63"/>
      <c r="E962" s="63"/>
      <c r="F962" s="63"/>
      <c r="G962" s="63"/>
      <c r="H962" s="63"/>
      <c r="I962" s="63"/>
      <c r="J962" s="63"/>
      <c r="K962" s="63"/>
      <c r="L962" s="957" t="s">
        <v>482</v>
      </c>
      <c r="M962" s="1733" t="str">
        <f>ROUND(AD918,1)&amp;" kV"</f>
        <v>0 kV</v>
      </c>
      <c r="N962" s="1733"/>
      <c r="R962" s="993" t="s">
        <v>447</v>
      </c>
      <c r="S962" s="994" t="str">
        <f>IF(OR(AB480=0,AB480=""),"",AB480)</f>
        <v/>
      </c>
      <c r="X962" s="939" t="s">
        <v>482</v>
      </c>
    </row>
    <row r="963" spans="1:35" ht="11.25" customHeight="1" thickBot="1">
      <c r="A963" s="857">
        <v>39</v>
      </c>
      <c r="B963" s="63"/>
      <c r="C963" s="63"/>
      <c r="D963" s="63"/>
      <c r="E963" s="63"/>
      <c r="F963" s="63"/>
      <c r="G963" s="63"/>
      <c r="H963" s="63"/>
      <c r="I963" s="63"/>
      <c r="J963" s="63"/>
      <c r="K963" s="63"/>
      <c r="L963" s="957" t="s">
        <v>482</v>
      </c>
      <c r="M963" s="1189" t="s">
        <v>252</v>
      </c>
      <c r="N963" s="1190" t="s">
        <v>253</v>
      </c>
      <c r="S963" s="1008" t="str">
        <f>IF(OR(AB481=0,AB481=""),"",AB481)</f>
        <v/>
      </c>
      <c r="X963" s="939" t="s">
        <v>482</v>
      </c>
      <c r="Y963" s="1532" t="s">
        <v>123</v>
      </c>
      <c r="Z963" s="1533" t="s">
        <v>245</v>
      </c>
    </row>
    <row r="964" spans="1:35" ht="11.25" customHeight="1">
      <c r="A964" s="857">
        <v>40</v>
      </c>
      <c r="B964" s="63"/>
      <c r="C964" s="63"/>
      <c r="D964" s="63"/>
      <c r="E964" s="63"/>
      <c r="F964" s="63"/>
      <c r="G964" s="63"/>
      <c r="H964" s="63"/>
      <c r="I964" s="63"/>
      <c r="J964" s="63"/>
      <c r="K964" s="63"/>
      <c r="L964" s="957" t="s">
        <v>482</v>
      </c>
      <c r="M964" s="1191" t="e">
        <f>IF(AF918="TBD","TBD",SMALL($Z$918:$Z$922,2))</f>
        <v>#NUM!</v>
      </c>
      <c r="N964" s="1192" t="e">
        <f>IF(AF918="TBD","TBD",IF(M964="",NA(),INDEX($AA$918:$AA$922,MATCH(M964,$Z$918:$Z$922,0))))</f>
        <v>#NUM!</v>
      </c>
      <c r="X964" s="939" t="s">
        <v>482</v>
      </c>
      <c r="Y964" s="1582">
        <f>AD918</f>
        <v>0</v>
      </c>
      <c r="Z964" s="1583" t="e">
        <f>AVERAGE(AT637:AT638)</f>
        <v>#DIV/0!</v>
      </c>
    </row>
    <row r="965" spans="1:35" ht="11.25" customHeight="1">
      <c r="A965" s="857">
        <v>41</v>
      </c>
      <c r="B965" s="63"/>
      <c r="C965" s="63"/>
      <c r="D965" s="63"/>
      <c r="E965" s="63"/>
      <c r="F965" s="63"/>
      <c r="G965" s="63"/>
      <c r="H965" s="63"/>
      <c r="I965" s="63"/>
      <c r="J965" s="63"/>
      <c r="K965" s="63"/>
      <c r="L965" s="957" t="s">
        <v>482</v>
      </c>
      <c r="M965" s="1193" t="e">
        <f>IF(AF918="TBD","TBD",SMALL($Z$918:$Z$922,3))</f>
        <v>#NUM!</v>
      </c>
      <c r="N965" s="1192" t="e">
        <f>IF(AF918="TBD","TBD",IF(M965="",NA(),INDEX($AA$918:$AA$922,MATCH(M965,$Z$918:$Z$922,0))))</f>
        <v>#NUM!</v>
      </c>
      <c r="X965" s="939" t="s">
        <v>482</v>
      </c>
      <c r="Y965" s="1584">
        <f>avgkvp</f>
        <v>80</v>
      </c>
      <c r="Z965" s="1585" t="str">
        <f>HVL</f>
        <v>TBD</v>
      </c>
    </row>
    <row r="966" spans="1:35" ht="11.25" customHeight="1">
      <c r="A966" s="857">
        <v>42</v>
      </c>
      <c r="L966" s="957" t="s">
        <v>482</v>
      </c>
      <c r="M966" s="1193" t="e">
        <f>IF(AF918="TBD","TBD",SMALL($Z$918:$Z$922,4))</f>
        <v>#NUM!</v>
      </c>
      <c r="N966" s="1192" t="e">
        <f>IF(AF918="TBD","TBD",IF(M966="",NA(),INDEX($AA$918:$AA$922,MATCH(M966,$Z$918:$Z$922,0))))</f>
        <v>#NUM!</v>
      </c>
      <c r="X966" s="939" t="s">
        <v>482</v>
      </c>
      <c r="Y966" s="1584">
        <f>AD928</f>
        <v>0</v>
      </c>
      <c r="Z966" s="1585" t="e">
        <f>AVERAGE(AT654:AT655)</f>
        <v>#DIV/0!</v>
      </c>
    </row>
    <row r="967" spans="1:35" ht="11.25" customHeight="1" thickBot="1">
      <c r="A967" s="857">
        <v>43</v>
      </c>
      <c r="L967" s="957" t="s">
        <v>482</v>
      </c>
      <c r="M967" s="1194" t="e">
        <f>IF(AF918="TBD","TBD",IF(Z921="",NA(),SMALL($Z$918:$Z$922,5)))</f>
        <v>#N/A</v>
      </c>
      <c r="N967" s="1195" t="e">
        <f>IF(AF918="TBD","TBD",IF(M967="",NA(),INDEX($AA$918:$AA$922,MATCH(M967,$Z$918:$Z$922,0))))</f>
        <v>#N/A</v>
      </c>
      <c r="X967" s="939" t="s">
        <v>482</v>
      </c>
      <c r="Y967" s="1586">
        <f>AD938</f>
        <v>0</v>
      </c>
      <c r="Z967" s="1587" t="e">
        <f>AVERAGE(AT656:AT657)</f>
        <v>#DIV/0!</v>
      </c>
    </row>
    <row r="968" spans="1:35" ht="11.25" customHeight="1">
      <c r="A968" s="857">
        <v>44</v>
      </c>
      <c r="L968" s="957" t="s">
        <v>482</v>
      </c>
      <c r="O968" s="1187"/>
      <c r="X968" s="939" t="s">
        <v>482</v>
      </c>
      <c r="Y968" s="138">
        <f>AO658</f>
        <v>0</v>
      </c>
      <c r="Z968" s="138">
        <f>AT658</f>
        <v>0</v>
      </c>
    </row>
    <row r="969" spans="1:35" ht="11.25" customHeight="1" thickBot="1">
      <c r="A969" s="857">
        <v>45</v>
      </c>
      <c r="L969" s="957" t="s">
        <v>482</v>
      </c>
      <c r="M969" s="1733" t="str">
        <f>ROUND(AD928,1)&amp;" kV"</f>
        <v>0 kV</v>
      </c>
      <c r="N969" s="1733"/>
      <c r="O969" s="1187"/>
      <c r="X969" s="939" t="s">
        <v>482</v>
      </c>
      <c r="Y969" s="138">
        <f>AO659</f>
        <v>0</v>
      </c>
      <c r="Z969" s="138">
        <f>AT659</f>
        <v>0</v>
      </c>
    </row>
    <row r="970" spans="1:35" ht="11.25" customHeight="1" thickBot="1">
      <c r="A970" s="857">
        <v>46</v>
      </c>
      <c r="L970" s="957" t="s">
        <v>482</v>
      </c>
      <c r="M970" s="1189" t="s">
        <v>252</v>
      </c>
      <c r="N970" s="1190" t="s">
        <v>253</v>
      </c>
      <c r="O970" s="1187"/>
      <c r="X970" s="939" t="s">
        <v>482</v>
      </c>
      <c r="Y970" s="138" t="e">
        <f>AVERAGE(AO637:AO638)</f>
        <v>#DIV/0!</v>
      </c>
      <c r="Z970" s="138" t="e">
        <f>AVERAGE(AT637:AT638)</f>
        <v>#DIV/0!</v>
      </c>
    </row>
    <row r="971" spans="1:35" ht="11.25" customHeight="1">
      <c r="A971" s="857">
        <v>47</v>
      </c>
      <c r="L971" s="957" t="s">
        <v>482</v>
      </c>
      <c r="M971" s="1191" t="e">
        <f>IF(AF928="TBD","TBD",SMALL($Z$928:$Z$932,2))</f>
        <v>#NUM!</v>
      </c>
      <c r="N971" s="1192" t="e">
        <f>IF(AF928="TBD","TBD",IF(M971="",NA(),INDEX($AA$928:$AA$932,MATCH(M971,$Z$928:$Z$932,0))))</f>
        <v>#NUM!</v>
      </c>
      <c r="O971" s="1187"/>
      <c r="X971" s="939" t="s">
        <v>482</v>
      </c>
      <c r="Y971" s="138">
        <f>AO660</f>
        <v>0</v>
      </c>
      <c r="Z971" s="138">
        <f>AT660</f>
        <v>0</v>
      </c>
    </row>
    <row r="972" spans="1:35" ht="11.25" customHeight="1">
      <c r="A972" s="857">
        <v>48</v>
      </c>
      <c r="L972" s="957" t="s">
        <v>482</v>
      </c>
      <c r="M972" s="1193" t="e">
        <f>IF(AF928="TBD","TBD",SMALL($Z$928:$Z$932,3))</f>
        <v>#NUM!</v>
      </c>
      <c r="N972" s="1192" t="e">
        <f>IF(AF928="TBD","TBD",IF(M972="",NA(),INDEX($AA$928:$AA$932,MATCH(M972,$Z$928:$Z$932,0))))</f>
        <v>#NUM!</v>
      </c>
      <c r="O972" s="1187"/>
      <c r="X972" s="939" t="s">
        <v>482</v>
      </c>
      <c r="Y972" s="138" t="e">
        <f>AVERAGE(AO639:AO643)</f>
        <v>#DIV/0!</v>
      </c>
      <c r="Z972" s="138" t="str">
        <f>HVL</f>
        <v>TBD</v>
      </c>
    </row>
    <row r="973" spans="1:35" ht="11.25" customHeight="1">
      <c r="A973" s="857">
        <v>49</v>
      </c>
      <c r="L973" s="957" t="s">
        <v>482</v>
      </c>
      <c r="M973" s="1193" t="e">
        <f>IF(AF928="TBD","TBD",SMALL($Z$928:$Z$932,4))</f>
        <v>#NUM!</v>
      </c>
      <c r="N973" s="1192" t="e">
        <f>IF(AF928="TBD","TBD",IF(M973="",NA(),INDEX($AA$928:$AA$932,MATCH(M973,$Z$928:$Z$932,0))))</f>
        <v>#NUM!</v>
      </c>
      <c r="O973" s="1187"/>
      <c r="X973" s="939" t="s">
        <v>482</v>
      </c>
      <c r="Y973" s="138" t="e">
        <f>AVERAGE(AO661:AO665)</f>
        <v>#DIV/0!</v>
      </c>
      <c r="Z973" s="138" t="e">
        <f>AVERAGE(AT661:AT665)</f>
        <v>#DIV/0!</v>
      </c>
    </row>
    <row r="974" spans="1:35" ht="11.25" customHeight="1" thickBot="1">
      <c r="A974" s="857">
        <v>50</v>
      </c>
      <c r="L974" s="957" t="s">
        <v>482</v>
      </c>
      <c r="M974" s="1194" t="e">
        <f>IF(AF928="TBD","TBD",IF(Z931="",NA(),SMALL($Z$928:$Z$932,5)))</f>
        <v>#N/A</v>
      </c>
      <c r="N974" s="1195" t="e">
        <f>IF(AF928="TBD","TBD",IF(M974="",NA(),INDEX($AA$928:$AA$932,MATCH(M974,$Z$928:$Z$932,0))))</f>
        <v>#N/A</v>
      </c>
      <c r="X974" s="939" t="s">
        <v>482</v>
      </c>
      <c r="Y974" s="138" t="e">
        <f>AVERAGE(AO654:AO655)</f>
        <v>#DIV/0!</v>
      </c>
      <c r="Z974" s="138" t="e">
        <f>AVERAGE(AT654:AT655)</f>
        <v>#DIV/0!</v>
      </c>
    </row>
    <row r="975" spans="1:35" ht="11.25" customHeight="1">
      <c r="A975" s="857">
        <v>51</v>
      </c>
      <c r="L975" s="957" t="s">
        <v>482</v>
      </c>
      <c r="X975" s="939" t="s">
        <v>482</v>
      </c>
      <c r="Y975" s="138">
        <f>AO671</f>
        <v>0</v>
      </c>
      <c r="Z975" s="138">
        <f>AT671</f>
        <v>0</v>
      </c>
    </row>
    <row r="976" spans="1:35" ht="11.25" customHeight="1" thickBot="1">
      <c r="A976" s="857">
        <v>52</v>
      </c>
      <c r="L976" s="957" t="s">
        <v>482</v>
      </c>
      <c r="M976" s="1733" t="str">
        <f>ROUND(I937,1)&amp;" kV"</f>
        <v>80 kV</v>
      </c>
      <c r="N976" s="1733"/>
      <c r="X976" s="939" t="s">
        <v>482</v>
      </c>
      <c r="Y976" s="138" t="e">
        <f>AVERAGE(AO656:AO657)</f>
        <v>#DIV/0!</v>
      </c>
      <c r="Z976" s="138" t="e">
        <f>AVERAGE(AT656:AT657)</f>
        <v>#DIV/0!</v>
      </c>
    </row>
    <row r="977" spans="1:26" ht="11.25" customHeight="1" thickBot="1">
      <c r="A977" s="857">
        <v>53</v>
      </c>
      <c r="L977" s="957" t="s">
        <v>482</v>
      </c>
      <c r="M977" s="1189" t="s">
        <v>252</v>
      </c>
      <c r="N977" s="1190" t="s">
        <v>253</v>
      </c>
      <c r="X977" s="939" t="s">
        <v>482</v>
      </c>
      <c r="Y977" s="138">
        <f>AO672</f>
        <v>0</v>
      </c>
      <c r="Z977" s="138">
        <f>AT672</f>
        <v>0</v>
      </c>
    </row>
    <row r="978" spans="1:26" ht="11.25" customHeight="1">
      <c r="A978" s="857">
        <v>54</v>
      </c>
      <c r="L978" s="957" t="s">
        <v>482</v>
      </c>
      <c r="M978" s="1191" t="str">
        <f>IF(HVL="TBD","TBD",SMALL($M$951:$M$957,2))</f>
        <v>TBD</v>
      </c>
      <c r="N978" s="1192" t="str">
        <f t="shared" ref="N978:N983" si="160">IF(HVL="TBD","TBD",IF(M978="",NA(),INDEX($N$951:$N$957,MATCH(M978,$M$951:$M$957,0))))</f>
        <v>TBD</v>
      </c>
      <c r="X978" s="939" t="s">
        <v>482</v>
      </c>
      <c r="Y978" s="138">
        <f>AO658</f>
        <v>0</v>
      </c>
      <c r="Z978" s="138">
        <f>AT658</f>
        <v>0</v>
      </c>
    </row>
    <row r="979" spans="1:26" ht="11.25" customHeight="1">
      <c r="A979" s="857">
        <v>55</v>
      </c>
      <c r="L979" s="957" t="s">
        <v>482</v>
      </c>
      <c r="M979" s="1193" t="str">
        <f>IF(HVL="TBD","TBD",SMALL($M$951:$M$957,3))</f>
        <v>TBD</v>
      </c>
      <c r="N979" s="1192" t="str">
        <f t="shared" si="160"/>
        <v>TBD</v>
      </c>
      <c r="X979" s="939" t="s">
        <v>482</v>
      </c>
    </row>
    <row r="980" spans="1:26" ht="11.25" customHeight="1">
      <c r="A980" s="857">
        <v>56</v>
      </c>
      <c r="L980" s="957" t="s">
        <v>482</v>
      </c>
      <c r="M980" s="1193" t="str">
        <f>IF(HVL="TBD","TBD",SMALL($M$951:$M$957,4))</f>
        <v>TBD</v>
      </c>
      <c r="N980" s="1192" t="str">
        <f t="shared" si="160"/>
        <v>TBD</v>
      </c>
      <c r="X980" s="939" t="s">
        <v>482</v>
      </c>
    </row>
    <row r="981" spans="1:26" ht="11.25" customHeight="1">
      <c r="A981" s="857">
        <v>57</v>
      </c>
      <c r="L981" s="957" t="s">
        <v>482</v>
      </c>
      <c r="M981" s="1193" t="str">
        <f>IF(HVL="TBD","TBD",IF(ALUM_3="",NA(),SMALL($M$951:$M$957,5)))</f>
        <v>TBD</v>
      </c>
      <c r="N981" s="1192" t="str">
        <f t="shared" si="160"/>
        <v>TBD</v>
      </c>
      <c r="X981" s="939" t="s">
        <v>482</v>
      </c>
    </row>
    <row r="982" spans="1:26" ht="11.25" customHeight="1">
      <c r="A982" s="857">
        <v>58</v>
      </c>
      <c r="L982" s="957" t="s">
        <v>482</v>
      </c>
      <c r="M982" s="1193" t="str">
        <f>IF(HVL="TBD","TBD",IF(ALUM_4="",NA(),SMALL($M$951:$M$957,6)))</f>
        <v>TBD</v>
      </c>
      <c r="N982" s="1192" t="str">
        <f t="shared" si="160"/>
        <v>TBD</v>
      </c>
      <c r="X982" s="939" t="s">
        <v>482</v>
      </c>
    </row>
    <row r="983" spans="1:26" ht="11.25" customHeight="1" thickBot="1">
      <c r="A983" s="857">
        <v>59</v>
      </c>
      <c r="L983" s="957" t="s">
        <v>482</v>
      </c>
      <c r="M983" s="1194" t="str">
        <f>IF(HVL="TBD","TBD",IF(ALUM_5="",NA(),SMALL($M$951:$M$957,7)))</f>
        <v>TBD</v>
      </c>
      <c r="N983" s="1195" t="str">
        <f t="shared" si="160"/>
        <v>TBD</v>
      </c>
      <c r="X983" s="939" t="s">
        <v>482</v>
      </c>
    </row>
    <row r="984" spans="1:26" ht="11.25" customHeight="1">
      <c r="A984" s="857">
        <v>60</v>
      </c>
      <c r="L984" s="957" t="s">
        <v>482</v>
      </c>
      <c r="X984" s="939" t="s">
        <v>482</v>
      </c>
    </row>
    <row r="985" spans="1:26" ht="11.25" customHeight="1" thickBot="1">
      <c r="A985" s="857">
        <v>61</v>
      </c>
      <c r="L985" s="957" t="s">
        <v>482</v>
      </c>
      <c r="M985" s="1733" t="str">
        <f>ROUND(AD938,1)&amp;" kV"</f>
        <v>0 kV</v>
      </c>
      <c r="N985" s="1733"/>
      <c r="X985" s="939" t="s">
        <v>482</v>
      </c>
    </row>
    <row r="986" spans="1:26" ht="11.25" customHeight="1" thickBot="1">
      <c r="A986" s="857">
        <v>62</v>
      </c>
      <c r="L986" s="957" t="s">
        <v>482</v>
      </c>
      <c r="M986" s="1189" t="s">
        <v>252</v>
      </c>
      <c r="N986" s="1190" t="s">
        <v>253</v>
      </c>
      <c r="X986" s="939" t="s">
        <v>482</v>
      </c>
    </row>
    <row r="987" spans="1:26" ht="11.25" customHeight="1">
      <c r="A987" s="857">
        <v>63</v>
      </c>
      <c r="L987" s="957" t="s">
        <v>482</v>
      </c>
      <c r="M987" s="1191" t="e">
        <f>IF(AF938="TBD","TBD",SMALL($Z$938:$Z$942,2))</f>
        <v>#NUM!</v>
      </c>
      <c r="N987" s="1192" t="e">
        <f>IF(AF938="TBD","TBD",IF(M987="",NA(),INDEX($AA$938:$AA$942,MATCH(M987,$Z$938:$Z$942,0))))</f>
        <v>#NUM!</v>
      </c>
      <c r="X987" s="939" t="s">
        <v>482</v>
      </c>
    </row>
    <row r="988" spans="1:26" ht="11.25" customHeight="1">
      <c r="A988" s="857">
        <v>64</v>
      </c>
      <c r="L988" s="957" t="s">
        <v>482</v>
      </c>
      <c r="M988" s="1193" t="e">
        <f>IF(AF938="TBD","TBD",SMALL($Z$938:$Z$942,3))</f>
        <v>#NUM!</v>
      </c>
      <c r="N988" s="1192" t="e">
        <f>IF(AF938="TBD","TBD",IF(M988="",NA(),INDEX($AA$938:$AA$942,MATCH(M988,$Z$938:$Z$942,0))))</f>
        <v>#NUM!</v>
      </c>
      <c r="X988" s="939" t="s">
        <v>482</v>
      </c>
    </row>
    <row r="989" spans="1:26" ht="11.25" customHeight="1">
      <c r="A989" s="857">
        <v>65</v>
      </c>
      <c r="B989" s="60" t="str">
        <f t="array" ref="B989:C990">$B$65:$C$66</f>
        <v>Date:</v>
      </c>
      <c r="C989" s="1664" t="str">
        <v/>
      </c>
      <c r="D989" s="140"/>
      <c r="E989" s="140"/>
      <c r="F989" s="140"/>
      <c r="G989" s="140"/>
      <c r="H989" s="140"/>
      <c r="I989" s="60" t="str">
        <f t="array" ref="I989:J990">$I$65:$J$66</f>
        <v>Inspector:</v>
      </c>
      <c r="J989" s="554" t="str">
        <v>Eugene Mah</v>
      </c>
      <c r="L989" s="957" t="s">
        <v>482</v>
      </c>
      <c r="M989" s="1193" t="e">
        <f>IF(AF938="TBD","TBD",SMALL($Z$938:$Z$942,4))</f>
        <v>#NUM!</v>
      </c>
      <c r="N989" s="1192" t="e">
        <f>IF(AF938="TBD","TBD",IF(M989="",NA(),INDEX($AA$938:$AA$942,MATCH(M989,$Z$938:$Z$942,0))))</f>
        <v>#NUM!</v>
      </c>
      <c r="X989" s="939" t="s">
        <v>482</v>
      </c>
    </row>
    <row r="990" spans="1:26" ht="11.25" customHeight="1" thickBot="1">
      <c r="A990" s="857">
        <v>66</v>
      </c>
      <c r="B990" s="60" t="str">
        <v>Room Number:</v>
      </c>
      <c r="C990" s="499" t="str">
        <v/>
      </c>
      <c r="D990" s="140"/>
      <c r="E990" s="140"/>
      <c r="F990" s="140"/>
      <c r="G990" s="140"/>
      <c r="H990" s="140"/>
      <c r="I990" s="60" t="str">
        <v>Survey ID:</v>
      </c>
      <c r="J990" s="1404" t="str">
        <v/>
      </c>
      <c r="L990" s="957" t="s">
        <v>482</v>
      </c>
      <c r="M990" s="1194" t="e">
        <f>IF(AF938="TBD","TBD",IF(Z941="",NA(),SMALL($Z$938:$Z$942,5)))</f>
        <v>#N/A</v>
      </c>
      <c r="N990" s="1195" t="e">
        <f>IF(AF938="TBD","TBD",IF(M990="",NA(),INDEX($AA$938:$AA$942,MATCH(M990,$Z$938:$Z$942,0))))</f>
        <v>#N/A</v>
      </c>
      <c r="P990" s="1357"/>
      <c r="X990" s="939" t="s">
        <v>482</v>
      </c>
    </row>
    <row r="991" spans="1:26" ht="11.25" customHeight="1">
      <c r="A991" s="857">
        <v>1</v>
      </c>
      <c r="B991" s="1"/>
      <c r="C991" s="1"/>
      <c r="D991" s="1"/>
      <c r="E991" s="1"/>
      <c r="H991" s="1"/>
      <c r="I991" s="1"/>
      <c r="J991" s="1"/>
      <c r="K991" s="161" t="str">
        <f>$F$2</f>
        <v>Medical University of South Carolina</v>
      </c>
      <c r="L991" s="957" t="s">
        <v>482</v>
      </c>
      <c r="M991" s="1"/>
      <c r="N991" s="1"/>
      <c r="O991" s="1"/>
      <c r="P991" s="1106"/>
      <c r="Q991" s="1"/>
      <c r="S991" s="1"/>
      <c r="T991" s="1"/>
      <c r="U991" s="1"/>
      <c r="V991" s="1"/>
      <c r="W991" s="161" t="str">
        <f>$F$2</f>
        <v>Medical University of South Carolina</v>
      </c>
      <c r="X991" s="939" t="s">
        <v>482</v>
      </c>
    </row>
    <row r="992" spans="1:26" ht="11.25" customHeight="1">
      <c r="A992" s="857">
        <v>2</v>
      </c>
      <c r="F992" s="336" t="str">
        <f>$F$464</f>
        <v>Measurement Data</v>
      </c>
      <c r="K992" s="162" t="str">
        <f>$F$5</f>
        <v>Radiographic System Compliance Inspection</v>
      </c>
      <c r="L992" s="957" t="s">
        <v>482</v>
      </c>
      <c r="Q992" s="336" t="str">
        <f>$F$464</f>
        <v>Measurement Data</v>
      </c>
      <c r="R992" s="51"/>
      <c r="W992" s="162" t="str">
        <f>$F$5</f>
        <v>Radiographic System Compliance Inspection</v>
      </c>
      <c r="X992" s="939" t="s">
        <v>482</v>
      </c>
    </row>
    <row r="993" spans="1:27" ht="11.25" customHeight="1" thickBot="1">
      <c r="A993" s="857">
        <v>3</v>
      </c>
      <c r="L993" s="957" t="s">
        <v>482</v>
      </c>
      <c r="X993" s="939" t="s">
        <v>482</v>
      </c>
    </row>
    <row r="994" spans="1:27" ht="11.25" customHeight="1">
      <c r="A994" s="857">
        <v>4</v>
      </c>
      <c r="B994" s="463"/>
      <c r="C994" s="598"/>
      <c r="D994" s="598"/>
      <c r="E994" s="598"/>
      <c r="F994" s="598"/>
      <c r="G994" s="598"/>
      <c r="H994" s="598"/>
      <c r="I994" s="598"/>
      <c r="J994" s="598"/>
      <c r="K994" s="599"/>
      <c r="L994" s="957" t="s">
        <v>482</v>
      </c>
      <c r="M994" s="463"/>
      <c r="N994" s="464"/>
      <c r="O994" s="464"/>
      <c r="P994" s="464"/>
      <c r="Q994" s="464"/>
      <c r="R994" s="464"/>
      <c r="S994" s="464"/>
      <c r="T994" s="464"/>
      <c r="U994" s="464"/>
      <c r="V994" s="464"/>
      <c r="W994" s="465"/>
      <c r="X994" s="939" t="s">
        <v>482</v>
      </c>
    </row>
    <row r="995" spans="1:27" ht="11.25" customHeight="1">
      <c r="A995" s="857">
        <v>5</v>
      </c>
      <c r="B995" s="600"/>
      <c r="C995" s="63"/>
      <c r="D995" s="63"/>
      <c r="E995" s="63"/>
      <c r="F995" s="336" t="str">
        <f>IF(R995="","",R995)</f>
        <v>PHOTOTIMING</v>
      </c>
      <c r="G995" s="63"/>
      <c r="H995" s="63"/>
      <c r="I995" s="63"/>
      <c r="J995" s="63"/>
      <c r="K995" s="467"/>
      <c r="L995" s="957" t="s">
        <v>482</v>
      </c>
      <c r="M995" s="466"/>
      <c r="N995" s="63"/>
      <c r="O995" s="63"/>
      <c r="P995" s="63"/>
      <c r="Q995" s="63"/>
      <c r="R995" s="336" t="s">
        <v>263</v>
      </c>
      <c r="S995" s="63"/>
      <c r="T995" s="63"/>
      <c r="U995" s="63"/>
      <c r="V995" s="63"/>
      <c r="W995" s="467"/>
      <c r="X995" s="939" t="s">
        <v>482</v>
      </c>
    </row>
    <row r="996" spans="1:27" ht="11.25" customHeight="1" thickBot="1">
      <c r="A996" s="857">
        <v>6</v>
      </c>
      <c r="B996" s="601"/>
      <c r="C996" s="468"/>
      <c r="D996" s="468"/>
      <c r="E996" s="468"/>
      <c r="F996" s="468"/>
      <c r="G996" s="468"/>
      <c r="H996" s="468"/>
      <c r="I996" s="468"/>
      <c r="J996" s="468"/>
      <c r="K996" s="469"/>
      <c r="L996" s="957" t="s">
        <v>482</v>
      </c>
      <c r="M996" s="262"/>
      <c r="N996" s="468"/>
      <c r="O996" s="468"/>
      <c r="P996" s="468"/>
      <c r="Q996" s="468"/>
      <c r="R996" s="468"/>
      <c r="S996" s="468"/>
      <c r="T996" s="468"/>
      <c r="U996" s="468"/>
      <c r="V996" s="468"/>
      <c r="W996" s="469"/>
      <c r="X996" s="939" t="s">
        <v>482</v>
      </c>
    </row>
    <row r="997" spans="1:27" ht="11.25" customHeight="1" thickBot="1">
      <c r="A997" s="857">
        <v>7</v>
      </c>
      <c r="L997" s="957" t="s">
        <v>482</v>
      </c>
      <c r="M997" s="198"/>
      <c r="N997" s="63"/>
      <c r="O997" s="63"/>
      <c r="P997" s="63"/>
      <c r="Q997" s="347"/>
      <c r="R997" s="63"/>
      <c r="S997" s="63"/>
      <c r="T997" s="63"/>
      <c r="U997" s="63"/>
      <c r="V997" s="63"/>
      <c r="W997" s="63"/>
      <c r="X997" s="939" t="s">
        <v>482</v>
      </c>
    </row>
    <row r="998" spans="1:27" ht="11.25" customHeight="1" thickTop="1" thickBot="1">
      <c r="A998" s="857">
        <v>8</v>
      </c>
      <c r="B998" s="89"/>
      <c r="C998" s="72"/>
      <c r="D998" s="72"/>
      <c r="E998" s="72"/>
      <c r="F998" s="72"/>
      <c r="G998" s="72"/>
      <c r="H998" s="72"/>
      <c r="I998" s="72"/>
      <c r="J998" s="72"/>
      <c r="K998" s="90"/>
      <c r="L998" s="957" t="s">
        <v>482</v>
      </c>
      <c r="M998" s="89"/>
      <c r="N998" s="72"/>
      <c r="O998" s="72"/>
      <c r="P998" s="72"/>
      <c r="Q998" s="72"/>
      <c r="R998" s="72"/>
      <c r="S998" s="72"/>
      <c r="T998" s="72"/>
      <c r="U998" s="72"/>
      <c r="V998" s="72"/>
      <c r="W998" s="90"/>
      <c r="X998" s="939" t="s">
        <v>482</v>
      </c>
    </row>
    <row r="999" spans="1:27" ht="11.25" customHeight="1" thickBot="1">
      <c r="A999" s="857">
        <v>9</v>
      </c>
      <c r="B999" s="197"/>
      <c r="C999" s="45"/>
      <c r="D999" s="45"/>
      <c r="E999" s="45"/>
      <c r="F999" s="240" t="s">
        <v>264</v>
      </c>
      <c r="G999" s="63"/>
      <c r="H999" s="45"/>
      <c r="I999" s="45"/>
      <c r="J999" s="45"/>
      <c r="K999" s="603"/>
      <c r="L999" s="957" t="s">
        <v>482</v>
      </c>
      <c r="M999" s="269" t="s">
        <v>265</v>
      </c>
      <c r="N999" s="63"/>
      <c r="O999" s="63"/>
      <c r="P999" s="63"/>
      <c r="Q999" s="902" t="s">
        <v>254</v>
      </c>
      <c r="R999" s="3"/>
      <c r="S999" s="4"/>
      <c r="T999" s="63"/>
      <c r="U999" s="63"/>
      <c r="V999" s="63"/>
      <c r="W999" s="81"/>
      <c r="X999" s="939" t="s">
        <v>482</v>
      </c>
    </row>
    <row r="1000" spans="1:27" ht="11.25" customHeight="1" thickBot="1">
      <c r="A1000" s="857">
        <v>10</v>
      </c>
      <c r="B1000" s="433"/>
      <c r="C1000" s="198"/>
      <c r="D1000" s="198"/>
      <c r="E1000" s="198"/>
      <c r="F1000" s="198"/>
      <c r="G1000" s="198"/>
      <c r="H1000" s="198"/>
      <c r="I1000" s="198"/>
      <c r="J1000" s="198"/>
      <c r="K1000" s="199"/>
      <c r="L1000" s="957" t="s">
        <v>482</v>
      </c>
      <c r="M1000" s="1206" t="s">
        <v>709</v>
      </c>
      <c r="N1000" s="1207"/>
      <c r="O1000" s="3"/>
      <c r="P1000" s="3"/>
      <c r="Q1000" s="902" t="s">
        <v>652</v>
      </c>
      <c r="R1000" s="3"/>
      <c r="S1000" s="4"/>
      <c r="T1000" s="3"/>
      <c r="U1000" s="3"/>
      <c r="V1000" s="3"/>
      <c r="W1000" s="43"/>
      <c r="X1000" s="939" t="s">
        <v>482</v>
      </c>
    </row>
    <row r="1001" spans="1:27" ht="11.25" customHeight="1" thickBot="1">
      <c r="A1001" s="857">
        <v>11</v>
      </c>
      <c r="B1001" s="155"/>
      <c r="C1001" s="63"/>
      <c r="D1001" s="63"/>
      <c r="E1001" s="63"/>
      <c r="F1001" s="63"/>
      <c r="G1001" s="63"/>
      <c r="H1001" s="63"/>
      <c r="I1001" s="63"/>
      <c r="J1001" s="63"/>
      <c r="K1001" s="81"/>
      <c r="L1001" s="957" t="s">
        <v>482</v>
      </c>
      <c r="M1001" s="1210">
        <v>101.6</v>
      </c>
      <c r="N1001" s="1200"/>
      <c r="O1001" s="63"/>
      <c r="P1001" s="63"/>
      <c r="Q1001" s="1489"/>
      <c r="R1001" s="58" t="s">
        <v>1163</v>
      </c>
      <c r="S1001" s="63"/>
      <c r="T1001" s="63"/>
      <c r="U1001" s="63"/>
      <c r="V1001" s="63"/>
      <c r="W1001" s="81"/>
      <c r="X1001" s="939" t="s">
        <v>482</v>
      </c>
    </row>
    <row r="1002" spans="1:27" ht="11.25" customHeight="1" thickBot="1">
      <c r="A1002" s="857">
        <v>12</v>
      </c>
      <c r="B1002" s="1221" t="s">
        <v>589</v>
      </c>
      <c r="C1002" s="1222" t="s">
        <v>430</v>
      </c>
      <c r="E1002" s="445" t="s">
        <v>267</v>
      </c>
      <c r="F1002" s="391" t="str">
        <f>IF(Meter_OD="","TBD",Meter_OD)</f>
        <v>Meter</v>
      </c>
      <c r="G1002" s="445" t="s">
        <v>268</v>
      </c>
      <c r="H1002" s="448" t="str">
        <f>IF(Time_mAs="","TBD",Time_mAs)</f>
        <v>mAs</v>
      </c>
      <c r="I1002" s="31" t="s">
        <v>268</v>
      </c>
      <c r="J1002" s="3"/>
      <c r="K1002" s="81"/>
      <c r="L1002" s="957" t="s">
        <v>482</v>
      </c>
      <c r="M1002" s="371" t="s">
        <v>589</v>
      </c>
      <c r="N1002" s="445" t="s">
        <v>414</v>
      </c>
      <c r="O1002" s="63"/>
      <c r="P1002" s="1203" t="s">
        <v>267</v>
      </c>
      <c r="Q1002" s="391" t="str">
        <f>IF(Meter_OD="","TBD",Meter_OD)</f>
        <v>Meter</v>
      </c>
      <c r="R1002" s="445" t="s">
        <v>268</v>
      </c>
      <c r="S1002" s="448" t="str">
        <f>IF(Time_mAs="","TBD",Time_mAs)</f>
        <v>mAs</v>
      </c>
      <c r="T1002" s="31" t="s">
        <v>268</v>
      </c>
      <c r="U1002" s="31" t="s">
        <v>269</v>
      </c>
      <c r="V1002" s="31" t="s">
        <v>270</v>
      </c>
      <c r="W1002" s="43"/>
      <c r="X1002" s="939" t="s">
        <v>482</v>
      </c>
      <c r="Y1002" s="1187"/>
      <c r="Z1002" s="1187"/>
      <c r="AA1002" s="1187"/>
    </row>
    <row r="1003" spans="1:27" ht="11.25" customHeight="1" thickBot="1">
      <c r="A1003" s="857">
        <v>13</v>
      </c>
      <c r="B1003" s="1224" t="str">
        <f>IF(M1003="","",M1003)</f>
        <v>101.6 cm</v>
      </c>
      <c r="C1003" s="1223" t="str">
        <f>IF(N1003="","",N1003)</f>
        <v>C</v>
      </c>
      <c r="E1003" s="446">
        <f>IF(P1003="","",P1003)</f>
        <v>4</v>
      </c>
      <c r="F1003" s="451" t="str">
        <f>IF(Q1003="","",Q1003)</f>
        <v/>
      </c>
      <c r="G1003" s="447" t="str">
        <f t="shared" ref="F1003:I1011" si="161">IF(R1003="","",R1003)</f>
        <v/>
      </c>
      <c r="H1003" s="452" t="str">
        <f t="shared" si="161"/>
        <v/>
      </c>
      <c r="I1003" s="32" t="str">
        <f t="shared" si="161"/>
        <v/>
      </c>
      <c r="J1003" s="3"/>
      <c r="K1003" s="81"/>
      <c r="L1003" s="957" t="s">
        <v>482</v>
      </c>
      <c r="M1003" s="1209" t="str">
        <f>IF(M1001&lt;&gt;"",M1001&amp;" "&amp;WBCM_IN,IF(OR(AB525=0,AB525=""),"",AB525))</f>
        <v>101.6 cm</v>
      </c>
      <c r="N1003" s="1201" t="s">
        <v>279</v>
      </c>
      <c r="O1003" s="63"/>
      <c r="P1003" s="1202">
        <v>4</v>
      </c>
      <c r="Q1003" s="903"/>
      <c r="R1003" s="447" t="str">
        <f>IF(OR($Q$1007="",Q1003="",Q1004=""),"",IF(ABS((Q1003-Q1004)/Q1004)&lt;$R$1013,ROUND(((Q1003-Q1004)/Q1004),2),IF(ABS((Q1003-Q1004)/Q1004)&gt;$U$1013,TRUNC(((Q1003-Q1004)/Q1004),2),((Q1003-Q1004)/Q1004))))</f>
        <v/>
      </c>
      <c r="S1003" s="903"/>
      <c r="T1003" s="447" t="str">
        <f>IF(OR($S$1007="",S1003="",S1004=""),"",IF(ABS((S1003-S1004)/S1004)&lt;$R$1013,ROUND(((S1003-S1004)/S1004),2),IF(ABS((S1003-S1004)/S1004)&gt;$U$1013,TRUNC(((S1003-S1004)/S1004),2),((S1003-S1004)/S1004))))</f>
        <v/>
      </c>
      <c r="U1003" s="32" t="str">
        <f>IF(OR($Q$1007="",$S$1007="",Q1003="",S1003=""),"",IF(MAX(R1003,T1003)&gt;$U$1013,MIN(R1003,T1003),MAX(R1003,T1003)))</f>
        <v/>
      </c>
      <c r="V1003" s="839" t="str">
        <f>IF(OR($Q$1007="",$S$1007="",Q1003="",S1003=""),"",IF(OR(AND(MAX(ABS(R1003))&gt;$U$1013,OR(MAX(ABS(T1003))&gt;$U$1013,MIN(ABS(T1003))&lt;$R$1013)),AND(MIN(ABS(R1003))&lt;$R$1013,OR(MAX(ABS(T1003))&gt;$U$1013,MIN(ABS(T1003))&lt;$R$1013))),ROUND(R1003*100,1)&amp;"%,"&amp;ROUND(T1003*100,1)&amp;"%",""))</f>
        <v/>
      </c>
      <c r="W1003" s="43"/>
      <c r="X1003" s="939" t="s">
        <v>482</v>
      </c>
      <c r="Y1003" s="1272"/>
      <c r="Z1003" s="608"/>
      <c r="AA1003" s="1285"/>
    </row>
    <row r="1004" spans="1:27" ht="11.25" customHeight="1" thickBot="1">
      <c r="A1004" s="857">
        <v>14</v>
      </c>
      <c r="B1004" s="270"/>
      <c r="C1004" s="3"/>
      <c r="D1004" s="3"/>
      <c r="E1004" s="446">
        <f t="shared" ref="E1004:E1011" si="162">IF(P1004="","",P1004)</f>
        <v>3</v>
      </c>
      <c r="F1004" s="451" t="str">
        <f t="shared" si="161"/>
        <v/>
      </c>
      <c r="G1004" s="447" t="str">
        <f t="shared" si="161"/>
        <v/>
      </c>
      <c r="H1004" s="452" t="str">
        <f t="shared" si="161"/>
        <v/>
      </c>
      <c r="I1004" s="32" t="str">
        <f t="shared" si="161"/>
        <v/>
      </c>
      <c r="J1004" s="3"/>
      <c r="K1004" s="81"/>
      <c r="L1004" s="957" t="s">
        <v>482</v>
      </c>
      <c r="M1004" s="1208"/>
      <c r="P1004" s="1202">
        <v>3</v>
      </c>
      <c r="Q1004" s="903"/>
      <c r="R1004" s="447" t="str">
        <f>IF(OR($Q$1007="",Q1004="",Q1005=""),"",IF(ABS((Q1004-Q1005)/Q1005)&lt;$R$1013,ROUND(((Q1004-Q1005)/Q1005),2),IF(ABS((Q1004-Q1005)/Q1005)&gt;$U$1013,TRUNC(((Q1004-Q1005)/Q1005),2),((Q1004-Q1005)/Q1005))))</f>
        <v/>
      </c>
      <c r="S1004" s="903"/>
      <c r="T1004" s="447" t="str">
        <f>IF(OR($S$1007="",S1004="",S1005=""),"",IF(ABS((S1004-S1005)/S1005)&lt;$R$1013,ROUND(((S1004-S1005)/S1005),2),IF(ABS((S1004-S1005)/S1005)&gt;$U$1013,TRUNC(((S1004-S1005)/S1005),2),((S1004-S1005)/S1005))))</f>
        <v/>
      </c>
      <c r="U1004" s="32" t="str">
        <f>IF(OR($Q$1007="",$S$1007="",Q1004="",S1004=""),"",IF(MAX(R1004,T1004)&gt;$U$1013,MIN(R1004,T1004),MAX(R1004,T1004)))</f>
        <v/>
      </c>
      <c r="V1004" s="839" t="str">
        <f>IF(OR($Q$1007="",$S$1007="",Q1004="",S1004=""),"",IF(OR(AND(MAX(ABS(R1004))&gt;$U$1013,OR(MAX(ABS(T1004))&gt;$U$1013,MIN(ABS(T1004))&lt;$R$1013)),AND(MIN(ABS(R1004))&lt;$R$1013,OR(MAX(ABS(T1004))&gt;$U$1013,MIN(ABS(T1004))&lt;$R$1013))),ROUND(R1004*100,1)&amp;"%,"&amp;ROUND(T1004*100,1)&amp;"%",""))</f>
        <v/>
      </c>
      <c r="W1004" s="43"/>
      <c r="X1004" s="939" t="s">
        <v>482</v>
      </c>
      <c r="Y1004" s="1272"/>
      <c r="Z1004" s="608"/>
      <c r="AA1004" s="1285"/>
    </row>
    <row r="1005" spans="1:27" ht="11.25" customHeight="1" thickBot="1">
      <c r="A1005" s="857">
        <v>15</v>
      </c>
      <c r="B1005" s="1221" t="s">
        <v>539</v>
      </c>
      <c r="C1005" s="1222" t="s">
        <v>266</v>
      </c>
      <c r="D1005" s="3"/>
      <c r="E1005" s="446">
        <f t="shared" si="162"/>
        <v>2</v>
      </c>
      <c r="F1005" s="451" t="str">
        <f>IF(Q1005="","",Q1005)</f>
        <v/>
      </c>
      <c r="G1005" s="447" t="str">
        <f t="shared" si="161"/>
        <v/>
      </c>
      <c r="H1005" s="452" t="str">
        <f t="shared" si="161"/>
        <v/>
      </c>
      <c r="I1005" s="32" t="str">
        <f t="shared" si="161"/>
        <v/>
      </c>
      <c r="J1005" s="3"/>
      <c r="K1005" s="81"/>
      <c r="L1005" s="957" t="s">
        <v>482</v>
      </c>
      <c r="M1005" s="1206" t="s">
        <v>709</v>
      </c>
      <c r="N1005" s="1207"/>
      <c r="P1005" s="1202">
        <v>2</v>
      </c>
      <c r="Q1005" s="903"/>
      <c r="R1005" s="447" t="str">
        <f>IF(OR($Q$1007="",Q1005="",Q1006=""),"",IF(ABS((Q1005-Q1006)/Q1006)&lt;$R$1013,ROUND(((Q1005-Q1006)/Q1006),2),IF(ABS((Q1005-Q1006)/Q1006)&gt;$U$1013,TRUNC(((Q1005-Q1006)/Q1006),2),((Q1005-Q1006)/Q1006))))</f>
        <v/>
      </c>
      <c r="S1005" s="903"/>
      <c r="T1005" s="447" t="str">
        <f>IF(OR($S$1007="",S1005="",S1006=""),"",IF(ABS((S1005-S1006)/S1006)&lt;$R$1013,ROUND(((S1005-S1006)/S1006),2),IF(ABS((S1005-S1006)/S1006)&gt;$U$1013,TRUNC(((S1005-S1006)/S1006),2),((S1005-S1006)/S1006))))</f>
        <v/>
      </c>
      <c r="U1005" s="32" t="str">
        <f>IF(OR($Q$1007="",$S$1007="",Q1005="",S1005=""),"",IF(MAX(R1005,T1005)&gt;$U$1013,MIN(R1005,T1005),MAX(R1005,T1005)))</f>
        <v/>
      </c>
      <c r="V1005" s="839" t="str">
        <f>IF(OR($Q$1007="",$S$1007="",Q1005="",S1005=""),"",IF(OR(AND(MAX(ABS(R1005))&gt;$U$1013,OR(MAX(ABS(T1005))&gt;$U$1013,MIN(ABS(T1005))&lt;$R$1013)),AND(MIN(ABS(R1005))&lt;$R$1013,OR(MAX(ABS(T1005))&gt;$U$1013,MIN(ABS(T1005))&lt;$R$1013))),ROUND(R1005*100,1)&amp;"%,"&amp;ROUND(T1005*100,1)&amp;"%",""))</f>
        <v/>
      </c>
      <c r="W1005" s="43"/>
      <c r="X1005" s="939" t="s">
        <v>482</v>
      </c>
      <c r="Y1005" s="1272"/>
      <c r="Z1005" s="608"/>
      <c r="AA1005" s="1285"/>
    </row>
    <row r="1006" spans="1:27" ht="11.25" customHeight="1" thickBot="1">
      <c r="A1006" s="857">
        <v>16</v>
      </c>
      <c r="B1006" s="1225">
        <f>IF(M1008="","",M1008)</f>
        <v>80</v>
      </c>
      <c r="C1006" s="445">
        <f>IF(N1008="","",N1008)</f>
        <v>7.8740157480314963</v>
      </c>
      <c r="D1006" s="4" t="s">
        <v>271</v>
      </c>
      <c r="E1006" s="446">
        <f t="shared" si="162"/>
        <v>1</v>
      </c>
      <c r="F1006" s="451" t="str">
        <f t="shared" si="161"/>
        <v/>
      </c>
      <c r="G1006" s="447" t="str">
        <f t="shared" si="161"/>
        <v/>
      </c>
      <c r="H1006" s="452" t="str">
        <f t="shared" si="161"/>
        <v/>
      </c>
      <c r="I1006" s="32" t="str">
        <f t="shared" si="161"/>
        <v/>
      </c>
      <c r="J1006" s="3"/>
      <c r="K1006" s="81"/>
      <c r="L1006" s="957" t="s">
        <v>482</v>
      </c>
      <c r="M1006" s="1204">
        <v>80</v>
      </c>
      <c r="N1006" s="1200">
        <f>20/2.54</f>
        <v>7.8740157480314963</v>
      </c>
      <c r="O1006" s="63"/>
      <c r="P1006" s="1202">
        <v>1</v>
      </c>
      <c r="Q1006" s="903"/>
      <c r="R1006" s="447" t="str">
        <f>IF(OR($Q$1007="",Q1006="",Q1007=""),"",IF(ABS((Q1006-Q1007)/Q1007)&lt;$R$1013,ROUND(((Q1006-Q1007)/Q1007),2),IF(ABS((Q1006-Q1007)/Q1007)&gt;$U$1013,TRUNC(((Q1006-Q1007)/Q1007),2),((Q1006-Q1007)/Q1007))))</f>
        <v/>
      </c>
      <c r="S1006" s="903"/>
      <c r="T1006" s="447" t="str">
        <f>IF(OR($S$1007="",S1006="",S1007=""),"",IF(ABS((S1006-S1007)/S1007)&lt;$R$1013,ROUND(((S1006-S1007)/S1007),2),IF(ABS((S1006-S1007)/S1007)&gt;$U$1013,TRUNC(((S1006-S1007)/S1007),2),((S1006-S1007)/S1007))))</f>
        <v/>
      </c>
      <c r="U1006" s="32" t="str">
        <f>IF(OR($Q$1007="",$S$1007="",Q1006="",S1006=""),"",IF(MAX(R1006,T1006)&gt;$U$1013,MIN(R1006,T1006),MAX(R1006,T1006)))</f>
        <v/>
      </c>
      <c r="V1006" s="839" t="str">
        <f>IF(OR($Q$1007="",$S$1007="",Q1006="",S1006=""),"",IF(OR(AND(MAX(ABS(R1006))&gt;$U$1013,OR(MAX(ABS(T1006))&gt;$U$1013,MIN(ABS(T1006))&lt;$R$1013)),AND(MIN(ABS(R1006))&lt;$R$1013,OR(MAX(ABS(T1006))&gt;$U$1013,MIN(ABS(T1006))&lt;$R$1013))),ROUND(R1006*100,1)&amp;"%,"&amp;ROUND(T1006*100,1)&amp;"%",""))</f>
        <v/>
      </c>
      <c r="W1006" s="43"/>
      <c r="X1006" s="939" t="s">
        <v>482</v>
      </c>
      <c r="Y1006" s="1272"/>
      <c r="Z1006" s="608"/>
      <c r="AA1006" s="1285"/>
    </row>
    <row r="1007" spans="1:27" ht="11.25" customHeight="1" thickBot="1">
      <c r="A1007" s="857">
        <v>17</v>
      </c>
      <c r="B1007" s="155"/>
      <c r="C1007" s="63"/>
      <c r="D1007" s="3"/>
      <c r="E1007" s="449">
        <f t="shared" si="162"/>
        <v>0</v>
      </c>
      <c r="F1007" s="453" t="str">
        <f t="shared" si="161"/>
        <v/>
      </c>
      <c r="G1007" s="450" t="str">
        <f t="shared" si="161"/>
        <v/>
      </c>
      <c r="H1007" s="454" t="str">
        <f t="shared" si="161"/>
        <v/>
      </c>
      <c r="I1007" s="450" t="str">
        <f t="shared" si="161"/>
        <v/>
      </c>
      <c r="J1007" s="3"/>
      <c r="K1007" s="81"/>
      <c r="L1007" s="957" t="s">
        <v>482</v>
      </c>
      <c r="M1007" s="371" t="s">
        <v>539</v>
      </c>
      <c r="N1007" s="445" t="s">
        <v>266</v>
      </c>
      <c r="O1007" s="3"/>
      <c r="P1007" s="449">
        <v>0</v>
      </c>
      <c r="Q1007" s="904"/>
      <c r="R1007" s="450" t="str">
        <f>IF(Q1007="","",0)</f>
        <v/>
      </c>
      <c r="S1007" s="904"/>
      <c r="T1007" s="739" t="str">
        <f>IF(S1007="","",0)</f>
        <v/>
      </c>
      <c r="U1007" s="840"/>
      <c r="V1007" s="840"/>
      <c r="W1007" s="43"/>
      <c r="X1007" s="939" t="s">
        <v>482</v>
      </c>
      <c r="Y1007" s="1272"/>
      <c r="Z1007" s="608"/>
      <c r="AA1007" s="1285"/>
    </row>
    <row r="1008" spans="1:27" ht="11.25" customHeight="1" thickBot="1">
      <c r="A1008" s="857">
        <v>18</v>
      </c>
      <c r="B1008" s="270"/>
      <c r="C1008" s="3"/>
      <c r="D1008" s="3"/>
      <c r="E1008" s="446">
        <f t="shared" si="162"/>
        <v>-1</v>
      </c>
      <c r="F1008" s="451" t="str">
        <f t="shared" si="161"/>
        <v/>
      </c>
      <c r="G1008" s="447" t="str">
        <f t="shared" si="161"/>
        <v/>
      </c>
      <c r="H1008" s="452" t="str">
        <f t="shared" si="161"/>
        <v/>
      </c>
      <c r="I1008" s="32" t="str">
        <f t="shared" si="161"/>
        <v/>
      </c>
      <c r="J1008" s="3"/>
      <c r="K1008" s="81"/>
      <c r="L1008" s="957" t="s">
        <v>482</v>
      </c>
      <c r="M1008" s="1205">
        <f>IF(M1006&lt;&gt;"",M1006,IF(OR(AB527=0,AB527=""),"",AB527))</f>
        <v>80</v>
      </c>
      <c r="N1008" s="1201">
        <f>IF(N1006&lt;&gt;"",N1006,IF(OR(AB528=0,AB528=""),"",AB528))</f>
        <v>7.8740157480314963</v>
      </c>
      <c r="O1008" s="4" t="s">
        <v>271</v>
      </c>
      <c r="P1008" s="446">
        <v>-1</v>
      </c>
      <c r="Q1008" s="903"/>
      <c r="R1008" s="447" t="str">
        <f>IF(OR($Q$1007="",Q1007="",Q1008=""),"",IF(ABS((Q1008-Q1007)/Q1007)&lt;$R$1013,ROUND(((Q1008-Q1007)/Q1007),2),IF(ABS((Q1008-Q1007)/Q1007)&gt;$U$1013,TRUNC(((Q1008-Q1007)/Q1007),2),((Q1008-Q1007)/Q1007))))</f>
        <v/>
      </c>
      <c r="S1008" s="903"/>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9" t="str">
        <f>IF(OR($Q$1007="",$S$1007="",Q1008="",S1008=""),"",IF(OR(AND(MAX(ABS(R1008))&gt;$U$1013,OR(MAX(ABS(T1008))&gt;$U$1013,MIN(ABS(T1008))&lt;$R$1013)),AND(MIN(ABS(R1008))&lt;$R$1013,OR(MAX(ABS(T1008))&gt;$U$1013,MIN(ABS(T1008))&lt;$R$1013))),ROUND(R1008*100,1)&amp;"%,"&amp;ROUND(T1008*100,1)&amp;"%",""))</f>
        <v/>
      </c>
      <c r="W1008" s="43"/>
      <c r="X1008" s="939" t="s">
        <v>482</v>
      </c>
      <c r="Y1008" s="1272"/>
      <c r="Z1008" s="608"/>
      <c r="AA1008" s="1285"/>
    </row>
    <row r="1009" spans="1:27" ht="11.25" customHeight="1">
      <c r="A1009" s="857">
        <v>19</v>
      </c>
      <c r="B1009" s="270"/>
      <c r="C1009" s="3"/>
      <c r="D1009" s="3"/>
      <c r="E1009" s="446">
        <f t="shared" si="162"/>
        <v>-2</v>
      </c>
      <c r="F1009" s="451" t="str">
        <f t="shared" si="161"/>
        <v/>
      </c>
      <c r="G1009" s="447" t="str">
        <f t="shared" si="161"/>
        <v/>
      </c>
      <c r="H1009" s="452" t="str">
        <f t="shared" si="161"/>
        <v/>
      </c>
      <c r="I1009" s="32" t="str">
        <f t="shared" si="161"/>
        <v/>
      </c>
      <c r="J1009" s="3"/>
      <c r="K1009" s="81"/>
      <c r="L1009" s="957" t="s">
        <v>482</v>
      </c>
      <c r="M1009" s="838"/>
      <c r="N1009" s="63"/>
      <c r="O1009" s="3"/>
      <c r="P1009" s="446">
        <v>-2</v>
      </c>
      <c r="Q1009" s="903"/>
      <c r="R1009" s="447" t="str">
        <f>IF(OR($Q$1007="",Q1008="",Q1009=""),"",IF(ABS((Q1009-Q1008)/Q1008)&lt;$R$1013,ROUND(((Q1009-Q1008)/Q1008),2),IF(ABS((Q1009-Q1008)/Q1008)&gt;$U$1013,TRUNC(((Q1009-Q1008)/Q1008),2),((Q1009-Q1008)/Q1008))))</f>
        <v/>
      </c>
      <c r="S1009" s="903"/>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9" t="str">
        <f>IF(OR($Q$1007="",$S$1007="",Q1009="",S1009=""),"",IF(OR(AND(MAX(ABS(R1009))&gt;$U$1013,OR(MAX(ABS(T1009))&gt;$U$1013,MIN(ABS(T1009))&lt;$R$1013)),AND(MIN(ABS(R1009))&lt;$R$1013,OR(MAX(ABS(T1009))&gt;$U$1013,MIN(ABS(T1009))&lt;$R$1013))),ROUND(R1009*100,1)&amp;"%,"&amp;ROUND(T1009*100,1)&amp;"%",""))</f>
        <v/>
      </c>
      <c r="W1009" s="43"/>
      <c r="X1009" s="939" t="s">
        <v>482</v>
      </c>
      <c r="Y1009" s="1272"/>
      <c r="Z1009" s="608"/>
      <c r="AA1009" s="1285"/>
    </row>
    <row r="1010" spans="1:27" ht="11.25" customHeight="1">
      <c r="A1010" s="857">
        <v>20</v>
      </c>
      <c r="B1010" s="155"/>
      <c r="C1010" s="63"/>
      <c r="D1010" s="3"/>
      <c r="E1010" s="446">
        <f t="shared" si="162"/>
        <v>-3</v>
      </c>
      <c r="F1010" s="451" t="str">
        <f t="shared" si="161"/>
        <v/>
      </c>
      <c r="G1010" s="447" t="str">
        <f t="shared" si="161"/>
        <v/>
      </c>
      <c r="H1010" s="452" t="str">
        <f t="shared" si="161"/>
        <v/>
      </c>
      <c r="I1010" s="32" t="str">
        <f t="shared" si="161"/>
        <v/>
      </c>
      <c r="J1010" s="3"/>
      <c r="K1010" s="81"/>
      <c r="L1010" s="957" t="s">
        <v>482</v>
      </c>
      <c r="M1010" s="838"/>
      <c r="N1010" s="63"/>
      <c r="O1010" s="3"/>
      <c r="P1010" s="446">
        <v>-3</v>
      </c>
      <c r="Q1010" s="903"/>
      <c r="R1010" s="447" t="str">
        <f>IF(OR($Q$1007="",Q1009="",Q1010=""),"",IF(ABS((Q1010-Q1009)/Q1009)&lt;$R$1013,ROUND(((Q1010-Q1009)/Q1009),2),IF(ABS((Q1010-Q1009)/Q1009)&gt;$U$1013,TRUNC(((Q1010-Q1009)/Q1009),2),((Q1010-Q1009)/Q1009))))</f>
        <v/>
      </c>
      <c r="S1010" s="903"/>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9" t="str">
        <f>IF(OR($Q$1007="",$S$1007="",Q1010="",S1010=""),"",IF(OR(AND(MAX(ABS(R1010))&gt;$U$1013,OR(MAX(ABS(T1010))&gt;$U$1013,MIN(ABS(T1010))&lt;$R$1013)),AND(MIN(ABS(R1010))&lt;$R$1013,OR(MAX(ABS(T1010))&gt;$U$1013,MIN(ABS(T1010))&lt;$R$1013))),ROUND(R1010*100,1)&amp;"%,"&amp;ROUND(T1010*100,1)&amp;"%",""))</f>
        <v/>
      </c>
      <c r="W1010" s="43"/>
      <c r="X1010" s="939" t="s">
        <v>482</v>
      </c>
      <c r="Y1010" s="1272"/>
      <c r="Z1010" s="608"/>
      <c r="AA1010" s="1285"/>
    </row>
    <row r="1011" spans="1:27" ht="11.25" customHeight="1" thickBot="1">
      <c r="A1011" s="857">
        <v>21</v>
      </c>
      <c r="B1011" s="270"/>
      <c r="C1011" s="3"/>
      <c r="D1011" s="3"/>
      <c r="E1011" s="446">
        <f t="shared" si="162"/>
        <v>-4</v>
      </c>
      <c r="F1011" s="451" t="str">
        <f t="shared" si="161"/>
        <v/>
      </c>
      <c r="G1011" s="447" t="str">
        <f t="shared" si="161"/>
        <v/>
      </c>
      <c r="H1011" s="452" t="str">
        <f t="shared" si="161"/>
        <v/>
      </c>
      <c r="I1011" s="32" t="str">
        <f t="shared" si="161"/>
        <v/>
      </c>
      <c r="J1011" s="63"/>
      <c r="K1011" s="81"/>
      <c r="L1011" s="957" t="s">
        <v>482</v>
      </c>
      <c r="M1011" s="838"/>
      <c r="N1011" s="3"/>
      <c r="O1011" s="3"/>
      <c r="P1011" s="446">
        <v>-4</v>
      </c>
      <c r="Q1011" s="903"/>
      <c r="R1011" s="447" t="str">
        <f>IF(OR($Q$1007="",Q1010="",Q1011=""),"",IF(ABS((Q1011-Q1010)/Q1010)&lt;$R$1013,ROUND(((Q1011-Q1010)/Q1010),2),IF(ABS((Q1011-Q1010)/Q1010)&gt;$U$1013,TRUNC(((Q1011-Q1010)/Q1010),2),((Q1011-Q1010)/Q1010))))</f>
        <v/>
      </c>
      <c r="S1011" s="903"/>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9" t="str">
        <f>IF(OR($Q$1007="",$S$1007="",Q1011="",S1011=""),"",IF(OR(AND(MAX(ABS(R1011))&gt;$U$1013,OR(MAX(ABS(T1011))&gt;$U$1013,MIN(ABS(T1011))&lt;$R$1013)),AND(MIN(ABS(R1011))&lt;$R$1013,OR(MAX(ABS(T1011))&gt;$U$1013,MIN(ABS(T1011))&lt;$R$1013))),ROUND(R1011*100,1)&amp;"%,"&amp;ROUND(T1011*100,1)&amp;"%",""))</f>
        <v/>
      </c>
      <c r="W1011" s="43"/>
      <c r="X1011" s="939" t="s">
        <v>482</v>
      </c>
      <c r="Y1011" s="1272"/>
      <c r="Z1011" s="608"/>
      <c r="AA1011" s="1285"/>
    </row>
    <row r="1012" spans="1:27" ht="11.25" customHeight="1" thickBot="1">
      <c r="A1012" s="857">
        <v>22</v>
      </c>
      <c r="B1012" s="155"/>
      <c r="C1012" s="63"/>
      <c r="D1012" s="63"/>
      <c r="E1012" s="63"/>
      <c r="F1012" s="63"/>
      <c r="G1012" s="63"/>
      <c r="H1012" s="63"/>
      <c r="I1012" s="63"/>
      <c r="J1012" s="48" t="s">
        <v>646</v>
      </c>
      <c r="K1012" s="460" t="str">
        <f>IF(Q1001=2,"NA",IF(OR(W1013="YES",W1014="YES",W1015="YES"),"YES",IF(OR(W1013="NO",W1014="NO",W1015="NO"),"NO","TBD")))</f>
        <v>TBD</v>
      </c>
      <c r="L1012" s="957" t="s">
        <v>482</v>
      </c>
      <c r="M1012" s="838"/>
      <c r="N1012" s="1387"/>
      <c r="O1012" s="63"/>
      <c r="P1012" s="63"/>
      <c r="Q1012" s="63"/>
      <c r="R1012" s="63"/>
      <c r="S1012" s="63"/>
      <c r="T1012" s="63"/>
      <c r="U1012" s="63"/>
      <c r="V1012" s="1746" t="s">
        <v>708</v>
      </c>
      <c r="W1012" s="1747"/>
      <c r="X1012" s="939" t="s">
        <v>482</v>
      </c>
      <c r="Z1012" s="608"/>
    </row>
    <row r="1013" spans="1:27" ht="11.25" customHeight="1" thickBot="1">
      <c r="A1013" s="857">
        <v>23</v>
      </c>
      <c r="B1013" s="155"/>
      <c r="C1013" s="63"/>
      <c r="D1013" s="63"/>
      <c r="E1013" s="63"/>
      <c r="F1013" s="63"/>
      <c r="G1013" s="63"/>
      <c r="H1013" s="63"/>
      <c r="I1013" s="63"/>
      <c r="J1013" s="63"/>
      <c r="K1013" s="81"/>
      <c r="L1013" s="957" t="s">
        <v>482</v>
      </c>
      <c r="M1013" s="838"/>
      <c r="N1013" s="63"/>
      <c r="O1013" s="162" t="s">
        <v>647</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7" t="str">
        <f>IF(Meter_OD="","TBD",Meter_OD&amp;":")</f>
        <v>Meter:</v>
      </c>
      <c r="W1013" s="1024" t="str">
        <f>IF(AND($Q$1007="",$S$1007=""),"TBD",IF($Q$1007="","NA",IF(AND($Q$1007&gt;0,OR($Q$1006="",$Q$1008="")),"TBD",IF(OR(MAX(ABS(MAX(METP)),ABS(MIN(METM)))&gt;$U$1013,MIN(ABS(MIN(METP)),ABS(MAX(METM)))&lt;$R$1013,MIN(METP)&lt;0,MAX(METM)&gt;0),"NO","YES"))))</f>
        <v>TBD</v>
      </c>
      <c r="X1013" s="939" t="s">
        <v>482</v>
      </c>
    </row>
    <row r="1014" spans="1:27" ht="11.25" customHeight="1" thickBot="1">
      <c r="A1014" s="857">
        <v>24</v>
      </c>
      <c r="B1014" s="155"/>
      <c r="C1014" s="63"/>
      <c r="D1014" s="162" t="s">
        <v>647</v>
      </c>
      <c r="E1014" s="113"/>
      <c r="F1014" s="162" t="s">
        <v>272</v>
      </c>
      <c r="G1014" s="412">
        <f>$R$1013</f>
        <v>0.15</v>
      </c>
      <c r="H1014" s="113"/>
      <c r="I1014" s="162" t="s">
        <v>273</v>
      </c>
      <c r="J1014" s="412">
        <f>$U$1013</f>
        <v>0.5</v>
      </c>
      <c r="K1014" s="81"/>
      <c r="L1014" s="957" t="s">
        <v>482</v>
      </c>
      <c r="M1014" s="838"/>
      <c r="N1014" s="63"/>
      <c r="O1014" s="63"/>
      <c r="P1014" s="63"/>
      <c r="Q1014" s="63"/>
      <c r="R1014" s="63"/>
      <c r="S1014" s="63"/>
      <c r="T1014" s="63"/>
      <c r="U1014" s="63"/>
      <c r="V1014" s="1027" t="str">
        <f>IF(Time_mAs="","TBD",Time_mAs&amp;":")</f>
        <v>mAs:</v>
      </c>
      <c r="W1014" s="1024" t="str">
        <f>IF(AND($Q$1007="",$S$1007=""),"TBD",IF($S$1007="","NA",IF(AND($S$1007&gt;0,OR($S$1006="",$S$1008="")),"TBD",IF(OR(MAX(ABS(MAX(MASP)),ABS(MIN(MASM)))&gt;$U$1013,MIN(ABS(MIN(MASP)),ABS(MAX(MASM)))&lt;$R$1013,MIN(MASP)&lt;0,MAX(MASM)&gt;0),"NO","YES"))))</f>
        <v>TBD</v>
      </c>
      <c r="X1014" s="939" t="s">
        <v>482</v>
      </c>
    </row>
    <row r="1015" spans="1:27" ht="11.25" customHeight="1" thickBot="1">
      <c r="A1015" s="857">
        <v>25</v>
      </c>
      <c r="B1015" s="155"/>
      <c r="C1015" s="63"/>
      <c r="D1015" s="63"/>
      <c r="E1015" s="63"/>
      <c r="F1015" s="63"/>
      <c r="G1015" s="63"/>
      <c r="H1015" s="63"/>
      <c r="I1015" s="63"/>
      <c r="J1015" s="63"/>
      <c r="K1015" s="81"/>
      <c r="L1015" s="957" t="s">
        <v>482</v>
      </c>
      <c r="M1015" s="838"/>
      <c r="N1015" s="63"/>
      <c r="O1015" s="837"/>
      <c r="P1015" s="837"/>
      <c r="Q1015" s="837"/>
      <c r="R1015" s="837"/>
      <c r="S1015" s="63"/>
      <c r="T1015" s="837"/>
      <c r="U1015" s="837"/>
      <c r="V1015" s="1027" t="s">
        <v>274</v>
      </c>
      <c r="W1015" s="1024" t="str">
        <f>IF(OR(AND($Q$1007="",$S$1007=""),AND($Q$1007&lt;&gt;"",$S$1007&lt;&gt;"",OR($Q$1006="",Q1008="",S1006="",S1008=""))),"TBD",IF(OR($Q$1007="",$S$1007=""),"NA",IF(OR(MAX(U1003:U1006)&gt;$U$1013,MAX(U1008:U1011)&gt;$U$1013,MIN(U1003:U1006)&lt;R1013,MIN(U1008:U1011)&lt;R1013),"NO","YES")))</f>
        <v>TBD</v>
      </c>
      <c r="X1015" s="939" t="s">
        <v>482</v>
      </c>
    </row>
    <row r="1016" spans="1:27" ht="11.25" customHeight="1" thickBot="1">
      <c r="A1016" s="857">
        <v>26</v>
      </c>
      <c r="B1016" s="112"/>
      <c r="C1016" s="94"/>
      <c r="D1016" s="94"/>
      <c r="E1016" s="94"/>
      <c r="F1016" s="94"/>
      <c r="G1016" s="94"/>
      <c r="H1016" s="94"/>
      <c r="I1016" s="94"/>
      <c r="J1016" s="94"/>
      <c r="K1016" s="99"/>
      <c r="L1016" s="957" t="s">
        <v>482</v>
      </c>
      <c r="M1016" s="112"/>
      <c r="N1016" s="94"/>
      <c r="O1016" s="94"/>
      <c r="P1016" s="94"/>
      <c r="Q1016" s="94"/>
      <c r="R1016" s="602"/>
      <c r="S1016" s="94"/>
      <c r="T1016" s="94"/>
      <c r="U1016" s="94"/>
      <c r="V1016" s="94"/>
      <c r="W1016" s="99"/>
      <c r="X1016" s="939" t="s">
        <v>482</v>
      </c>
    </row>
    <row r="1017" spans="1:27" ht="11.25" customHeight="1" thickTop="1">
      <c r="A1017" s="857">
        <v>27</v>
      </c>
      <c r="B1017" s="63"/>
      <c r="C1017" s="63"/>
      <c r="D1017" s="63"/>
      <c r="E1017" s="63"/>
      <c r="F1017" s="63"/>
      <c r="G1017" s="63"/>
      <c r="H1017" s="63"/>
      <c r="I1017" s="63"/>
      <c r="J1017" s="63"/>
      <c r="K1017" s="63"/>
      <c r="L1017" s="957" t="s">
        <v>482</v>
      </c>
      <c r="X1017" s="939" t="s">
        <v>482</v>
      </c>
    </row>
    <row r="1018" spans="1:27" ht="11.25" customHeight="1">
      <c r="A1018" s="857">
        <v>28</v>
      </c>
      <c r="B1018" s="63"/>
      <c r="C1018" s="63"/>
      <c r="D1018" s="63"/>
      <c r="E1018" s="63"/>
      <c r="F1018" s="63"/>
      <c r="G1018" s="63"/>
      <c r="H1018" s="63"/>
      <c r="I1018" s="63"/>
      <c r="J1018" s="63"/>
      <c r="K1018" s="63"/>
      <c r="L1018" s="957" t="s">
        <v>482</v>
      </c>
      <c r="X1018" s="939" t="s">
        <v>482</v>
      </c>
    </row>
    <row r="1019" spans="1:27" ht="11.25" customHeight="1">
      <c r="A1019" s="857">
        <v>29</v>
      </c>
      <c r="B1019" s="63"/>
      <c r="C1019" s="63"/>
      <c r="D1019" s="63"/>
      <c r="E1019" s="63"/>
      <c r="F1019" s="63"/>
      <c r="G1019" s="63"/>
      <c r="H1019" s="63"/>
      <c r="I1019" s="63"/>
      <c r="J1019" s="63"/>
      <c r="K1019" s="63"/>
      <c r="L1019" s="957" t="s">
        <v>482</v>
      </c>
      <c r="X1019" s="939" t="s">
        <v>482</v>
      </c>
    </row>
    <row r="1020" spans="1:27" ht="11.25" customHeight="1">
      <c r="A1020" s="857">
        <v>30</v>
      </c>
      <c r="B1020" s="63"/>
      <c r="C1020" s="63"/>
      <c r="D1020" s="63"/>
      <c r="E1020" s="63"/>
      <c r="F1020" s="63"/>
      <c r="G1020" s="63"/>
      <c r="H1020" s="63"/>
      <c r="I1020" s="63"/>
      <c r="J1020" s="63"/>
      <c r="K1020" s="63"/>
      <c r="L1020" s="957" t="s">
        <v>482</v>
      </c>
      <c r="X1020" s="939" t="s">
        <v>482</v>
      </c>
    </row>
    <row r="1021" spans="1:27" ht="11.25" customHeight="1">
      <c r="A1021" s="857">
        <v>31</v>
      </c>
      <c r="B1021" s="63"/>
      <c r="C1021" s="63"/>
      <c r="D1021" s="63"/>
      <c r="E1021" s="63"/>
      <c r="F1021" s="63"/>
      <c r="G1021" s="63"/>
      <c r="H1021" s="63"/>
      <c r="I1021" s="63"/>
      <c r="J1021" s="63"/>
      <c r="K1021" s="63"/>
      <c r="L1021" s="957" t="s">
        <v>482</v>
      </c>
      <c r="X1021" s="939" t="s">
        <v>482</v>
      </c>
    </row>
    <row r="1022" spans="1:27" ht="11.25" customHeight="1">
      <c r="A1022" s="857">
        <v>32</v>
      </c>
      <c r="B1022" s="63"/>
      <c r="C1022" s="63"/>
      <c r="D1022" s="63"/>
      <c r="E1022" s="63"/>
      <c r="F1022" s="320" t="s">
        <v>275</v>
      </c>
      <c r="G1022" s="63"/>
      <c r="H1022" s="63"/>
      <c r="I1022" s="63"/>
      <c r="J1022" s="63"/>
      <c r="K1022" s="63"/>
      <c r="L1022" s="957" t="s">
        <v>482</v>
      </c>
      <c r="R1022" s="320" t="s">
        <v>275</v>
      </c>
      <c r="X1022" s="939" t="s">
        <v>482</v>
      </c>
    </row>
    <row r="1023" spans="1:27" ht="11.25" customHeight="1" thickBot="1">
      <c r="A1023" s="857">
        <v>33</v>
      </c>
      <c r="B1023" s="63"/>
      <c r="C1023" s="63"/>
      <c r="D1023" s="63"/>
      <c r="E1023" s="63"/>
      <c r="F1023" s="63"/>
      <c r="G1023" s="63"/>
      <c r="H1023" s="63"/>
      <c r="I1023" s="63"/>
      <c r="J1023" s="63"/>
      <c r="K1023" s="63"/>
      <c r="L1023" s="957" t="s">
        <v>482</v>
      </c>
      <c r="X1023" s="939" t="s">
        <v>482</v>
      </c>
    </row>
    <row r="1024" spans="1:27" ht="11.25" customHeight="1" thickTop="1">
      <c r="A1024" s="857">
        <v>34</v>
      </c>
      <c r="B1024" s="89"/>
      <c r="C1024" s="72"/>
      <c r="D1024" s="72"/>
      <c r="E1024" s="72"/>
      <c r="F1024" s="72"/>
      <c r="G1024" s="72"/>
      <c r="H1024" s="72"/>
      <c r="I1024" s="72"/>
      <c r="J1024" s="72"/>
      <c r="K1024" s="90"/>
      <c r="L1024" s="957" t="s">
        <v>482</v>
      </c>
      <c r="M1024" s="89"/>
      <c r="N1024" s="72"/>
      <c r="O1024" s="72"/>
      <c r="P1024" s="72"/>
      <c r="Q1024" s="72"/>
      <c r="R1024" s="72"/>
      <c r="S1024" s="72"/>
      <c r="T1024" s="72"/>
      <c r="U1024" s="72"/>
      <c r="V1024" s="72"/>
      <c r="W1024" s="90"/>
      <c r="X1024" s="939" t="s">
        <v>482</v>
      </c>
    </row>
    <row r="1025" spans="1:24" ht="11.25" customHeight="1">
      <c r="A1025" s="857">
        <v>35</v>
      </c>
      <c r="B1025" s="128" t="s">
        <v>485</v>
      </c>
      <c r="C1025" s="129"/>
      <c r="D1025" s="63"/>
      <c r="E1025" s="63"/>
      <c r="F1025" s="117"/>
      <c r="G1025" s="63"/>
      <c r="H1025" s="63"/>
      <c r="I1025" s="63"/>
      <c r="J1025" s="523" t="s">
        <v>487</v>
      </c>
      <c r="K1025" s="524"/>
      <c r="L1025" s="957" t="s">
        <v>482</v>
      </c>
      <c r="M1025" s="256" t="s">
        <v>488</v>
      </c>
      <c r="N1025" s="63"/>
      <c r="O1025" s="63"/>
      <c r="P1025" s="63"/>
      <c r="Q1025" s="63"/>
      <c r="R1025" s="63"/>
      <c r="S1025" s="63"/>
      <c r="T1025" s="63"/>
      <c r="U1025" s="63"/>
      <c r="V1025" s="63"/>
      <c r="W1025" s="81"/>
      <c r="X1025" s="939" t="s">
        <v>482</v>
      </c>
    </row>
    <row r="1026" spans="1:24" ht="11.25" customHeight="1">
      <c r="A1026" s="857">
        <v>36</v>
      </c>
      <c r="B1026" s="130" t="s">
        <v>571</v>
      </c>
      <c r="C1026" s="156"/>
      <c r="D1026" s="58" t="s">
        <v>572</v>
      </c>
      <c r="E1026" s="56"/>
      <c r="F1026" s="56"/>
      <c r="G1026" s="56"/>
      <c r="H1026" s="56"/>
      <c r="I1026" s="56"/>
      <c r="J1026" s="134" t="str">
        <f>IF($M1026="","TBD",IF($M1026=1,"YES",IF($M1026=3,"NA","")))</f>
        <v>TBD</v>
      </c>
      <c r="K1026" s="522" t="str">
        <f>IF($M1026=2,"NO","")</f>
        <v/>
      </c>
      <c r="L1026" s="957" t="s">
        <v>482</v>
      </c>
      <c r="M1026" s="864"/>
      <c r="N1026" s="63"/>
      <c r="O1026" s="58" t="s">
        <v>572</v>
      </c>
      <c r="P1026" s="63"/>
      <c r="Q1026" s="63"/>
      <c r="R1026" s="63"/>
      <c r="S1026" s="63"/>
      <c r="T1026" s="63"/>
      <c r="U1026" s="383"/>
      <c r="V1026" s="63"/>
      <c r="W1026" s="81"/>
      <c r="X1026" s="939" t="s">
        <v>482</v>
      </c>
    </row>
    <row r="1027" spans="1:24" ht="11.25" customHeight="1">
      <c r="A1027" s="857">
        <v>37</v>
      </c>
      <c r="B1027" s="130" t="s">
        <v>574</v>
      </c>
      <c r="C1027" s="156"/>
      <c r="D1027" s="58" t="s">
        <v>575</v>
      </c>
      <c r="E1027" s="56"/>
      <c r="F1027" s="56"/>
      <c r="G1027" s="56"/>
      <c r="H1027" s="56" t="s">
        <v>576</v>
      </c>
      <c r="I1027" s="178" t="str">
        <f>IF($O$1027="","",$O$1027)</f>
        <v/>
      </c>
      <c r="J1027" s="134" t="str">
        <f>IF($M1027="","TBD",IF($M1027=1,"YES",IF($M1027=3,"NA","")))</f>
        <v>TBD</v>
      </c>
      <c r="K1027" s="522" t="str">
        <f>IF($M1027=2,"NO","")</f>
        <v/>
      </c>
      <c r="L1027" s="957" t="s">
        <v>482</v>
      </c>
      <c r="M1027" s="864"/>
      <c r="N1027" s="56" t="s">
        <v>576</v>
      </c>
      <c r="O1027" s="1283"/>
      <c r="P1027" s="58" t="s">
        <v>575</v>
      </c>
      <c r="Q1027" s="63"/>
      <c r="R1027" s="63"/>
      <c r="S1027" s="63"/>
      <c r="T1027" s="1132" t="str">
        <f>IF(OR(AB185=0,AB185=""),"",AB185)</f>
        <v/>
      </c>
      <c r="U1027" s="1003" t="s">
        <v>276</v>
      </c>
      <c r="V1027" s="63"/>
      <c r="W1027" s="81"/>
      <c r="X1027" s="939" t="s">
        <v>482</v>
      </c>
    </row>
    <row r="1028" spans="1:24" ht="11.25" customHeight="1">
      <c r="A1028" s="857">
        <v>38</v>
      </c>
      <c r="B1028" s="130" t="s">
        <v>578</v>
      </c>
      <c r="C1028" s="156"/>
      <c r="D1028" s="58" t="s">
        <v>579</v>
      </c>
      <c r="E1028" s="63"/>
      <c r="F1028" s="63"/>
      <c r="G1028" s="63"/>
      <c r="H1028" s="63"/>
      <c r="I1028" s="63"/>
      <c r="J1028" s="134" t="str">
        <f>IF($M1028="","TBD",IF($M1028=1,"YES",IF($M1028=3,"NA","")))</f>
        <v>TBD</v>
      </c>
      <c r="K1028" s="522" t="str">
        <f>IF($M1028=2,"NO","")</f>
        <v/>
      </c>
      <c r="L1028" s="957" t="s">
        <v>482</v>
      </c>
      <c r="M1028" s="864"/>
      <c r="N1028" s="63"/>
      <c r="O1028" s="58" t="s">
        <v>579</v>
      </c>
      <c r="P1028" s="63"/>
      <c r="Q1028" s="63"/>
      <c r="R1028" s="63"/>
      <c r="S1028" s="63"/>
      <c r="T1028" s="63"/>
      <c r="U1028" s="63"/>
      <c r="V1028" s="63"/>
      <c r="W1028" s="81"/>
      <c r="X1028" s="939" t="s">
        <v>482</v>
      </c>
    </row>
    <row r="1029" spans="1:24" ht="11.25" customHeight="1" thickBot="1">
      <c r="A1029" s="857">
        <v>39</v>
      </c>
      <c r="B1029" s="112"/>
      <c r="C1029" s="94"/>
      <c r="D1029" s="94"/>
      <c r="E1029" s="94"/>
      <c r="F1029" s="94"/>
      <c r="G1029" s="94"/>
      <c r="H1029" s="94"/>
      <c r="I1029" s="94"/>
      <c r="J1029" s="94"/>
      <c r="K1029" s="99"/>
      <c r="L1029" s="957" t="s">
        <v>482</v>
      </c>
      <c r="M1029" s="112"/>
      <c r="N1029" s="94"/>
      <c r="O1029" s="94"/>
      <c r="P1029" s="94"/>
      <c r="Q1029" s="94"/>
      <c r="R1029" s="94"/>
      <c r="S1029" s="94"/>
      <c r="T1029" s="94"/>
      <c r="U1029" s="94"/>
      <c r="V1029" s="94"/>
      <c r="W1029" s="99"/>
      <c r="X1029" s="939" t="s">
        <v>482</v>
      </c>
    </row>
    <row r="1030" spans="1:24" ht="11.25" customHeight="1" thickTop="1">
      <c r="A1030" s="857">
        <v>40</v>
      </c>
      <c r="L1030" s="957" t="s">
        <v>482</v>
      </c>
      <c r="X1030" s="939" t="s">
        <v>482</v>
      </c>
    </row>
    <row r="1031" spans="1:24" ht="11.25" customHeight="1">
      <c r="A1031" s="857">
        <v>41</v>
      </c>
      <c r="L1031" s="957" t="s">
        <v>482</v>
      </c>
      <c r="X1031" s="939" t="s">
        <v>482</v>
      </c>
    </row>
    <row r="1032" spans="1:24" ht="11.25" customHeight="1">
      <c r="A1032" s="857">
        <v>42</v>
      </c>
      <c r="L1032" s="957" t="s">
        <v>482</v>
      </c>
      <c r="X1032" s="939" t="s">
        <v>482</v>
      </c>
    </row>
    <row r="1033" spans="1:24" ht="11.25" customHeight="1">
      <c r="A1033" s="857">
        <v>43</v>
      </c>
      <c r="L1033" s="957" t="s">
        <v>482</v>
      </c>
      <c r="X1033" s="939" t="s">
        <v>482</v>
      </c>
    </row>
    <row r="1034" spans="1:24" ht="11.25" customHeight="1">
      <c r="A1034" s="857">
        <v>44</v>
      </c>
      <c r="L1034" s="957" t="s">
        <v>482</v>
      </c>
      <c r="X1034" s="939" t="s">
        <v>482</v>
      </c>
    </row>
    <row r="1035" spans="1:24" ht="11.25" customHeight="1">
      <c r="A1035" s="857">
        <v>45</v>
      </c>
      <c r="L1035" s="957" t="s">
        <v>482</v>
      </c>
      <c r="X1035" s="939" t="s">
        <v>482</v>
      </c>
    </row>
    <row r="1036" spans="1:24" ht="11.25" customHeight="1">
      <c r="A1036" s="857">
        <v>46</v>
      </c>
      <c r="L1036" s="957" t="s">
        <v>482</v>
      </c>
      <c r="X1036" s="939" t="s">
        <v>482</v>
      </c>
    </row>
    <row r="1037" spans="1:24" ht="11.25" customHeight="1">
      <c r="A1037" s="857">
        <v>47</v>
      </c>
      <c r="L1037" s="957" t="s">
        <v>482</v>
      </c>
      <c r="X1037" s="939" t="s">
        <v>482</v>
      </c>
    </row>
    <row r="1038" spans="1:24" ht="11.25" customHeight="1">
      <c r="A1038" s="857">
        <v>48</v>
      </c>
      <c r="L1038" s="957" t="s">
        <v>482</v>
      </c>
      <c r="X1038" s="939" t="s">
        <v>482</v>
      </c>
    </row>
    <row r="1039" spans="1:24" ht="11.25" customHeight="1">
      <c r="A1039" s="857">
        <v>49</v>
      </c>
      <c r="L1039" s="957" t="s">
        <v>482</v>
      </c>
      <c r="X1039" s="939" t="s">
        <v>482</v>
      </c>
    </row>
    <row r="1040" spans="1:24" ht="11.25" customHeight="1">
      <c r="A1040" s="857">
        <v>50</v>
      </c>
      <c r="L1040" s="957" t="s">
        <v>482</v>
      </c>
      <c r="X1040" s="939" t="s">
        <v>482</v>
      </c>
    </row>
    <row r="1041" spans="1:24" ht="11.25" customHeight="1">
      <c r="A1041" s="857">
        <v>51</v>
      </c>
      <c r="L1041" s="957" t="s">
        <v>482</v>
      </c>
      <c r="X1041" s="939" t="s">
        <v>482</v>
      </c>
    </row>
    <row r="1042" spans="1:24" ht="11.25" customHeight="1">
      <c r="A1042" s="857">
        <v>52</v>
      </c>
      <c r="L1042" s="957" t="s">
        <v>482</v>
      </c>
      <c r="X1042" s="939" t="s">
        <v>482</v>
      </c>
    </row>
    <row r="1043" spans="1:24" ht="11.25" customHeight="1">
      <c r="A1043" s="857">
        <v>53</v>
      </c>
      <c r="L1043" s="957" t="s">
        <v>482</v>
      </c>
      <c r="X1043" s="939" t="s">
        <v>482</v>
      </c>
    </row>
    <row r="1044" spans="1:24" ht="11.25" customHeight="1">
      <c r="A1044" s="857">
        <v>54</v>
      </c>
      <c r="L1044" s="957" t="s">
        <v>482</v>
      </c>
      <c r="X1044" s="939" t="s">
        <v>482</v>
      </c>
    </row>
    <row r="1045" spans="1:24" ht="11.25" customHeight="1">
      <c r="A1045" s="857">
        <v>55</v>
      </c>
      <c r="L1045" s="957" t="s">
        <v>482</v>
      </c>
      <c r="X1045" s="939" t="s">
        <v>482</v>
      </c>
    </row>
    <row r="1046" spans="1:24" ht="11.25" customHeight="1">
      <c r="A1046" s="857">
        <v>56</v>
      </c>
      <c r="L1046" s="957" t="s">
        <v>482</v>
      </c>
      <c r="X1046" s="939" t="s">
        <v>482</v>
      </c>
    </row>
    <row r="1047" spans="1:24" ht="11.25" customHeight="1">
      <c r="A1047" s="857">
        <v>57</v>
      </c>
      <c r="L1047" s="957" t="s">
        <v>482</v>
      </c>
      <c r="X1047" s="939" t="s">
        <v>482</v>
      </c>
    </row>
    <row r="1048" spans="1:24" ht="11.25" customHeight="1">
      <c r="A1048" s="857">
        <v>58</v>
      </c>
      <c r="L1048" s="957" t="s">
        <v>482</v>
      </c>
      <c r="X1048" s="939" t="s">
        <v>482</v>
      </c>
    </row>
    <row r="1049" spans="1:24" ht="11.25" customHeight="1">
      <c r="A1049" s="857">
        <v>59</v>
      </c>
      <c r="L1049" s="957" t="s">
        <v>482</v>
      </c>
      <c r="X1049" s="939" t="s">
        <v>482</v>
      </c>
    </row>
    <row r="1050" spans="1:24" ht="11.25" customHeight="1">
      <c r="A1050" s="857">
        <v>60</v>
      </c>
      <c r="L1050" s="957" t="s">
        <v>482</v>
      </c>
      <c r="X1050" s="939" t="s">
        <v>482</v>
      </c>
    </row>
    <row r="1051" spans="1:24" ht="11.25" customHeight="1">
      <c r="A1051" s="857">
        <v>61</v>
      </c>
      <c r="L1051" s="957" t="s">
        <v>482</v>
      </c>
      <c r="X1051" s="939" t="s">
        <v>482</v>
      </c>
    </row>
    <row r="1052" spans="1:24" ht="11.25" customHeight="1">
      <c r="A1052" s="857">
        <v>62</v>
      </c>
      <c r="L1052" s="957" t="s">
        <v>482</v>
      </c>
      <c r="X1052" s="939" t="s">
        <v>482</v>
      </c>
    </row>
    <row r="1053" spans="1:24" ht="11.25" customHeight="1">
      <c r="A1053" s="857">
        <v>63</v>
      </c>
      <c r="L1053" s="957" t="s">
        <v>482</v>
      </c>
      <c r="X1053" s="939" t="s">
        <v>482</v>
      </c>
    </row>
    <row r="1054" spans="1:24" ht="11.25" customHeight="1">
      <c r="A1054" s="857">
        <v>64</v>
      </c>
      <c r="C1054" s="1397"/>
      <c r="L1054" s="957" t="s">
        <v>482</v>
      </c>
      <c r="X1054" s="939" t="s">
        <v>482</v>
      </c>
    </row>
    <row r="1055" spans="1:24" ht="11.25" customHeight="1">
      <c r="A1055" s="857">
        <v>65</v>
      </c>
      <c r="B1055" s="60" t="str">
        <f t="array" ref="B1055:C1056">$B$65:$C$66</f>
        <v>Date:</v>
      </c>
      <c r="C1055" s="1664" t="str">
        <v/>
      </c>
      <c r="D1055" s="136"/>
      <c r="E1055" s="59"/>
      <c r="F1055" s="59"/>
      <c r="G1055" s="59"/>
      <c r="H1055" s="59"/>
      <c r="I1055" s="60" t="str">
        <f t="array" ref="I1055:J1056">$I$65:$J$66</f>
        <v>Inspector:</v>
      </c>
      <c r="J1055" s="554" t="str">
        <v>Eugene Mah</v>
      </c>
      <c r="L1055" s="957" t="s">
        <v>482</v>
      </c>
      <c r="X1055" s="939" t="s">
        <v>482</v>
      </c>
    </row>
    <row r="1056" spans="1:24" ht="11.25" customHeight="1">
      <c r="A1056" s="857">
        <v>66</v>
      </c>
      <c r="B1056" s="60" t="str">
        <v>Room Number:</v>
      </c>
      <c r="C1056" s="499" t="str">
        <v/>
      </c>
      <c r="D1056" s="63"/>
      <c r="E1056" s="59"/>
      <c r="F1056" s="59"/>
      <c r="G1056" s="59"/>
      <c r="H1056" s="59"/>
      <c r="I1056" s="60" t="str">
        <v>Survey ID:</v>
      </c>
      <c r="J1056" s="1404" t="str">
        <v/>
      </c>
      <c r="L1056" s="957" t="s">
        <v>482</v>
      </c>
      <c r="X1056" s="939" t="s">
        <v>482</v>
      </c>
    </row>
    <row r="1057" spans="1:24" ht="11.25" customHeight="1">
      <c r="A1057" s="857">
        <v>1</v>
      </c>
      <c r="B1057" s="1"/>
      <c r="C1057" s="1"/>
      <c r="D1057" s="1"/>
      <c r="E1057" s="1"/>
      <c r="H1057" s="1"/>
      <c r="I1057" s="1"/>
      <c r="J1057" s="1"/>
      <c r="K1057" s="161" t="str">
        <f>$F$2</f>
        <v>Medical University of South Carolina</v>
      </c>
      <c r="L1057" s="957" t="s">
        <v>482</v>
      </c>
      <c r="M1057" s="1"/>
      <c r="N1057" s="1"/>
      <c r="O1057" s="1"/>
      <c r="P1057" s="1"/>
      <c r="Q1057" s="1"/>
      <c r="S1057" s="1"/>
      <c r="T1057" s="1"/>
      <c r="U1057" s="1"/>
      <c r="V1057" s="1"/>
      <c r="W1057" s="161" t="str">
        <f>$F$2</f>
        <v>Medical University of South Carolina</v>
      </c>
      <c r="X1057" s="939" t="s">
        <v>482</v>
      </c>
    </row>
    <row r="1058" spans="1:24" ht="11.25" customHeight="1">
      <c r="A1058" s="857">
        <v>2</v>
      </c>
      <c r="F1058" s="336" t="str">
        <f>$F$464</f>
        <v>Measurement Data</v>
      </c>
      <c r="K1058" s="162" t="str">
        <f>$F$5</f>
        <v>Radiographic System Compliance Inspection</v>
      </c>
      <c r="L1058" s="957" t="s">
        <v>482</v>
      </c>
      <c r="Q1058" s="336" t="str">
        <f>$F$464</f>
        <v>Measurement Data</v>
      </c>
      <c r="R1058" s="51"/>
      <c r="W1058" s="162" t="str">
        <f>$F$5</f>
        <v>Radiographic System Compliance Inspection</v>
      </c>
      <c r="X1058" s="939" t="s">
        <v>482</v>
      </c>
    </row>
    <row r="1059" spans="1:24" ht="11.25" customHeight="1" thickBot="1">
      <c r="A1059" s="857">
        <v>3</v>
      </c>
      <c r="F1059" s="50"/>
      <c r="L1059" s="957" t="s">
        <v>482</v>
      </c>
      <c r="R1059" s="50"/>
      <c r="X1059" s="939" t="s">
        <v>482</v>
      </c>
    </row>
    <row r="1060" spans="1:24" ht="11.25" customHeight="1" thickTop="1">
      <c r="A1060" s="857">
        <v>4</v>
      </c>
      <c r="B1060" s="89"/>
      <c r="C1060" s="72"/>
      <c r="D1060" s="72"/>
      <c r="E1060" s="72"/>
      <c r="F1060" s="1226" t="s">
        <v>277</v>
      </c>
      <c r="G1060" s="72"/>
      <c r="H1060" s="72"/>
      <c r="I1060" s="72"/>
      <c r="J1060" s="72"/>
      <c r="K1060" s="90"/>
      <c r="L1060" s="957" t="s">
        <v>482</v>
      </c>
      <c r="M1060" s="89"/>
      <c r="N1060" s="72"/>
      <c r="O1060" s="72"/>
      <c r="P1060" s="72"/>
      <c r="Q1060" s="1226"/>
      <c r="R1060" s="1226" t="s">
        <v>277</v>
      </c>
      <c r="S1060" s="72"/>
      <c r="T1060" s="72"/>
      <c r="U1060" s="72"/>
      <c r="V1060" s="72"/>
      <c r="W1060" s="90"/>
      <c r="X1060" s="939" t="s">
        <v>482</v>
      </c>
    </row>
    <row r="1061" spans="1:24" ht="11.25" customHeight="1">
      <c r="A1061" s="857">
        <v>5</v>
      </c>
      <c r="B1061" s="242" t="s">
        <v>278</v>
      </c>
      <c r="C1061" s="63"/>
      <c r="D1061" s="63"/>
      <c r="E1061" s="63"/>
      <c r="F1061" s="63"/>
      <c r="G1061" s="63"/>
      <c r="H1061" s="63"/>
      <c r="I1061" s="63"/>
      <c r="J1061" s="63"/>
      <c r="K1061" s="81"/>
      <c r="L1061" s="957" t="s">
        <v>482</v>
      </c>
      <c r="M1061" s="386" t="s">
        <v>278</v>
      </c>
      <c r="N1061" s="61"/>
      <c r="O1061" s="63"/>
      <c r="P1061" s="63"/>
      <c r="Q1061" s="63"/>
      <c r="R1061" s="63"/>
      <c r="S1061" s="63"/>
      <c r="T1061" s="63"/>
      <c r="U1061" s="63"/>
      <c r="V1061" s="63"/>
      <c r="W1061" s="81"/>
      <c r="X1061" s="939" t="s">
        <v>482</v>
      </c>
    </row>
    <row r="1062" spans="1:24" ht="11.25" customHeight="1" thickBot="1">
      <c r="A1062" s="857">
        <v>6</v>
      </c>
      <c r="B1062" s="155"/>
      <c r="C1062" s="61"/>
      <c r="D1062" s="61"/>
      <c r="E1062" s="63"/>
      <c r="F1062" s="63"/>
      <c r="G1062" s="63"/>
      <c r="H1062" s="63"/>
      <c r="I1062" s="63"/>
      <c r="J1062" s="63"/>
      <c r="K1062" s="81"/>
      <c r="L1062" s="957" t="s">
        <v>482</v>
      </c>
      <c r="M1062" s="155"/>
      <c r="N1062" s="63"/>
      <c r="O1062" s="61"/>
      <c r="P1062" s="63"/>
      <c r="Q1062" s="1213" t="s">
        <v>418</v>
      </c>
      <c r="R1062" s="1213" t="s">
        <v>696</v>
      </c>
      <c r="S1062" s="63"/>
      <c r="T1062" s="63"/>
      <c r="U1062" s="63"/>
      <c r="V1062" s="993" t="s">
        <v>447</v>
      </c>
      <c r="W1062" s="1026" t="str">
        <f>IF(OR(AB483=0,AB483=""),"",AB483)</f>
        <v/>
      </c>
      <c r="X1062" s="939" t="s">
        <v>482</v>
      </c>
    </row>
    <row r="1063" spans="1:24" ht="11.25" customHeight="1" thickBot="1">
      <c r="A1063" s="857">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TBD</v>
      </c>
      <c r="K1063" s="81"/>
      <c r="L1063" s="957" t="s">
        <v>482</v>
      </c>
      <c r="M1063" s="270"/>
      <c r="N1063" s="63"/>
      <c r="O1063" s="41"/>
      <c r="P1063" s="41" t="s">
        <v>687</v>
      </c>
      <c r="Q1063" s="1214" t="str">
        <f>IF(R1063&lt;&gt;"",R1063&amp;" "&amp;TBCM_IN,IF(OR(AB531=0,AB531=""),M1003,AB531))</f>
        <v>101.6 cm</v>
      </c>
      <c r="R1063" s="1216"/>
      <c r="S1063" s="63"/>
      <c r="T1063" s="182" t="s">
        <v>686</v>
      </c>
      <c r="U1063" s="905"/>
      <c r="V1063" s="62" t="str">
        <f>IF(Meter_OD="","Blank",Meter_OD)</f>
        <v>Meter</v>
      </c>
      <c r="W1063" s="1487"/>
      <c r="X1063" s="939" t="s">
        <v>482</v>
      </c>
    </row>
    <row r="1064" spans="1:24" ht="11.25" customHeight="1" thickBot="1">
      <c r="A1064" s="857">
        <v>8</v>
      </c>
      <c r="B1064" s="155"/>
      <c r="C1064" s="63"/>
      <c r="D1064" s="63"/>
      <c r="E1064" s="63"/>
      <c r="F1064" s="63"/>
      <c r="G1064" s="382" t="str">
        <f>IF(U1063="","mAs:_______","mAs:  "&amp;ROUND(U1063,1))</f>
        <v>mAs:_______</v>
      </c>
      <c r="H1064" s="63"/>
      <c r="I1064" s="63"/>
      <c r="J1064" s="63"/>
      <c r="K1064" s="81"/>
      <c r="L1064" s="957" t="s">
        <v>482</v>
      </c>
      <c r="M1064" s="155"/>
      <c r="N1064" s="1303"/>
      <c r="O1064" s="63"/>
      <c r="P1064" s="41" t="s">
        <v>295</v>
      </c>
      <c r="Q1064" s="1220" t="str">
        <f>IF(R1064&lt;&gt;"",R1064,IF(OR(AB532=0,AB532=""),N1003,AB532))</f>
        <v>C</v>
      </c>
      <c r="R1064" s="1219"/>
      <c r="S1064" s="63"/>
      <c r="T1064" s="63"/>
      <c r="U1064" s="63"/>
      <c r="V1064" s="1488" t="s">
        <v>646</v>
      </c>
      <c r="W1064" s="1025" t="str">
        <f>IF($W$1063="NA","NA",IF($W$1063="","TBD",IF(AND($W$1063&gt;=1.9,$W$1063&lt;=2.1),"YES","NO")))</f>
        <v>TBD</v>
      </c>
      <c r="X1064" s="939" t="s">
        <v>482</v>
      </c>
    </row>
    <row r="1065" spans="1:24" ht="11.25" customHeight="1">
      <c r="A1065" s="857">
        <v>9</v>
      </c>
      <c r="B1065" s="155"/>
      <c r="C1065" s="162" t="s">
        <v>647</v>
      </c>
      <c r="D1065" s="115" t="str">
        <f>U1065</f>
        <v>1.9&lt;=lgM&lt;=2.1</v>
      </c>
      <c r="E1065" s="63"/>
      <c r="F1065" s="63"/>
      <c r="G1065" s="63"/>
      <c r="H1065" s="63"/>
      <c r="I1065" s="63"/>
      <c r="J1065" s="63"/>
      <c r="K1065" s="81"/>
      <c r="L1065" s="957" t="s">
        <v>482</v>
      </c>
      <c r="M1065" s="155"/>
      <c r="N1065" s="63"/>
      <c r="O1065" s="63"/>
      <c r="P1065" s="41" t="s">
        <v>683</v>
      </c>
      <c r="Q1065" s="1212">
        <f>IF(R1065&lt;&gt;"",R1065,IF(OR(AB533=0,AB533=""),M1008,AB533))</f>
        <v>80</v>
      </c>
      <c r="R1065" s="1217"/>
      <c r="S1065" s="63"/>
      <c r="T1065" s="162" t="s">
        <v>647</v>
      </c>
      <c r="U1065" s="115" t="s">
        <v>1158</v>
      </c>
      <c r="V1065" s="63"/>
      <c r="W1065" s="81"/>
      <c r="X1065" s="939" t="s">
        <v>482</v>
      </c>
    </row>
    <row r="1066" spans="1:24" ht="11.25" customHeight="1">
      <c r="A1066" s="857">
        <v>10</v>
      </c>
      <c r="B1066" s="155"/>
      <c r="C1066" s="63"/>
      <c r="D1066" s="63"/>
      <c r="E1066" s="63"/>
      <c r="F1066" s="63"/>
      <c r="G1066" s="63"/>
      <c r="H1066" s="63"/>
      <c r="I1066" s="63"/>
      <c r="J1066" s="63"/>
      <c r="K1066" s="81"/>
      <c r="L1066" s="957" t="s">
        <v>482</v>
      </c>
      <c r="M1066" s="155"/>
      <c r="N1066" s="4"/>
      <c r="O1066" s="4"/>
      <c r="P1066" s="41" t="s">
        <v>280</v>
      </c>
      <c r="Q1066" s="1211">
        <f>IF(R1066&lt;&gt;"",R1066,IF(OR(AB534=0,AB534=""),N1008,AB534))</f>
        <v>7.8740157480314963</v>
      </c>
      <c r="R1066" s="1215"/>
      <c r="S1066" s="63"/>
      <c r="T1066" s="63"/>
      <c r="U1066" s="63"/>
      <c r="V1066" s="63"/>
      <c r="W1066" s="43"/>
      <c r="X1066" s="939" t="s">
        <v>482</v>
      </c>
    </row>
    <row r="1067" spans="1:24" ht="11.25" customHeight="1">
      <c r="A1067" s="857">
        <v>11</v>
      </c>
      <c r="B1067" s="155"/>
      <c r="C1067" s="63"/>
      <c r="D1067" s="63"/>
      <c r="E1067" s="63"/>
      <c r="F1067" s="63"/>
      <c r="G1067" s="63"/>
      <c r="H1067" s="63"/>
      <c r="I1067" s="63"/>
      <c r="J1067" s="63"/>
      <c r="K1067" s="81"/>
      <c r="L1067" s="957" t="s">
        <v>482</v>
      </c>
      <c r="M1067" s="155"/>
      <c r="N1067" s="3"/>
      <c r="O1067" s="3"/>
      <c r="P1067" s="3"/>
      <c r="Q1067" s="63"/>
      <c r="R1067" s="63"/>
      <c r="S1067" s="63"/>
      <c r="T1067" s="63"/>
      <c r="U1067" s="63"/>
      <c r="V1067" s="63"/>
      <c r="W1067" s="81"/>
      <c r="X1067" s="939" t="s">
        <v>482</v>
      </c>
    </row>
    <row r="1068" spans="1:24" ht="11.25" customHeight="1">
      <c r="A1068" s="857">
        <v>12</v>
      </c>
      <c r="B1068" s="386" t="s">
        <v>281</v>
      </c>
      <c r="C1068" s="272"/>
      <c r="D1068" s="272"/>
      <c r="E1068" s="41" t="s">
        <v>683</v>
      </c>
      <c r="F1068" s="39">
        <f>IF(R1068="","",R1068)</f>
        <v>80</v>
      </c>
      <c r="G1068" s="3"/>
      <c r="H1068" s="41" t="s">
        <v>282</v>
      </c>
      <c r="I1068" s="2" t="str">
        <f>IF(U1068="","              in.",ROUND(U1068,2)&amp;" in.")</f>
        <v>7.87 in.</v>
      </c>
      <c r="J1068" s="63"/>
      <c r="K1068" s="81"/>
      <c r="L1068" s="957" t="s">
        <v>482</v>
      </c>
      <c r="M1068" s="386" t="s">
        <v>281</v>
      </c>
      <c r="N1068" s="3"/>
      <c r="O1068" s="3"/>
      <c r="P1068" s="3"/>
      <c r="Q1068" s="41" t="s">
        <v>683</v>
      </c>
      <c r="R1068" s="1081">
        <f>IF(Q1065="","",Q1065)</f>
        <v>80</v>
      </c>
      <c r="S1068" s="3"/>
      <c r="T1068" s="41" t="s">
        <v>282</v>
      </c>
      <c r="U1068" s="1080">
        <f>IF(Q1066="","",Q1066)</f>
        <v>7.8740157480314963</v>
      </c>
      <c r="V1068" s="58" t="s">
        <v>271</v>
      </c>
      <c r="W1068" s="43"/>
      <c r="X1068" s="939" t="s">
        <v>482</v>
      </c>
    </row>
    <row r="1069" spans="1:24" ht="11.25" customHeight="1">
      <c r="A1069" s="857">
        <v>13</v>
      </c>
      <c r="B1069" s="155"/>
      <c r="C1069" s="3"/>
      <c r="D1069" s="3"/>
      <c r="E1069" s="41" t="s">
        <v>687</v>
      </c>
      <c r="F1069" s="2" t="str">
        <f>IF(R1069="","",R1069)</f>
        <v>101.6 cm</v>
      </c>
      <c r="G1069" s="3"/>
      <c r="H1069" s="41" t="s">
        <v>617</v>
      </c>
      <c r="I1069" s="12" t="str">
        <f>IF(U1069="","",U1069)</f>
        <v/>
      </c>
      <c r="J1069" s="63"/>
      <c r="K1069" s="81"/>
      <c r="L1069" s="957" t="s">
        <v>482</v>
      </c>
      <c r="M1069" s="155"/>
      <c r="N1069" s="63"/>
      <c r="O1069" s="63"/>
      <c r="P1069" s="63"/>
      <c r="Q1069" s="41" t="s">
        <v>687</v>
      </c>
      <c r="R1069" s="1080" t="str">
        <f>IF(Q1063="","",Q1063)</f>
        <v>101.6 cm</v>
      </c>
      <c r="S1069" s="3"/>
      <c r="T1069" s="41" t="s">
        <v>617</v>
      </c>
      <c r="U1069" s="1082" t="str">
        <f>IF($T$32="","",$T$32&amp;"/"&amp;$T$33)</f>
        <v/>
      </c>
      <c r="V1069" s="4"/>
      <c r="W1069" s="81"/>
      <c r="X1069" s="939" t="s">
        <v>482</v>
      </c>
    </row>
    <row r="1070" spans="1:24" ht="11.25" customHeight="1">
      <c r="A1070" s="857">
        <v>14</v>
      </c>
      <c r="B1070" s="270" t="s">
        <v>283</v>
      </c>
      <c r="C1070" s="272" t="s">
        <v>284</v>
      </c>
      <c r="D1070" s="272"/>
      <c r="E1070" s="272" t="s">
        <v>285</v>
      </c>
      <c r="F1070" s="272"/>
      <c r="G1070" s="272" t="s">
        <v>286</v>
      </c>
      <c r="H1070" s="272"/>
      <c r="I1070" s="3"/>
      <c r="J1070" s="3"/>
      <c r="K1070" s="81"/>
      <c r="L1070" s="957" t="s">
        <v>482</v>
      </c>
      <c r="M1070" s="270"/>
      <c r="N1070" s="56" t="s">
        <v>283</v>
      </c>
      <c r="O1070" s="272" t="s">
        <v>284</v>
      </c>
      <c r="P1070" s="272"/>
      <c r="Q1070" s="272" t="s">
        <v>285</v>
      </c>
      <c r="R1070" s="272"/>
      <c r="S1070" s="272" t="s">
        <v>286</v>
      </c>
      <c r="T1070" s="272"/>
      <c r="U1070" s="3"/>
      <c r="V1070" s="3"/>
      <c r="W1070" s="43"/>
      <c r="X1070" s="939" t="s">
        <v>482</v>
      </c>
    </row>
    <row r="1071" spans="1:24" ht="11.25" customHeight="1" thickBot="1">
      <c r="A1071" s="857">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7" t="s">
        <v>482</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9" t="s">
        <v>482</v>
      </c>
    </row>
    <row r="1072" spans="1:24" ht="11.25" customHeight="1">
      <c r="A1072" s="857">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7" t="s">
        <v>482</v>
      </c>
      <c r="M1072" s="52"/>
      <c r="N1072" s="63"/>
      <c r="O1072" s="906"/>
      <c r="P1072" s="1281"/>
      <c r="Q1072" s="906" t="str">
        <f>IF(Q1007="","",Q1007)</f>
        <v/>
      </c>
      <c r="R1072" s="1281" t="str">
        <f>IF(S1007="","",S1007)</f>
        <v/>
      </c>
      <c r="S1072" s="906"/>
      <c r="T1072" s="1281"/>
      <c r="U1072" s="3"/>
      <c r="V1072" s="3"/>
      <c r="W1072" s="43"/>
      <c r="X1072" s="939" t="s">
        <v>482</v>
      </c>
    </row>
    <row r="1073" spans="1:24" ht="11.25" customHeight="1">
      <c r="A1073" s="857">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7" t="s">
        <v>482</v>
      </c>
      <c r="M1073" s="52"/>
      <c r="N1073" s="63"/>
      <c r="O1073" s="906"/>
      <c r="P1073" s="1281"/>
      <c r="Q1073" s="906"/>
      <c r="R1073" s="1281"/>
      <c r="S1073" s="906"/>
      <c r="T1073" s="1281"/>
      <c r="U1073" s="3"/>
      <c r="V1073" s="3"/>
      <c r="W1073" s="43"/>
      <c r="X1073" s="939" t="s">
        <v>482</v>
      </c>
    </row>
    <row r="1074" spans="1:24" ht="11.25" customHeight="1">
      <c r="A1074" s="857">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7" t="s">
        <v>482</v>
      </c>
      <c r="M1074" s="52"/>
      <c r="N1074" s="63"/>
      <c r="O1074" s="906"/>
      <c r="P1074" s="1281"/>
      <c r="Q1074" s="906"/>
      <c r="R1074" s="1281"/>
      <c r="S1074" s="906"/>
      <c r="T1074" s="1281"/>
      <c r="U1074" s="3"/>
      <c r="V1074" s="3"/>
      <c r="W1074" s="43"/>
      <c r="X1074" s="939" t="s">
        <v>482</v>
      </c>
    </row>
    <row r="1075" spans="1:24" ht="11.25" customHeight="1">
      <c r="A1075" s="857">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7" t="s">
        <v>482</v>
      </c>
      <c r="M1075" s="52"/>
      <c r="N1075" s="63"/>
      <c r="O1075" s="906"/>
      <c r="P1075" s="1281"/>
      <c r="Q1075" s="906"/>
      <c r="R1075" s="1281"/>
      <c r="S1075" s="906"/>
      <c r="T1075" s="1281"/>
      <c r="U1075" s="3"/>
      <c r="V1075" s="3"/>
      <c r="W1075" s="43"/>
      <c r="X1075" s="939" t="s">
        <v>482</v>
      </c>
    </row>
    <row r="1076" spans="1:24" ht="11.25" customHeight="1">
      <c r="A1076" s="857">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7" t="s">
        <v>482</v>
      </c>
      <c r="M1076" s="52"/>
      <c r="N1076" s="63"/>
      <c r="O1076" s="906"/>
      <c r="P1076" s="1281"/>
      <c r="Q1076" s="906"/>
      <c r="R1076" s="1281"/>
      <c r="S1076" s="906"/>
      <c r="T1076" s="1281"/>
      <c r="U1076" s="3"/>
      <c r="V1076" s="3"/>
      <c r="W1076" s="43"/>
      <c r="X1076" s="939" t="s">
        <v>482</v>
      </c>
    </row>
    <row r="1077" spans="1:24" ht="11.25" customHeight="1">
      <c r="A1077" s="857">
        <v>21</v>
      </c>
      <c r="B1077" s="155"/>
      <c r="C1077" s="63"/>
      <c r="D1077" s="63"/>
      <c r="E1077" s="63"/>
      <c r="F1077" s="63"/>
      <c r="G1077" s="63"/>
      <c r="H1077" s="63"/>
      <c r="I1077" s="63"/>
      <c r="J1077" s="63"/>
      <c r="K1077" s="81"/>
      <c r="L1077" s="957" t="s">
        <v>482</v>
      </c>
      <c r="M1077" s="155"/>
      <c r="N1077" s="63"/>
      <c r="O1077" s="63"/>
      <c r="P1077" s="63"/>
      <c r="Q1077" s="63"/>
      <c r="R1077" s="63"/>
      <c r="S1077" s="63"/>
      <c r="T1077" s="63"/>
      <c r="U1077" s="63"/>
      <c r="V1077" s="63"/>
      <c r="W1077" s="81"/>
      <c r="X1077" s="939" t="s">
        <v>482</v>
      </c>
    </row>
    <row r="1078" spans="1:24" ht="11.25" customHeight="1">
      <c r="A1078" s="857">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7" t="s">
        <v>482</v>
      </c>
      <c r="M1078" s="52"/>
      <c r="N1078" s="552"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9" t="s">
        <v>482</v>
      </c>
    </row>
    <row r="1079" spans="1:24" ht="11.25" customHeight="1">
      <c r="A1079" s="857">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7" t="s">
        <v>482</v>
      </c>
      <c r="M1079" s="52"/>
      <c r="N1079" s="553"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9" t="s">
        <v>482</v>
      </c>
    </row>
    <row r="1080" spans="1:24" ht="11.25" customHeight="1" thickBot="1">
      <c r="A1080" s="857">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425" t="str">
        <f>IF(V1080="","",V1080)</f>
        <v>TBD</v>
      </c>
      <c r="K1080" s="81"/>
      <c r="L1080" s="957" t="s">
        <v>482</v>
      </c>
      <c r="M1080" s="387"/>
      <c r="N1080" s="553"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9" t="str">
        <f>IF(AND(Q1078="",R1078=""),"TBD",IF(AND(O1078="",Q1078="",S1078=""),ROUND((MAX(P1078,R1078,T1078)-MIN(P1078,R1078,T1078))/AVERAGE(P1078,R1078,T1078),2),IF(Meter_OD="Film O.D.",ROUND(MAX(O1078,Q1078,S1078)-MIN(O1078,Q1078,S1078),2)&amp;" O.D.",ROUND((MAX(O1078,Q1078,S1078)-MIN(O1078,Q1078,S1078))/AVERAGE(O1078,Q1078,S1078),2))))</f>
        <v>TBD</v>
      </c>
      <c r="W1080" s="43"/>
      <c r="X1080" s="939" t="s">
        <v>482</v>
      </c>
    </row>
    <row r="1081" spans="1:24" ht="11.25" customHeight="1" thickBot="1">
      <c r="A1081" s="857">
        <v>25</v>
      </c>
      <c r="B1081" s="373" t="s">
        <v>646</v>
      </c>
      <c r="C1081" s="633" t="str">
        <f t="shared" si="164"/>
        <v>TBD</v>
      </c>
      <c r="D1081" s="634" t="str">
        <f t="shared" si="164"/>
        <v>TBD</v>
      </c>
      <c r="E1081" s="635" t="str">
        <f t="shared" si="164"/>
        <v>TBD</v>
      </c>
      <c r="F1081" s="634" t="str">
        <f t="shared" si="164"/>
        <v>TBD</v>
      </c>
      <c r="G1081" s="635" t="str">
        <f t="shared" si="164"/>
        <v>TBD</v>
      </c>
      <c r="H1081" s="633" t="str">
        <f t="shared" si="164"/>
        <v>TBD</v>
      </c>
      <c r="I1081" s="48" t="s">
        <v>646</v>
      </c>
      <c r="J1081" s="426" t="str">
        <f>IF(V1081="","",V1081)</f>
        <v>TBD</v>
      </c>
      <c r="K1081" s="96"/>
      <c r="L1081" s="957" t="s">
        <v>482</v>
      </c>
      <c r="M1081" s="52"/>
      <c r="N1081" s="1072" t="s">
        <v>646</v>
      </c>
      <c r="O1081" s="1019" t="str">
        <f>IF(AND(O1080="",P1080=""),"TBD",IF(O1080="","NA",IF(TRUNC(O1080,4)&gt;0.05,"NO","YES")))</f>
        <v>TBD</v>
      </c>
      <c r="P1081" s="1020" t="str">
        <f>IF(AND(O1080="",P1080=""),"TBD",IF(P1080="","NA",IF(TRUNC(P1080,4)&gt;0.05,"NO","YES")))</f>
        <v>TBD</v>
      </c>
      <c r="Q1081" s="1019" t="str">
        <f>IF(AND(Q1080="",R1080=""),"TBD",IF(Q1080="","NA",IF(TRUNC(Q1080,4)&gt;0.05,"NO","YES")))</f>
        <v>TBD</v>
      </c>
      <c r="R1081" s="1020" t="str">
        <f>IF(AND(Q1080="",R1080=""),"TBD",IF(R1080="","NA",IF(TRUNC(R1080,4)&gt;0.05,"NO","YES")))</f>
        <v>TBD</v>
      </c>
      <c r="S1081" s="1019" t="str">
        <f>IF(AND(S1080="",T1080=""),"TBD",IF(S1080="","NA",IF(TRUNC(S1080,4)&gt;0.05,"NO","YES")))</f>
        <v>TBD</v>
      </c>
      <c r="T1081" s="1071" t="str">
        <f>IF(AND(S1080="",T1080=""),"TBD",IF(T1080="","NA",IF(TRUNC(T1080,4)&gt;0.05,"NO","YES")))</f>
        <v>TBD</v>
      </c>
      <c r="U1081" s="1040" t="s">
        <v>646</v>
      </c>
      <c r="V1081" s="102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9" t="s">
        <v>482</v>
      </c>
    </row>
    <row r="1082" spans="1:24" ht="11.25" customHeight="1">
      <c r="A1082" s="857">
        <v>26</v>
      </c>
      <c r="B1082" s="155"/>
      <c r="C1082" s="63"/>
      <c r="D1082" s="63"/>
      <c r="E1082" s="63"/>
      <c r="F1082" s="63"/>
      <c r="G1082" s="63"/>
      <c r="H1082" s="63"/>
      <c r="I1082" s="63"/>
      <c r="J1082" s="1063" t="str">
        <f>IF(V1082="","",V1082)</f>
        <v>NOTE: Density step 1 produced a TBD % change</v>
      </c>
      <c r="K1082" s="81"/>
      <c r="L1082" s="957" t="s">
        <v>482</v>
      </c>
      <c r="M1082" s="155"/>
      <c r="N1082" s="63"/>
      <c r="O1082" s="63"/>
      <c r="P1082" s="63"/>
      <c r="Q1082" s="63"/>
      <c r="R1082" s="63"/>
      <c r="S1082" s="63"/>
      <c r="T1082" s="63"/>
      <c r="U1082" s="63"/>
      <c r="V1082" s="1197"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9" t="s">
        <v>482</v>
      </c>
    </row>
    <row r="1083" spans="1:24" ht="11.25" customHeight="1">
      <c r="A1083" s="857">
        <v>27</v>
      </c>
      <c r="B1083" s="155"/>
      <c r="C1083" s="162"/>
      <c r="D1083" s="63"/>
      <c r="E1083" s="162" t="s">
        <v>291</v>
      </c>
      <c r="F1083" s="115" t="str">
        <f>R1083</f>
        <v>Film:  Maximum variation of 0.4 O.D.</v>
      </c>
      <c r="G1083" s="63"/>
      <c r="H1083" s="63"/>
      <c r="I1083" s="63"/>
      <c r="J1083" s="63"/>
      <c r="K1083" s="81"/>
      <c r="L1083" s="957" t="s">
        <v>482</v>
      </c>
      <c r="M1083" s="155"/>
      <c r="N1083" s="63"/>
      <c r="O1083" s="162"/>
      <c r="P1083" s="63"/>
      <c r="Q1083" s="162" t="s">
        <v>291</v>
      </c>
      <c r="R1083" s="115" t="s">
        <v>1129</v>
      </c>
      <c r="S1083" s="63"/>
      <c r="T1083" s="63"/>
      <c r="U1083" s="63"/>
      <c r="V1083" s="63"/>
      <c r="W1083" s="43"/>
      <c r="X1083" s="939" t="s">
        <v>482</v>
      </c>
    </row>
    <row r="1084" spans="1:24" ht="11.25" customHeight="1">
      <c r="A1084" s="857">
        <v>28</v>
      </c>
      <c r="B1084" s="155"/>
      <c r="C1084" s="63"/>
      <c r="D1084" s="63"/>
      <c r="E1084" s="63"/>
      <c r="F1084" s="115" t="str">
        <f>R1084</f>
        <v>Exposure &amp; AEC Meter:  Max. Variation 35%</v>
      </c>
      <c r="G1084" s="63"/>
      <c r="H1084" s="63"/>
      <c r="I1084" s="63"/>
      <c r="J1084" s="63"/>
      <c r="K1084" s="81"/>
      <c r="L1084" s="957" t="s">
        <v>482</v>
      </c>
      <c r="M1084" s="155"/>
      <c r="N1084" s="63"/>
      <c r="O1084" s="63"/>
      <c r="P1084" s="63"/>
      <c r="Q1084" s="63"/>
      <c r="R1084" s="115" t="s">
        <v>1128</v>
      </c>
      <c r="S1084" s="63"/>
      <c r="T1084" s="63"/>
      <c r="U1084" s="63"/>
      <c r="V1084" s="63"/>
      <c r="W1084" s="43"/>
      <c r="X1084" s="939" t="s">
        <v>482</v>
      </c>
    </row>
    <row r="1085" spans="1:24" ht="11.25" customHeight="1">
      <c r="A1085" s="857">
        <v>29</v>
      </c>
      <c r="B1085" s="155"/>
      <c r="C1085" s="63"/>
      <c r="D1085" s="63"/>
      <c r="E1085" s="455" t="s">
        <v>292</v>
      </c>
      <c r="F1085" s="115" t="str">
        <f>R1085</f>
        <v>Coefficient of variation &lt;= 5% for each detector</v>
      </c>
      <c r="G1085" s="63"/>
      <c r="H1085" s="63"/>
      <c r="I1085" s="63"/>
      <c r="J1085" s="63"/>
      <c r="K1085" s="81"/>
      <c r="L1085" s="957" t="s">
        <v>482</v>
      </c>
      <c r="M1085" s="155"/>
      <c r="N1085" s="63"/>
      <c r="O1085" s="63"/>
      <c r="P1085" s="63"/>
      <c r="Q1085" s="455" t="s">
        <v>292</v>
      </c>
      <c r="R1085" s="115" t="s">
        <v>293</v>
      </c>
      <c r="S1085" s="63"/>
      <c r="T1085" s="63"/>
      <c r="U1085" s="63"/>
      <c r="V1085" s="63"/>
      <c r="W1085" s="43"/>
      <c r="X1085" s="939" t="s">
        <v>482</v>
      </c>
    </row>
    <row r="1086" spans="1:24" ht="11.25" customHeight="1">
      <c r="A1086" s="857">
        <v>30</v>
      </c>
      <c r="B1086" s="155"/>
      <c r="C1086" s="63"/>
      <c r="D1086" s="63"/>
      <c r="E1086" s="63"/>
      <c r="F1086" s="63"/>
      <c r="G1086" s="63"/>
      <c r="H1086" s="63"/>
      <c r="I1086" s="63"/>
      <c r="J1086" s="63"/>
      <c r="K1086" s="81"/>
      <c r="L1086" s="957" t="s">
        <v>482</v>
      </c>
      <c r="M1086" s="155"/>
      <c r="N1086" s="63"/>
      <c r="O1086" s="63"/>
      <c r="P1086" s="63"/>
      <c r="Q1086" s="63"/>
      <c r="R1086" s="63"/>
      <c r="S1086" s="63"/>
      <c r="T1086" s="63"/>
      <c r="U1086" s="63"/>
      <c r="V1086" s="63"/>
      <c r="W1086" s="81"/>
      <c r="X1086" s="939" t="s">
        <v>482</v>
      </c>
    </row>
    <row r="1087" spans="1:24" ht="11.25" customHeight="1">
      <c r="A1087" s="857">
        <v>31</v>
      </c>
      <c r="B1087" s="386" t="s">
        <v>294</v>
      </c>
      <c r="C1087" s="3"/>
      <c r="D1087" s="3"/>
      <c r="E1087" s="3"/>
      <c r="F1087" s="3"/>
      <c r="G1087" s="3"/>
      <c r="H1087" s="3"/>
      <c r="I1087" s="3"/>
      <c r="J1087" s="3"/>
      <c r="K1087" s="81"/>
      <c r="L1087" s="957" t="s">
        <v>482</v>
      </c>
      <c r="M1087" s="155"/>
      <c r="N1087" s="63"/>
      <c r="O1087" s="63"/>
      <c r="P1087" s="63"/>
      <c r="Q1087" s="63"/>
      <c r="R1087" s="63"/>
      <c r="S1087" s="63"/>
      <c r="T1087" s="63"/>
      <c r="U1087" s="63"/>
      <c r="V1087" s="63"/>
      <c r="W1087" s="81"/>
      <c r="X1087" s="939" t="s">
        <v>482</v>
      </c>
    </row>
    <row r="1088" spans="1:24" ht="11.25" customHeight="1">
      <c r="A1088" s="857">
        <v>32</v>
      </c>
      <c r="B1088" s="52"/>
      <c r="C1088" s="41" t="s">
        <v>687</v>
      </c>
      <c r="D1088" s="2" t="str">
        <f t="shared" ref="D1088:D1094" si="168">IF(P1089="","",P1089)</f>
        <v>101.6 cm</v>
      </c>
      <c r="E1088" s="3"/>
      <c r="F1088" s="41" t="s">
        <v>295</v>
      </c>
      <c r="G1088" s="2" t="str">
        <f>IF(S1089="","",S1089)</f>
        <v>C</v>
      </c>
      <c r="H1088" s="3"/>
      <c r="I1088" s="41" t="s">
        <v>296</v>
      </c>
      <c r="J1088" s="2" t="str">
        <f t="shared" ref="J1088:J1094" si="169">IF(V1089="","",V1089)</f>
        <v/>
      </c>
      <c r="K1088" s="81"/>
      <c r="L1088" s="957" t="s">
        <v>482</v>
      </c>
      <c r="M1088" s="155"/>
      <c r="N1088" s="245" t="s">
        <v>294</v>
      </c>
      <c r="O1088" s="3"/>
      <c r="P1088" s="3"/>
      <c r="Q1088" s="3"/>
      <c r="R1088" s="502"/>
      <c r="S1088" s="3"/>
      <c r="T1088" s="3"/>
      <c r="U1088" s="3"/>
      <c r="V1088" s="3"/>
      <c r="W1088" s="43"/>
      <c r="X1088" s="939" t="s">
        <v>482</v>
      </c>
    </row>
    <row r="1089" spans="1:30" ht="11.25" customHeight="1">
      <c r="A1089" s="857">
        <v>33</v>
      </c>
      <c r="B1089" s="52" t="s">
        <v>297</v>
      </c>
      <c r="C1089" s="34" t="s">
        <v>298</v>
      </c>
      <c r="D1089" s="563">
        <f t="shared" si="168"/>
        <v>60</v>
      </c>
      <c r="E1089" s="34" t="s">
        <v>299</v>
      </c>
      <c r="F1089" s="563">
        <f t="shared" ref="F1089:F1094" si="170">IF(R1090="","",R1090)</f>
        <v>80</v>
      </c>
      <c r="G1089" s="34" t="s">
        <v>300</v>
      </c>
      <c r="H1089" s="563">
        <f t="shared" ref="H1089:H1094" si="171">IF(T1090="","",T1090)</f>
        <v>100</v>
      </c>
      <c r="I1089" s="34" t="s">
        <v>301</v>
      </c>
      <c r="J1089" s="564">
        <f t="shared" si="169"/>
        <v>120</v>
      </c>
      <c r="K1089" s="81"/>
      <c r="L1089" s="957" t="s">
        <v>482</v>
      </c>
      <c r="M1089" s="155"/>
      <c r="N1089" s="3"/>
      <c r="O1089" s="41" t="s">
        <v>687</v>
      </c>
      <c r="P1089" s="1080" t="str">
        <f>IF(Q1063="","",Q1063)</f>
        <v>101.6 cm</v>
      </c>
      <c r="Q1089" s="3"/>
      <c r="R1089" s="41" t="s">
        <v>295</v>
      </c>
      <c r="S1089" s="1080" t="str">
        <f>IF(Q1064="","",Q1064)</f>
        <v>C</v>
      </c>
      <c r="T1089" s="3"/>
      <c r="U1089" s="41" t="s">
        <v>296</v>
      </c>
      <c r="V1089" s="1081" t="str">
        <f>IF(O1027="","",O1027)</f>
        <v/>
      </c>
      <c r="W1089" s="43"/>
      <c r="X1089" s="939" t="s">
        <v>482</v>
      </c>
      <c r="AC1089"/>
    </row>
    <row r="1090" spans="1:30" ht="11.25" customHeight="1" thickBot="1">
      <c r="A1090" s="857">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10" t="str">
        <f t="shared" si="169"/>
        <v>mAs</v>
      </c>
      <c r="K1090" s="81"/>
      <c r="L1090" s="957" t="s">
        <v>482</v>
      </c>
      <c r="M1090" s="155"/>
      <c r="N1090" s="5" t="s">
        <v>297</v>
      </c>
      <c r="O1090" s="34" t="s">
        <v>298</v>
      </c>
      <c r="P1090" s="1083">
        <f>$Q$694</f>
        <v>60</v>
      </c>
      <c r="Q1090" s="1009" t="s">
        <v>299</v>
      </c>
      <c r="R1090" s="1083">
        <f>$Q$695</f>
        <v>80</v>
      </c>
      <c r="S1090" s="1009" t="s">
        <v>300</v>
      </c>
      <c r="T1090" s="1083">
        <f>$Q$696</f>
        <v>100</v>
      </c>
      <c r="U1090" s="1009" t="s">
        <v>301</v>
      </c>
      <c r="V1090" s="1083">
        <f>$Q$697</f>
        <v>120</v>
      </c>
      <c r="W1090" s="43"/>
      <c r="X1090" s="939" t="s">
        <v>482</v>
      </c>
      <c r="AC1090"/>
    </row>
    <row r="1091" spans="1:30" ht="11.25" customHeight="1" thickBot="1">
      <c r="A1091" s="857">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7" t="s">
        <v>482</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9" t="s">
        <v>482</v>
      </c>
      <c r="AC1091"/>
    </row>
    <row r="1092" spans="1:30" ht="11.25" customHeight="1">
      <c r="A1092" s="857">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7" t="s">
        <v>482</v>
      </c>
      <c r="M1092" s="155"/>
      <c r="N1092" s="494">
        <v>10</v>
      </c>
      <c r="O1092" s="1282"/>
      <c r="P1092" s="1279"/>
      <c r="Q1092" s="1282"/>
      <c r="R1092" s="1279"/>
      <c r="S1092" s="1282"/>
      <c r="T1092" s="1279"/>
      <c r="U1092" s="1286"/>
      <c r="V1092" s="1280"/>
      <c r="W1092" s="81"/>
      <c r="X1092" s="939" t="s">
        <v>482</v>
      </c>
      <c r="AC1092"/>
      <c r="AD1092" s="1234"/>
    </row>
    <row r="1093" spans="1:30" ht="11.25" customHeight="1">
      <c r="A1093" s="857">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7" t="s">
        <v>482</v>
      </c>
      <c r="M1093" s="52"/>
      <c r="N1093" s="494">
        <v>15</v>
      </c>
      <c r="O1093" s="1282"/>
      <c r="P1093" s="1279"/>
      <c r="Q1093" s="1282"/>
      <c r="R1093" s="1279"/>
      <c r="S1093" s="1282"/>
      <c r="T1093" s="1279"/>
      <c r="U1093" s="1282"/>
      <c r="V1093" s="1279"/>
      <c r="W1093" s="43"/>
      <c r="X1093" s="939" t="s">
        <v>482</v>
      </c>
      <c r="AC1093"/>
      <c r="AD1093" s="1234"/>
    </row>
    <row r="1094" spans="1:30" ht="11.25" customHeight="1">
      <c r="A1094" s="857">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7" t="s">
        <v>482</v>
      </c>
      <c r="M1094" s="52"/>
      <c r="N1094" s="494">
        <v>20</v>
      </c>
      <c r="O1094" s="1282"/>
      <c r="P1094" s="1279"/>
      <c r="Q1094" s="1282" t="str">
        <f>IF(Q1078="","",Q1078)</f>
        <v/>
      </c>
      <c r="R1094" s="1279" t="str">
        <f>IF(R1078="","",R1078)</f>
        <v/>
      </c>
      <c r="S1094" s="1282"/>
      <c r="T1094" s="1279"/>
      <c r="U1094" s="1282"/>
      <c r="V1094" s="1279"/>
      <c r="W1094" s="43"/>
      <c r="X1094" s="939" t="s">
        <v>482</v>
      </c>
      <c r="AC1094"/>
      <c r="AD1094" s="1234"/>
    </row>
    <row r="1095" spans="1:30" ht="11.25" customHeight="1" thickBot="1">
      <c r="A1095" s="857">
        <v>39</v>
      </c>
      <c r="B1095" s="155"/>
      <c r="K1095" s="81"/>
      <c r="L1095" s="957" t="s">
        <v>482</v>
      </c>
      <c r="M1095" s="52"/>
      <c r="N1095" s="494">
        <v>25</v>
      </c>
      <c r="O1095" s="1286"/>
      <c r="P1095" s="1280"/>
      <c r="Q1095" s="1282"/>
      <c r="R1095" s="1279"/>
      <c r="S1095" s="1282"/>
      <c r="T1095" s="1279"/>
      <c r="U1095" s="1282"/>
      <c r="V1095" s="1279"/>
      <c r="W1095" s="43"/>
      <c r="X1095" s="939" t="s">
        <v>482</v>
      </c>
      <c r="AC1095"/>
      <c r="AD1095" s="1234"/>
    </row>
    <row r="1096" spans="1:30" ht="11.25" customHeight="1" thickBot="1">
      <c r="A1096" s="857">
        <v>40</v>
      </c>
      <c r="B1096" s="373" t="s">
        <v>303</v>
      </c>
      <c r="C1096" s="1199" t="str">
        <f t="shared" ref="C1096:J1098" si="172">IF(O1097="","",O1097)</f>
        <v>@60 kVp:</v>
      </c>
      <c r="D1096" s="1492" t="str">
        <f t="shared" si="172"/>
        <v/>
      </c>
      <c r="E1096" s="1199" t="str">
        <f t="shared" si="172"/>
        <v>@80 kVp:</v>
      </c>
      <c r="F1096" s="1492" t="str">
        <f t="shared" si="172"/>
        <v/>
      </c>
      <c r="G1096" s="1199" t="str">
        <f t="shared" si="172"/>
        <v>@100 kVp:</v>
      </c>
      <c r="H1096" s="1492" t="str">
        <f t="shared" si="172"/>
        <v/>
      </c>
      <c r="I1096" s="1199" t="str">
        <f t="shared" si="172"/>
        <v>@120 kVp:</v>
      </c>
      <c r="J1096" s="1493" t="str">
        <f t="shared" si="172"/>
        <v/>
      </c>
      <c r="K1096" s="81"/>
      <c r="L1096" s="957" t="s">
        <v>482</v>
      </c>
      <c r="M1096" s="52"/>
      <c r="N1096" s="3"/>
      <c r="O1096" s="3"/>
      <c r="P1096" s="3"/>
      <c r="Q1096" s="3"/>
      <c r="R1096" s="3"/>
      <c r="S1096" s="3"/>
      <c r="T1096" s="3"/>
      <c r="U1096" s="3"/>
      <c r="V1096" s="3"/>
      <c r="W1096" s="43"/>
      <c r="X1096" s="939" t="s">
        <v>482</v>
      </c>
      <c r="AC1096"/>
    </row>
    <row r="1097" spans="1:30" ht="11.25" customHeight="1" thickBot="1">
      <c r="A1097" s="857">
        <v>41</v>
      </c>
      <c r="B1097" s="373" t="s">
        <v>646</v>
      </c>
      <c r="C1097" s="1735" t="str">
        <f>IF(O1098="","",O1098)</f>
        <v>NA</v>
      </c>
      <c r="D1097" s="1775"/>
      <c r="E1097" s="1735" t="str">
        <f>IF(Q1098="","",Q1098)</f>
        <v>NA</v>
      </c>
      <c r="F1097" s="1775"/>
      <c r="G1097" s="1735" t="str">
        <f>IF(S1098="","",S1098)</f>
        <v>NA</v>
      </c>
      <c r="H1097" s="1775"/>
      <c r="I1097" s="1735" t="str">
        <f>IF(U1098="","",U1098)</f>
        <v>NA</v>
      </c>
      <c r="J1097" s="1736"/>
      <c r="K1097" s="81"/>
      <c r="L1097" s="957" t="s">
        <v>482</v>
      </c>
      <c r="M1097" s="841" t="s">
        <v>304</v>
      </c>
      <c r="N1097" s="552" t="s">
        <v>303</v>
      </c>
      <c r="O1097" s="49" t="str">
        <f>"@"&amp;P1090&amp;" kVp:"</f>
        <v>@60 kVp:</v>
      </c>
      <c r="P1097" s="1407" t="str">
        <f>IF(MIN(O1092:O1095)=0,"",IF(O1091="Film O.D.",ROUND(O1110,2)&amp;" O.D.",IF(O1091="lgM",ROUND(O1110,2)&amp;" lgM",ROUND(O1110/AVERAGE(O1092:O1095),2))))</f>
        <v/>
      </c>
      <c r="Q1097" s="36" t="str">
        <f>"@"&amp;R1090&amp;" kVp:"</f>
        <v>@80 kVp:</v>
      </c>
      <c r="R1097" s="1407" t="str">
        <f>IF(MIN(Q1092:Q1095)=0,"",IF(Q1091="Film O.D.",ROUND(Q1110,2)&amp;" O.D.",IF(Q1091="lgM",ROUND(Q1110,2)&amp;" lgM",ROUND(Q1110/AVERAGE(Q1092:Q1095),2))))</f>
        <v/>
      </c>
      <c r="S1097" s="36" t="str">
        <f>"@"&amp;T1090&amp;" kVp:"</f>
        <v>@100 kVp:</v>
      </c>
      <c r="T1097" s="1407" t="str">
        <f>IF(MIN(S1092:S1095)=0,"",IF(S1091="Film O.D.",ROUND(S1110,2)&amp;" O.D.",IF(S1091="lgM",ROUND(S1110,2)&amp;" lgM",ROUND(S1110/AVERAGE(S1092:S1095),2))))</f>
        <v/>
      </c>
      <c r="U1097" s="36" t="str">
        <f>"@"&amp;V1090&amp;" kVp:"</f>
        <v>@120 kVp:</v>
      </c>
      <c r="V1097" s="1409" t="str">
        <f>IF(MIN(U1092:U1095)=0,"",IF(U1091="Film O.D.",ROUND(U1110,2)&amp;" O.D.",IF(U1091="lgM",ROUND(U1110,2)&amp;" lgM",ROUND(U1110/AVERAGE(U1092:U1095),2))))</f>
        <v/>
      </c>
      <c r="W1097" s="81"/>
      <c r="X1097" s="939" t="s">
        <v>482</v>
      </c>
      <c r="AC1097"/>
    </row>
    <row r="1098" spans="1:30" ht="11.25" customHeight="1" thickBot="1">
      <c r="A1098" s="857">
        <v>42</v>
      </c>
      <c r="B1098" s="270" t="s">
        <v>305</v>
      </c>
      <c r="C1098" s="1199" t="str">
        <f t="shared" si="172"/>
        <v>@ 10 cm.:</v>
      </c>
      <c r="D1098" s="1492" t="str">
        <f t="shared" si="172"/>
        <v/>
      </c>
      <c r="E1098" s="1199" t="str">
        <f t="shared" si="172"/>
        <v>@ 15 cm.:</v>
      </c>
      <c r="F1098" s="1492" t="str">
        <f t="shared" si="172"/>
        <v/>
      </c>
      <c r="G1098" s="1199" t="str">
        <f t="shared" si="172"/>
        <v>@ 20 cm.:</v>
      </c>
      <c r="H1098" s="1492" t="str">
        <f t="shared" si="172"/>
        <v/>
      </c>
      <c r="I1098" s="1199" t="str">
        <f t="shared" si="172"/>
        <v>@ 25 cm.:</v>
      </c>
      <c r="J1098" s="1492" t="str">
        <f t="shared" si="172"/>
        <v/>
      </c>
      <c r="K1098" s="81"/>
      <c r="L1098" s="957" t="s">
        <v>482</v>
      </c>
      <c r="M1098" s="155"/>
      <c r="N1098" s="1072" t="s">
        <v>646</v>
      </c>
      <c r="O1098" s="1737" t="str">
        <f>IF(P1097="","NA",IF(OR(AND(O1092=0,O1093=0),AND(O1093="",O1094=""),AND(O1092="",O1094="")),"",IF(O1091="Film O.D.",IF(O1110&gt;0.3,"NO","YES"),IF(O1091="lgM",IF(O1110&gt;0.2,"NO","YES"),IF(P1097&lt;=0.3,"YES","NO")))))</f>
        <v>NA</v>
      </c>
      <c r="P1098" s="1738"/>
      <c r="Q1098" s="1750" t="str">
        <f>IF(R1097="","NA",IF(OR(AND(Q1092=0,Q1093=0),AND(Q1093="",Q1094=""),AND(Q1092="",Q1094="")),"",IF(Q1091="Film O.D.",IF(Q1110&gt;0.3,"NO","YES"),IF(Q1091="lgM",IF(Q1110&gt;0.2,"NO","YES"),IF(R1097&lt;=0.3,"YES","NO")))))</f>
        <v>NA</v>
      </c>
      <c r="R1098" s="1738"/>
      <c r="S1098" s="1750" t="str">
        <f>IF(T1097="","NA",IF(OR(AND(S1092=0,S1093=0),AND(S1093="",S1094=""),AND(S1092="",S1094="")),"",IF(S1091="Film O.D.",IF(S1110&gt;0.3,"NO","YES"),IF(S1091="lgM",IF(S1110&gt;0.2,"NO","YES"),IF(T1097&lt;=0.3,"YES","NO")))))</f>
        <v>NA</v>
      </c>
      <c r="T1098" s="1738"/>
      <c r="U1098" s="1750" t="str">
        <f>IF(V1097="","NA",IF(OR(AND(U1092=0,U1093=0),AND(U1093="",U1094=""),AND(U1092="",U1094="")),"",IF(U1091="Film O.D.",IF(U1110&gt;0.3,"NO","YES"),IF(U1091="lgM",IF(U1110&gt;0.2,"NO","YES"),IF(V1097&lt;=0.3,"YES","NO")))))</f>
        <v>NA</v>
      </c>
      <c r="V1098" s="1738"/>
      <c r="W1098" s="43"/>
      <c r="X1098" s="939" t="s">
        <v>482</v>
      </c>
      <c r="Y1098" s="1187" t="s">
        <v>1118</v>
      </c>
      <c r="Z1098" s="1187">
        <f>MAX(O1092:O1094,Q1092:Q1095,S1092:S1095,U1093:U1095)</f>
        <v>0</v>
      </c>
      <c r="AC1098"/>
    </row>
    <row r="1099" spans="1:30" ht="11.25" customHeight="1" thickBot="1">
      <c r="A1099" s="857">
        <v>43</v>
      </c>
      <c r="B1099" s="373" t="s">
        <v>646</v>
      </c>
      <c r="C1099" s="1735" t="str">
        <f>IF(O1100="","",O1100)</f>
        <v>NA</v>
      </c>
      <c r="D1099" s="1775"/>
      <c r="E1099" s="1735" t="str">
        <f>IF(Q1100="","",Q1100)</f>
        <v>NA</v>
      </c>
      <c r="F1099" s="1775"/>
      <c r="G1099" s="1735" t="str">
        <f>IF(S1100="","",S1100)</f>
        <v>NA</v>
      </c>
      <c r="H1099" s="1775"/>
      <c r="I1099" s="1735" t="str">
        <f>IF(U1100="","",U1100)</f>
        <v>NA</v>
      </c>
      <c r="J1099" s="1736"/>
      <c r="K1099" s="81"/>
      <c r="L1099" s="957" t="s">
        <v>482</v>
      </c>
      <c r="M1099" s="155"/>
      <c r="N1099" s="553" t="s">
        <v>305</v>
      </c>
      <c r="O1099" s="47" t="str">
        <f>"@ "&amp;N1092&amp;" cm.:"</f>
        <v>@ 10 cm.:</v>
      </c>
      <c r="P1099" s="1408" t="str">
        <f>IF(MIN($O1092,$Q1092,$S1092,$U1092)=0,"",IF(O1091="Film O.D.",ROUND(O1111,2)&amp;" O.D.",IF(O1091="lgM",ROUND(O1111,2)&amp;" lgM",ROUND(O1111/AVERAGE($O1092,$Q1092,$S1092,$U1092),2))))</f>
        <v/>
      </c>
      <c r="Q1099" s="46" t="str">
        <f>"@ "&amp;N1093&amp;" cm.:"</f>
        <v>@ 15 cm.:</v>
      </c>
      <c r="R1099" s="1408" t="str">
        <f>IF(MIN($O1093,$Q1093,$S1093,$U1093)=0,"",IF(Q1091="Film O.D.",ROUND(Q1111,2)&amp;" O.D.",IF(Q1091="lgM",ROUND(Q1111,2)&amp;" lgM",ROUND(Q1111/AVERAGE($O1093,$Q1093,$S1093,$U1093),2))))</f>
        <v/>
      </c>
      <c r="S1099" s="46" t="str">
        <f>"@ "&amp;N1094&amp;" cm.:"</f>
        <v>@ 20 cm.:</v>
      </c>
      <c r="T1099" s="1408" t="str">
        <f>IF(MIN($O1094,$Q1094,$S1094,$U1094)=0,"",IF(S1091="Film O.D.",ROUND(S1111,2)&amp;" O.D.",IF(S1091="lgM",ROUND(S1111,2)&amp;" lgM",ROUND(S1111/AVERAGE($O1094,$Q1094,$S1094,$U1094),2))))</f>
        <v/>
      </c>
      <c r="U1099" s="46" t="str">
        <f>"@ "&amp;N1095&amp;" cm.:"</f>
        <v>@ 25 cm.:</v>
      </c>
      <c r="V1099" s="1408" t="str">
        <f>IF(MIN($O1095,$Q1095,$S1095,$U1095)=0,"",IF(U1091="Film O.D.",ROUND(U1111,2)&amp;" O.D.",IF(U1091="lgM",ROUND(U1111,2)&amp;" lgM",ROUND(U1111/AVERAGE($O1095,$Q1095,$S1095,$U1095),2))))</f>
        <v/>
      </c>
      <c r="W1099" s="81"/>
      <c r="X1099" s="939" t="s">
        <v>482</v>
      </c>
      <c r="Y1099" s="1187" t="s">
        <v>65</v>
      </c>
      <c r="Z1099" s="1187">
        <f>MIN(O1092:O1094,Q1092:Q1095,S1092:S1095,U1093:U1095)</f>
        <v>0</v>
      </c>
      <c r="AC1099"/>
    </row>
    <row r="1100" spans="1:30" ht="11.25" customHeight="1" thickBot="1">
      <c r="A1100" s="857">
        <v>44</v>
      </c>
      <c r="B1100" s="155"/>
      <c r="C1100" s="63"/>
      <c r="D1100" s="63"/>
      <c r="E1100" s="176"/>
      <c r="F1100" s="177" t="s">
        <v>306</v>
      </c>
      <c r="G1100" s="1494" t="str">
        <f>IF(S1101="","",S1101)</f>
        <v/>
      </c>
      <c r="H1100" s="174" t="s">
        <v>646</v>
      </c>
      <c r="I1100" s="175" t="str">
        <f>IF(U1101="","",U1101)</f>
        <v>NA</v>
      </c>
      <c r="J1100" s="63"/>
      <c r="K1100" s="79"/>
      <c r="L1100" s="957" t="s">
        <v>482</v>
      </c>
      <c r="M1100" s="155"/>
      <c r="N1100" s="1072" t="s">
        <v>646</v>
      </c>
      <c r="O1100" s="1737" t="str">
        <f>IF(P1099="","NA",IF(OR(AND(O1092=0,Q1092=0),AND(Q1092="",S1092=""),AND(O1092="",S1092="")),"",IF(O1091="Film O.D.",IF(O1111&gt;0.3,"NO","YES"),IF(O1091="lgM",IF(O1111&gt;0.2,"NO","YES"),IF(P1099&lt;=0.3,"YES","NO")))))</f>
        <v>NA</v>
      </c>
      <c r="P1100" s="1738"/>
      <c r="Q1100" s="1750" t="str">
        <f>IF(R1099="","NA",IF(OR(AND(O1093=0,Q1093=0),AND(Q1093="",S1093=""),AND(O1093="",S1093="")),"",IF(Q1091="Film O.D.",IF(Q1111&gt;0.3,"NO","YES"),IF(Q1091="lgM",IF(Q1111&gt;0.2,"NO","YES"),IF(R1099&lt;=0.3,"YES","NO")))))</f>
        <v>NA</v>
      </c>
      <c r="R1100" s="1738"/>
      <c r="S1100" s="1750" t="str">
        <f>IF(T1099="","NA",IF(OR(AND(O1094=0,Q1094=0),AND(Q1094="",S1094=""),AND(O1094="",S1094="")),"",IF(S1091="Film O.D.",IF(S1111&gt;0.3,"NO","YES"),IF(S1091="lgM",IF(S1111&gt;0.2,"NO","YES"),IF(T1099&lt;=0.3,"YES","NO")))))</f>
        <v>NA</v>
      </c>
      <c r="T1100" s="1738"/>
      <c r="U1100" s="1750" t="str">
        <f>IF(V1099="","NA",IF(OR(AND(Q1095=0,S1095=0),AND(S1095="",U1095=""),AND(Q1095="",U1095="")),"",IF(U1091="Film O.D.",IF(U1111&gt;0.3,"NO","YES"),IF(U1091="lgM",IF(U1111&gt;0.2,"NO","YES"),IF(V1099&lt;=0.3,"YES","NO")))))</f>
        <v>NA</v>
      </c>
      <c r="V1100" s="1738"/>
      <c r="W1100" s="81"/>
      <c r="X1100" s="939" t="s">
        <v>482</v>
      </c>
    </row>
    <row r="1101" spans="1:30" ht="11.25" customHeight="1" thickBot="1">
      <c r="A1101" s="857">
        <v>45</v>
      </c>
      <c r="B1101" s="155"/>
      <c r="C1101" s="162" t="s">
        <v>647</v>
      </c>
      <c r="D1101" s="238" t="str">
        <f>P1103</f>
        <v>Film-Max difference 0.3 O.D. for individual kV or thickness; 0.4 O.D. overall</v>
      </c>
      <c r="E1101" s="63"/>
      <c r="F1101" s="63"/>
      <c r="G1101" s="63"/>
      <c r="H1101" s="63"/>
      <c r="I1101" s="63"/>
      <c r="J1101" s="63"/>
      <c r="K1101" s="81"/>
      <c r="L1101" s="957" t="s">
        <v>482</v>
      </c>
      <c r="M1101" s="155"/>
      <c r="N1101" s="63"/>
      <c r="O1101" s="63"/>
      <c r="P1101" s="63"/>
      <c r="Q1101" s="176"/>
      <c r="R1101" s="177" t="s">
        <v>306</v>
      </c>
      <c r="S1101" s="1409" t="str">
        <f>IF(AND(P1097="",R1097="",T1097="",V1097="",P1099="",R1099="",T1099="",V1099=""),"",IF(Q1091="Film O.D.",Q1112&amp;" O.D.",IF(Q1091="lgM",Q1112&amp;" lgM",ROUND(Q1112/AVERAGE(O1092:O1095,Q1092:Q1095,S1092:S1095,U1092:U1095),2))))</f>
        <v/>
      </c>
      <c r="T1101" s="1040" t="s">
        <v>646</v>
      </c>
      <c r="U1101" s="1021" t="str">
        <f>IF(AND(O1098="NA",Q1098="NA",S1098="NA",U1098="NA",O1100="NA",Q1100="NA",S1100="NA",U1100="NA"),"NA",IF(Q1091="Film O.D.",IF(Q1112&gt;0.4,"NO","YES"),IF(Q1091="lgM",IF(Q1112&gt;0.2,"NO","YES"),IF(ROUND(Q1112/AVERAGE(O1092:O1094,Q1092:Q1095,S1092:S1095,U1093:U1095),2)&lt;=0.35,"YES","NO"))))</f>
        <v>NA</v>
      </c>
      <c r="V1101" s="63"/>
      <c r="W1101" s="81"/>
      <c r="X1101" s="939" t="s">
        <v>482</v>
      </c>
    </row>
    <row r="1102" spans="1:30" ht="11.25" customHeight="1">
      <c r="A1102" s="857">
        <v>46</v>
      </c>
      <c r="B1102" s="155"/>
      <c r="C1102" s="63"/>
      <c r="D1102" s="461" t="str">
        <f>P1104</f>
        <v>Exposure &amp; AEC Meter-</v>
      </c>
      <c r="E1102" s="63"/>
      <c r="F1102" s="63"/>
      <c r="G1102" s="63"/>
      <c r="H1102" s="63"/>
      <c r="I1102" s="63"/>
      <c r="J1102" s="63"/>
      <c r="K1102" s="81"/>
      <c r="L1102" s="957" t="s">
        <v>482</v>
      </c>
      <c r="M1102" s="155"/>
      <c r="N1102" s="63"/>
      <c r="P1102" s="4"/>
      <c r="Q1102" s="63"/>
      <c r="R1102" s="63"/>
      <c r="S1102" s="63"/>
      <c r="T1102" s="63"/>
      <c r="V1102" s="1197" t="str">
        <f>$V$1082</f>
        <v>NOTE: Density step 1 produced a TBD % change</v>
      </c>
      <c r="W1102" s="81"/>
      <c r="X1102" s="939" t="s">
        <v>482</v>
      </c>
    </row>
    <row r="1103" spans="1:30" ht="11.25" customHeight="1">
      <c r="A1103" s="857">
        <v>47</v>
      </c>
      <c r="B1103" s="120" t="s">
        <v>629</v>
      </c>
      <c r="C1103" s="1238"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7" t="s">
        <v>482</v>
      </c>
      <c r="M1103" s="155"/>
      <c r="N1103" s="63"/>
      <c r="O1103" s="162" t="s">
        <v>647</v>
      </c>
      <c r="P1103" s="238" t="s">
        <v>200</v>
      </c>
      <c r="Q1103" s="63"/>
      <c r="R1103" s="63"/>
      <c r="S1103" s="63"/>
      <c r="T1103" s="63"/>
      <c r="U1103" s="63"/>
      <c r="V1103" s="63"/>
      <c r="W1103" s="81"/>
      <c r="X1103" s="939" t="s">
        <v>482</v>
      </c>
    </row>
    <row r="1104" spans="1:30" ht="11.25" customHeight="1">
      <c r="A1104" s="857">
        <v>48</v>
      </c>
      <c r="B1104" s="52"/>
      <c r="C1104" s="1239" t="str">
        <f>IF(LEN(O1105)&lt;=135,"",IF(LEN(O1105)&lt;=260,RIGHT(O1105,LEN(O1105)-SEARCH(" ",O1105,125)),MID(O1105,SEARCH(" ",O1105,130),IF(LEN(O1105)&lt;=265,LEN(O1105),SEARCH(" ",O1105,255)-SEARCH(" ",O1105,130)))))</f>
        <v/>
      </c>
      <c r="D1104" s="2"/>
      <c r="E1104" s="2"/>
      <c r="F1104" s="2"/>
      <c r="G1104" s="2"/>
      <c r="H1104" s="2"/>
      <c r="I1104" s="2"/>
      <c r="J1104" s="2"/>
      <c r="K1104" s="81"/>
      <c r="L1104" s="957" t="s">
        <v>482</v>
      </c>
      <c r="M1104" s="155"/>
      <c r="N1104" s="63"/>
      <c r="O1104" s="63"/>
      <c r="P1104" s="455" t="s">
        <v>1130</v>
      </c>
      <c r="Q1104" s="1388" t="s">
        <v>352</v>
      </c>
      <c r="R1104" s="63"/>
      <c r="S1104" s="63"/>
      <c r="T1104" s="63"/>
      <c r="U1104" s="63"/>
      <c r="V1104" s="63"/>
      <c r="W1104" s="81"/>
      <c r="X1104" s="939" t="s">
        <v>482</v>
      </c>
    </row>
    <row r="1105" spans="1:24" ht="11.25" customHeight="1">
      <c r="A1105" s="857">
        <v>49</v>
      </c>
      <c r="B1105" s="52"/>
      <c r="C1105" s="1238" t="str">
        <f>IF(LEN(O1105)&lt;=265,"",RIGHT(O1105,LEN(O1105)-SEARCH(" ",O1105,255)))</f>
        <v/>
      </c>
      <c r="D1105" s="2"/>
      <c r="E1105" s="2"/>
      <c r="F1105" s="2"/>
      <c r="G1105" s="2"/>
      <c r="H1105" s="2"/>
      <c r="I1105" s="2"/>
      <c r="J1105" s="2"/>
      <c r="K1105" s="81"/>
      <c r="L1105" s="957" t="s">
        <v>482</v>
      </c>
      <c r="M1105" s="155"/>
      <c r="N1105" s="814" t="s">
        <v>629</v>
      </c>
      <c r="O1105" s="994" t="str">
        <f>IF(O1107&lt;&gt;"",O1107,IF(OR(AB450=0,AB450=""),"",AB450))</f>
        <v>Criteria: lgM - Max difference 0.2 lgM for individual kV or thickness; 0.2 lgM overall</v>
      </c>
      <c r="P1105" s="55"/>
      <c r="Q1105" s="2"/>
      <c r="R1105" s="2"/>
      <c r="S1105" s="2"/>
      <c r="T1105" s="2"/>
      <c r="U1105" s="2"/>
      <c r="V1105" s="2"/>
      <c r="W1105" s="35"/>
      <c r="X1105" s="939" t="s">
        <v>482</v>
      </c>
    </row>
    <row r="1106" spans="1:24" ht="11.25" customHeight="1">
      <c r="A1106" s="857">
        <v>50</v>
      </c>
      <c r="B1106" s="155"/>
      <c r="C1106" s="63"/>
      <c r="D1106" s="63"/>
      <c r="E1106" s="63"/>
      <c r="F1106" s="63"/>
      <c r="G1106" s="63"/>
      <c r="H1106" s="63"/>
      <c r="I1106" s="63"/>
      <c r="J1106" s="63"/>
      <c r="K1106" s="81"/>
      <c r="L1106" s="957" t="s">
        <v>482</v>
      </c>
      <c r="M1106" s="121"/>
      <c r="N1106" s="855" t="s">
        <v>347</v>
      </c>
      <c r="O1106" s="124"/>
      <c r="P1106" s="1237">
        <f>LEN(O1105)</f>
        <v>86</v>
      </c>
      <c r="Q1106" s="12"/>
      <c r="R1106" s="12"/>
      <c r="S1106" s="12"/>
      <c r="T1106" s="12"/>
      <c r="U1106" s="12"/>
      <c r="V1106" s="12"/>
      <c r="W1106" s="271"/>
      <c r="X1106" s="939" t="s">
        <v>482</v>
      </c>
    </row>
    <row r="1107" spans="1:24" ht="11.25" customHeight="1">
      <c r="A1107" s="857">
        <v>51</v>
      </c>
      <c r="B1107" s="52"/>
      <c r="C1107" s="3"/>
      <c r="D1107" s="3"/>
      <c r="E1107" s="3"/>
      <c r="F1107" s="3"/>
      <c r="G1107" s="3"/>
      <c r="H1107" s="3"/>
      <c r="I1107" s="3"/>
      <c r="J1107" s="3"/>
      <c r="K1107" s="81"/>
      <c r="L1107" s="957" t="s">
        <v>482</v>
      </c>
      <c r="M1107" s="52"/>
      <c r="N1107" s="1378" t="s">
        <v>696</v>
      </c>
      <c r="O1107" s="1380" t="s">
        <v>1187</v>
      </c>
      <c r="P1107" s="2"/>
      <c r="Q1107" s="2"/>
      <c r="R1107" s="2"/>
      <c r="S1107" s="2"/>
      <c r="T1107" s="2"/>
      <c r="U1107" s="2"/>
      <c r="V1107" s="2"/>
      <c r="W1107" s="35"/>
      <c r="X1107" s="939" t="s">
        <v>482</v>
      </c>
    </row>
    <row r="1108" spans="1:24" ht="11.25" customHeight="1" thickBot="1">
      <c r="A1108" s="857">
        <v>52</v>
      </c>
      <c r="B1108" s="52"/>
      <c r="C1108" s="3"/>
      <c r="D1108" s="3"/>
      <c r="E1108" s="3"/>
      <c r="F1108" s="3"/>
      <c r="G1108" s="3"/>
      <c r="H1108" s="3"/>
      <c r="I1108" s="3"/>
      <c r="J1108" s="3"/>
      <c r="K1108" s="81"/>
      <c r="L1108" s="957" t="s">
        <v>482</v>
      </c>
      <c r="M1108" s="52"/>
      <c r="N1108" s="3"/>
      <c r="O1108" s="3"/>
      <c r="P1108" s="3"/>
      <c r="Q1108" s="3"/>
      <c r="R1108" s="3"/>
      <c r="S1108" s="3"/>
      <c r="T1108" s="3"/>
      <c r="U1108" s="3"/>
      <c r="V1108" s="3"/>
      <c r="W1108" s="43"/>
      <c r="X1108" s="939" t="s">
        <v>482</v>
      </c>
    </row>
    <row r="1109" spans="1:24" ht="11.25" customHeight="1">
      <c r="A1109" s="857">
        <v>53</v>
      </c>
      <c r="B1109" s="52"/>
      <c r="C1109" s="3"/>
      <c r="D1109" s="3"/>
      <c r="E1109" s="3"/>
      <c r="F1109" s="3"/>
      <c r="G1109" s="3"/>
      <c r="H1109" s="3"/>
      <c r="I1109" s="3"/>
      <c r="J1109" s="3"/>
      <c r="K1109" s="81"/>
      <c r="L1109" s="957" t="s">
        <v>482</v>
      </c>
      <c r="M1109" s="52"/>
      <c r="N1109" s="1273" t="s">
        <v>40</v>
      </c>
      <c r="O1109" s="1274"/>
      <c r="P1109" s="1274"/>
      <c r="Q1109" s="1274"/>
      <c r="R1109" s="1274"/>
      <c r="S1109" s="1274"/>
      <c r="T1109" s="1274"/>
      <c r="U1109" s="1275"/>
      <c r="V1109" s="3"/>
      <c r="W1109" s="43"/>
      <c r="X1109" s="939" t="s">
        <v>482</v>
      </c>
    </row>
    <row r="1110" spans="1:24" ht="11.25" customHeight="1">
      <c r="A1110" s="857">
        <v>54</v>
      </c>
      <c r="B1110" s="52"/>
      <c r="C1110" s="3"/>
      <c r="D1110" s="3"/>
      <c r="E1110" s="3"/>
      <c r="F1110" s="3"/>
      <c r="G1110" s="3"/>
      <c r="H1110" s="3"/>
      <c r="I1110" s="3"/>
      <c r="J1110" s="3"/>
      <c r="K1110" s="81"/>
      <c r="L1110" s="957" t="s">
        <v>482</v>
      </c>
      <c r="M1110" s="52"/>
      <c r="N1110" s="1276">
        <f>P1090</f>
        <v>60</v>
      </c>
      <c r="O1110" s="1398">
        <f>MAX(O1092:O1095)-MIN(O1092:O1095)</f>
        <v>0</v>
      </c>
      <c r="P1110" s="1277">
        <f>R1090</f>
        <v>80</v>
      </c>
      <c r="Q1110" s="1398">
        <f>MAX(Q1092:Q1095)-MIN(Q1092:Q1095)</f>
        <v>0</v>
      </c>
      <c r="R1110" s="1277">
        <f>T1090</f>
        <v>100</v>
      </c>
      <c r="S1110" s="1398">
        <f>MAX(S1092:S1095)-MIN(S1092:S1095)</f>
        <v>0</v>
      </c>
      <c r="T1110" s="1277">
        <f>V1090</f>
        <v>120</v>
      </c>
      <c r="U1110" s="1401">
        <f>MAX(U1092:U1095)-MIN(U1092:U1095)</f>
        <v>0</v>
      </c>
      <c r="V1110" s="3"/>
      <c r="W1110" s="43"/>
      <c r="X1110" s="939" t="s">
        <v>482</v>
      </c>
    </row>
    <row r="1111" spans="1:24" ht="11.25" customHeight="1">
      <c r="A1111" s="857">
        <v>55</v>
      </c>
      <c r="B1111" s="52"/>
      <c r="C1111" s="3"/>
      <c r="D1111" s="3"/>
      <c r="E1111" s="3"/>
      <c r="F1111" s="3"/>
      <c r="G1111" s="3"/>
      <c r="H1111" s="3"/>
      <c r="I1111" s="3"/>
      <c r="J1111" s="3"/>
      <c r="K1111" s="81"/>
      <c r="L1111" s="957" t="s">
        <v>482</v>
      </c>
      <c r="M1111" s="52"/>
      <c r="N1111" s="1394">
        <f>N1092</f>
        <v>10</v>
      </c>
      <c r="O1111" s="1399">
        <f>MAX(O1092,Q1092,S1092,U1092)-MIN(O1092,Q1092,S1092,U1092)</f>
        <v>0</v>
      </c>
      <c r="P1111" s="1395">
        <f>N1093</f>
        <v>15</v>
      </c>
      <c r="Q1111" s="1399">
        <f>MAX(O1093,Q1093,S1093,U1093)-MIN(O1093,Q1093,S1093,U1093)</f>
        <v>0</v>
      </c>
      <c r="R1111" s="1395">
        <f>N1094</f>
        <v>20</v>
      </c>
      <c r="S1111" s="1399">
        <f>MAX(O1094,Q1094,S1094,U1094)-MIN(O1094,Q1094,S1094,U1094)</f>
        <v>0</v>
      </c>
      <c r="T1111" s="1395">
        <f>N1095</f>
        <v>25</v>
      </c>
      <c r="U1111" s="1401">
        <f>MAX(O1095,Q1095,S1095,U1095)-MIN(O1095,Q1095,S1095,U1095)</f>
        <v>0</v>
      </c>
      <c r="V1111" s="3"/>
      <c r="W1111" s="43"/>
      <c r="X1111" s="939" t="s">
        <v>482</v>
      </c>
    </row>
    <row r="1112" spans="1:24" ht="11.25" customHeight="1" thickBot="1">
      <c r="A1112" s="857">
        <v>56</v>
      </c>
      <c r="B1112" s="52"/>
      <c r="C1112" s="3"/>
      <c r="D1112" s="3"/>
      <c r="E1112" s="3"/>
      <c r="F1112" s="3"/>
      <c r="G1112" s="3"/>
      <c r="H1112" s="3"/>
      <c r="I1112" s="3"/>
      <c r="J1112" s="3"/>
      <c r="K1112" s="81"/>
      <c r="L1112" s="957" t="s">
        <v>482</v>
      </c>
      <c r="M1112" s="52"/>
      <c r="N1112" s="391"/>
      <c r="O1112" s="6"/>
      <c r="P1112" s="1278" t="s">
        <v>201</v>
      </c>
      <c r="Q1112" s="1400">
        <f>MAX(O1092:O1095,Q1092:Q1095,S1092:S1095,U1092:U1095)-MIN(O1092:O1095,Q1092:Q1095,S1092:S1095,U1092:U1095)</f>
        <v>0</v>
      </c>
      <c r="R1112" s="6"/>
      <c r="S1112" s="6"/>
      <c r="T1112" s="6"/>
      <c r="U1112" s="1203"/>
      <c r="V1112" s="3"/>
      <c r="W1112" s="43"/>
      <c r="X1112" s="939" t="s">
        <v>482</v>
      </c>
    </row>
    <row r="1113" spans="1:24" ht="11.25" customHeight="1">
      <c r="A1113" s="857">
        <v>57</v>
      </c>
      <c r="B1113" s="155"/>
      <c r="C1113" s="63"/>
      <c r="D1113" s="63"/>
      <c r="E1113" s="63"/>
      <c r="F1113" s="63"/>
      <c r="G1113" s="63"/>
      <c r="H1113" s="63"/>
      <c r="I1113" s="63"/>
      <c r="J1113" s="63"/>
      <c r="K1113" s="81"/>
      <c r="L1113" s="957" t="s">
        <v>482</v>
      </c>
      <c r="M1113" s="155"/>
      <c r="N1113" s="63"/>
      <c r="O1113" s="63"/>
      <c r="P1113" s="63"/>
      <c r="Q1113" s="63"/>
      <c r="R1113" s="63"/>
      <c r="S1113" s="63"/>
      <c r="T1113" s="63"/>
      <c r="U1113" s="63"/>
      <c r="V1113" s="63"/>
      <c r="W1113" s="81"/>
      <c r="X1113" s="939" t="s">
        <v>482</v>
      </c>
    </row>
    <row r="1114" spans="1:24" ht="11.25" customHeight="1">
      <c r="A1114" s="857">
        <v>58</v>
      </c>
      <c r="B1114" s="155"/>
      <c r="C1114" s="63"/>
      <c r="D1114" s="63"/>
      <c r="E1114" s="63"/>
      <c r="F1114" s="63"/>
      <c r="G1114" s="63"/>
      <c r="H1114" s="63"/>
      <c r="I1114" s="63"/>
      <c r="J1114" s="63"/>
      <c r="K1114" s="81"/>
      <c r="L1114" s="957" t="s">
        <v>482</v>
      </c>
      <c r="M1114" s="155"/>
      <c r="N1114" s="63"/>
      <c r="O1114" s="63"/>
      <c r="P1114" s="63"/>
      <c r="Q1114" s="63"/>
      <c r="R1114" s="63"/>
      <c r="S1114" s="63"/>
      <c r="T1114" s="63"/>
      <c r="U1114" s="63"/>
      <c r="V1114" s="63"/>
      <c r="W1114" s="81"/>
      <c r="X1114" s="939" t="s">
        <v>482</v>
      </c>
    </row>
    <row r="1115" spans="1:24" ht="11.25" customHeight="1">
      <c r="A1115" s="857">
        <v>59</v>
      </c>
      <c r="B1115" s="155"/>
      <c r="C1115" s="63"/>
      <c r="D1115" s="63"/>
      <c r="E1115" s="63"/>
      <c r="F1115" s="63"/>
      <c r="G1115" s="63"/>
      <c r="H1115" s="63"/>
      <c r="I1115" s="63"/>
      <c r="J1115" s="63"/>
      <c r="K1115" s="81"/>
      <c r="L1115" s="957" t="s">
        <v>482</v>
      </c>
      <c r="M1115" s="155"/>
      <c r="N1115" s="63"/>
      <c r="O1115" s="63"/>
      <c r="P1115" s="63"/>
      <c r="Q1115" s="63"/>
      <c r="R1115" s="63"/>
      <c r="S1115" s="63"/>
      <c r="T1115" s="63"/>
      <c r="U1115" s="63"/>
      <c r="V1115" s="63"/>
      <c r="W1115" s="81"/>
      <c r="X1115" s="939" t="s">
        <v>482</v>
      </c>
    </row>
    <row r="1116" spans="1:24" ht="11.25" customHeight="1">
      <c r="A1116" s="857">
        <v>60</v>
      </c>
      <c r="B1116" s="155"/>
      <c r="C1116" s="63"/>
      <c r="D1116" s="63"/>
      <c r="E1116" s="63"/>
      <c r="F1116" s="63"/>
      <c r="G1116" s="63"/>
      <c r="H1116" s="63"/>
      <c r="I1116" s="63"/>
      <c r="J1116" s="63"/>
      <c r="K1116" s="81"/>
      <c r="L1116" s="957" t="s">
        <v>482</v>
      </c>
      <c r="M1116" s="155"/>
      <c r="N1116" s="63"/>
      <c r="O1116" s="63"/>
      <c r="P1116" s="63"/>
      <c r="Q1116" s="63"/>
      <c r="R1116" s="63"/>
      <c r="S1116" s="63"/>
      <c r="T1116" s="63"/>
      <c r="U1116" s="63"/>
      <c r="V1116" s="63"/>
      <c r="W1116" s="81"/>
      <c r="X1116" s="939" t="s">
        <v>482</v>
      </c>
    </row>
    <row r="1117" spans="1:24" ht="11.25" customHeight="1">
      <c r="A1117" s="857">
        <v>61</v>
      </c>
      <c r="B1117" s="155"/>
      <c r="C1117" s="63"/>
      <c r="D1117" s="63"/>
      <c r="E1117" s="63"/>
      <c r="F1117" s="63"/>
      <c r="G1117" s="63"/>
      <c r="H1117" s="63"/>
      <c r="I1117" s="63"/>
      <c r="J1117" s="63"/>
      <c r="K1117" s="81"/>
      <c r="L1117" s="957" t="s">
        <v>482</v>
      </c>
      <c r="M1117" s="155"/>
      <c r="N1117" s="63"/>
      <c r="O1117" s="63"/>
      <c r="P1117" s="63"/>
      <c r="Q1117" s="63"/>
      <c r="R1117" s="63"/>
      <c r="S1117" s="63"/>
      <c r="T1117" s="63"/>
      <c r="U1117" s="63"/>
      <c r="V1117" s="63"/>
      <c r="W1117" s="81"/>
      <c r="X1117" s="939" t="s">
        <v>482</v>
      </c>
    </row>
    <row r="1118" spans="1:24" ht="11.25" customHeight="1">
      <c r="A1118" s="857">
        <v>62</v>
      </c>
      <c r="B1118" s="155"/>
      <c r="C1118" s="63"/>
      <c r="D1118" s="63"/>
      <c r="E1118" s="63"/>
      <c r="F1118" s="63"/>
      <c r="G1118" s="63"/>
      <c r="H1118" s="63"/>
      <c r="I1118" s="63"/>
      <c r="J1118" s="63"/>
      <c r="K1118" s="81"/>
      <c r="L1118" s="957" t="s">
        <v>482</v>
      </c>
      <c r="M1118" s="155"/>
      <c r="N1118" s="63"/>
      <c r="O1118" s="63"/>
      <c r="P1118" s="63"/>
      <c r="Q1118" s="63"/>
      <c r="R1118" s="63"/>
      <c r="S1118" s="63"/>
      <c r="T1118" s="63"/>
      <c r="U1118" s="63"/>
      <c r="V1118" s="63"/>
      <c r="W1118" s="81"/>
      <c r="X1118" s="939" t="s">
        <v>482</v>
      </c>
    </row>
    <row r="1119" spans="1:24" ht="11.25" customHeight="1">
      <c r="A1119" s="857">
        <v>63</v>
      </c>
      <c r="B1119" s="155"/>
      <c r="C1119" s="63"/>
      <c r="D1119" s="63"/>
      <c r="E1119" s="63"/>
      <c r="F1119" s="63"/>
      <c r="G1119" s="63"/>
      <c r="H1119" s="63"/>
      <c r="I1119" s="63"/>
      <c r="J1119" s="63"/>
      <c r="K1119" s="81"/>
      <c r="L1119" s="957" t="s">
        <v>482</v>
      </c>
      <c r="M1119" s="155"/>
      <c r="N1119" s="63"/>
      <c r="O1119" s="63"/>
      <c r="P1119" s="63"/>
      <c r="Q1119" s="63"/>
      <c r="R1119" s="63"/>
      <c r="S1119" s="63"/>
      <c r="T1119" s="63"/>
      <c r="U1119" s="63"/>
      <c r="V1119" s="63"/>
      <c r="W1119" s="81"/>
      <c r="X1119" s="939" t="s">
        <v>482</v>
      </c>
    </row>
    <row r="1120" spans="1:24" ht="11.25" customHeight="1" thickBot="1">
      <c r="A1120" s="857">
        <v>64</v>
      </c>
      <c r="B1120" s="112"/>
      <c r="C1120" s="94"/>
      <c r="D1120" s="94"/>
      <c r="E1120" s="94"/>
      <c r="F1120" s="94"/>
      <c r="G1120" s="94"/>
      <c r="H1120" s="94"/>
      <c r="I1120" s="94"/>
      <c r="J1120" s="94"/>
      <c r="K1120" s="99"/>
      <c r="L1120" s="957" t="s">
        <v>482</v>
      </c>
      <c r="M1120" s="112"/>
      <c r="N1120" s="94"/>
      <c r="O1120" s="94"/>
      <c r="P1120" s="94"/>
      <c r="Q1120" s="94"/>
      <c r="R1120" s="94"/>
      <c r="S1120" s="94"/>
      <c r="T1120" s="94"/>
      <c r="U1120" s="94"/>
      <c r="V1120" s="94"/>
      <c r="W1120" s="99"/>
      <c r="X1120" s="939" t="s">
        <v>482</v>
      </c>
    </row>
    <row r="1121" spans="1:24" ht="11.25" customHeight="1" thickTop="1">
      <c r="A1121" s="857">
        <v>65</v>
      </c>
      <c r="B1121" s="60" t="str">
        <f t="array" ref="B1121:C1122">$B$65:$C$66</f>
        <v>Date:</v>
      </c>
      <c r="C1121" s="1664" t="str">
        <v/>
      </c>
      <c r="D1121" s="136"/>
      <c r="E1121" s="59"/>
      <c r="F1121" s="59"/>
      <c r="G1121" s="59"/>
      <c r="H1121" s="59"/>
      <c r="I1121" s="60" t="str">
        <f t="array" ref="I1121:J1122">$I$65:$J$66</f>
        <v>Inspector:</v>
      </c>
      <c r="J1121" s="554" t="str">
        <v>Eugene Mah</v>
      </c>
      <c r="L1121" s="957" t="s">
        <v>482</v>
      </c>
      <c r="X1121" s="939" t="s">
        <v>482</v>
      </c>
    </row>
    <row r="1122" spans="1:24" ht="11.25" customHeight="1">
      <c r="A1122" s="857">
        <v>66</v>
      </c>
      <c r="B1122" s="60" t="str">
        <v>Room Number:</v>
      </c>
      <c r="C1122" s="499" t="str">
        <v/>
      </c>
      <c r="D1122" s="63"/>
      <c r="E1122" s="59"/>
      <c r="F1122" s="59"/>
      <c r="G1122" s="59"/>
      <c r="H1122" s="59"/>
      <c r="I1122" s="60" t="str">
        <v>Survey ID:</v>
      </c>
      <c r="J1122" s="1404" t="str">
        <v/>
      </c>
      <c r="L1122" s="957" t="s">
        <v>482</v>
      </c>
      <c r="X1122" s="939" t="s">
        <v>482</v>
      </c>
    </row>
    <row r="1123" spans="1:24" ht="11.25" customHeight="1">
      <c r="A1123" s="857">
        <v>1</v>
      </c>
      <c r="B1123" s="1"/>
      <c r="C1123" s="1"/>
      <c r="D1123" s="1"/>
      <c r="E1123" s="1"/>
      <c r="H1123" s="1"/>
      <c r="I1123" s="1"/>
      <c r="J1123" s="1"/>
      <c r="K1123" s="161" t="str">
        <f>$F$2</f>
        <v>Medical University of South Carolina</v>
      </c>
      <c r="L1123" s="957" t="s">
        <v>482</v>
      </c>
      <c r="M1123" s="1"/>
      <c r="N1123" s="1"/>
      <c r="O1123" s="1"/>
      <c r="P1123" s="1"/>
      <c r="Q1123" s="1"/>
      <c r="S1123" s="1"/>
      <c r="T1123" s="1"/>
      <c r="U1123" s="1"/>
      <c r="V1123" s="1"/>
      <c r="W1123" s="161" t="str">
        <f>$F$2</f>
        <v>Medical University of South Carolina</v>
      </c>
      <c r="X1123" s="939" t="s">
        <v>482</v>
      </c>
    </row>
    <row r="1124" spans="1:24" ht="11.25" customHeight="1" thickBot="1">
      <c r="A1124" s="857">
        <v>2</v>
      </c>
      <c r="F1124" s="336" t="str">
        <f>$F$464</f>
        <v>Measurement Data</v>
      </c>
      <c r="K1124" s="162" t="str">
        <f>$F$5</f>
        <v>Radiographic System Compliance Inspection</v>
      </c>
      <c r="L1124" s="957" t="s">
        <v>482</v>
      </c>
      <c r="Q1124" s="336" t="str">
        <f>$F$464</f>
        <v>Measurement Data</v>
      </c>
      <c r="R1124" s="51"/>
      <c r="W1124" s="162" t="str">
        <f>$F$5</f>
        <v>Radiographic System Compliance Inspection</v>
      </c>
      <c r="X1124" s="939" t="s">
        <v>482</v>
      </c>
    </row>
    <row r="1125" spans="1:24" ht="11.25" customHeight="1" thickTop="1">
      <c r="A1125" s="857">
        <v>3</v>
      </c>
      <c r="B1125" s="89"/>
      <c r="C1125" s="72"/>
      <c r="D1125" s="72"/>
      <c r="E1125" s="72"/>
      <c r="F1125" s="1227"/>
      <c r="G1125" s="72"/>
      <c r="H1125" s="72"/>
      <c r="I1125" s="72"/>
      <c r="J1125" s="72"/>
      <c r="K1125" s="90"/>
      <c r="L1125" s="957" t="s">
        <v>482</v>
      </c>
      <c r="M1125" s="89"/>
      <c r="N1125" s="72"/>
      <c r="O1125" s="72"/>
      <c r="P1125" s="72"/>
      <c r="Q1125" s="1226" t="s">
        <v>307</v>
      </c>
      <c r="R1125" s="1227"/>
      <c r="S1125" s="72"/>
      <c r="T1125" s="72"/>
      <c r="U1125" s="72"/>
      <c r="V1125" s="72"/>
      <c r="W1125" s="90"/>
      <c r="X1125" s="939" t="s">
        <v>482</v>
      </c>
    </row>
    <row r="1126" spans="1:24" ht="11.25" customHeight="1">
      <c r="A1126" s="857">
        <v>4</v>
      </c>
      <c r="B1126" s="155"/>
      <c r="C1126" s="63"/>
      <c r="D1126" s="63"/>
      <c r="E1126" s="63"/>
      <c r="F1126" s="380" t="s">
        <v>307</v>
      </c>
      <c r="G1126" s="63"/>
      <c r="H1126" s="63"/>
      <c r="I1126" s="63"/>
      <c r="J1126" s="63"/>
      <c r="K1126" s="81"/>
      <c r="L1126" s="957" t="s">
        <v>482</v>
      </c>
      <c r="M1126" s="155"/>
      <c r="N1126" s="63"/>
      <c r="O1126" s="63"/>
      <c r="P1126" s="63"/>
      <c r="Q1126" s="63"/>
      <c r="R1126" s="1213" t="s">
        <v>418</v>
      </c>
      <c r="S1126" s="1213" t="s">
        <v>696</v>
      </c>
      <c r="T1126" s="63"/>
      <c r="U1126" s="63"/>
      <c r="V1126" s="63"/>
      <c r="W1126" s="81"/>
      <c r="X1126" s="939" t="s">
        <v>482</v>
      </c>
    </row>
    <row r="1127" spans="1:24" ht="11.25" customHeight="1">
      <c r="A1127" s="857">
        <v>5</v>
      </c>
      <c r="B1127" s="386" t="s">
        <v>278</v>
      </c>
      <c r="C1127" s="61"/>
      <c r="D1127" s="63"/>
      <c r="E1127" s="63"/>
      <c r="F1127" s="63"/>
      <c r="G1127" s="63"/>
      <c r="H1127" s="63"/>
      <c r="I1127" s="63"/>
      <c r="J1127" s="63"/>
      <c r="K1127" s="81"/>
      <c r="L1127" s="957" t="s">
        <v>482</v>
      </c>
      <c r="M1127" s="386" t="s">
        <v>278</v>
      </c>
      <c r="N1127" s="63"/>
      <c r="O1127" s="63"/>
      <c r="P1127" s="63"/>
      <c r="Q1127" s="41" t="s">
        <v>687</v>
      </c>
      <c r="R1127" s="1214" t="str">
        <f>IF(S1127&lt;&gt;"",S1127&amp;" "&amp;WBCM_IN,IF(OR(AB537=0,AB537=""),M1003,AB537))</f>
        <v>101.6 cm</v>
      </c>
      <c r="S1127" s="1215"/>
      <c r="T1127" s="63"/>
      <c r="U1127" s="63"/>
      <c r="V1127" s="63"/>
      <c r="W1127" s="81"/>
      <c r="X1127" s="939" t="s">
        <v>482</v>
      </c>
    </row>
    <row r="1128" spans="1:24" ht="11.25" customHeight="1" thickBot="1">
      <c r="A1128" s="857">
        <v>6</v>
      </c>
      <c r="B1128" s="472" t="s">
        <v>409</v>
      </c>
      <c r="C1128" s="471" t="str">
        <f>IF(M1129=1,N1129&amp;IF(M1130=1,"/"&amp;N1130,""),IF(M1130=1,N1130,""))</f>
        <v/>
      </c>
      <c r="D1128" s="61"/>
      <c r="E1128" s="63"/>
      <c r="F1128" s="63"/>
      <c r="G1128" s="63"/>
      <c r="H1128" s="63"/>
      <c r="I1128" s="63"/>
      <c r="J1128" s="63"/>
      <c r="K1128" s="81"/>
      <c r="L1128" s="957" t="s">
        <v>482</v>
      </c>
      <c r="M1128" s="256" t="s">
        <v>488</v>
      </c>
      <c r="N1128" s="63"/>
      <c r="O1128" s="61"/>
      <c r="P1128" s="63"/>
      <c r="Q1128" s="41" t="s">
        <v>295</v>
      </c>
      <c r="R1128" s="1218" t="str">
        <f>IF(S1128&lt;&gt;"",S1128,IF(OR(AB538=0,AB538=""),N1003,AB538))</f>
        <v>C</v>
      </c>
      <c r="S1128" s="1219"/>
      <c r="T1128" s="63"/>
      <c r="U1128" s="63"/>
      <c r="V1128" s="993" t="s">
        <v>447</v>
      </c>
      <c r="W1128" s="1047" t="str">
        <f>IF(OR(AB484=0,AB484=""),"",AB484)</f>
        <v/>
      </c>
      <c r="X1128" s="939" t="s">
        <v>482</v>
      </c>
    </row>
    <row r="1129" spans="1:24" ht="11.25" customHeight="1" thickBot="1">
      <c r="A1129" s="857">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TBD</v>
      </c>
      <c r="K1129" s="81"/>
      <c r="L1129" s="957" t="s">
        <v>482</v>
      </c>
      <c r="M1129" s="910"/>
      <c r="N1129" s="238" t="s">
        <v>410</v>
      </c>
      <c r="O1129" s="63"/>
      <c r="P1129" s="63"/>
      <c r="Q1129" s="41" t="s">
        <v>683</v>
      </c>
      <c r="R1129" s="1212">
        <f>IF(S1129&lt;&gt;"",S1129,IF(OR(AB539=0,AB539=""),M1008,AB539))</f>
        <v>80</v>
      </c>
      <c r="S1129" s="1217"/>
      <c r="T1129" s="182" t="s">
        <v>686</v>
      </c>
      <c r="U1129" s="905"/>
      <c r="V1129" s="62" t="str">
        <f>IF(Meter_OD="","Blank",Meter_OD)</f>
        <v>Meter</v>
      </c>
      <c r="W1129" s="1487"/>
      <c r="X1129" s="939" t="s">
        <v>482</v>
      </c>
    </row>
    <row r="1130" spans="1:24" ht="11.25" customHeight="1" thickBot="1">
      <c r="A1130" s="857">
        <v>8</v>
      </c>
      <c r="B1130" s="155"/>
      <c r="C1130" s="63"/>
      <c r="D1130" s="63"/>
      <c r="E1130" s="63"/>
      <c r="F1130" s="63"/>
      <c r="G1130" s="836" t="str">
        <f>IF(U1129="","mAs:_______","mAs:  "&amp;ROUND(U1129,1))</f>
        <v>mAs:_______</v>
      </c>
      <c r="H1130" s="63"/>
      <c r="I1130" s="63"/>
      <c r="J1130" s="63"/>
      <c r="K1130" s="81"/>
      <c r="L1130" s="957" t="s">
        <v>482</v>
      </c>
      <c r="M1130" s="910"/>
      <c r="N1130" s="238" t="s">
        <v>411</v>
      </c>
      <c r="O1130" s="63"/>
      <c r="P1130" s="63"/>
      <c r="Q1130" s="41" t="s">
        <v>280</v>
      </c>
      <c r="R1130" s="1211">
        <f>IF(S1130&lt;&gt;"",S1130,IF(OR(AB540=0,AB540=""),N1008,AB540))</f>
        <v>7.8740157480314963</v>
      </c>
      <c r="S1130" s="1215"/>
      <c r="T1130" s="1748" t="s">
        <v>413</v>
      </c>
      <c r="U1130" s="1749"/>
      <c r="V1130" s="1040" t="s">
        <v>646</v>
      </c>
      <c r="W1130" s="1025" t="str">
        <f>IF($W$1129="NA","NA",IF($W$1129="","TBD",IF(AND(M1129=1,M1130&lt;&gt;1),IF(AND($W$1129&gt;=1.9,$W$1129&lt;=2.1),"YES","NO"),IF(AND(M1129&lt;&gt;1,M1130=1),IF(AND($W$1129&gt;=1.9,$W$1129&lt;=2.1),"YES","NO"),IF(AND($W$1129&gt;=1.9,$W$1129&lt;=2.1),"YES","NO")))))</f>
        <v>TBD</v>
      </c>
      <c r="X1130" s="939" t="s">
        <v>482</v>
      </c>
    </row>
    <row r="1131" spans="1:24" ht="11.25" customHeight="1">
      <c r="A1131" s="857">
        <v>9</v>
      </c>
      <c r="B1131" s="965"/>
      <c r="C1131" s="63"/>
      <c r="D1131" s="162" t="str">
        <f>"Criteria: "&amp;T1131</f>
        <v>Criteria: Radiographic:</v>
      </c>
      <c r="E1131" s="115" t="str">
        <f>U1131</f>
        <v>1.9&lt;=lgM&lt;=2.1</v>
      </c>
      <c r="F1131" s="63"/>
      <c r="G1131" s="63"/>
      <c r="H1131" s="63"/>
      <c r="I1131" s="63"/>
      <c r="J1131" s="63"/>
      <c r="K1131" s="81"/>
      <c r="L1131" s="957" t="s">
        <v>482</v>
      </c>
      <c r="M1131" s="155"/>
      <c r="N1131" s="63"/>
      <c r="O1131" s="63"/>
      <c r="P1131" s="63"/>
      <c r="Q1131" s="63"/>
      <c r="R1131" s="63"/>
      <c r="S1131" s="63"/>
      <c r="T1131" s="162" t="s">
        <v>412</v>
      </c>
      <c r="U1131" s="115" t="s">
        <v>1158</v>
      </c>
      <c r="V1131" s="63"/>
      <c r="W1131" s="81"/>
      <c r="X1131" s="939" t="s">
        <v>482</v>
      </c>
    </row>
    <row r="1132" spans="1:24" ht="11.25" customHeight="1">
      <c r="A1132" s="857">
        <v>10</v>
      </c>
      <c r="B1132" s="155"/>
      <c r="C1132" s="63"/>
      <c r="D1132" s="162" t="str">
        <f>T1132</f>
        <v>Chest:</v>
      </c>
      <c r="E1132" s="115" t="str">
        <f>U1132</f>
        <v>1.9&lt;=lgM&lt;=2.1</v>
      </c>
      <c r="F1132" s="63"/>
      <c r="G1132" s="63"/>
      <c r="H1132" s="63"/>
      <c r="I1132" s="63"/>
      <c r="J1132" s="63"/>
      <c r="K1132" s="81"/>
      <c r="L1132" s="957" t="s">
        <v>482</v>
      </c>
      <c r="M1132" s="155"/>
      <c r="N1132" s="63"/>
      <c r="O1132" s="63"/>
      <c r="P1132" s="63"/>
      <c r="Q1132" s="63"/>
      <c r="R1132" s="63"/>
      <c r="S1132" s="63"/>
      <c r="T1132" s="689" t="s">
        <v>381</v>
      </c>
      <c r="U1132" s="115" t="s">
        <v>1158</v>
      </c>
      <c r="V1132" s="63"/>
      <c r="W1132" s="81"/>
      <c r="X1132" s="939" t="s">
        <v>482</v>
      </c>
    </row>
    <row r="1133" spans="1:24" ht="11.25" customHeight="1">
      <c r="A1133" s="857">
        <v>11</v>
      </c>
      <c r="B1133" s="155"/>
      <c r="C1133" s="63"/>
      <c r="D1133" s="63"/>
      <c r="E1133" s="63"/>
      <c r="F1133" s="63"/>
      <c r="G1133" s="63"/>
      <c r="H1133" s="63"/>
      <c r="I1133" s="63"/>
      <c r="J1133" s="63"/>
      <c r="K1133" s="81"/>
      <c r="L1133" s="957" t="s">
        <v>482</v>
      </c>
      <c r="M1133" s="155"/>
      <c r="N1133" s="63"/>
      <c r="O1133" s="63"/>
      <c r="P1133" s="63"/>
      <c r="Q1133" s="63"/>
      <c r="R1133" s="63"/>
      <c r="S1133" s="63"/>
      <c r="T1133" s="63"/>
      <c r="U1133" s="63"/>
      <c r="V1133" s="63"/>
      <c r="W1133" s="81"/>
      <c r="X1133" s="939" t="s">
        <v>482</v>
      </c>
    </row>
    <row r="1134" spans="1:24" ht="11.25" customHeight="1">
      <c r="A1134" s="857">
        <v>12</v>
      </c>
      <c r="B1134" s="386" t="s">
        <v>281</v>
      </c>
      <c r="C1134" s="272"/>
      <c r="D1134" s="272"/>
      <c r="E1134" s="41" t="s">
        <v>683</v>
      </c>
      <c r="F1134" s="39">
        <f>IF(R1134="","",R1134)</f>
        <v>80</v>
      </c>
      <c r="G1134" s="3"/>
      <c r="H1134" s="41" t="s">
        <v>282</v>
      </c>
      <c r="I1134" s="2" t="str">
        <f>IF(U1134="","              in.",ROUND(U1134,2)&amp;" in.")</f>
        <v>7.87 in.</v>
      </c>
      <c r="J1134" s="63"/>
      <c r="K1134" s="81"/>
      <c r="L1134" s="957" t="s">
        <v>482</v>
      </c>
      <c r="M1134" s="386" t="s">
        <v>281</v>
      </c>
      <c r="N1134" s="4"/>
      <c r="O1134" s="4"/>
      <c r="P1134" s="383"/>
      <c r="Q1134" s="41" t="s">
        <v>683</v>
      </c>
      <c r="R1134" s="1081">
        <f>IF(R1129="","",R1129)</f>
        <v>80</v>
      </c>
      <c r="S1134" s="3"/>
      <c r="T1134" s="41" t="s">
        <v>282</v>
      </c>
      <c r="U1134" s="1080">
        <f>IF(R1130="","",R1130)</f>
        <v>7.8740157480314963</v>
      </c>
      <c r="V1134" s="58" t="s">
        <v>271</v>
      </c>
      <c r="W1134" s="43"/>
      <c r="X1134" s="939" t="s">
        <v>482</v>
      </c>
    </row>
    <row r="1135" spans="1:24" ht="11.25" customHeight="1">
      <c r="A1135" s="857">
        <v>13</v>
      </c>
      <c r="B1135" s="155"/>
      <c r="C1135" s="3"/>
      <c r="D1135" s="3"/>
      <c r="E1135" s="41" t="s">
        <v>687</v>
      </c>
      <c r="F1135" s="2" t="str">
        <f>IF(R1135="","",R1135)</f>
        <v>101.6 cm</v>
      </c>
      <c r="G1135" s="3"/>
      <c r="H1135" s="41" t="s">
        <v>617</v>
      </c>
      <c r="I1135" s="12" t="str">
        <f>IF(U1135="","",U1135)</f>
        <v/>
      </c>
      <c r="J1135" s="63"/>
      <c r="K1135" s="81"/>
      <c r="L1135" s="957" t="s">
        <v>482</v>
      </c>
      <c r="M1135" s="155"/>
      <c r="N1135" s="3"/>
      <c r="O1135" s="3"/>
      <c r="P1135" s="3"/>
      <c r="Q1135" s="41" t="s">
        <v>687</v>
      </c>
      <c r="R1135" s="1080" t="str">
        <f>IF(R1127="","",R1127)</f>
        <v>101.6 cm</v>
      </c>
      <c r="S1135" s="3"/>
      <c r="T1135" s="41" t="s">
        <v>617</v>
      </c>
      <c r="U1135" s="1082" t="str">
        <f>IF($T$32="","",$T$32&amp;"/"&amp;$T$33)</f>
        <v/>
      </c>
      <c r="V1135" s="4"/>
      <c r="W1135" s="81"/>
      <c r="X1135" s="939" t="s">
        <v>482</v>
      </c>
    </row>
    <row r="1136" spans="1:24" ht="11.25" customHeight="1">
      <c r="A1136" s="857">
        <v>14</v>
      </c>
      <c r="B1136" s="270" t="s">
        <v>283</v>
      </c>
      <c r="C1136" s="272" t="s">
        <v>284</v>
      </c>
      <c r="D1136" s="272"/>
      <c r="E1136" s="272" t="s">
        <v>285</v>
      </c>
      <c r="F1136" s="272"/>
      <c r="G1136" s="272" t="s">
        <v>286</v>
      </c>
      <c r="H1136" s="272"/>
      <c r="I1136" s="3"/>
      <c r="J1136" s="3"/>
      <c r="K1136" s="81"/>
      <c r="L1136" s="957" t="s">
        <v>482</v>
      </c>
      <c r="M1136" s="155"/>
      <c r="N1136" s="41" t="s">
        <v>283</v>
      </c>
      <c r="O1136" s="272" t="s">
        <v>284</v>
      </c>
      <c r="P1136" s="272"/>
      <c r="Q1136" s="272" t="s">
        <v>285</v>
      </c>
      <c r="R1136" s="272"/>
      <c r="S1136" s="272" t="s">
        <v>286</v>
      </c>
      <c r="T1136" s="272"/>
      <c r="U1136" s="63"/>
      <c r="V1136" s="63"/>
      <c r="W1136" s="81"/>
      <c r="X1136" s="939" t="s">
        <v>482</v>
      </c>
    </row>
    <row r="1137" spans="1:25" ht="11.25" customHeight="1" thickBot="1">
      <c r="A1137" s="857">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7" t="s">
        <v>482</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9" t="s">
        <v>482</v>
      </c>
    </row>
    <row r="1138" spans="1:25" ht="11.25" customHeight="1">
      <c r="A1138" s="857">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7" t="s">
        <v>482</v>
      </c>
      <c r="M1138" s="52"/>
      <c r="N1138" s="3"/>
      <c r="O1138" s="906"/>
      <c r="P1138" s="907"/>
      <c r="Q1138" s="906"/>
      <c r="R1138" s="907"/>
      <c r="S1138" s="906"/>
      <c r="T1138" s="907"/>
      <c r="U1138" s="63"/>
      <c r="V1138" s="63"/>
      <c r="W1138" s="81"/>
      <c r="X1138" s="939" t="s">
        <v>482</v>
      </c>
    </row>
    <row r="1139" spans="1:25" ht="11.25" customHeight="1">
      <c r="A1139" s="857">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7" t="s">
        <v>482</v>
      </c>
      <c r="M1139" s="270"/>
      <c r="N1139" s="63"/>
      <c r="O1139" s="906"/>
      <c r="P1139" s="907"/>
      <c r="Q1139" s="906"/>
      <c r="R1139" s="907"/>
      <c r="S1139" s="906"/>
      <c r="T1139" s="907"/>
      <c r="U1139" s="63"/>
      <c r="V1139" s="63"/>
      <c r="W1139" s="81"/>
      <c r="X1139" s="939"/>
    </row>
    <row r="1140" spans="1:25" ht="11.25" customHeight="1">
      <c r="A1140" s="857">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7" t="s">
        <v>482</v>
      </c>
      <c r="M1140" s="52"/>
      <c r="N1140" s="63"/>
      <c r="O1140" s="906"/>
      <c r="P1140" s="907"/>
      <c r="Q1140" s="906"/>
      <c r="R1140" s="907"/>
      <c r="S1140" s="906"/>
      <c r="T1140" s="907"/>
      <c r="U1140" s="63"/>
      <c r="V1140" s="63"/>
      <c r="W1140" s="81"/>
      <c r="X1140" s="939" t="s">
        <v>482</v>
      </c>
    </row>
    <row r="1141" spans="1:25" ht="11.25" customHeight="1">
      <c r="A1141" s="857">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7" t="s">
        <v>482</v>
      </c>
      <c r="M1141" s="52"/>
      <c r="N1141" s="63"/>
      <c r="O1141" s="906"/>
      <c r="P1141" s="907"/>
      <c r="Q1141" s="906"/>
      <c r="R1141" s="907"/>
      <c r="S1141" s="906"/>
      <c r="T1141" s="907"/>
      <c r="U1141" s="63"/>
      <c r="V1141" s="63"/>
      <c r="W1141" s="81"/>
      <c r="X1141" s="939" t="s">
        <v>482</v>
      </c>
    </row>
    <row r="1142" spans="1:25" ht="11.25" customHeight="1">
      <c r="A1142" s="857">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7" t="s">
        <v>482</v>
      </c>
      <c r="M1142" s="52"/>
      <c r="N1142" s="63"/>
      <c r="O1142" s="906"/>
      <c r="P1142" s="907"/>
      <c r="Q1142" s="906"/>
      <c r="R1142" s="907"/>
      <c r="S1142" s="906"/>
      <c r="T1142" s="907"/>
      <c r="U1142" s="63"/>
      <c r="V1142" s="63"/>
      <c r="W1142" s="81"/>
      <c r="X1142" s="939" t="s">
        <v>482</v>
      </c>
    </row>
    <row r="1143" spans="1:25" ht="11.25" customHeight="1">
      <c r="A1143" s="857">
        <v>21</v>
      </c>
      <c r="B1143" s="155"/>
      <c r="C1143" s="63"/>
      <c r="D1143" s="63"/>
      <c r="E1143" s="63"/>
      <c r="F1143" s="63"/>
      <c r="G1143" s="63"/>
      <c r="H1143" s="63"/>
      <c r="I1143" s="63"/>
      <c r="J1143" s="63"/>
      <c r="K1143" s="81"/>
      <c r="L1143" s="957" t="s">
        <v>482</v>
      </c>
      <c r="M1143" s="52"/>
      <c r="N1143" s="63"/>
      <c r="O1143" s="63"/>
      <c r="P1143" s="63"/>
      <c r="Q1143" s="63"/>
      <c r="R1143" s="63"/>
      <c r="S1143" s="63"/>
      <c r="T1143" s="3"/>
      <c r="U1143" s="63"/>
      <c r="V1143" s="63"/>
      <c r="W1143" s="81"/>
      <c r="X1143" s="939" t="s">
        <v>482</v>
      </c>
    </row>
    <row r="1144" spans="1:25" ht="11.25" customHeight="1">
      <c r="A1144" s="857">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7" t="s">
        <v>482</v>
      </c>
      <c r="M1144" s="52"/>
      <c r="N1144" s="552"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9" t="s">
        <v>482</v>
      </c>
    </row>
    <row r="1145" spans="1:25" ht="11.25" customHeight="1">
      <c r="A1145" s="857">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7" t="s">
        <v>482</v>
      </c>
      <c r="M1145" s="52"/>
      <c r="N1145" s="553"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9" t="s">
        <v>482</v>
      </c>
    </row>
    <row r="1146" spans="1:25" ht="11.25" customHeight="1" thickBot="1">
      <c r="A1146" s="857">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425" t="str">
        <f>IF(V1146="","",V1146)</f>
        <v>TBD</v>
      </c>
      <c r="K1146" s="81"/>
      <c r="L1146" s="957" t="s">
        <v>482</v>
      </c>
      <c r="M1146" s="52"/>
      <c r="N1146" s="553"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9" t="str">
        <f>IF(AND(Q1144="",R1144=""),"TBD",IF(AND(O1144="",Q1144="",S1144=""),ROUND((MAX(P1144,R1144,T1144)-MIN(P1144,R1144,T1144))/AVERAGE(P1144,R1144,T1144),2),IF(Meter_OD="Film O.D.",ROUND(MAX(O1144,Q1144,S1144)-MIN(O1144,Q1144,S1144),2)&amp;" O.D.",ROUND((MAX(O1144,Q1144,S1144)-MIN(O1144,Q1144,S1144))/AVERAGE(O1144,Q1144,S1144),2))))</f>
        <v>TBD</v>
      </c>
      <c r="W1146" s="43"/>
      <c r="X1146" s="939" t="s">
        <v>482</v>
      </c>
      <c r="Y1146" s="1198"/>
    </row>
    <row r="1147" spans="1:25" ht="11.25" customHeight="1" thickBot="1">
      <c r="A1147" s="857">
        <v>25</v>
      </c>
      <c r="B1147" s="373" t="s">
        <v>646</v>
      </c>
      <c r="C1147" s="633" t="str">
        <f t="shared" si="174"/>
        <v>TBD</v>
      </c>
      <c r="D1147" s="634" t="str">
        <f t="shared" si="174"/>
        <v>TBD</v>
      </c>
      <c r="E1147" s="635" t="str">
        <f t="shared" si="174"/>
        <v>TBD</v>
      </c>
      <c r="F1147" s="634" t="str">
        <f t="shared" si="174"/>
        <v>TBD</v>
      </c>
      <c r="G1147" s="635" t="str">
        <f t="shared" si="174"/>
        <v>TBD</v>
      </c>
      <c r="H1147" s="633" t="str">
        <f t="shared" si="174"/>
        <v>TBD</v>
      </c>
      <c r="I1147" s="48" t="s">
        <v>646</v>
      </c>
      <c r="J1147" s="426" t="str">
        <f>IF(V1147="","",V1147)</f>
        <v>TBD</v>
      </c>
      <c r="K1147" s="81"/>
      <c r="L1147" s="957" t="s">
        <v>482</v>
      </c>
      <c r="M1147" s="155"/>
      <c r="N1147" s="1072" t="s">
        <v>646</v>
      </c>
      <c r="O1147" s="1019" t="str">
        <f>IF(AND(O1146="",P1146=""),"TBD",IF(O1146="","NA",IF(TRUNC(O1146,4)&gt;0.05,"NO","YES")))</f>
        <v>TBD</v>
      </c>
      <c r="P1147" s="1020" t="str">
        <f>IF(AND(O1146="",P1146=""),"TBD",IF(P1146="","NA",IF(TRUNC(P1146,4)&gt;0.05,"NO","YES")))</f>
        <v>TBD</v>
      </c>
      <c r="Q1147" s="1019" t="str">
        <f>IF(AND(Q1146="",R1146=""),"TBD",IF(Q1146="","NA",IF(TRUNC(Q1146,4)&gt;0.05,"NO","YES")))</f>
        <v>TBD</v>
      </c>
      <c r="R1147" s="1020" t="str">
        <f>IF(AND(Q1146="",R1146=""),"TBD",IF(R1146="","NA",IF(TRUNC(R1146,4)&gt;0.05,"NO","YES")))</f>
        <v>TBD</v>
      </c>
      <c r="S1147" s="1019" t="str">
        <f>IF(AND(S1146="",T1146=""),"TBD",IF(S1146="","NA",IF(TRUNC(S1146,4)&gt;0.05,"NO","YES")))</f>
        <v>TBD</v>
      </c>
      <c r="T1147" s="1071" t="str">
        <f>IF(AND(S1146="",T1146=""),"TBD",IF(T1146="","NA",IF(TRUNC(T1146,4)&gt;0.05,"NO","YES")))</f>
        <v>TBD</v>
      </c>
      <c r="U1147" s="1040" t="s">
        <v>646</v>
      </c>
      <c r="V1147" s="102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9" t="s">
        <v>482</v>
      </c>
    </row>
    <row r="1148" spans="1:25" ht="11.25" customHeight="1">
      <c r="A1148" s="857">
        <v>26</v>
      </c>
      <c r="B1148" s="618"/>
      <c r="C1148" s="616"/>
      <c r="D1148" s="616"/>
      <c r="E1148" s="616"/>
      <c r="F1148" s="616"/>
      <c r="G1148" s="616"/>
      <c r="H1148" s="616"/>
      <c r="I1148" s="616"/>
      <c r="J1148" s="1063" t="str">
        <f>IF(V1148="","",V1148)</f>
        <v>NOTE: Density step 1 produced a TBD % change</v>
      </c>
      <c r="K1148" s="619"/>
      <c r="L1148" s="957" t="s">
        <v>482</v>
      </c>
      <c r="M1148" s="155"/>
      <c r="N1148" s="63"/>
      <c r="O1148" s="63"/>
      <c r="P1148" s="63"/>
      <c r="Q1148" s="63"/>
      <c r="R1148" s="63"/>
      <c r="S1148" s="63"/>
      <c r="T1148" s="63"/>
      <c r="U1148" s="63"/>
      <c r="V1148" s="1197"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9" t="s">
        <v>482</v>
      </c>
    </row>
    <row r="1149" spans="1:25" ht="11.25" customHeight="1">
      <c r="A1149" s="857">
        <v>27</v>
      </c>
      <c r="B1149" s="155"/>
      <c r="C1149" s="63"/>
      <c r="D1149" s="63"/>
      <c r="E1149" s="162" t="s">
        <v>291</v>
      </c>
      <c r="F1149" s="115" t="str">
        <f>R1149</f>
        <v>Film:  Maximum variation of 0.4 O.D.</v>
      </c>
      <c r="G1149" s="63"/>
      <c r="H1149" s="63"/>
      <c r="I1149" s="63"/>
      <c r="J1149" s="63"/>
      <c r="K1149" s="619"/>
      <c r="L1149" s="957" t="s">
        <v>482</v>
      </c>
      <c r="M1149" s="155"/>
      <c r="N1149" s="63"/>
      <c r="O1149" s="63"/>
      <c r="P1149" s="63"/>
      <c r="Q1149" s="162" t="s">
        <v>291</v>
      </c>
      <c r="R1149" s="115" t="s">
        <v>1129</v>
      </c>
      <c r="S1149" s="63"/>
      <c r="T1149" s="63"/>
      <c r="U1149" s="63"/>
      <c r="V1149" s="63"/>
      <c r="W1149" s="43"/>
      <c r="X1149" s="939" t="s">
        <v>482</v>
      </c>
    </row>
    <row r="1150" spans="1:25" ht="11.25" customHeight="1">
      <c r="A1150" s="857">
        <v>28</v>
      </c>
      <c r="B1150" s="155"/>
      <c r="C1150" s="63"/>
      <c r="D1150" s="63"/>
      <c r="E1150" s="63"/>
      <c r="F1150" s="115" t="str">
        <f>R1150</f>
        <v>Exposure &amp; AEC Meter:  Max. Variation 35%</v>
      </c>
      <c r="G1150" s="63"/>
      <c r="H1150" s="63"/>
      <c r="I1150" s="63"/>
      <c r="J1150" s="63"/>
      <c r="K1150" s="619"/>
      <c r="L1150" s="957" t="s">
        <v>482</v>
      </c>
      <c r="M1150" s="155"/>
      <c r="N1150" s="63"/>
      <c r="O1150" s="63"/>
      <c r="P1150" s="63"/>
      <c r="Q1150" s="63"/>
      <c r="R1150" s="115" t="s">
        <v>1128</v>
      </c>
      <c r="S1150" s="63"/>
      <c r="T1150" s="63"/>
      <c r="U1150" s="63"/>
      <c r="V1150" s="63"/>
      <c r="W1150" s="43"/>
      <c r="X1150" s="939" t="s">
        <v>482</v>
      </c>
    </row>
    <row r="1151" spans="1:25" ht="11.25" customHeight="1">
      <c r="A1151" s="857">
        <v>29</v>
      </c>
      <c r="B1151" s="155"/>
      <c r="C1151" s="63"/>
      <c r="D1151" s="63"/>
      <c r="E1151" s="455" t="s">
        <v>292</v>
      </c>
      <c r="F1151" s="115" t="str">
        <f>R1151</f>
        <v>Coefficient of variation &lt;= 5% for each detector</v>
      </c>
      <c r="G1151" s="63"/>
      <c r="H1151" s="63"/>
      <c r="I1151" s="63"/>
      <c r="J1151" s="63"/>
      <c r="K1151" s="619"/>
      <c r="L1151" s="957" t="s">
        <v>482</v>
      </c>
      <c r="M1151" s="155"/>
      <c r="N1151" s="63"/>
      <c r="O1151" s="63"/>
      <c r="P1151" s="63"/>
      <c r="Q1151" s="455" t="s">
        <v>292</v>
      </c>
      <c r="R1151" s="115" t="s">
        <v>293</v>
      </c>
      <c r="S1151" s="63"/>
      <c r="T1151" s="63"/>
      <c r="U1151" s="63"/>
      <c r="V1151" s="63"/>
      <c r="W1151" s="43"/>
      <c r="X1151" s="939" t="s">
        <v>482</v>
      </c>
    </row>
    <row r="1152" spans="1:25" ht="11.25" customHeight="1">
      <c r="A1152" s="857">
        <v>30</v>
      </c>
      <c r="B1152" s="155"/>
      <c r="C1152" s="63"/>
      <c r="D1152" s="63"/>
      <c r="E1152" s="63"/>
      <c r="F1152" s="63"/>
      <c r="G1152" s="63"/>
      <c r="H1152" s="63"/>
      <c r="I1152" s="63"/>
      <c r="J1152" s="63"/>
      <c r="K1152" s="81"/>
      <c r="L1152" s="957" t="s">
        <v>482</v>
      </c>
      <c r="M1152" s="155"/>
      <c r="N1152" s="63"/>
      <c r="O1152" s="63"/>
      <c r="P1152" s="63"/>
      <c r="Q1152" s="63"/>
      <c r="R1152" s="63"/>
      <c r="S1152" s="63"/>
      <c r="T1152" s="63"/>
      <c r="U1152" s="63"/>
      <c r="V1152" s="63"/>
      <c r="W1152" s="81"/>
      <c r="X1152" s="939" t="s">
        <v>482</v>
      </c>
    </row>
    <row r="1153" spans="1:29" ht="11.25" customHeight="1">
      <c r="A1153" s="857">
        <v>31</v>
      </c>
      <c r="B1153" s="269" t="s">
        <v>294</v>
      </c>
      <c r="C1153" s="3"/>
      <c r="D1153" s="3"/>
      <c r="E1153" s="3"/>
      <c r="F1153" s="3"/>
      <c r="G1153" s="3"/>
      <c r="H1153" s="3"/>
      <c r="I1153" s="3"/>
      <c r="J1153" s="3"/>
      <c r="K1153" s="81"/>
      <c r="L1153" s="957" t="s">
        <v>482</v>
      </c>
      <c r="M1153" s="155"/>
      <c r="N1153" s="63"/>
      <c r="O1153" s="63"/>
      <c r="P1153" s="63"/>
      <c r="Q1153" s="63"/>
      <c r="R1153" s="63"/>
      <c r="S1153" s="63"/>
      <c r="T1153" s="63"/>
      <c r="U1153" s="63"/>
      <c r="V1153" s="63"/>
      <c r="W1153" s="81"/>
      <c r="X1153" s="939" t="s">
        <v>482</v>
      </c>
    </row>
    <row r="1154" spans="1:29" ht="11.25" customHeight="1">
      <c r="A1154" s="857">
        <v>32</v>
      </c>
      <c r="B1154" s="52"/>
      <c r="C1154" s="41" t="s">
        <v>687</v>
      </c>
      <c r="D1154" s="2" t="str">
        <f>IF(P1155="","",P1155)</f>
        <v xml:space="preserve"> cm</v>
      </c>
      <c r="E1154" s="3"/>
      <c r="F1154" s="41" t="s">
        <v>295</v>
      </c>
      <c r="G1154" s="2" t="str">
        <f>IF(S1155="","",S1155)</f>
        <v>C</v>
      </c>
      <c r="H1154" s="3"/>
      <c r="I1154" s="41" t="s">
        <v>296</v>
      </c>
      <c r="J1154" s="2" t="str">
        <f>IF(V1155="","",V1155)</f>
        <v/>
      </c>
      <c r="K1154" s="81"/>
      <c r="L1154" s="957" t="s">
        <v>482</v>
      </c>
      <c r="M1154" s="155"/>
      <c r="N1154" s="495" t="s">
        <v>294</v>
      </c>
      <c r="O1154" s="3"/>
      <c r="P1154" s="3"/>
      <c r="Q1154" s="3"/>
      <c r="R1154" s="502"/>
      <c r="S1154" s="3"/>
      <c r="T1154" s="3"/>
      <c r="U1154" s="3"/>
      <c r="V1154" s="3"/>
      <c r="W1154" s="43"/>
      <c r="X1154" s="939" t="s">
        <v>482</v>
      </c>
    </row>
    <row r="1155" spans="1:29" ht="11.25" customHeight="1">
      <c r="A1155" s="857">
        <v>33</v>
      </c>
      <c r="B1155" s="52" t="s">
        <v>297</v>
      </c>
      <c r="C1155" s="34" t="s">
        <v>298</v>
      </c>
      <c r="D1155" s="565">
        <f>IF(P1156="","",P1156)</f>
        <v>60</v>
      </c>
      <c r="E1155" s="34" t="s">
        <v>299</v>
      </c>
      <c r="F1155" s="565">
        <f>IF(R1156="","",R1156)</f>
        <v>80</v>
      </c>
      <c r="G1155" s="34" t="s">
        <v>300</v>
      </c>
      <c r="H1155" s="565">
        <f>IF(T1156="","",T1156)</f>
        <v>100</v>
      </c>
      <c r="I1155" s="34" t="s">
        <v>301</v>
      </c>
      <c r="J1155" s="566">
        <f>IF(V1156="","",V1156)</f>
        <v>120</v>
      </c>
      <c r="K1155" s="81"/>
      <c r="L1155" s="957" t="s">
        <v>482</v>
      </c>
      <c r="M1155" s="155"/>
      <c r="N1155" s="3"/>
      <c r="O1155" s="41" t="s">
        <v>687</v>
      </c>
      <c r="P1155" s="1080" t="str">
        <f>IF($M$616="","",ROUND($M$616,1))&amp;" "&amp;WBCM_IN</f>
        <v xml:space="preserve"> cm</v>
      </c>
      <c r="Q1155" s="3"/>
      <c r="R1155" s="41" t="s">
        <v>295</v>
      </c>
      <c r="S1155" s="1080" t="str">
        <f>IF($R$1128="","",$R$1128)</f>
        <v>C</v>
      </c>
      <c r="T1155" s="3"/>
      <c r="U1155" s="41" t="s">
        <v>296</v>
      </c>
      <c r="V1155" s="1081" t="str">
        <f>IF($O$1027="","",$O$1027)</f>
        <v/>
      </c>
      <c r="W1155" s="43"/>
      <c r="X1155" s="939" t="s">
        <v>482</v>
      </c>
      <c r="AC1155"/>
    </row>
    <row r="1156" spans="1:29" ht="11.25" customHeight="1" thickBot="1">
      <c r="A1156" s="857">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7" t="s">
        <v>482</v>
      </c>
      <c r="M1156" s="155"/>
      <c r="N1156" s="5" t="s">
        <v>297</v>
      </c>
      <c r="O1156" s="34" t="s">
        <v>298</v>
      </c>
      <c r="P1156" s="1084">
        <f>$Q$694</f>
        <v>60</v>
      </c>
      <c r="Q1156" s="1009" t="s">
        <v>299</v>
      </c>
      <c r="R1156" s="1084">
        <f>$Q$695</f>
        <v>80</v>
      </c>
      <c r="S1156" s="1009" t="s">
        <v>300</v>
      </c>
      <c r="T1156" s="1084">
        <f>$Q$696</f>
        <v>100</v>
      </c>
      <c r="U1156" s="1009" t="s">
        <v>301</v>
      </c>
      <c r="V1156" s="1084">
        <f>$Q$697</f>
        <v>120</v>
      </c>
      <c r="W1156" s="43"/>
      <c r="X1156" s="939" t="s">
        <v>482</v>
      </c>
      <c r="AC1156"/>
    </row>
    <row r="1157" spans="1:29" ht="11.25" customHeight="1" thickBot="1">
      <c r="A1157" s="857">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7" t="s">
        <v>482</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9" t="s">
        <v>482</v>
      </c>
      <c r="AC1157"/>
    </row>
    <row r="1158" spans="1:29" ht="11.25" customHeight="1">
      <c r="A1158" s="857">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7" t="s">
        <v>482</v>
      </c>
      <c r="M1158" s="155"/>
      <c r="N1158" s="494">
        <v>10</v>
      </c>
      <c r="O1158" s="908"/>
      <c r="P1158" s="909"/>
      <c r="Q1158" s="908"/>
      <c r="R1158" s="909"/>
      <c r="S1158" s="908"/>
      <c r="T1158" s="909"/>
      <c r="U1158" s="1287"/>
      <c r="V1158" s="1288"/>
      <c r="W1158" s="81"/>
      <c r="X1158" s="939" t="s">
        <v>482</v>
      </c>
      <c r="AC1158"/>
    </row>
    <row r="1159" spans="1:29" ht="11.25" customHeight="1">
      <c r="A1159" s="857">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7" t="s">
        <v>482</v>
      </c>
      <c r="M1159" s="52"/>
      <c r="N1159" s="494">
        <v>15</v>
      </c>
      <c r="O1159" s="908"/>
      <c r="P1159" s="909"/>
      <c r="Q1159" s="908"/>
      <c r="R1159" s="909"/>
      <c r="S1159" s="908"/>
      <c r="T1159" s="909"/>
      <c r="U1159" s="908"/>
      <c r="V1159" s="909"/>
      <c r="W1159" s="43"/>
      <c r="X1159" s="939" t="s">
        <v>482</v>
      </c>
      <c r="AC1159"/>
    </row>
    <row r="1160" spans="1:29" ht="11.25" customHeight="1">
      <c r="A1160" s="857">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7" t="s">
        <v>482</v>
      </c>
      <c r="M1160" s="52"/>
      <c r="N1160" s="494">
        <v>20</v>
      </c>
      <c r="O1160" s="908"/>
      <c r="P1160" s="909"/>
      <c r="Q1160" s="908"/>
      <c r="R1160" s="909"/>
      <c r="S1160" s="908"/>
      <c r="T1160" s="909"/>
      <c r="U1160" s="908"/>
      <c r="V1160" s="909"/>
      <c r="W1160" s="43"/>
      <c r="X1160" s="939" t="s">
        <v>482</v>
      </c>
      <c r="AC1160"/>
    </row>
    <row r="1161" spans="1:29" ht="11.25" customHeight="1" thickBot="1">
      <c r="A1161" s="857">
        <v>39</v>
      </c>
      <c r="B1161" s="155"/>
      <c r="C1161" s="63"/>
      <c r="D1161" s="63"/>
      <c r="E1161" s="63"/>
      <c r="F1161" s="63"/>
      <c r="G1161" s="63"/>
      <c r="H1161" s="63"/>
      <c r="I1161" s="63"/>
      <c r="J1161" s="63"/>
      <c r="K1161" s="81"/>
      <c r="L1161" s="957" t="s">
        <v>482</v>
      </c>
      <c r="M1161" s="52"/>
      <c r="N1161" s="494">
        <v>25</v>
      </c>
      <c r="O1161" s="1287"/>
      <c r="P1161" s="1288"/>
      <c r="Q1161" s="908"/>
      <c r="R1161" s="909"/>
      <c r="S1161" s="908"/>
      <c r="T1161" s="909"/>
      <c r="U1161" s="908"/>
      <c r="V1161" s="909"/>
      <c r="W1161" s="43"/>
      <c r="X1161" s="939" t="s">
        <v>482</v>
      </c>
      <c r="AC1161"/>
    </row>
    <row r="1162" spans="1:29" ht="11.25" customHeight="1" thickBot="1">
      <c r="A1162" s="857">
        <v>40</v>
      </c>
      <c r="B1162" s="373" t="s">
        <v>303</v>
      </c>
      <c r="C1162" s="1199" t="str">
        <f t="shared" ref="C1162:J1162" si="178">IF(O1163="","",O1163)</f>
        <v>@60 kVp:</v>
      </c>
      <c r="D1162" s="1492" t="str">
        <f t="shared" si="178"/>
        <v/>
      </c>
      <c r="E1162" s="1199" t="str">
        <f t="shared" si="178"/>
        <v>@80 kVp:</v>
      </c>
      <c r="F1162" s="1492" t="str">
        <f t="shared" si="178"/>
        <v/>
      </c>
      <c r="G1162" s="1199" t="str">
        <f t="shared" si="178"/>
        <v>@100 kVp:</v>
      </c>
      <c r="H1162" s="1492" t="str">
        <f t="shared" si="178"/>
        <v/>
      </c>
      <c r="I1162" s="1199" t="str">
        <f t="shared" si="178"/>
        <v>@120 kVp:</v>
      </c>
      <c r="J1162" s="1493" t="str">
        <f t="shared" si="178"/>
        <v/>
      </c>
      <c r="K1162" s="81"/>
      <c r="L1162" s="957" t="s">
        <v>482</v>
      </c>
      <c r="M1162" s="52"/>
      <c r="N1162" s="3"/>
      <c r="O1162" s="3"/>
      <c r="P1162" s="3"/>
      <c r="Q1162" s="3"/>
      <c r="R1162" s="3"/>
      <c r="S1162" s="3"/>
      <c r="T1162" s="3"/>
      <c r="U1162" s="3"/>
      <c r="V1162" s="3"/>
      <c r="W1162" s="43"/>
      <c r="X1162" s="939" t="s">
        <v>482</v>
      </c>
      <c r="AC1162"/>
    </row>
    <row r="1163" spans="1:29" ht="11.25" customHeight="1" thickBot="1">
      <c r="A1163" s="857">
        <v>41</v>
      </c>
      <c r="B1163" s="373" t="s">
        <v>646</v>
      </c>
      <c r="C1163" s="1735" t="str">
        <f>IF(O1164="","",O1164)</f>
        <v>NA</v>
      </c>
      <c r="D1163" s="1775"/>
      <c r="E1163" s="1735" t="str">
        <f>IF(Q1164="","",Q1164)</f>
        <v>NA</v>
      </c>
      <c r="F1163" s="1775"/>
      <c r="G1163" s="1735" t="str">
        <f>IF(S1164="","",S1164)</f>
        <v>NA</v>
      </c>
      <c r="H1163" s="1775"/>
      <c r="I1163" s="1735" t="str">
        <f>IF(U1164="","",U1164)</f>
        <v>NA</v>
      </c>
      <c r="J1163" s="1736"/>
      <c r="K1163" s="81"/>
      <c r="L1163" s="957" t="s">
        <v>482</v>
      </c>
      <c r="M1163" s="841" t="s">
        <v>308</v>
      </c>
      <c r="N1163" s="552" t="s">
        <v>303</v>
      </c>
      <c r="O1163" s="49" t="str">
        <f>"@"&amp;P1156&amp;" kVp:"</f>
        <v>@60 kVp:</v>
      </c>
      <c r="P1163" s="1407" t="str">
        <f>IF(MIN(O1158:O1161)=0,"",IF(O1157="Film O.D.",ROUND(O1176,2)&amp;" O.D.",IF(O1157="lgM",ROUND(O1176,2)&amp;" lgM",ROUND(O1176/AVERAGE(O1158:O1161),2))))</f>
        <v/>
      </c>
      <c r="Q1163" s="36" t="str">
        <f>"@"&amp;R1156&amp;" kVp:"</f>
        <v>@80 kVp:</v>
      </c>
      <c r="R1163" s="1407" t="str">
        <f>IF(MIN(Q1158:Q1161)=0,"",IF(Q1157="Film O.D.",ROUND(Q1176,2)&amp;" O.D.",IF(Q1157="lgM",ROUND(Q1176,2)&amp;" lgM",ROUND(Q1176/AVERAGE(Q1158:Q1161),2))))</f>
        <v/>
      </c>
      <c r="S1163" s="36" t="str">
        <f>"@"&amp;T1156&amp;" kVp:"</f>
        <v>@100 kVp:</v>
      </c>
      <c r="T1163" s="1407" t="str">
        <f>IF(MIN(S1158:S1161)=0,"",IF(S1157="Film O.D.",ROUND(S1176,2)&amp;" O.D.",IF(S1157="lgM",ROUND(S1176,2)&amp;" lgM",ROUND(S1176/AVERAGE(S1158:S1161),2))))</f>
        <v/>
      </c>
      <c r="U1163" s="36" t="str">
        <f>"@"&amp;V1156&amp;" kVp:"</f>
        <v>@120 kVp:</v>
      </c>
      <c r="V1163" s="1409" t="str">
        <f>IF(MIN(U1158:U1161)=0,"",IF(U1157="Film O.D.",ROUND(U1176,2)&amp;" O.D.",IF(U1157="lgM",ROUND(U1176,2)&amp;" lgM",ROUND(U1176/AVERAGE(U1158:U1161),2))))</f>
        <v/>
      </c>
      <c r="W1163" s="81"/>
      <c r="X1163" s="939" t="s">
        <v>482</v>
      </c>
      <c r="AC1163"/>
    </row>
    <row r="1164" spans="1:29" ht="11.25" customHeight="1" thickBot="1">
      <c r="A1164" s="857">
        <v>42</v>
      </c>
      <c r="B1164" s="270" t="s">
        <v>305</v>
      </c>
      <c r="C1164" s="1199" t="str">
        <f t="shared" ref="C1164" si="179">IF(O1165="","",O1165)</f>
        <v>@ 10 cm.:</v>
      </c>
      <c r="D1164" s="1492" t="str">
        <f t="shared" ref="D1164" si="180">IF(P1165="","",P1165)</f>
        <v/>
      </c>
      <c r="E1164" s="1199" t="str">
        <f t="shared" ref="E1164" si="181">IF(Q1165="","",Q1165)</f>
        <v>@ 15 cm.:</v>
      </c>
      <c r="F1164" s="1492" t="str">
        <f t="shared" ref="F1164" si="182">IF(R1165="","",R1165)</f>
        <v/>
      </c>
      <c r="G1164" s="1199" t="str">
        <f t="shared" ref="G1164" si="183">IF(S1165="","",S1165)</f>
        <v>@ 20 cm.:</v>
      </c>
      <c r="H1164" s="1492" t="str">
        <f t="shared" ref="H1164" si="184">IF(T1165="","",T1165)</f>
        <v/>
      </c>
      <c r="I1164" s="1199" t="str">
        <f t="shared" ref="I1164" si="185">IF(U1165="","",U1165)</f>
        <v>@ 25 cm.:</v>
      </c>
      <c r="J1164" s="1492" t="str">
        <f t="shared" ref="J1164" si="186">IF(V1165="","",V1165)</f>
        <v/>
      </c>
      <c r="K1164" s="81"/>
      <c r="L1164" s="957" t="s">
        <v>482</v>
      </c>
      <c r="M1164" s="155"/>
      <c r="N1164" s="1072" t="s">
        <v>646</v>
      </c>
      <c r="O1164" s="1737" t="str">
        <f>IF(P1163="","NA",IF(OR(AND(O1158=0,O1159=0),AND(O1159="",O1160=""),AND(O1158="",O1160="")),"",IF(O1157="Film O.D.",IF(O1176&gt;0.3,"NO","YES"),IF(O1157="lgM",IF(O1176&gt;0.2,"NO","YES"),IF(P1163&lt;=0.3,"YES","NO")))))</f>
        <v>NA</v>
      </c>
      <c r="P1164" s="1738"/>
      <c r="Q1164" s="1750" t="str">
        <f>IF(R1163="","NA",IF(OR(AND(Q1158=0,Q1159=0),AND(Q1159="",Q1160=""),AND(Q1158="",Q1160="")),"",IF(Q1157="Film O.D.",IF(Q1176&gt;0.3,"NO","YES"),IF(Q1157="lgM",IF(Q1176&gt;0.2,"NO","YES"),IF(R1163&lt;=0.3,"YES","NO")))))</f>
        <v>NA</v>
      </c>
      <c r="R1164" s="1738"/>
      <c r="S1164" s="1750" t="str">
        <f>IF(T1163="","NA",IF(OR(AND(S1158=0,S1159=0),AND(S1159="",S1160=""),AND(S1158="",S1160="")),"",IF(S1157="Film O.D.",IF(S1176&gt;0.3,"NO","YES"),IF(S1157="lgM",IF(S1176&gt;0.2,"NO","YES"),IF(T1163&lt;=0.3,"YES","NO")))))</f>
        <v>NA</v>
      </c>
      <c r="T1164" s="1738"/>
      <c r="U1164" s="1750" t="str">
        <f>IF(V1163="","NA",IF(OR(AND(U1158=0,U1159=0),AND(U1159="",U1160=""),AND(U1158="",U1160="")),"",IF(U1157="Film O.D.",IF(U1176&gt;0.3,"NO","YES"),IF(U1157="lgM",IF(U1176&gt;0.2,"NO","YES"),IF(V1163&lt;=0.3,"YES","NO")))))</f>
        <v>NA</v>
      </c>
      <c r="V1164" s="1738"/>
      <c r="W1164" s="43"/>
      <c r="X1164" s="939" t="s">
        <v>482</v>
      </c>
      <c r="AC1164"/>
    </row>
    <row r="1165" spans="1:29" ht="11.25" customHeight="1" thickBot="1">
      <c r="A1165" s="857">
        <v>43</v>
      </c>
      <c r="B1165" s="373" t="s">
        <v>646</v>
      </c>
      <c r="C1165" s="1735" t="str">
        <f>IF(O1166="","",O1166)</f>
        <v>NA</v>
      </c>
      <c r="D1165" s="1775"/>
      <c r="E1165" s="1735" t="str">
        <f>IF(Q1166="","",Q1166)</f>
        <v>NA</v>
      </c>
      <c r="F1165" s="1775"/>
      <c r="G1165" s="1735" t="str">
        <f>IF(S1166="","",S1166)</f>
        <v>NA</v>
      </c>
      <c r="H1165" s="1775"/>
      <c r="I1165" s="1735" t="str">
        <f>IF(U1166="","",U1166)</f>
        <v>NA</v>
      </c>
      <c r="J1165" s="1736"/>
      <c r="K1165" s="81"/>
      <c r="L1165" s="957" t="s">
        <v>482</v>
      </c>
      <c r="M1165" s="155"/>
      <c r="N1165" s="553" t="s">
        <v>305</v>
      </c>
      <c r="O1165" s="47" t="str">
        <f>"@ "&amp;N1158&amp;" cm.:"</f>
        <v>@ 10 cm.:</v>
      </c>
      <c r="P1165" s="1408" t="str">
        <f>IF(MIN($O1158,$Q1158,$S1158,$U1158)=0,"",IF(O1157="Film O.D.",ROUND(O1177,2)&amp;" O.D.",IF(O1157="lgM",ROUND(O1177,2)&amp;" lgM",ROUND(O1177/AVERAGE($O1158,$Q1158,$S1158,$U1158),2))))</f>
        <v/>
      </c>
      <c r="Q1165" s="46" t="str">
        <f>"@ "&amp;N1159&amp;" cm.:"</f>
        <v>@ 15 cm.:</v>
      </c>
      <c r="R1165" s="1408" t="str">
        <f>IF(MIN($O1159,$Q1159,$S1159,$U1159)=0,"",IF(Q1157="Film O.D.",ROUND(Q1177,2)&amp;" O.D.",IF(Q1157="lgM",ROUND(Q1177,2)&amp;" lgM",ROUND(Q1177/AVERAGE($O1159,$Q1159,$S1159,$U1159),2))))</f>
        <v/>
      </c>
      <c r="S1165" s="46" t="str">
        <f>"@ "&amp;N1160&amp;" cm.:"</f>
        <v>@ 20 cm.:</v>
      </c>
      <c r="T1165" s="1408" t="str">
        <f>IF(MIN($O1160,$Q1160,$S1160,$U1160)=0,"",IF(S1157="Film O.D.",ROUND(S1177,2)&amp;" O.D.",IF(S1157="lgM",ROUND(S1177,2)&amp;" lgM",ROUND(S1177/AVERAGE($O1160,$Q1160,$S1160,$U1160),2))))</f>
        <v/>
      </c>
      <c r="U1165" s="46" t="str">
        <f>"@ "&amp;N1161&amp;" cm.:"</f>
        <v>@ 25 cm.:</v>
      </c>
      <c r="V1165" s="1408" t="str">
        <f>IF(MIN($O1161,$Q1161,$S1161,$U1161)=0,"",IF(U1157="Film O.D.",ROUND(U1177,2)&amp;" O.D.",IF(U1157="lgM",ROUND(U1177,2)&amp;" lgM",ROUND(U1177/AVERAGE($O1161,$Q1161,$S1161,$U1161),2))))</f>
        <v/>
      </c>
      <c r="W1165" s="81"/>
      <c r="X1165" s="939" t="s">
        <v>482</v>
      </c>
      <c r="AC1165"/>
    </row>
    <row r="1166" spans="1:29" ht="11.25" customHeight="1" thickBot="1">
      <c r="A1166" s="857">
        <v>44</v>
      </c>
      <c r="B1166" s="155"/>
      <c r="C1166" s="63"/>
      <c r="D1166" s="63"/>
      <c r="E1166" s="176"/>
      <c r="F1166" s="177" t="s">
        <v>306</v>
      </c>
      <c r="G1166" s="1494" t="str">
        <f>IF(S1167="","",S1167)</f>
        <v/>
      </c>
      <c r="H1166" s="174" t="s">
        <v>646</v>
      </c>
      <c r="I1166" s="175" t="str">
        <f>IF(U1167="","",U1167)</f>
        <v>NA</v>
      </c>
      <c r="J1166" s="63"/>
      <c r="K1166" s="81"/>
      <c r="L1166" s="957" t="s">
        <v>482</v>
      </c>
      <c r="M1166" s="155"/>
      <c r="N1166" s="1072" t="s">
        <v>646</v>
      </c>
      <c r="O1166" s="1737" t="str">
        <f>IF(P1165="","NA",IF(OR(AND(O1158=0,Q1158=0),AND(Q1158="",S1158=""),AND(O1158="",S1158="")),"",IF(O1157="Film O.D.",IF(O1177&gt;0.3,"NO","YES"),IF(O1157="lgM",IF(O1177&gt;0.2,"NO","YES"),IF(P1165&lt;=0.3,"YES","NO")))))</f>
        <v>NA</v>
      </c>
      <c r="P1166" s="1738"/>
      <c r="Q1166" s="1750" t="str">
        <f>IF(R1165="","NA",IF(OR(AND(O1159=0,Q1159=0),AND(Q1159="",S1159=""),AND(O1159="",S1159="")),"",IF(Q1157="Film O.D.",IF(Q1177&gt;0.3,"NO","YES"),IF(Q1157="lgM",IF(Q1177&gt;0.2,"NO","YES"),IF(R1165&lt;=0.3,"YES","NO")))))</f>
        <v>NA</v>
      </c>
      <c r="R1166" s="1738"/>
      <c r="S1166" s="1750" t="str">
        <f>IF(T1165="","NA",IF(OR(AND(O1160=0,Q1160=0),AND(Q1160="",S1160=""),AND(O1160="",S1160="")),"",IF(S1157="Film O.D.",IF(S1177&gt;0.3,"NO","YES"),IF(S1157="lgM",IF(S1177&gt;0.2,"NO","YES"),IF(T1165&lt;=0.3,"YES","NO")))))</f>
        <v>NA</v>
      </c>
      <c r="T1166" s="1738"/>
      <c r="U1166" s="1750" t="str">
        <f>IF(V1165="","NA",IF(OR(AND(Q1161=0,S1161=0),AND(S1161="",U1161=""),AND(Q1161="",U1161="")),"",IF(U1157="Film O.D.",IF(U1177&gt;0.3,"NO","YES"),IF(U1157="lgM",IF(U1177&gt;0.2,"NO","YES"),IF(V1165&lt;=0.3,"YES","NO")))))</f>
        <v>NA</v>
      </c>
      <c r="V1166" s="1738"/>
      <c r="W1166" s="81"/>
      <c r="X1166" s="939" t="s">
        <v>482</v>
      </c>
    </row>
    <row r="1167" spans="1:29" ht="11.25" customHeight="1" thickBot="1">
      <c r="A1167" s="857">
        <v>45</v>
      </c>
      <c r="B1167" s="155"/>
      <c r="C1167" s="162" t="s">
        <v>647</v>
      </c>
      <c r="D1167" s="238" t="str">
        <f>P1169</f>
        <v>Film-Max difference 0.3 O.D. for individual kV or thickness; 0.4 O.D. overall</v>
      </c>
      <c r="E1167" s="63"/>
      <c r="F1167" s="63"/>
      <c r="G1167" s="63"/>
      <c r="H1167" s="63"/>
      <c r="I1167" s="63"/>
      <c r="J1167" s="63"/>
      <c r="K1167" s="81"/>
      <c r="L1167" s="957" t="s">
        <v>482</v>
      </c>
      <c r="M1167" s="155"/>
      <c r="N1167" s="63"/>
      <c r="O1167" s="63"/>
      <c r="P1167" s="63"/>
      <c r="Q1167" s="176"/>
      <c r="R1167" s="177" t="s">
        <v>306</v>
      </c>
      <c r="S1167" s="1409" t="str">
        <f>IF(AND(P1163="",R1163="",T1163="",V1163="",P1165="",R1165="",T1165="",V1165=""),"",IF(Q1157="Film O.D.",ROUND(Q1178,2)&amp;" O.D.",IF(Q1157="lgM",ROUND(Q1178,2)&amp;" lgM",ROUND(Q1178/AVERAGE(O1158:O1161,Q1158:Q1161,S1158:S1161,U1158:U1161),2))))</f>
        <v/>
      </c>
      <c r="T1167" s="1040" t="s">
        <v>646</v>
      </c>
      <c r="U1167" s="1021" t="str">
        <f>IF(AND(O1164="NA",Q1164="NA",S1164="NA",U1164="NA",O1166="NA",Q1166="NA",S1166="NA",U1166="NA"),"NA",IF(Q1157="Film O.D.",IF(Q1178&gt;0.4,"NO","YES"),IF(Q1157="lgM",IF(Q1178&gt;0.2,"NO","YES"),IF(ROUND(Q1178/AVERAGE(O1158:O1160,Q1158:Q1161,S1158:S1161,U1159:U1161),2)&lt;=0.35,"YES","NO"))))</f>
        <v>NA</v>
      </c>
      <c r="V1167" s="63"/>
      <c r="W1167" s="81"/>
      <c r="X1167" s="939" t="s">
        <v>482</v>
      </c>
    </row>
    <row r="1168" spans="1:29" ht="11.25" customHeight="1">
      <c r="A1168" s="857">
        <v>46</v>
      </c>
      <c r="B1168" s="155"/>
      <c r="C1168" s="63"/>
      <c r="D1168" s="461" t="str">
        <f>P1170</f>
        <v>Exposure &amp; AEC Meter-</v>
      </c>
      <c r="E1168" s="63"/>
      <c r="F1168" s="63"/>
      <c r="G1168" s="63"/>
      <c r="H1168" s="63"/>
      <c r="I1168" s="63"/>
      <c r="J1168" s="63"/>
      <c r="K1168" s="81"/>
      <c r="L1168" s="957" t="s">
        <v>482</v>
      </c>
      <c r="M1168" s="155"/>
      <c r="N1168" s="63"/>
      <c r="P1168" s="4"/>
      <c r="Q1168" s="63"/>
      <c r="R1168" s="63"/>
      <c r="S1168" s="63"/>
      <c r="T1168" s="63"/>
      <c r="U1168" s="1197" t="str">
        <f>$V$1148</f>
        <v>NOTE: Density step 1 produced a TBD % change</v>
      </c>
      <c r="V1168" s="63"/>
      <c r="W1168" s="81"/>
      <c r="X1168" s="939" t="s">
        <v>482</v>
      </c>
    </row>
    <row r="1169" spans="1:24" ht="11.25" customHeight="1">
      <c r="A1169" s="857">
        <v>47</v>
      </c>
      <c r="B1169" s="120" t="s">
        <v>629</v>
      </c>
      <c r="C1169" s="1238"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7" t="s">
        <v>482</v>
      </c>
      <c r="M1169" s="155"/>
      <c r="N1169" s="63"/>
      <c r="O1169" s="162" t="s">
        <v>647</v>
      </c>
      <c r="P1169" s="238" t="s">
        <v>200</v>
      </c>
      <c r="Q1169" s="63"/>
      <c r="R1169" s="63"/>
      <c r="S1169" s="63"/>
      <c r="T1169" s="63"/>
      <c r="U1169" s="63"/>
      <c r="V1169" s="63"/>
      <c r="W1169" s="81"/>
      <c r="X1169" s="939" t="s">
        <v>482</v>
      </c>
    </row>
    <row r="1170" spans="1:24" ht="11.25" customHeight="1">
      <c r="A1170" s="857">
        <v>48</v>
      </c>
      <c r="B1170" s="52"/>
      <c r="C1170" s="1239" t="str">
        <f>IF(LEN(O1171)&lt;=135,"",IF(LEN(O1171)&lt;=260,RIGHT(O1171,LEN(O1171)-SEARCH(" ",O1171,125)),MID(O1171,SEARCH(" ",O1171,130),IF(LEN(O1171)&lt;=265,LEN(O1171),SEARCH(" ",O1171,255)-SEARCH(" ",O1171,130)))))</f>
        <v/>
      </c>
      <c r="D1170" s="2"/>
      <c r="E1170" s="2"/>
      <c r="F1170" s="2"/>
      <c r="G1170" s="2"/>
      <c r="H1170" s="2"/>
      <c r="I1170" s="2"/>
      <c r="J1170" s="2"/>
      <c r="K1170" s="81"/>
      <c r="L1170" s="957" t="s">
        <v>482</v>
      </c>
      <c r="M1170" s="155"/>
      <c r="N1170" s="63"/>
      <c r="O1170" s="63"/>
      <c r="P1170" s="455" t="s">
        <v>1130</v>
      </c>
      <c r="Q1170" s="1388" t="s">
        <v>352</v>
      </c>
      <c r="R1170" s="63"/>
      <c r="S1170" s="63"/>
      <c r="T1170" s="63"/>
      <c r="U1170" s="63"/>
      <c r="V1170" s="63"/>
      <c r="W1170" s="81"/>
      <c r="X1170" s="939" t="s">
        <v>482</v>
      </c>
    </row>
    <row r="1171" spans="1:24" ht="11.25" customHeight="1">
      <c r="A1171" s="857">
        <v>49</v>
      </c>
      <c r="B1171" s="52"/>
      <c r="C1171" s="1238" t="str">
        <f>IF(LEN(O1171)&lt;=265,"",RIGHT(O1171,LEN(O1171)-SEARCH(" ",O1171,255)))</f>
        <v/>
      </c>
      <c r="D1171" s="2"/>
      <c r="E1171" s="2"/>
      <c r="F1171" s="2"/>
      <c r="G1171" s="2"/>
      <c r="H1171" s="2"/>
      <c r="I1171" s="2"/>
      <c r="J1171" s="2"/>
      <c r="K1171" s="81"/>
      <c r="L1171" s="957" t="s">
        <v>482</v>
      </c>
      <c r="M1171" s="155"/>
      <c r="N1171" s="814" t="s">
        <v>629</v>
      </c>
      <c r="O1171" s="994" t="str">
        <f>IF(O1173&lt;&gt;"",O1173,IF(OR(AB451=0,AB451=""),"",AB451))</f>
        <v>Criteria: lgM - Max difference 0.2 lgM for individual kV or thickness; 0.2 lgM overall</v>
      </c>
      <c r="P1171" s="55"/>
      <c r="Q1171" s="2"/>
      <c r="R1171" s="2"/>
      <c r="S1171" s="2"/>
      <c r="T1171" s="2"/>
      <c r="U1171" s="2"/>
      <c r="V1171" s="2"/>
      <c r="W1171" s="35"/>
      <c r="X1171" s="939" t="s">
        <v>482</v>
      </c>
    </row>
    <row r="1172" spans="1:24" ht="11.25" customHeight="1">
      <c r="A1172" s="857">
        <v>50</v>
      </c>
      <c r="B1172" s="155"/>
      <c r="C1172" s="63"/>
      <c r="D1172" s="63"/>
      <c r="E1172" s="63"/>
      <c r="F1172" s="63"/>
      <c r="G1172" s="63"/>
      <c r="H1172" s="63"/>
      <c r="I1172" s="63"/>
      <c r="J1172" s="63"/>
      <c r="K1172" s="81"/>
      <c r="L1172" s="957" t="s">
        <v>482</v>
      </c>
      <c r="M1172" s="121"/>
      <c r="N1172" s="855" t="s">
        <v>347</v>
      </c>
      <c r="O1172" s="124"/>
      <c r="P1172" s="1237">
        <f>LEN(O1171)</f>
        <v>86</v>
      </c>
      <c r="Q1172" s="12"/>
      <c r="R1172" s="12"/>
      <c r="S1172" s="12"/>
      <c r="T1172" s="12"/>
      <c r="U1172" s="12"/>
      <c r="V1172" s="12"/>
      <c r="W1172" s="271"/>
      <c r="X1172" s="939" t="s">
        <v>482</v>
      </c>
    </row>
    <row r="1173" spans="1:24" ht="11.25" customHeight="1">
      <c r="A1173" s="857">
        <v>51</v>
      </c>
      <c r="B1173" s="52"/>
      <c r="C1173" s="3"/>
      <c r="D1173" s="3"/>
      <c r="E1173" s="3"/>
      <c r="F1173" s="3"/>
      <c r="G1173" s="3"/>
      <c r="H1173" s="3"/>
      <c r="I1173" s="3"/>
      <c r="J1173" s="3"/>
      <c r="K1173" s="81"/>
      <c r="L1173" s="957" t="s">
        <v>482</v>
      </c>
      <c r="M1173" s="146"/>
      <c r="N1173" s="1378" t="s">
        <v>696</v>
      </c>
      <c r="O1173" s="1380" t="s">
        <v>1187</v>
      </c>
      <c r="P1173" s="124"/>
      <c r="Q1173" s="2"/>
      <c r="R1173" s="2"/>
      <c r="S1173" s="2"/>
      <c r="T1173" s="2"/>
      <c r="U1173" s="2"/>
      <c r="V1173" s="2"/>
      <c r="W1173" s="35"/>
      <c r="X1173" s="939" t="s">
        <v>482</v>
      </c>
    </row>
    <row r="1174" spans="1:24" ht="11.25" customHeight="1" thickBot="1">
      <c r="A1174" s="857">
        <v>52</v>
      </c>
      <c r="B1174" s="52"/>
      <c r="C1174" s="3"/>
      <c r="D1174" s="3"/>
      <c r="E1174" s="3"/>
      <c r="F1174" s="3"/>
      <c r="G1174" s="3"/>
      <c r="H1174" s="3"/>
      <c r="I1174" s="3"/>
      <c r="J1174" s="3"/>
      <c r="K1174" s="81"/>
      <c r="L1174" s="957" t="s">
        <v>482</v>
      </c>
      <c r="M1174" s="52"/>
      <c r="N1174" s="3"/>
      <c r="O1174" s="3"/>
      <c r="P1174" s="3"/>
      <c r="Q1174" s="3"/>
      <c r="R1174" s="3"/>
      <c r="S1174" s="3"/>
      <c r="T1174" s="3"/>
      <c r="U1174" s="3"/>
      <c r="V1174" s="3"/>
      <c r="W1174" s="43"/>
      <c r="X1174" s="939" t="s">
        <v>482</v>
      </c>
    </row>
    <row r="1175" spans="1:24" ht="11.25" customHeight="1">
      <c r="A1175" s="857">
        <v>53</v>
      </c>
      <c r="B1175" s="52"/>
      <c r="C1175" s="3"/>
      <c r="D1175" s="3"/>
      <c r="E1175" s="3"/>
      <c r="F1175" s="3"/>
      <c r="G1175" s="3"/>
      <c r="H1175" s="3"/>
      <c r="I1175" s="3"/>
      <c r="J1175" s="3"/>
      <c r="K1175" s="81"/>
      <c r="L1175" s="957" t="s">
        <v>482</v>
      </c>
      <c r="M1175" s="52"/>
      <c r="N1175" s="1273" t="s">
        <v>40</v>
      </c>
      <c r="O1175" s="1274"/>
      <c r="P1175" s="1274"/>
      <c r="Q1175" s="1274"/>
      <c r="R1175" s="1274"/>
      <c r="S1175" s="1274"/>
      <c r="T1175" s="1274"/>
      <c r="U1175" s="1275"/>
      <c r="V1175" s="3"/>
      <c r="W1175" s="43"/>
      <c r="X1175" s="939" t="s">
        <v>482</v>
      </c>
    </row>
    <row r="1176" spans="1:24" ht="11.25" customHeight="1">
      <c r="A1176" s="857">
        <v>54</v>
      </c>
      <c r="B1176" s="52"/>
      <c r="C1176" s="3"/>
      <c r="D1176" s="3"/>
      <c r="E1176" s="3"/>
      <c r="F1176" s="3"/>
      <c r="G1176" s="3"/>
      <c r="H1176" s="3"/>
      <c r="I1176" s="3"/>
      <c r="J1176" s="3"/>
      <c r="K1176" s="81"/>
      <c r="L1176" s="957" t="s">
        <v>482</v>
      </c>
      <c r="M1176" s="52"/>
      <c r="N1176" s="1276">
        <f>P1156</f>
        <v>60</v>
      </c>
      <c r="O1176" s="1398">
        <f>MAX(O1158:O1161)-MIN(O1158:O1161)</f>
        <v>0</v>
      </c>
      <c r="P1176" s="1277">
        <f>R1156</f>
        <v>80</v>
      </c>
      <c r="Q1176" s="1398">
        <f>MAX(Q1158:Q1161)-MIN(Q1158:Q1161)</f>
        <v>0</v>
      </c>
      <c r="R1176" s="1277">
        <f>T1156</f>
        <v>100</v>
      </c>
      <c r="S1176" s="1398">
        <f>MAX(S1158:S1161)-MIN(S1158:S1161)</f>
        <v>0</v>
      </c>
      <c r="T1176" s="1277">
        <f>V1156</f>
        <v>120</v>
      </c>
      <c r="U1176" s="1401">
        <f>MAX(U1158:U1161)-MIN(U1158:U1161)</f>
        <v>0</v>
      </c>
      <c r="V1176" s="3"/>
      <c r="W1176" s="43"/>
      <c r="X1176" s="939" t="s">
        <v>482</v>
      </c>
    </row>
    <row r="1177" spans="1:24" ht="11.25" customHeight="1">
      <c r="A1177" s="857">
        <v>55</v>
      </c>
      <c r="B1177" s="52"/>
      <c r="C1177" s="3"/>
      <c r="D1177" s="3"/>
      <c r="E1177" s="3"/>
      <c r="F1177" s="3"/>
      <c r="G1177" s="3"/>
      <c r="H1177" s="3"/>
      <c r="I1177" s="3"/>
      <c r="J1177" s="3"/>
      <c r="K1177" s="81"/>
      <c r="L1177" s="957" t="s">
        <v>482</v>
      </c>
      <c r="M1177" s="52"/>
      <c r="N1177" s="1394">
        <f>N1158</f>
        <v>10</v>
      </c>
      <c r="O1177" s="1399">
        <f>MAX(O1158,Q1158,S1158,U1158)-MIN(O1158,Q1158,S1158,U1158)</f>
        <v>0</v>
      </c>
      <c r="P1177" s="1395">
        <f>N1159</f>
        <v>15</v>
      </c>
      <c r="Q1177" s="1399">
        <f>MAX(O1159,Q1159,S1159,U1159)-MIN(O1159,Q1159,S1159,U1159)</f>
        <v>0</v>
      </c>
      <c r="R1177" s="1395">
        <f>N1160</f>
        <v>20</v>
      </c>
      <c r="S1177" s="1399">
        <f>MAX(O1160,Q1160,S1160,U1160)-MIN(O1160,Q1160,S1160,U1160)</f>
        <v>0</v>
      </c>
      <c r="T1177" s="1395">
        <f>N1161</f>
        <v>25</v>
      </c>
      <c r="U1177" s="1401">
        <f>MAX(O1161,Q1161,S1161,U1161)-MIN(O1161,Q1161,S1161,U1161)</f>
        <v>0</v>
      </c>
      <c r="V1177" s="3"/>
      <c r="W1177" s="43"/>
      <c r="X1177" s="939" t="s">
        <v>482</v>
      </c>
    </row>
    <row r="1178" spans="1:24" ht="11.25" customHeight="1" thickBot="1">
      <c r="A1178" s="857">
        <v>56</v>
      </c>
      <c r="B1178" s="52"/>
      <c r="C1178" s="3"/>
      <c r="D1178" s="3"/>
      <c r="E1178" s="3"/>
      <c r="F1178" s="3"/>
      <c r="G1178" s="3"/>
      <c r="H1178" s="3"/>
      <c r="I1178" s="3"/>
      <c r="J1178" s="3"/>
      <c r="K1178" s="81"/>
      <c r="L1178" s="957" t="s">
        <v>482</v>
      </c>
      <c r="M1178" s="52"/>
      <c r="N1178" s="391"/>
      <c r="O1178" s="6"/>
      <c r="P1178" s="1278" t="s">
        <v>201</v>
      </c>
      <c r="Q1178" s="1400">
        <f>MAX(O1158:O1161,Q1158:Q1161,S1158:S1161,U1158:U1161)-MIN(O1158:O1161,Q1158:Q1161,S1158:S1161,U1158:U1161)</f>
        <v>0</v>
      </c>
      <c r="R1178" s="6"/>
      <c r="S1178" s="6"/>
      <c r="T1178" s="6"/>
      <c r="U1178" s="1203"/>
      <c r="V1178" s="3"/>
      <c r="W1178" s="43"/>
      <c r="X1178" s="939" t="s">
        <v>482</v>
      </c>
    </row>
    <row r="1179" spans="1:24" ht="11.25" customHeight="1">
      <c r="A1179" s="857">
        <v>57</v>
      </c>
      <c r="B1179" s="155"/>
      <c r="C1179" s="63"/>
      <c r="D1179" s="63"/>
      <c r="E1179" s="63"/>
      <c r="F1179" s="63"/>
      <c r="G1179" s="63"/>
      <c r="H1179" s="63"/>
      <c r="I1179" s="63"/>
      <c r="J1179" s="63"/>
      <c r="K1179" s="81"/>
      <c r="L1179" s="957" t="s">
        <v>482</v>
      </c>
      <c r="M1179" s="155"/>
      <c r="N1179" s="63"/>
      <c r="O1179" s="63"/>
      <c r="P1179" s="63"/>
      <c r="Q1179" s="63"/>
      <c r="R1179" s="63"/>
      <c r="S1179" s="63"/>
      <c r="T1179" s="63"/>
      <c r="U1179" s="63"/>
      <c r="V1179" s="63"/>
      <c r="W1179" s="81"/>
      <c r="X1179" s="939" t="s">
        <v>482</v>
      </c>
    </row>
    <row r="1180" spans="1:24" ht="11.25" customHeight="1">
      <c r="A1180" s="857">
        <v>58</v>
      </c>
      <c r="B1180" s="155"/>
      <c r="C1180" s="63"/>
      <c r="D1180" s="63"/>
      <c r="E1180" s="63"/>
      <c r="F1180" s="63"/>
      <c r="G1180" s="63"/>
      <c r="H1180" s="63"/>
      <c r="I1180" s="63"/>
      <c r="J1180" s="63"/>
      <c r="K1180" s="81"/>
      <c r="L1180" s="957" t="s">
        <v>482</v>
      </c>
      <c r="M1180" s="155"/>
      <c r="N1180" s="63"/>
      <c r="O1180" s="63"/>
      <c r="P1180" s="63"/>
      <c r="Q1180" s="63"/>
      <c r="R1180" s="63"/>
      <c r="S1180" s="63"/>
      <c r="T1180" s="63"/>
      <c r="U1180" s="63"/>
      <c r="V1180" s="63"/>
      <c r="W1180" s="81"/>
      <c r="X1180" s="939" t="s">
        <v>482</v>
      </c>
    </row>
    <row r="1181" spans="1:24" ht="11.25" customHeight="1">
      <c r="A1181" s="857">
        <v>59</v>
      </c>
      <c r="B1181" s="155"/>
      <c r="C1181" s="63"/>
      <c r="D1181" s="63"/>
      <c r="E1181" s="63"/>
      <c r="F1181" s="63"/>
      <c r="G1181" s="63"/>
      <c r="H1181" s="63"/>
      <c r="I1181" s="63"/>
      <c r="J1181" s="63"/>
      <c r="K1181" s="81"/>
      <c r="L1181" s="957" t="s">
        <v>482</v>
      </c>
      <c r="M1181" s="155"/>
      <c r="N1181" s="63"/>
      <c r="O1181" s="63"/>
      <c r="P1181" s="63"/>
      <c r="Q1181" s="63"/>
      <c r="R1181" s="63"/>
      <c r="S1181" s="63"/>
      <c r="T1181" s="63"/>
      <c r="U1181" s="63"/>
      <c r="V1181" s="63"/>
      <c r="W1181" s="81"/>
      <c r="X1181" s="939" t="s">
        <v>482</v>
      </c>
    </row>
    <row r="1182" spans="1:24" ht="11.25" customHeight="1">
      <c r="A1182" s="857">
        <v>60</v>
      </c>
      <c r="B1182" s="155"/>
      <c r="C1182" s="63"/>
      <c r="D1182" s="63"/>
      <c r="E1182" s="63"/>
      <c r="F1182" s="63"/>
      <c r="G1182" s="63"/>
      <c r="H1182" s="63"/>
      <c r="I1182" s="63"/>
      <c r="J1182" s="63"/>
      <c r="K1182" s="81"/>
      <c r="L1182" s="957" t="s">
        <v>482</v>
      </c>
      <c r="M1182" s="155"/>
      <c r="N1182" s="63"/>
      <c r="O1182" s="63"/>
      <c r="P1182" s="63"/>
      <c r="Q1182" s="63"/>
      <c r="R1182" s="63"/>
      <c r="S1182" s="63"/>
      <c r="T1182" s="63"/>
      <c r="U1182" s="63"/>
      <c r="V1182" s="63"/>
      <c r="W1182" s="81"/>
      <c r="X1182" s="939" t="s">
        <v>482</v>
      </c>
    </row>
    <row r="1183" spans="1:24" ht="11.25" customHeight="1">
      <c r="A1183" s="857">
        <v>61</v>
      </c>
      <c r="B1183" s="155"/>
      <c r="C1183" s="63"/>
      <c r="D1183" s="63"/>
      <c r="E1183" s="63"/>
      <c r="F1183" s="63"/>
      <c r="G1183" s="63"/>
      <c r="H1183" s="63"/>
      <c r="I1183" s="63"/>
      <c r="J1183" s="63"/>
      <c r="K1183" s="81"/>
      <c r="L1183" s="957" t="s">
        <v>482</v>
      </c>
      <c r="M1183" s="155"/>
      <c r="N1183" s="63"/>
      <c r="O1183" s="63"/>
      <c r="P1183" s="1389"/>
      <c r="Q1183" s="63"/>
      <c r="R1183" s="63"/>
      <c r="S1183" s="63"/>
      <c r="T1183" s="63"/>
      <c r="U1183" s="63"/>
      <c r="V1183" s="63"/>
      <c r="W1183" s="81"/>
      <c r="X1183" s="939" t="s">
        <v>482</v>
      </c>
    </row>
    <row r="1184" spans="1:24" ht="11.25" customHeight="1">
      <c r="A1184" s="857">
        <v>62</v>
      </c>
      <c r="B1184" s="155"/>
      <c r="C1184" s="63"/>
      <c r="D1184" s="63"/>
      <c r="E1184" s="63"/>
      <c r="F1184" s="63"/>
      <c r="G1184" s="63"/>
      <c r="H1184" s="63"/>
      <c r="I1184" s="63"/>
      <c r="J1184" s="63"/>
      <c r="K1184" s="81"/>
      <c r="L1184" s="957" t="s">
        <v>482</v>
      </c>
      <c r="M1184" s="155"/>
      <c r="N1184" s="63"/>
      <c r="O1184" s="63"/>
      <c r="P1184" s="63"/>
      <c r="Q1184" s="63"/>
      <c r="R1184" s="63"/>
      <c r="S1184" s="63"/>
      <c r="T1184" s="63"/>
      <c r="U1184" s="63"/>
      <c r="V1184" s="63"/>
      <c r="W1184" s="81"/>
      <c r="X1184" s="939" t="s">
        <v>482</v>
      </c>
    </row>
    <row r="1185" spans="1:27" ht="11.25" customHeight="1">
      <c r="A1185" s="857">
        <v>63</v>
      </c>
      <c r="B1185" s="155"/>
      <c r="C1185" s="63"/>
      <c r="D1185" s="63"/>
      <c r="E1185" s="63"/>
      <c r="F1185" s="63"/>
      <c r="G1185" s="63"/>
      <c r="H1185" s="63"/>
      <c r="I1185" s="63"/>
      <c r="J1185" s="63"/>
      <c r="K1185" s="81"/>
      <c r="L1185" s="957" t="s">
        <v>482</v>
      </c>
      <c r="M1185" s="155"/>
      <c r="N1185" s="63"/>
      <c r="O1185" s="63"/>
      <c r="P1185" s="63"/>
      <c r="Q1185" s="63"/>
      <c r="R1185" s="63"/>
      <c r="S1185" s="63"/>
      <c r="T1185" s="63"/>
      <c r="U1185" s="63"/>
      <c r="V1185" s="63"/>
      <c r="W1185" s="81"/>
      <c r="X1185" s="939" t="s">
        <v>482</v>
      </c>
    </row>
    <row r="1186" spans="1:27" ht="11.25" customHeight="1" thickBot="1">
      <c r="A1186" s="857">
        <v>64</v>
      </c>
      <c r="B1186" s="112"/>
      <c r="C1186" s="94"/>
      <c r="D1186" s="94"/>
      <c r="E1186" s="94"/>
      <c r="F1186" s="94"/>
      <c r="G1186" s="94"/>
      <c r="H1186" s="94"/>
      <c r="I1186" s="94"/>
      <c r="J1186" s="94"/>
      <c r="K1186" s="99"/>
      <c r="L1186" s="957" t="s">
        <v>482</v>
      </c>
      <c r="M1186" s="112"/>
      <c r="N1186" s="94"/>
      <c r="O1186" s="94"/>
      <c r="P1186" s="94"/>
      <c r="Q1186" s="94"/>
      <c r="R1186" s="94"/>
      <c r="S1186" s="94"/>
      <c r="T1186" s="94"/>
      <c r="U1186" s="94"/>
      <c r="V1186" s="94"/>
      <c r="W1186" s="99"/>
      <c r="X1186" s="939" t="s">
        <v>482</v>
      </c>
    </row>
    <row r="1187" spans="1:27" ht="11.25" customHeight="1" thickTop="1">
      <c r="A1187" s="857">
        <v>65</v>
      </c>
      <c r="B1187" s="60" t="str">
        <f t="array" ref="B1187:C1188">$B$65:$C$66</f>
        <v>Date:</v>
      </c>
      <c r="C1187" s="1664" t="str">
        <v/>
      </c>
      <c r="D1187" s="136"/>
      <c r="E1187" s="59"/>
      <c r="F1187" s="59"/>
      <c r="G1187" s="59"/>
      <c r="H1187" s="59"/>
      <c r="I1187" s="60" t="str">
        <f t="array" ref="I1187:J1188">$I$65:$J$66</f>
        <v>Inspector:</v>
      </c>
      <c r="J1187" s="554" t="str">
        <v>Eugene Mah</v>
      </c>
      <c r="L1187" s="957" t="s">
        <v>482</v>
      </c>
      <c r="X1187" s="939" t="s">
        <v>482</v>
      </c>
    </row>
    <row r="1188" spans="1:27" ht="11.25" customHeight="1">
      <c r="A1188" s="857">
        <v>66</v>
      </c>
      <c r="B1188" s="60" t="str">
        <v>Room Number:</v>
      </c>
      <c r="C1188" s="499" t="str">
        <v/>
      </c>
      <c r="D1188" s="63"/>
      <c r="E1188" s="59"/>
      <c r="F1188" s="59"/>
      <c r="G1188" s="59"/>
      <c r="H1188" s="59"/>
      <c r="I1188" s="60" t="str">
        <v>Survey ID:</v>
      </c>
      <c r="J1188" s="1404" t="str">
        <v/>
      </c>
      <c r="L1188" s="957" t="s">
        <v>482</v>
      </c>
      <c r="X1188" s="939" t="s">
        <v>482</v>
      </c>
    </row>
    <row r="1189" spans="1:27" ht="11.25" customHeight="1">
      <c r="A1189" s="857">
        <v>1</v>
      </c>
      <c r="B1189" s="1"/>
      <c r="C1189" s="1"/>
      <c r="D1189" s="1"/>
      <c r="E1189" s="1"/>
      <c r="H1189" s="1"/>
      <c r="I1189" s="1"/>
      <c r="J1189" s="1"/>
      <c r="K1189" s="161" t="str">
        <f>$F$2</f>
        <v>Medical University of South Carolina</v>
      </c>
      <c r="L1189" s="957" t="s">
        <v>482</v>
      </c>
      <c r="M1189" s="1"/>
      <c r="N1189" s="1"/>
      <c r="O1189" s="1"/>
      <c r="P1189" s="1"/>
      <c r="Q1189" s="1"/>
      <c r="S1189" s="1"/>
      <c r="T1189" s="1"/>
      <c r="U1189" s="1"/>
      <c r="V1189" s="1"/>
      <c r="W1189" s="161" t="str">
        <f>$F$2</f>
        <v>Medical University of South Carolina</v>
      </c>
      <c r="X1189" s="939" t="s">
        <v>482</v>
      </c>
    </row>
    <row r="1190" spans="1:27" ht="11.25" customHeight="1">
      <c r="A1190" s="857">
        <v>2</v>
      </c>
      <c r="F1190" s="336" t="str">
        <f>$F$464</f>
        <v>Measurement Data</v>
      </c>
      <c r="K1190" s="162" t="str">
        <f>$F$5</f>
        <v>Radiographic System Compliance Inspection</v>
      </c>
      <c r="L1190" s="957" t="s">
        <v>482</v>
      </c>
      <c r="Q1190" s="336" t="str">
        <f>$F$464</f>
        <v>Measurement Data</v>
      </c>
      <c r="R1190" s="51"/>
      <c r="W1190" s="162" t="str">
        <f>$F$5</f>
        <v>Radiographic System Compliance Inspection</v>
      </c>
      <c r="X1190" s="939" t="s">
        <v>482</v>
      </c>
    </row>
    <row r="1191" spans="1:27" ht="11.25" customHeight="1" thickBot="1">
      <c r="A1191" s="857">
        <v>3</v>
      </c>
      <c r="L1191" s="957" t="s">
        <v>482</v>
      </c>
      <c r="X1191" s="939" t="s">
        <v>482</v>
      </c>
    </row>
    <row r="1192" spans="1:27" ht="11.25" customHeight="1">
      <c r="A1192" s="857">
        <v>4</v>
      </c>
      <c r="B1192" s="463"/>
      <c r="C1192" s="598"/>
      <c r="D1192" s="598"/>
      <c r="E1192" s="598"/>
      <c r="F1192" s="598"/>
      <c r="G1192" s="598"/>
      <c r="H1192" s="598"/>
      <c r="I1192" s="598"/>
      <c r="J1192" s="598"/>
      <c r="K1192" s="599"/>
      <c r="L1192" s="957" t="s">
        <v>482</v>
      </c>
      <c r="M1192" s="463"/>
      <c r="N1192" s="464"/>
      <c r="O1192" s="464"/>
      <c r="P1192" s="464"/>
      <c r="Q1192" s="464"/>
      <c r="R1192" s="464"/>
      <c r="S1192" s="464"/>
      <c r="T1192" s="464"/>
      <c r="U1192" s="464"/>
      <c r="V1192" s="464"/>
      <c r="W1192" s="465"/>
      <c r="X1192" s="939" t="s">
        <v>482</v>
      </c>
    </row>
    <row r="1193" spans="1:27" ht="11.25" customHeight="1">
      <c r="A1193" s="857">
        <v>5</v>
      </c>
      <c r="B1193" s="600"/>
      <c r="C1193" s="63"/>
      <c r="D1193" s="63"/>
      <c r="E1193" s="63"/>
      <c r="F1193" s="336" t="str">
        <f>IF(R1193="","",R1193)</f>
        <v>Kerma Area Product/Air Kerma Accuracy</v>
      </c>
      <c r="G1193" s="63"/>
      <c r="H1193" s="63"/>
      <c r="I1193" s="63"/>
      <c r="J1193" s="63"/>
      <c r="K1193" s="467"/>
      <c r="L1193" s="957" t="s">
        <v>482</v>
      </c>
      <c r="M1193" s="466"/>
      <c r="N1193" s="63"/>
      <c r="O1193" s="63"/>
      <c r="P1193" s="63"/>
      <c r="Q1193" s="63"/>
      <c r="R1193" s="336" t="s">
        <v>1209</v>
      </c>
      <c r="S1193" s="63"/>
      <c r="T1193" s="63"/>
      <c r="U1193" s="63"/>
      <c r="V1193" s="63"/>
      <c r="W1193" s="467"/>
      <c r="X1193" s="939" t="s">
        <v>482</v>
      </c>
    </row>
    <row r="1194" spans="1:27" ht="11.25" customHeight="1" thickBot="1">
      <c r="A1194" s="857">
        <v>6</v>
      </c>
      <c r="B1194" s="601"/>
      <c r="C1194" s="468"/>
      <c r="D1194" s="468"/>
      <c r="E1194" s="468"/>
      <c r="F1194" s="468"/>
      <c r="G1194" s="468"/>
      <c r="H1194" s="468"/>
      <c r="I1194" s="468"/>
      <c r="J1194" s="468"/>
      <c r="K1194" s="469"/>
      <c r="L1194" s="957" t="s">
        <v>482</v>
      </c>
      <c r="M1194" s="262"/>
      <c r="N1194" s="468"/>
      <c r="O1194" s="468"/>
      <c r="P1194" s="468"/>
      <c r="Q1194" s="468"/>
      <c r="R1194" s="468"/>
      <c r="S1194" s="468"/>
      <c r="T1194" s="468"/>
      <c r="U1194" s="468"/>
      <c r="V1194" s="468"/>
      <c r="W1194" s="469"/>
      <c r="X1194" s="939" t="s">
        <v>482</v>
      </c>
    </row>
    <row r="1195" spans="1:27" ht="11.25" customHeight="1" thickBot="1">
      <c r="A1195" s="857">
        <v>7</v>
      </c>
      <c r="L1195" s="957" t="s">
        <v>482</v>
      </c>
      <c r="M1195" s="198"/>
      <c r="N1195" s="63"/>
      <c r="O1195" s="63"/>
      <c r="P1195" s="63"/>
      <c r="Q1195" s="347"/>
      <c r="R1195" s="63"/>
      <c r="S1195" s="63"/>
      <c r="T1195" s="63"/>
      <c r="U1195" s="63"/>
      <c r="V1195" s="63"/>
      <c r="W1195" s="63"/>
      <c r="X1195" s="939" t="s">
        <v>482</v>
      </c>
    </row>
    <row r="1196" spans="1:27" ht="11.25" customHeight="1" thickTop="1">
      <c r="A1196" s="857">
        <v>8</v>
      </c>
      <c r="B1196" s="89"/>
      <c r="C1196" s="72"/>
      <c r="D1196" s="72"/>
      <c r="E1196" s="72"/>
      <c r="F1196" s="72"/>
      <c r="G1196" s="72"/>
      <c r="H1196" s="72"/>
      <c r="I1196" s="72"/>
      <c r="J1196" s="72"/>
      <c r="K1196" s="90"/>
      <c r="L1196"/>
      <c r="M1196" s="1609">
        <v>100</v>
      </c>
      <c r="N1196" s="592" t="s">
        <v>1210</v>
      </c>
      <c r="O1196" s="72"/>
      <c r="P1196" s="72"/>
      <c r="Q1196" s="1610"/>
      <c r="R1196" s="592" t="s">
        <v>1211</v>
      </c>
      <c r="S1196" s="72"/>
      <c r="T1196" s="72"/>
      <c r="U1196" s="72"/>
      <c r="V1196" s="72"/>
      <c r="W1196" s="90"/>
      <c r="X1196" s="939" t="s">
        <v>482</v>
      </c>
    </row>
    <row r="1197" spans="1:27" ht="11.25" customHeight="1">
      <c r="A1197" s="857">
        <v>9</v>
      </c>
      <c r="B1197" s="155"/>
      <c r="C1197" s="1506" t="s">
        <v>1248</v>
      </c>
      <c r="D1197" s="1704" t="str">
        <f>IF(Q1212="","",Q1212)</f>
        <v>PDC</v>
      </c>
      <c r="F1197" s="1506" t="s">
        <v>1249</v>
      </c>
      <c r="G1197" s="1680" t="str">
        <f>IF(T1212="","",T1212)</f>
        <v/>
      </c>
      <c r="I1197" s="1506" t="s">
        <v>1250</v>
      </c>
      <c r="J1197" s="1680" t="str">
        <f>IF(W1212="","",W1212)</f>
        <v/>
      </c>
      <c r="K1197" s="81"/>
      <c r="L1197"/>
      <c r="M1197" s="910"/>
      <c r="N1197" s="58" t="s">
        <v>1212</v>
      </c>
      <c r="O1197" s="63"/>
      <c r="P1197" s="63"/>
      <c r="Q1197" s="1590"/>
      <c r="R1197" s="58" t="s">
        <v>1213</v>
      </c>
      <c r="S1197" s="63"/>
      <c r="T1197" s="63"/>
      <c r="U1197" s="63"/>
      <c r="V1197" s="63"/>
      <c r="W1197" s="81"/>
      <c r="X1197" s="939" t="s">
        <v>482</v>
      </c>
    </row>
    <row r="1198" spans="1:27" ht="11.25" customHeight="1">
      <c r="A1198" s="857">
        <v>10</v>
      </c>
      <c r="B1198" s="155"/>
      <c r="K1198" s="81"/>
      <c r="L1198"/>
      <c r="M1198" s="1608" t="str">
        <f>IF(OR(M1196="",M1197=""),"",(M1196/M1197)^2)</f>
        <v/>
      </c>
      <c r="N1198" s="58" t="s">
        <v>1240</v>
      </c>
      <c r="O1198" s="63"/>
      <c r="P1198" s="63"/>
      <c r="Q1198" s="1590"/>
      <c r="R1198" s="58" t="s">
        <v>1214</v>
      </c>
      <c r="S1198" s="63"/>
      <c r="T1198" s="63"/>
      <c r="U1198" s="63"/>
      <c r="V1198" s="63"/>
      <c r="W1198" s="81"/>
      <c r="X1198" s="939" t="s">
        <v>482</v>
      </c>
    </row>
    <row r="1199" spans="1:27" ht="11.25" customHeight="1">
      <c r="A1199" s="857">
        <v>11</v>
      </c>
      <c r="B1199" s="155"/>
      <c r="C1199" s="1621"/>
      <c r="D1199" s="1619"/>
      <c r="E1199" s="1743" t="str">
        <f t="shared" ref="E1199:J1199" si="187">M1223</f>
        <v>Ind KAP µGy·m²</v>
      </c>
      <c r="F1199" s="1744" t="str">
        <f t="shared" si="187"/>
        <v>Meas KAP µGy·m²</v>
      </c>
      <c r="G1199" s="1734" t="str">
        <f t="shared" si="187"/>
        <v>KAP Deviation</v>
      </c>
      <c r="H1199" s="1745" t="str">
        <f t="shared" si="187"/>
        <v>Ind AK @ Ref Pt</v>
      </c>
      <c r="I1199" s="1744" t="str">
        <f t="shared" si="187"/>
        <v>Meas AK @ Ref Pt</v>
      </c>
      <c r="J1199" s="1734" t="str">
        <f t="shared" si="187"/>
        <v>AK Deviation</v>
      </c>
      <c r="K1199" s="81"/>
      <c r="L1199"/>
      <c r="M1199" s="155"/>
      <c r="N1199" s="63"/>
      <c r="O1199" s="63"/>
      <c r="P1199" s="63"/>
      <c r="Q1199" s="63"/>
      <c r="R1199" s="63"/>
      <c r="S1199" s="63"/>
      <c r="T1199" s="63"/>
      <c r="U1199" s="63"/>
      <c r="V1199" s="63"/>
      <c r="W1199" s="81"/>
      <c r="X1199" s="939" t="s">
        <v>482</v>
      </c>
    </row>
    <row r="1200" spans="1:27" ht="11.25" customHeight="1" thickBot="1">
      <c r="A1200" s="857">
        <v>12</v>
      </c>
      <c r="B1200" s="155"/>
      <c r="C1200" s="1621" t="str">
        <f>M1202</f>
        <v>kV</v>
      </c>
      <c r="D1200" s="1619" t="str">
        <f>N1202</f>
        <v>mA</v>
      </c>
      <c r="E1200" s="1743"/>
      <c r="F1200" s="1744"/>
      <c r="G1200" s="1734"/>
      <c r="H1200" s="1745"/>
      <c r="I1200" s="1744"/>
      <c r="J1200" s="1734"/>
      <c r="K1200" s="81"/>
      <c r="L1200"/>
      <c r="M1200" s="155"/>
      <c r="N1200" s="63"/>
      <c r="O1200" s="1739" t="s">
        <v>1220</v>
      </c>
      <c r="P1200" s="1739"/>
      <c r="Q1200" s="63"/>
      <c r="R1200" s="1739" t="s">
        <v>1221</v>
      </c>
      <c r="S1200" s="1739"/>
      <c r="T1200" s="63"/>
      <c r="U1200" s="63"/>
      <c r="V1200" s="63"/>
      <c r="W1200" s="81"/>
      <c r="X1200" s="939" t="s">
        <v>482</v>
      </c>
      <c r="Y1200" s="1285"/>
      <c r="AA1200" s="1285"/>
    </row>
    <row r="1201" spans="1:27" ht="11.25" customHeight="1">
      <c r="A1201" s="857">
        <v>13</v>
      </c>
      <c r="B1201" s="155"/>
      <c r="C1201" s="1630" t="str">
        <f t="shared" ref="C1201:D1208" si="188">IF(M1203="","",M1203)</f>
        <v/>
      </c>
      <c r="D1201" s="1631" t="str">
        <f t="shared" si="188"/>
        <v/>
      </c>
      <c r="E1201" s="1632" t="str">
        <f t="shared" ref="E1201:J1208" si="189">IF(M1225="","",M1225)</f>
        <v/>
      </c>
      <c r="F1201" s="1633" t="str">
        <f t="shared" si="189"/>
        <v/>
      </c>
      <c r="G1201" s="1634" t="str">
        <f t="shared" si="189"/>
        <v/>
      </c>
      <c r="H1201" s="1635" t="str">
        <f t="shared" si="189"/>
        <v/>
      </c>
      <c r="I1201" s="1633" t="str">
        <f t="shared" si="189"/>
        <v/>
      </c>
      <c r="J1201" s="1634" t="str">
        <f t="shared" si="189"/>
        <v/>
      </c>
      <c r="K1201" s="81"/>
      <c r="L1201"/>
      <c r="M1201" s="76"/>
      <c r="N1201" s="111"/>
      <c r="O1201" s="111" t="s">
        <v>1218</v>
      </c>
      <c r="P1201" s="111" t="s">
        <v>1219</v>
      </c>
      <c r="Q1201" s="111"/>
      <c r="R1201" s="111" t="s">
        <v>1215</v>
      </c>
      <c r="S1201" s="111" t="s">
        <v>1216</v>
      </c>
      <c r="T1201" s="111"/>
      <c r="U1201" s="63"/>
      <c r="V1201" s="63"/>
      <c r="W1201" s="81"/>
      <c r="X1201" s="939" t="s">
        <v>482</v>
      </c>
      <c r="Y1201" s="1233"/>
      <c r="AA1201" s="1285"/>
    </row>
    <row r="1202" spans="1:27" ht="11.25" customHeight="1">
      <c r="A1202" s="857">
        <v>14</v>
      </c>
      <c r="B1202" s="155"/>
      <c r="C1202" s="1622" t="str">
        <f t="shared" si="188"/>
        <v/>
      </c>
      <c r="D1202" s="1620" t="str">
        <f t="shared" si="188"/>
        <v/>
      </c>
      <c r="E1202" s="1584" t="str">
        <f t="shared" si="189"/>
        <v/>
      </c>
      <c r="F1202" s="1591" t="str">
        <f t="shared" si="189"/>
        <v/>
      </c>
      <c r="G1202" s="1623" t="str">
        <f t="shared" si="189"/>
        <v/>
      </c>
      <c r="H1202" s="1606" t="str">
        <f t="shared" si="189"/>
        <v/>
      </c>
      <c r="I1202" s="1591" t="str">
        <f t="shared" si="189"/>
        <v/>
      </c>
      <c r="J1202" s="1623" t="str">
        <f t="shared" si="189"/>
        <v/>
      </c>
      <c r="K1202" s="81"/>
      <c r="L1202"/>
      <c r="M1202" s="76" t="s">
        <v>123</v>
      </c>
      <c r="N1202" s="111" t="str">
        <f>LFMAS</f>
        <v>mA</v>
      </c>
      <c r="O1202" s="1740" t="s">
        <v>1223</v>
      </c>
      <c r="P1202" s="1741"/>
      <c r="Q1202" s="1636" t="s">
        <v>1177</v>
      </c>
      <c r="R1202" s="1751" t="s">
        <v>1167</v>
      </c>
      <c r="S1202" s="1741"/>
      <c r="T1202" s="96" t="s">
        <v>1233</v>
      </c>
      <c r="U1202" s="63"/>
      <c r="V1202" s="63"/>
      <c r="W1202" s="81"/>
      <c r="X1202" s="939" t="s">
        <v>482</v>
      </c>
      <c r="Y1202" s="1233"/>
      <c r="AA1202" s="1285"/>
    </row>
    <row r="1203" spans="1:27" ht="11.25" customHeight="1">
      <c r="A1203" s="857">
        <v>15</v>
      </c>
      <c r="B1203" s="155"/>
      <c r="C1203" s="1622" t="str">
        <f t="shared" si="188"/>
        <v/>
      </c>
      <c r="D1203" s="1620" t="str">
        <f t="shared" si="188"/>
        <v/>
      </c>
      <c r="E1203" s="1584" t="str">
        <f t="shared" si="189"/>
        <v/>
      </c>
      <c r="F1203" s="1591" t="str">
        <f t="shared" si="189"/>
        <v/>
      </c>
      <c r="G1203" s="1623" t="str">
        <f t="shared" si="189"/>
        <v/>
      </c>
      <c r="H1203" s="1606" t="str">
        <f t="shared" si="189"/>
        <v/>
      </c>
      <c r="I1203" s="1591" t="str">
        <f t="shared" si="189"/>
        <v/>
      </c>
      <c r="J1203" s="1623" t="str">
        <f t="shared" si="189"/>
        <v/>
      </c>
      <c r="K1203" s="81"/>
      <c r="L1203"/>
      <c r="M1203" s="876"/>
      <c r="N1203" s="877"/>
      <c r="O1203" s="1637"/>
      <c r="P1203" s="1602"/>
      <c r="Q1203" s="1638" t="str">
        <f>IF(OR(O1203="",P1203=""),"",P1203-O1203)</f>
        <v/>
      </c>
      <c r="R1203" s="1603"/>
      <c r="S1203" s="1602"/>
      <c r="T1203" s="1604" t="str">
        <f>IF(OR(R1203="",S1203=""),"",S1203-R1203)</f>
        <v/>
      </c>
      <c r="U1203" s="63"/>
      <c r="V1203" s="63"/>
      <c r="W1203" s="81"/>
      <c r="X1203" s="939" t="s">
        <v>482</v>
      </c>
      <c r="Y1203" s="1233"/>
      <c r="AA1203" s="1285"/>
    </row>
    <row r="1204" spans="1:27" ht="11.25" customHeight="1">
      <c r="A1204" s="857">
        <v>16</v>
      </c>
      <c r="B1204" s="155"/>
      <c r="C1204" s="1622" t="str">
        <f t="shared" si="188"/>
        <v/>
      </c>
      <c r="D1204" s="1620" t="str">
        <f t="shared" si="188"/>
        <v/>
      </c>
      <c r="E1204" s="1584" t="str">
        <f t="shared" si="189"/>
        <v/>
      </c>
      <c r="F1204" s="1591" t="str">
        <f t="shared" si="189"/>
        <v/>
      </c>
      <c r="G1204" s="1623" t="str">
        <f t="shared" si="189"/>
        <v/>
      </c>
      <c r="H1204" s="1606" t="str">
        <f t="shared" si="189"/>
        <v/>
      </c>
      <c r="I1204" s="1591" t="str">
        <f t="shared" si="189"/>
        <v/>
      </c>
      <c r="J1204" s="1623" t="str">
        <f t="shared" si="189"/>
        <v/>
      </c>
      <c r="K1204" s="81"/>
      <c r="L1204"/>
      <c r="M1204" s="876"/>
      <c r="N1204" s="877"/>
      <c r="O1204" s="889"/>
      <c r="P1204" s="877"/>
      <c r="Q1204" s="1639" t="str">
        <f t="shared" ref="Q1204:Q1210" si="190">IF(OR(O1204="",P1204=""),"",P1204-O1204)</f>
        <v/>
      </c>
      <c r="R1204" s="905"/>
      <c r="S1204" s="877"/>
      <c r="T1204" s="1593" t="str">
        <f t="shared" ref="T1204:T1210" si="191">IF(OR(R1204="",S1204=""),"",S1204-R1204)</f>
        <v/>
      </c>
      <c r="U1204" s="63"/>
      <c r="V1204" s="63"/>
      <c r="W1204" s="81"/>
      <c r="X1204" s="939" t="s">
        <v>482</v>
      </c>
      <c r="Y1204" s="1233"/>
      <c r="AA1204" s="1285"/>
    </row>
    <row r="1205" spans="1:27" ht="11.25" customHeight="1">
      <c r="A1205" s="857">
        <v>17</v>
      </c>
      <c r="B1205" s="155"/>
      <c r="C1205" s="1622" t="str">
        <f t="shared" si="188"/>
        <v/>
      </c>
      <c r="D1205" s="1620" t="str">
        <f t="shared" si="188"/>
        <v/>
      </c>
      <c r="E1205" s="1584" t="str">
        <f t="shared" si="189"/>
        <v/>
      </c>
      <c r="F1205" s="1591" t="str">
        <f t="shared" si="189"/>
        <v/>
      </c>
      <c r="G1205" s="1623" t="str">
        <f t="shared" si="189"/>
        <v/>
      </c>
      <c r="H1205" s="1606" t="str">
        <f t="shared" si="189"/>
        <v/>
      </c>
      <c r="I1205" s="1591" t="str">
        <f t="shared" si="189"/>
        <v/>
      </c>
      <c r="J1205" s="1623" t="str">
        <f t="shared" si="189"/>
        <v/>
      </c>
      <c r="K1205" s="81"/>
      <c r="L1205"/>
      <c r="M1205" s="876"/>
      <c r="N1205" s="877"/>
      <c r="O1205" s="889"/>
      <c r="P1205" s="877"/>
      <c r="Q1205" s="1639" t="str">
        <f t="shared" si="190"/>
        <v/>
      </c>
      <c r="R1205" s="905"/>
      <c r="S1205" s="877"/>
      <c r="T1205" s="1593" t="str">
        <f t="shared" si="191"/>
        <v/>
      </c>
      <c r="U1205" s="63"/>
      <c r="V1205" s="63"/>
      <c r="W1205" s="81"/>
      <c r="X1205" s="939" t="s">
        <v>482</v>
      </c>
      <c r="Y1205" s="1233"/>
      <c r="AA1205" s="1285"/>
    </row>
    <row r="1206" spans="1:27" ht="11.25" customHeight="1">
      <c r="A1206" s="857">
        <v>18</v>
      </c>
      <c r="B1206" s="155"/>
      <c r="C1206" s="1622" t="str">
        <f t="shared" si="188"/>
        <v/>
      </c>
      <c r="D1206" s="1620" t="str">
        <f t="shared" si="188"/>
        <v/>
      </c>
      <c r="E1206" s="1584" t="str">
        <f t="shared" si="189"/>
        <v/>
      </c>
      <c r="F1206" s="1591" t="str">
        <f t="shared" si="189"/>
        <v/>
      </c>
      <c r="G1206" s="1623" t="str">
        <f t="shared" si="189"/>
        <v/>
      </c>
      <c r="H1206" s="1606" t="str">
        <f t="shared" si="189"/>
        <v/>
      </c>
      <c r="I1206" s="1591" t="str">
        <f t="shared" si="189"/>
        <v/>
      </c>
      <c r="J1206" s="1623" t="str">
        <f t="shared" si="189"/>
        <v/>
      </c>
      <c r="K1206" s="81"/>
      <c r="L1206"/>
      <c r="M1206" s="876"/>
      <c r="N1206" s="877"/>
      <c r="O1206" s="889"/>
      <c r="P1206" s="877"/>
      <c r="Q1206" s="1639" t="str">
        <f t="shared" si="190"/>
        <v/>
      </c>
      <c r="R1206" s="905"/>
      <c r="S1206" s="877"/>
      <c r="T1206" s="1593" t="str">
        <f t="shared" si="191"/>
        <v/>
      </c>
      <c r="U1206" s="63"/>
      <c r="V1206" s="63"/>
      <c r="W1206" s="81"/>
      <c r="X1206" s="939" t="s">
        <v>482</v>
      </c>
      <c r="Y1206" s="1233"/>
      <c r="AA1206" s="1285"/>
    </row>
    <row r="1207" spans="1:27" ht="11.25" customHeight="1">
      <c r="A1207" s="857">
        <v>19</v>
      </c>
      <c r="B1207" s="155"/>
      <c r="C1207" s="1622" t="str">
        <f t="shared" si="188"/>
        <v/>
      </c>
      <c r="D1207" s="1620" t="str">
        <f t="shared" si="188"/>
        <v/>
      </c>
      <c r="E1207" s="1584" t="str">
        <f t="shared" si="189"/>
        <v/>
      </c>
      <c r="F1207" s="1591" t="str">
        <f t="shared" si="189"/>
        <v/>
      </c>
      <c r="G1207" s="1623" t="str">
        <f t="shared" si="189"/>
        <v/>
      </c>
      <c r="H1207" s="1606" t="str">
        <f t="shared" si="189"/>
        <v/>
      </c>
      <c r="I1207" s="1591" t="str">
        <f t="shared" si="189"/>
        <v/>
      </c>
      <c r="J1207" s="1623" t="str">
        <f t="shared" si="189"/>
        <v/>
      </c>
      <c r="K1207" s="81"/>
      <c r="L1207"/>
      <c r="M1207" s="876"/>
      <c r="N1207" s="877"/>
      <c r="O1207" s="889"/>
      <c r="P1207" s="877"/>
      <c r="Q1207" s="1639" t="str">
        <f t="shared" si="190"/>
        <v/>
      </c>
      <c r="R1207" s="905"/>
      <c r="S1207" s="877"/>
      <c r="T1207" s="1593" t="str">
        <f t="shared" si="191"/>
        <v/>
      </c>
      <c r="U1207" s="63"/>
      <c r="V1207" s="63"/>
      <c r="W1207" s="81"/>
      <c r="X1207" s="939" t="s">
        <v>482</v>
      </c>
      <c r="Y1207" s="1233"/>
      <c r="AA1207" s="1285"/>
    </row>
    <row r="1208" spans="1:27" ht="11.25" customHeight="1" thickBot="1">
      <c r="A1208" s="857">
        <v>20</v>
      </c>
      <c r="B1208" s="155"/>
      <c r="C1208" s="1624" t="str">
        <f t="shared" si="188"/>
        <v/>
      </c>
      <c r="D1208" s="1625" t="str">
        <f t="shared" si="188"/>
        <v/>
      </c>
      <c r="E1208" s="1586" t="str">
        <f t="shared" si="189"/>
        <v/>
      </c>
      <c r="F1208" s="1626" t="str">
        <f t="shared" si="189"/>
        <v/>
      </c>
      <c r="G1208" s="1628" t="str">
        <f t="shared" si="189"/>
        <v/>
      </c>
      <c r="H1208" s="1627" t="str">
        <f t="shared" si="189"/>
        <v/>
      </c>
      <c r="I1208" s="1626" t="str">
        <f t="shared" si="189"/>
        <v/>
      </c>
      <c r="J1208" s="1628" t="str">
        <f t="shared" si="189"/>
        <v/>
      </c>
      <c r="K1208" s="81"/>
      <c r="L1208"/>
      <c r="M1208" s="876"/>
      <c r="N1208" s="877"/>
      <c r="O1208" s="889"/>
      <c r="P1208" s="877"/>
      <c r="Q1208" s="1639" t="str">
        <f t="shared" si="190"/>
        <v/>
      </c>
      <c r="R1208" s="905"/>
      <c r="S1208" s="877"/>
      <c r="T1208" s="1593" t="str">
        <f t="shared" si="191"/>
        <v/>
      </c>
      <c r="U1208" s="63"/>
      <c r="V1208" s="63"/>
      <c r="W1208" s="81"/>
      <c r="X1208" s="939" t="s">
        <v>482</v>
      </c>
      <c r="Y1208" s="1233"/>
      <c r="AA1208" s="1285"/>
    </row>
    <row r="1209" spans="1:27" ht="11.25" customHeight="1" thickBot="1">
      <c r="A1209" s="857">
        <v>21</v>
      </c>
      <c r="B1209" s="155"/>
      <c r="C1209" s="111"/>
      <c r="D1209" s="111"/>
      <c r="E1209" s="111"/>
      <c r="F1209" s="62" t="s">
        <v>646</v>
      </c>
      <c r="G1209" s="1629" t="str">
        <f>IF(O1233="","",O1233)</f>
        <v>NA</v>
      </c>
      <c r="H1209" s="111"/>
      <c r="I1209" s="62" t="s">
        <v>646</v>
      </c>
      <c r="J1209" s="1629" t="str">
        <f>IF(R1233="","",R1233)</f>
        <v>NA</v>
      </c>
      <c r="K1209" s="81"/>
      <c r="L1209"/>
      <c r="M1209" s="876"/>
      <c r="N1209" s="877"/>
      <c r="O1209" s="889"/>
      <c r="P1209" s="877"/>
      <c r="Q1209" s="1639" t="str">
        <f t="shared" si="190"/>
        <v/>
      </c>
      <c r="R1209" s="905"/>
      <c r="S1209" s="877"/>
      <c r="T1209" s="1593" t="str">
        <f t="shared" si="191"/>
        <v/>
      </c>
      <c r="U1209" s="63"/>
      <c r="V1209" s="63"/>
      <c r="W1209" s="81"/>
      <c r="X1209" s="939" t="s">
        <v>482</v>
      </c>
      <c r="Y1209" s="1233"/>
      <c r="AA1209" s="1285"/>
    </row>
    <row r="1210" spans="1:27" ht="11.25" customHeight="1" thickBot="1">
      <c r="A1210" s="857">
        <v>22</v>
      </c>
      <c r="B1210" s="155"/>
      <c r="C1210" s="162" t="s">
        <v>647</v>
      </c>
      <c r="D1210" s="456" t="str">
        <f>O1234</f>
        <v>Measured KAP, AK is within 30% of the displayed value</v>
      </c>
      <c r="E1210" s="63"/>
      <c r="F1210" s="63"/>
      <c r="G1210" s="63"/>
      <c r="H1210" s="63"/>
      <c r="I1210" s="63"/>
      <c r="J1210" s="63"/>
      <c r="K1210" s="81"/>
      <c r="L1210"/>
      <c r="M1210" s="878"/>
      <c r="N1210" s="879"/>
      <c r="O1210" s="891"/>
      <c r="P1210" s="879"/>
      <c r="Q1210" s="1640" t="str">
        <f t="shared" si="190"/>
        <v/>
      </c>
      <c r="R1210" s="1595"/>
      <c r="S1210" s="879"/>
      <c r="T1210" s="1594" t="str">
        <f t="shared" si="191"/>
        <v/>
      </c>
      <c r="U1210" s="63"/>
      <c r="V1210" s="63"/>
      <c r="W1210" s="81"/>
      <c r="X1210" s="939" t="s">
        <v>482</v>
      </c>
    </row>
    <row r="1211" spans="1:27" ht="11.25" customHeight="1" thickTop="1" thickBot="1">
      <c r="A1211" s="857">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9" t="s">
        <v>482</v>
      </c>
    </row>
    <row r="1212" spans="1:27" ht="11.25" customHeight="1" thickTop="1">
      <c r="A1212" s="857">
        <v>24</v>
      </c>
      <c r="L1212"/>
      <c r="M1212" s="1611" t="s">
        <v>1222</v>
      </c>
      <c r="N1212" s="63"/>
      <c r="P1212" s="62" t="s">
        <v>1247</v>
      </c>
      <c r="Q1212" s="1676" t="s">
        <v>1259</v>
      </c>
      <c r="R1212" s="1677"/>
      <c r="S1212" s="62" t="s">
        <v>1234</v>
      </c>
      <c r="T1212" s="1592"/>
      <c r="V1212" s="62" t="s">
        <v>1246</v>
      </c>
      <c r="W1212" s="1678"/>
      <c r="X1212" s="939" t="s">
        <v>482</v>
      </c>
    </row>
    <row r="1213" spans="1:27" ht="11.25" customHeight="1" thickBot="1">
      <c r="A1213" s="857">
        <v>25</v>
      </c>
      <c r="L1213"/>
      <c r="M1213" s="76" t="s">
        <v>123</v>
      </c>
      <c r="N1213" s="111" t="str">
        <f>LFMAS</f>
        <v>mA</v>
      </c>
      <c r="O1213" s="111" t="s">
        <v>1167</v>
      </c>
      <c r="P1213" s="111" t="s">
        <v>1235</v>
      </c>
      <c r="Q1213" s="111" t="s">
        <v>1223</v>
      </c>
      <c r="R1213" s="111" t="s">
        <v>1236</v>
      </c>
      <c r="U1213" s="63"/>
      <c r="V1213" s="63"/>
      <c r="W1213" s="81"/>
      <c r="X1213" s="939" t="s">
        <v>482</v>
      </c>
    </row>
    <row r="1214" spans="1:27" ht="11.25" customHeight="1" thickTop="1">
      <c r="A1214" s="857">
        <v>26</v>
      </c>
      <c r="L1214"/>
      <c r="M1214" s="1596" t="str">
        <f>IF(M1203="","",M1203)</f>
        <v/>
      </c>
      <c r="N1214" s="1641" t="str">
        <f t="shared" ref="N1214:N1221" si="192">IF(N1203="","",N1203)</f>
        <v/>
      </c>
      <c r="O1214" s="1644"/>
      <c r="P1214" s="1615"/>
      <c r="Q1214" s="1615"/>
      <c r="R1214" s="1616"/>
      <c r="T1214" s="1506" t="s">
        <v>1241</v>
      </c>
      <c r="U1214" s="456" t="s">
        <v>1242</v>
      </c>
      <c r="V1214" s="63"/>
      <c r="W1214" s="81"/>
      <c r="X1214" s="939" t="s">
        <v>482</v>
      </c>
    </row>
    <row r="1215" spans="1:27" ht="11.25" customHeight="1">
      <c r="A1215" s="857">
        <v>27</v>
      </c>
      <c r="B1215" s="63"/>
      <c r="C1215" s="63"/>
      <c r="D1215" s="63"/>
      <c r="E1215" s="63"/>
      <c r="F1215" s="63"/>
      <c r="G1215" s="63"/>
      <c r="H1215" s="63"/>
      <c r="I1215" s="63"/>
      <c r="J1215" s="63"/>
      <c r="K1215" s="63"/>
      <c r="L1215" s="957" t="s">
        <v>482</v>
      </c>
      <c r="M1215" s="1598" t="str">
        <f t="shared" ref="M1215:M1221" si="193">IF(M1204="","",M1204)</f>
        <v/>
      </c>
      <c r="N1215" s="1642" t="str">
        <f t="shared" si="192"/>
        <v/>
      </c>
      <c r="O1215" s="1645"/>
      <c r="P1215" s="877"/>
      <c r="Q1215" s="877"/>
      <c r="R1215" s="1617"/>
      <c r="U1215" s="63"/>
      <c r="V1215" s="63"/>
      <c r="W1215" s="81"/>
      <c r="X1215" s="939" t="s">
        <v>482</v>
      </c>
    </row>
    <row r="1216" spans="1:27" ht="11.25" customHeight="1">
      <c r="A1216" s="857">
        <v>28</v>
      </c>
      <c r="B1216" s="63"/>
      <c r="C1216" s="63"/>
      <c r="D1216" s="63"/>
      <c r="E1216" s="63"/>
      <c r="F1216" s="63"/>
      <c r="G1216" s="63"/>
      <c r="H1216" s="63"/>
      <c r="I1216" s="63"/>
      <c r="J1216" s="63"/>
      <c r="K1216" s="63"/>
      <c r="L1216" s="957" t="s">
        <v>482</v>
      </c>
      <c r="M1216" s="1598" t="str">
        <f t="shared" si="193"/>
        <v/>
      </c>
      <c r="N1216" s="1642" t="str">
        <f t="shared" si="192"/>
        <v/>
      </c>
      <c r="O1216" s="1645"/>
      <c r="P1216" s="877"/>
      <c r="Q1216" s="877"/>
      <c r="R1216" s="1617"/>
      <c r="U1216" s="1731" t="s">
        <v>1230</v>
      </c>
      <c r="V1216" s="1731"/>
      <c r="W1216" s="81"/>
      <c r="X1216" s="939" t="s">
        <v>482</v>
      </c>
    </row>
    <row r="1217" spans="1:24" ht="11.25" customHeight="1">
      <c r="A1217" s="857">
        <v>29</v>
      </c>
      <c r="B1217" s="63"/>
      <c r="C1217" s="63"/>
      <c r="D1217" s="63"/>
      <c r="E1217" s="63"/>
      <c r="F1217" s="63"/>
      <c r="G1217" s="63"/>
      <c r="H1217" s="63"/>
      <c r="I1217" s="63"/>
      <c r="J1217" s="63"/>
      <c r="K1217" s="63"/>
      <c r="L1217" s="957" t="s">
        <v>482</v>
      </c>
      <c r="M1217" s="1598" t="str">
        <f t="shared" si="193"/>
        <v/>
      </c>
      <c r="N1217" s="1642" t="str">
        <f t="shared" si="192"/>
        <v/>
      </c>
      <c r="O1217" s="1645"/>
      <c r="P1217" s="877"/>
      <c r="Q1217" s="877"/>
      <c r="R1217" s="1617"/>
      <c r="U1217" s="138"/>
      <c r="V1217" s="138" t="s">
        <v>1223</v>
      </c>
      <c r="W1217" s="81"/>
      <c r="X1217" s="939" t="s">
        <v>482</v>
      </c>
    </row>
    <row r="1218" spans="1:24" ht="11.25" customHeight="1">
      <c r="A1218" s="857">
        <v>30</v>
      </c>
      <c r="B1218" s="63"/>
      <c r="C1218" s="63"/>
      <c r="D1218" s="63"/>
      <c r="E1218" s="63"/>
      <c r="F1218" s="63"/>
      <c r="G1218" s="63"/>
      <c r="H1218" s="63"/>
      <c r="I1218" s="63"/>
      <c r="J1218" s="63"/>
      <c r="K1218" s="63"/>
      <c r="L1218" s="957" t="s">
        <v>482</v>
      </c>
      <c r="M1218" s="1598" t="str">
        <f t="shared" si="193"/>
        <v/>
      </c>
      <c r="N1218" s="1642" t="str">
        <f t="shared" si="192"/>
        <v/>
      </c>
      <c r="O1218" s="1645"/>
      <c r="P1218" s="877"/>
      <c r="Q1218" s="877"/>
      <c r="R1218" s="1617"/>
      <c r="U1218" s="138" t="s">
        <v>1232</v>
      </c>
      <c r="V1218" s="138">
        <v>0.1</v>
      </c>
      <c r="W1218" s="81"/>
      <c r="X1218" s="939" t="s">
        <v>482</v>
      </c>
    </row>
    <row r="1219" spans="1:24" ht="11.25" customHeight="1">
      <c r="A1219" s="857">
        <v>31</v>
      </c>
      <c r="L1219"/>
      <c r="M1219" s="1598" t="str">
        <f t="shared" si="193"/>
        <v/>
      </c>
      <c r="N1219" s="1642" t="str">
        <f t="shared" si="192"/>
        <v/>
      </c>
      <c r="O1219" s="1645"/>
      <c r="P1219" s="877"/>
      <c r="Q1219" s="877"/>
      <c r="R1219" s="1617"/>
      <c r="U1219" s="138" t="s">
        <v>1231</v>
      </c>
      <c r="V1219" s="138">
        <v>1</v>
      </c>
      <c r="W1219" s="81"/>
      <c r="X1219" s="939" t="s">
        <v>482</v>
      </c>
    </row>
    <row r="1220" spans="1:24" ht="11.25" customHeight="1">
      <c r="A1220" s="857">
        <v>32</v>
      </c>
      <c r="L1220"/>
      <c r="M1220" s="1598" t="str">
        <f t="shared" si="193"/>
        <v/>
      </c>
      <c r="N1220" s="1642" t="str">
        <f t="shared" si="192"/>
        <v/>
      </c>
      <c r="O1220" s="1645"/>
      <c r="P1220" s="877"/>
      <c r="Q1220" s="877"/>
      <c r="R1220" s="1617"/>
      <c r="U1220" s="138" t="s">
        <v>1244</v>
      </c>
      <c r="V1220" s="138">
        <v>10</v>
      </c>
      <c r="W1220" s="81"/>
      <c r="X1220" s="939" t="s">
        <v>482</v>
      </c>
    </row>
    <row r="1221" spans="1:24" ht="11.25" customHeight="1" thickBot="1">
      <c r="A1221" s="857">
        <v>33</v>
      </c>
      <c r="L1221"/>
      <c r="M1221" s="1599" t="str">
        <f t="shared" si="193"/>
        <v/>
      </c>
      <c r="N1221" s="1643" t="str">
        <f t="shared" si="192"/>
        <v/>
      </c>
      <c r="O1221" s="1646"/>
      <c r="P1221" s="879"/>
      <c r="Q1221" s="879"/>
      <c r="R1221" s="1618"/>
      <c r="U1221" s="138" t="s">
        <v>1217</v>
      </c>
      <c r="V1221" s="138">
        <v>100</v>
      </c>
      <c r="W1221" s="81"/>
      <c r="X1221" s="939" t="s">
        <v>482</v>
      </c>
    </row>
    <row r="1222" spans="1:24" ht="11.25" customHeight="1" thickTop="1">
      <c r="A1222" s="857">
        <v>34</v>
      </c>
      <c r="L1222"/>
      <c r="M1222" s="155"/>
      <c r="N1222" s="63"/>
      <c r="O1222" s="63"/>
      <c r="P1222" s="63"/>
      <c r="Q1222" s="63"/>
      <c r="R1222" s="63"/>
      <c r="S1222" s="63"/>
      <c r="T1222" s="63"/>
      <c r="U1222" s="138" t="s">
        <v>1223</v>
      </c>
      <c r="V1222" s="138">
        <v>1</v>
      </c>
      <c r="W1222" s="81"/>
      <c r="X1222" s="939" t="s">
        <v>482</v>
      </c>
    </row>
    <row r="1223" spans="1:24" ht="11.25" customHeight="1">
      <c r="A1223" s="857">
        <v>35</v>
      </c>
      <c r="L1223"/>
      <c r="M1223" s="1742" t="s">
        <v>1225</v>
      </c>
      <c r="N1223" s="1732" t="s">
        <v>1226</v>
      </c>
      <c r="O1223" s="1732" t="s">
        <v>1224</v>
      </c>
      <c r="P1223" s="1732" t="s">
        <v>1227</v>
      </c>
      <c r="Q1223" s="1732" t="s">
        <v>1228</v>
      </c>
      <c r="R1223" s="1732" t="s">
        <v>1229</v>
      </c>
      <c r="S1223" s="63"/>
      <c r="T1223" s="63"/>
      <c r="W1223" s="81"/>
      <c r="X1223" s="939" t="s">
        <v>482</v>
      </c>
    </row>
    <row r="1224" spans="1:24" ht="11.25" customHeight="1" thickBot="1">
      <c r="A1224" s="857">
        <v>36</v>
      </c>
      <c r="L1224"/>
      <c r="M1224" s="1742"/>
      <c r="N1224" s="1732"/>
      <c r="O1224" s="1732"/>
      <c r="P1224" s="1732"/>
      <c r="Q1224" s="1732"/>
      <c r="R1224" s="1732"/>
      <c r="S1224" s="63"/>
      <c r="T1224" s="63"/>
      <c r="U1224" s="63"/>
      <c r="V1224" s="63"/>
      <c r="W1224" s="81"/>
      <c r="X1224" s="939" t="s">
        <v>482</v>
      </c>
    </row>
    <row r="1225" spans="1:24" ht="11.25" customHeight="1" thickTop="1">
      <c r="A1225" s="857">
        <v>37</v>
      </c>
      <c r="L1225"/>
      <c r="M1225" s="1596" t="str">
        <f>IF(Q1203="","",Q1203*VLOOKUP($O$1202,$U$1217:$V$1222,2,FALSE))</f>
        <v/>
      </c>
      <c r="N1225" s="1597" t="str">
        <f t="shared" ref="N1225:N1232" si="194">IF(Q1214="","",Q1214)</f>
        <v/>
      </c>
      <c r="O1225" s="1612" t="str">
        <f>IF(OR(M1225="",N1225=""),"",ABS(N1225-M1225)/N1225)</f>
        <v/>
      </c>
      <c r="P1225" s="1605" t="str">
        <f>IF(T1203="","",T1203)</f>
        <v/>
      </c>
      <c r="Q1225" s="1597" t="str">
        <f t="shared" ref="Q1225:Q1232" si="195">IF(O1214="","",O1214)</f>
        <v/>
      </c>
      <c r="R1225" s="1612" t="str">
        <f t="shared" ref="R1225:R1232" si="196">IF(OR(P1225="",Q1225=""),"",ABS(Q1225-P1225)/Q1225)</f>
        <v/>
      </c>
      <c r="S1225" s="63"/>
      <c r="T1225" s="63"/>
      <c r="U1225" s="63"/>
      <c r="V1225" s="63"/>
      <c r="W1225" s="81"/>
      <c r="X1225" s="939" t="s">
        <v>482</v>
      </c>
    </row>
    <row r="1226" spans="1:24" ht="11.25" customHeight="1">
      <c r="A1226" s="857">
        <v>38</v>
      </c>
      <c r="L1226"/>
      <c r="M1226" s="1598" t="str">
        <f t="shared" ref="M1226:M1232" si="197">IF(Q1204="","",Q1204*VLOOKUP($O$1202,$U$1217:$V$1222,2,FALSE))</f>
        <v/>
      </c>
      <c r="N1226" s="1591" t="str">
        <f t="shared" si="194"/>
        <v/>
      </c>
      <c r="O1226" s="1613" t="str">
        <f t="shared" ref="O1226:O1232" si="198">IF(OR(M1226="",N1226=""),"",ABS(N1226-M1226)/N1226)</f>
        <v/>
      </c>
      <c r="P1226" s="1606" t="str">
        <f t="shared" ref="P1226:P1232" si="199">IF(T1204="","",T1204)</f>
        <v/>
      </c>
      <c r="Q1226" s="1591" t="str">
        <f t="shared" si="195"/>
        <v/>
      </c>
      <c r="R1226" s="1613" t="str">
        <f t="shared" si="196"/>
        <v/>
      </c>
      <c r="S1226" s="63"/>
      <c r="T1226" s="63"/>
      <c r="U1226" s="63"/>
      <c r="V1226" s="63"/>
      <c r="W1226" s="81"/>
      <c r="X1226" s="939" t="s">
        <v>482</v>
      </c>
    </row>
    <row r="1227" spans="1:24" ht="11.25" customHeight="1">
      <c r="A1227" s="857">
        <v>39</v>
      </c>
      <c r="L1227"/>
      <c r="M1227" s="1598" t="str">
        <f t="shared" si="197"/>
        <v/>
      </c>
      <c r="N1227" s="1591" t="str">
        <f t="shared" si="194"/>
        <v/>
      </c>
      <c r="O1227" s="1613" t="str">
        <f t="shared" si="198"/>
        <v/>
      </c>
      <c r="P1227" s="1606" t="str">
        <f t="shared" si="199"/>
        <v/>
      </c>
      <c r="Q1227" s="1591" t="str">
        <f t="shared" si="195"/>
        <v/>
      </c>
      <c r="R1227" s="1613" t="str">
        <f t="shared" si="196"/>
        <v/>
      </c>
      <c r="S1227" s="63"/>
      <c r="T1227" s="63"/>
      <c r="U1227" s="63"/>
      <c r="V1227" s="63"/>
      <c r="W1227" s="81"/>
      <c r="X1227" s="939" t="s">
        <v>482</v>
      </c>
    </row>
    <row r="1228" spans="1:24" ht="11.25" customHeight="1">
      <c r="A1228" s="857">
        <v>40</v>
      </c>
      <c r="L1228" s="957" t="s">
        <v>482</v>
      </c>
      <c r="M1228" s="1598" t="str">
        <f t="shared" si="197"/>
        <v/>
      </c>
      <c r="N1228" s="1591" t="str">
        <f t="shared" si="194"/>
        <v/>
      </c>
      <c r="O1228" s="1613" t="str">
        <f t="shared" si="198"/>
        <v/>
      </c>
      <c r="P1228" s="1606" t="str">
        <f t="shared" si="199"/>
        <v/>
      </c>
      <c r="Q1228" s="1591" t="str">
        <f t="shared" si="195"/>
        <v/>
      </c>
      <c r="R1228" s="1613" t="str">
        <f t="shared" si="196"/>
        <v/>
      </c>
      <c r="S1228" s="63"/>
      <c r="T1228" s="63"/>
      <c r="U1228" s="63"/>
      <c r="V1228" s="63"/>
      <c r="W1228" s="81"/>
      <c r="X1228" s="939" t="s">
        <v>482</v>
      </c>
    </row>
    <row r="1229" spans="1:24" ht="11.25" customHeight="1">
      <c r="A1229" s="857">
        <v>41</v>
      </c>
      <c r="L1229" s="957" t="s">
        <v>482</v>
      </c>
      <c r="M1229" s="1598" t="str">
        <f t="shared" si="197"/>
        <v/>
      </c>
      <c r="N1229" s="1591" t="str">
        <f t="shared" si="194"/>
        <v/>
      </c>
      <c r="O1229" s="1613" t="str">
        <f t="shared" si="198"/>
        <v/>
      </c>
      <c r="P1229" s="1606" t="str">
        <f t="shared" si="199"/>
        <v/>
      </c>
      <c r="Q1229" s="1591" t="str">
        <f t="shared" si="195"/>
        <v/>
      </c>
      <c r="R1229" s="1613" t="str">
        <f t="shared" si="196"/>
        <v/>
      </c>
      <c r="S1229" s="63"/>
      <c r="T1229" s="63"/>
      <c r="U1229" s="63"/>
      <c r="V1229" s="63"/>
      <c r="W1229" s="81"/>
      <c r="X1229" s="939" t="s">
        <v>482</v>
      </c>
    </row>
    <row r="1230" spans="1:24" ht="11.25" customHeight="1">
      <c r="A1230" s="857">
        <v>42</v>
      </c>
      <c r="L1230" s="957" t="s">
        <v>482</v>
      </c>
      <c r="M1230" s="1598" t="str">
        <f t="shared" si="197"/>
        <v/>
      </c>
      <c r="N1230" s="1591" t="str">
        <f t="shared" si="194"/>
        <v/>
      </c>
      <c r="O1230" s="1613" t="str">
        <f t="shared" si="198"/>
        <v/>
      </c>
      <c r="P1230" s="1606" t="str">
        <f t="shared" si="199"/>
        <v/>
      </c>
      <c r="Q1230" s="1591" t="str">
        <f t="shared" si="195"/>
        <v/>
      </c>
      <c r="R1230" s="1613" t="str">
        <f t="shared" si="196"/>
        <v/>
      </c>
      <c r="S1230" s="63"/>
      <c r="T1230" s="63"/>
      <c r="U1230" s="63"/>
      <c r="V1230" s="63"/>
      <c r="W1230" s="81"/>
      <c r="X1230" s="939" t="s">
        <v>482</v>
      </c>
    </row>
    <row r="1231" spans="1:24" ht="11.25" customHeight="1">
      <c r="A1231" s="857">
        <v>43</v>
      </c>
      <c r="L1231" s="957" t="s">
        <v>482</v>
      </c>
      <c r="M1231" s="1598" t="str">
        <f t="shared" si="197"/>
        <v/>
      </c>
      <c r="N1231" s="1591" t="str">
        <f t="shared" si="194"/>
        <v/>
      </c>
      <c r="O1231" s="1613" t="str">
        <f t="shared" si="198"/>
        <v/>
      </c>
      <c r="P1231" s="1606" t="str">
        <f t="shared" si="199"/>
        <v/>
      </c>
      <c r="Q1231" s="1591" t="str">
        <f t="shared" si="195"/>
        <v/>
      </c>
      <c r="R1231" s="1613" t="str">
        <f t="shared" si="196"/>
        <v/>
      </c>
      <c r="S1231" s="63"/>
      <c r="T1231" s="63"/>
      <c r="U1231" s="63"/>
      <c r="V1231" s="63"/>
      <c r="W1231" s="81"/>
      <c r="X1231" s="939" t="s">
        <v>482</v>
      </c>
    </row>
    <row r="1232" spans="1:24" ht="11.25" customHeight="1" thickBot="1">
      <c r="A1232" s="857">
        <v>44</v>
      </c>
      <c r="L1232" s="957" t="s">
        <v>482</v>
      </c>
      <c r="M1232" s="1599" t="str">
        <f t="shared" si="197"/>
        <v/>
      </c>
      <c r="N1232" s="1600" t="str">
        <f t="shared" si="194"/>
        <v/>
      </c>
      <c r="O1232" s="1614" t="str">
        <f t="shared" si="198"/>
        <v/>
      </c>
      <c r="P1232" s="1607" t="str">
        <f t="shared" si="199"/>
        <v/>
      </c>
      <c r="Q1232" s="1600" t="str">
        <f t="shared" si="195"/>
        <v/>
      </c>
      <c r="R1232" s="1614" t="str">
        <f t="shared" si="196"/>
        <v/>
      </c>
      <c r="S1232" s="63"/>
      <c r="T1232" s="63"/>
      <c r="U1232" s="63"/>
      <c r="V1232" s="63"/>
      <c r="W1232" s="81"/>
      <c r="X1232" s="939" t="s">
        <v>482</v>
      </c>
    </row>
    <row r="1233" spans="1:24" ht="11.25" customHeight="1" thickTop="1" thickBot="1">
      <c r="A1233" s="857">
        <v>45</v>
      </c>
      <c r="L1233" s="957" t="s">
        <v>482</v>
      </c>
      <c r="M1233" s="76"/>
      <c r="N1233" s="111" t="s">
        <v>646</v>
      </c>
      <c r="O1233" s="1647" t="str">
        <f>IF(O1225="","NA",IF(MAX(O1225:O1232)&lt;0.3,"YES","NO"))</f>
        <v>NA</v>
      </c>
      <c r="P1233" s="111"/>
      <c r="Q1233" s="111" t="s">
        <v>646</v>
      </c>
      <c r="R1233" s="1647" t="str">
        <f>IF(R1225="","NA",IF(MAX(R1225:R1232)&lt;0.3,"YES","NO"))</f>
        <v>NA</v>
      </c>
      <c r="S1233" s="63"/>
      <c r="T1233" s="63"/>
      <c r="U1233" s="63"/>
      <c r="V1233" s="63"/>
      <c r="W1233" s="81"/>
      <c r="X1233" s="939" t="s">
        <v>482</v>
      </c>
    </row>
    <row r="1234" spans="1:24" ht="11.25" customHeight="1">
      <c r="A1234" s="857">
        <v>46</v>
      </c>
      <c r="L1234" s="957" t="s">
        <v>482</v>
      </c>
      <c r="M1234" s="155"/>
      <c r="N1234" s="162" t="s">
        <v>647</v>
      </c>
      <c r="O1234" s="456" t="s">
        <v>1239</v>
      </c>
      <c r="P1234" s="63"/>
      <c r="Q1234" s="63"/>
      <c r="R1234" s="63"/>
      <c r="S1234" s="63"/>
      <c r="T1234" s="63"/>
      <c r="U1234" s="63"/>
      <c r="V1234" s="63"/>
      <c r="W1234" s="81"/>
      <c r="X1234" s="939" t="s">
        <v>482</v>
      </c>
    </row>
    <row r="1235" spans="1:24" ht="11.25" customHeight="1" thickBot="1">
      <c r="A1235" s="857">
        <v>47</v>
      </c>
      <c r="L1235" s="957" t="s">
        <v>482</v>
      </c>
      <c r="M1235" s="112"/>
      <c r="N1235" s="94"/>
      <c r="O1235" s="94"/>
      <c r="P1235" s="94"/>
      <c r="Q1235" s="94"/>
      <c r="R1235" s="94"/>
      <c r="S1235" s="94"/>
      <c r="T1235" s="94"/>
      <c r="U1235" s="94"/>
      <c r="V1235" s="94"/>
      <c r="W1235" s="99"/>
      <c r="X1235" s="939" t="s">
        <v>482</v>
      </c>
    </row>
    <row r="1236" spans="1:24" ht="11.25" customHeight="1" thickTop="1">
      <c r="A1236" s="857">
        <v>48</v>
      </c>
      <c r="L1236" s="957" t="s">
        <v>482</v>
      </c>
      <c r="X1236" s="939" t="s">
        <v>482</v>
      </c>
    </row>
    <row r="1237" spans="1:24" ht="11.25" customHeight="1">
      <c r="A1237" s="857">
        <v>49</v>
      </c>
      <c r="L1237" s="957" t="s">
        <v>482</v>
      </c>
      <c r="X1237" s="939" t="s">
        <v>482</v>
      </c>
    </row>
    <row r="1238" spans="1:24" ht="11.25" customHeight="1">
      <c r="A1238" s="857">
        <v>50</v>
      </c>
      <c r="L1238" s="957" t="s">
        <v>482</v>
      </c>
      <c r="X1238" s="939" t="s">
        <v>482</v>
      </c>
    </row>
    <row r="1239" spans="1:24" ht="11.25" customHeight="1">
      <c r="A1239" s="857">
        <v>51</v>
      </c>
      <c r="L1239" s="957" t="s">
        <v>482</v>
      </c>
      <c r="X1239" s="939" t="s">
        <v>482</v>
      </c>
    </row>
    <row r="1240" spans="1:24" ht="11.25" customHeight="1">
      <c r="A1240" s="857">
        <v>52</v>
      </c>
      <c r="L1240" s="957" t="s">
        <v>482</v>
      </c>
      <c r="X1240" s="939" t="s">
        <v>482</v>
      </c>
    </row>
    <row r="1241" spans="1:24" ht="11.25" customHeight="1">
      <c r="A1241" s="857">
        <v>53</v>
      </c>
      <c r="L1241" s="957" t="s">
        <v>482</v>
      </c>
      <c r="X1241" s="939" t="s">
        <v>482</v>
      </c>
    </row>
    <row r="1242" spans="1:24" ht="11.25" customHeight="1">
      <c r="A1242" s="857">
        <v>54</v>
      </c>
      <c r="L1242" s="957" t="s">
        <v>482</v>
      </c>
      <c r="X1242" s="939" t="s">
        <v>482</v>
      </c>
    </row>
    <row r="1243" spans="1:24" ht="11.25" customHeight="1">
      <c r="A1243" s="857">
        <v>55</v>
      </c>
      <c r="L1243" s="957" t="s">
        <v>482</v>
      </c>
      <c r="X1243" s="939" t="s">
        <v>482</v>
      </c>
    </row>
    <row r="1244" spans="1:24" ht="11.25" customHeight="1">
      <c r="A1244" s="857">
        <v>56</v>
      </c>
      <c r="L1244" s="957" t="s">
        <v>482</v>
      </c>
      <c r="X1244" s="939" t="s">
        <v>482</v>
      </c>
    </row>
    <row r="1245" spans="1:24" ht="11.25" customHeight="1">
      <c r="A1245" s="857">
        <v>57</v>
      </c>
      <c r="L1245" s="957" t="s">
        <v>482</v>
      </c>
      <c r="X1245" s="939" t="s">
        <v>482</v>
      </c>
    </row>
    <row r="1246" spans="1:24" ht="11.25" customHeight="1">
      <c r="A1246" s="857">
        <v>58</v>
      </c>
      <c r="L1246" s="957" t="s">
        <v>482</v>
      </c>
      <c r="X1246" s="939" t="s">
        <v>482</v>
      </c>
    </row>
    <row r="1247" spans="1:24" ht="11.25" customHeight="1">
      <c r="A1247" s="857">
        <v>59</v>
      </c>
      <c r="L1247" s="957" t="s">
        <v>482</v>
      </c>
      <c r="X1247" s="939" t="s">
        <v>482</v>
      </c>
    </row>
    <row r="1248" spans="1:24" ht="11.25" customHeight="1">
      <c r="A1248" s="857">
        <v>60</v>
      </c>
      <c r="L1248" s="957" t="s">
        <v>482</v>
      </c>
      <c r="X1248" s="939" t="s">
        <v>482</v>
      </c>
    </row>
    <row r="1249" spans="1:24" ht="11.25" customHeight="1">
      <c r="A1249" s="857">
        <v>61</v>
      </c>
      <c r="L1249" s="957" t="s">
        <v>482</v>
      </c>
      <c r="X1249" s="939" t="s">
        <v>482</v>
      </c>
    </row>
    <row r="1250" spans="1:24" ht="11.25" customHeight="1">
      <c r="A1250" s="857">
        <v>62</v>
      </c>
      <c r="L1250" s="957" t="s">
        <v>482</v>
      </c>
      <c r="X1250" s="939" t="s">
        <v>482</v>
      </c>
    </row>
    <row r="1251" spans="1:24" ht="11.25" customHeight="1">
      <c r="A1251" s="857">
        <v>63</v>
      </c>
      <c r="L1251" s="957" t="s">
        <v>482</v>
      </c>
      <c r="X1251" s="939" t="s">
        <v>482</v>
      </c>
    </row>
    <row r="1252" spans="1:24" ht="11.25" customHeight="1">
      <c r="A1252" s="857">
        <v>64</v>
      </c>
      <c r="L1252" s="957" t="s">
        <v>482</v>
      </c>
      <c r="X1252" s="939" t="s">
        <v>482</v>
      </c>
    </row>
    <row r="1253" spans="1:24" ht="11.25" customHeight="1">
      <c r="A1253" s="857">
        <v>65</v>
      </c>
      <c r="B1253" s="60" t="str">
        <f t="array" ref="B1253:C1254">$B$65:$C$66</f>
        <v>Date:</v>
      </c>
      <c r="C1253" s="1664" t="str">
        <v/>
      </c>
      <c r="D1253" s="136"/>
      <c r="E1253" s="59"/>
      <c r="F1253" s="59"/>
      <c r="G1253" s="59"/>
      <c r="H1253" s="59"/>
      <c r="I1253" s="60" t="str">
        <f t="array" ref="I1253:J1254">$I$65:$J$66</f>
        <v>Inspector:</v>
      </c>
      <c r="J1253" s="554" t="str">
        <v>Eugene Mah</v>
      </c>
      <c r="L1253" s="957" t="s">
        <v>482</v>
      </c>
      <c r="X1253" s="939" t="s">
        <v>482</v>
      </c>
    </row>
    <row r="1254" spans="1:24" ht="11.25" customHeight="1">
      <c r="A1254" s="857">
        <v>66</v>
      </c>
      <c r="B1254" s="60" t="str">
        <v>Room Number:</v>
      </c>
      <c r="C1254" s="499" t="str">
        <v/>
      </c>
      <c r="D1254" s="63"/>
      <c r="E1254" s="59"/>
      <c r="F1254" s="59"/>
      <c r="G1254" s="59"/>
      <c r="H1254" s="59"/>
      <c r="I1254" s="60" t="str">
        <v>Survey ID:</v>
      </c>
      <c r="J1254" s="1404" t="str">
        <v/>
      </c>
      <c r="L1254" s="957" t="s">
        <v>482</v>
      </c>
      <c r="X1254" s="939" t="s">
        <v>482</v>
      </c>
    </row>
    <row r="1255" spans="1:24" ht="11.25" customHeight="1">
      <c r="A1255" s="857">
        <v>1</v>
      </c>
      <c r="B1255" s="1"/>
      <c r="C1255" s="1"/>
      <c r="D1255" s="1"/>
      <c r="E1255" s="1"/>
      <c r="H1255" s="1"/>
      <c r="I1255" s="1"/>
      <c r="J1255" s="1"/>
      <c r="K1255" s="161" t="str">
        <f>$F$2</f>
        <v>Medical University of South Carolina</v>
      </c>
      <c r="L1255" s="957" t="s">
        <v>482</v>
      </c>
      <c r="X1255" s="939" t="s">
        <v>482</v>
      </c>
    </row>
    <row r="1256" spans="1:24" ht="11.25" customHeight="1">
      <c r="A1256" s="857">
        <v>2</v>
      </c>
      <c r="F1256" s="336" t="str">
        <f>$F$464</f>
        <v>Measurement Data</v>
      </c>
      <c r="K1256" s="162" t="str">
        <f>$F$5</f>
        <v>Radiographic System Compliance Inspection</v>
      </c>
      <c r="L1256" s="957" t="s">
        <v>482</v>
      </c>
      <c r="X1256" s="939" t="s">
        <v>482</v>
      </c>
    </row>
    <row r="1257" spans="1:24" ht="11.25" customHeight="1">
      <c r="A1257" s="857">
        <v>3</v>
      </c>
      <c r="F1257" s="50"/>
      <c r="L1257" s="957" t="s">
        <v>482</v>
      </c>
      <c r="X1257" s="939" t="s">
        <v>482</v>
      </c>
    </row>
    <row r="1258" spans="1:24" ht="11.25" customHeight="1">
      <c r="A1258" s="857">
        <v>4</v>
      </c>
      <c r="L1258" s="957" t="s">
        <v>482</v>
      </c>
      <c r="X1258" s="939" t="s">
        <v>482</v>
      </c>
    </row>
    <row r="1259" spans="1:24" ht="11.25" customHeight="1">
      <c r="A1259" s="857">
        <v>5</v>
      </c>
      <c r="L1259" s="957" t="s">
        <v>482</v>
      </c>
      <c r="X1259" s="939" t="s">
        <v>482</v>
      </c>
    </row>
    <row r="1260" spans="1:24" ht="11.25" customHeight="1">
      <c r="A1260" s="857">
        <v>6</v>
      </c>
      <c r="L1260" s="957" t="s">
        <v>482</v>
      </c>
      <c r="X1260" s="939" t="s">
        <v>482</v>
      </c>
    </row>
    <row r="1261" spans="1:24" ht="11.25" customHeight="1">
      <c r="A1261" s="857">
        <v>7</v>
      </c>
      <c r="L1261" s="957" t="s">
        <v>482</v>
      </c>
      <c r="X1261" s="939" t="s">
        <v>482</v>
      </c>
    </row>
    <row r="1262" spans="1:24" ht="11.25" customHeight="1">
      <c r="A1262" s="857">
        <v>8</v>
      </c>
      <c r="L1262" s="957" t="s">
        <v>482</v>
      </c>
      <c r="X1262" s="939" t="s">
        <v>482</v>
      </c>
    </row>
    <row r="1263" spans="1:24" ht="11.25" customHeight="1">
      <c r="A1263" s="857">
        <v>9</v>
      </c>
      <c r="L1263" s="957" t="s">
        <v>482</v>
      </c>
      <c r="X1263" s="939" t="s">
        <v>482</v>
      </c>
    </row>
    <row r="1264" spans="1:24" ht="11.25" customHeight="1">
      <c r="A1264" s="857">
        <v>10</v>
      </c>
      <c r="L1264" s="957" t="s">
        <v>482</v>
      </c>
      <c r="X1264" s="939" t="s">
        <v>482</v>
      </c>
    </row>
    <row r="1265" spans="1:24" ht="11.25" customHeight="1">
      <c r="A1265" s="857">
        <v>11</v>
      </c>
      <c r="L1265" s="957" t="s">
        <v>482</v>
      </c>
      <c r="X1265" s="939" t="s">
        <v>482</v>
      </c>
    </row>
    <row r="1266" spans="1:24" ht="11.25" customHeight="1">
      <c r="A1266" s="857">
        <v>12</v>
      </c>
      <c r="L1266" s="957" t="s">
        <v>482</v>
      </c>
      <c r="X1266" s="939" t="s">
        <v>482</v>
      </c>
    </row>
    <row r="1267" spans="1:24" ht="11.25" customHeight="1">
      <c r="A1267" s="857">
        <v>13</v>
      </c>
      <c r="L1267" s="957" t="s">
        <v>482</v>
      </c>
      <c r="X1267" s="939" t="s">
        <v>482</v>
      </c>
    </row>
    <row r="1268" spans="1:24" ht="11.25" customHeight="1">
      <c r="A1268" s="857">
        <v>14</v>
      </c>
      <c r="L1268" s="957" t="s">
        <v>482</v>
      </c>
      <c r="X1268" s="939" t="s">
        <v>482</v>
      </c>
    </row>
    <row r="1269" spans="1:24" ht="11.25" customHeight="1">
      <c r="A1269" s="857">
        <v>15</v>
      </c>
      <c r="L1269" s="957" t="s">
        <v>482</v>
      </c>
      <c r="X1269" s="939" t="s">
        <v>482</v>
      </c>
    </row>
    <row r="1270" spans="1:24" ht="11.25" customHeight="1">
      <c r="A1270" s="857">
        <v>16</v>
      </c>
      <c r="L1270" s="957" t="s">
        <v>482</v>
      </c>
      <c r="X1270" s="939" t="s">
        <v>482</v>
      </c>
    </row>
    <row r="1271" spans="1:24" ht="11.25" customHeight="1">
      <c r="A1271" s="857">
        <v>17</v>
      </c>
      <c r="L1271" s="957" t="s">
        <v>482</v>
      </c>
      <c r="X1271" s="939" t="s">
        <v>482</v>
      </c>
    </row>
    <row r="1272" spans="1:24" ht="11.25" customHeight="1">
      <c r="A1272" s="857">
        <v>18</v>
      </c>
      <c r="L1272" s="957" t="s">
        <v>482</v>
      </c>
      <c r="X1272" s="939" t="s">
        <v>482</v>
      </c>
    </row>
    <row r="1273" spans="1:24" ht="11.25" customHeight="1">
      <c r="A1273" s="857">
        <v>19</v>
      </c>
      <c r="L1273" s="957" t="s">
        <v>482</v>
      </c>
      <c r="X1273" s="939" t="s">
        <v>482</v>
      </c>
    </row>
    <row r="1274" spans="1:24" ht="11.25" customHeight="1">
      <c r="A1274" s="857">
        <v>20</v>
      </c>
      <c r="L1274" s="957" t="s">
        <v>482</v>
      </c>
      <c r="X1274" s="939" t="s">
        <v>482</v>
      </c>
    </row>
    <row r="1275" spans="1:24" ht="11.25" customHeight="1">
      <c r="A1275" s="857">
        <v>21</v>
      </c>
      <c r="L1275" s="957" t="s">
        <v>482</v>
      </c>
      <c r="X1275" s="939" t="s">
        <v>482</v>
      </c>
    </row>
    <row r="1276" spans="1:24" ht="11.25" customHeight="1">
      <c r="A1276" s="857">
        <v>22</v>
      </c>
      <c r="L1276" s="957" t="s">
        <v>482</v>
      </c>
      <c r="X1276" s="939" t="s">
        <v>482</v>
      </c>
    </row>
    <row r="1277" spans="1:24" ht="11.25" customHeight="1">
      <c r="A1277" s="857">
        <v>23</v>
      </c>
      <c r="L1277" s="957" t="s">
        <v>482</v>
      </c>
      <c r="X1277" s="939" t="s">
        <v>482</v>
      </c>
    </row>
    <row r="1278" spans="1:24" ht="11.25" customHeight="1">
      <c r="A1278" s="857">
        <v>24</v>
      </c>
      <c r="L1278" s="957" t="s">
        <v>482</v>
      </c>
      <c r="X1278" s="939" t="s">
        <v>482</v>
      </c>
    </row>
    <row r="1279" spans="1:24" ht="11.25" customHeight="1">
      <c r="A1279" s="857">
        <v>25</v>
      </c>
      <c r="L1279" s="957" t="s">
        <v>482</v>
      </c>
      <c r="X1279" s="939" t="s">
        <v>482</v>
      </c>
    </row>
    <row r="1280" spans="1:24" ht="11.25" customHeight="1">
      <c r="A1280" s="857">
        <v>26</v>
      </c>
      <c r="L1280" s="957" t="s">
        <v>482</v>
      </c>
      <c r="X1280" s="939" t="s">
        <v>482</v>
      </c>
    </row>
    <row r="1281" spans="1:31" ht="11.25" customHeight="1">
      <c r="A1281" s="857">
        <v>27</v>
      </c>
      <c r="L1281" s="957" t="s">
        <v>482</v>
      </c>
      <c r="X1281" s="939" t="s">
        <v>482</v>
      </c>
    </row>
    <row r="1282" spans="1:31" ht="11.25" customHeight="1">
      <c r="A1282" s="857">
        <v>28</v>
      </c>
      <c r="L1282" s="957" t="s">
        <v>482</v>
      </c>
      <c r="X1282" s="939" t="s">
        <v>482</v>
      </c>
    </row>
    <row r="1283" spans="1:31" ht="11.25" customHeight="1">
      <c r="A1283" s="857">
        <v>29</v>
      </c>
      <c r="L1283" s="957" t="s">
        <v>482</v>
      </c>
      <c r="X1283" s="939" t="s">
        <v>482</v>
      </c>
    </row>
    <row r="1284" spans="1:31" ht="11.25" customHeight="1">
      <c r="A1284" s="857">
        <v>30</v>
      </c>
      <c r="L1284" s="957" t="s">
        <v>482</v>
      </c>
      <c r="X1284" s="939" t="s">
        <v>482</v>
      </c>
    </row>
    <row r="1285" spans="1:31" ht="11.25" customHeight="1">
      <c r="A1285" s="857">
        <v>31</v>
      </c>
      <c r="L1285" s="957" t="s">
        <v>482</v>
      </c>
      <c r="X1285" s="939" t="s">
        <v>482</v>
      </c>
      <c r="AC1285"/>
      <c r="AD1285"/>
      <c r="AE1285"/>
    </row>
    <row r="1286" spans="1:31" ht="11.25" customHeight="1">
      <c r="A1286" s="857">
        <v>32</v>
      </c>
      <c r="L1286" s="957" t="s">
        <v>482</v>
      </c>
      <c r="X1286" s="939" t="s">
        <v>482</v>
      </c>
      <c r="AC1286"/>
      <c r="AD1286"/>
      <c r="AE1286"/>
    </row>
    <row r="1287" spans="1:31" ht="11.25" customHeight="1">
      <c r="A1287" s="857">
        <v>33</v>
      </c>
      <c r="L1287" s="957" t="s">
        <v>482</v>
      </c>
      <c r="X1287" s="939" t="s">
        <v>482</v>
      </c>
      <c r="AC1287"/>
      <c r="AD1287"/>
      <c r="AE1287"/>
    </row>
    <row r="1288" spans="1:31" ht="11.25" customHeight="1">
      <c r="A1288" s="857">
        <v>34</v>
      </c>
      <c r="L1288" s="957" t="s">
        <v>482</v>
      </c>
      <c r="X1288" s="939" t="s">
        <v>482</v>
      </c>
      <c r="AC1288"/>
      <c r="AD1288"/>
      <c r="AE1288"/>
    </row>
    <row r="1289" spans="1:31" ht="11.25" customHeight="1">
      <c r="A1289" s="857">
        <v>35</v>
      </c>
      <c r="L1289" s="957" t="s">
        <v>482</v>
      </c>
      <c r="X1289" s="939" t="s">
        <v>482</v>
      </c>
      <c r="AC1289"/>
      <c r="AD1289"/>
      <c r="AE1289"/>
    </row>
    <row r="1290" spans="1:31" ht="11.25" customHeight="1">
      <c r="A1290" s="857">
        <v>36</v>
      </c>
      <c r="L1290" s="957" t="s">
        <v>482</v>
      </c>
      <c r="X1290" s="939" t="s">
        <v>482</v>
      </c>
      <c r="AC1290"/>
      <c r="AD1290"/>
      <c r="AE1290"/>
    </row>
    <row r="1291" spans="1:31" ht="11.25" customHeight="1">
      <c r="A1291" s="857">
        <v>37</v>
      </c>
      <c r="L1291" s="957" t="s">
        <v>482</v>
      </c>
      <c r="X1291" s="939" t="s">
        <v>482</v>
      </c>
      <c r="AC1291"/>
      <c r="AD1291"/>
      <c r="AE1291"/>
    </row>
    <row r="1292" spans="1:31" ht="11.25" customHeight="1">
      <c r="A1292" s="857">
        <v>38</v>
      </c>
      <c r="L1292" s="957" t="s">
        <v>482</v>
      </c>
      <c r="X1292" s="939" t="s">
        <v>482</v>
      </c>
      <c r="AC1292"/>
      <c r="AD1292"/>
      <c r="AE1292"/>
    </row>
    <row r="1293" spans="1:31" ht="11.25" customHeight="1">
      <c r="A1293" s="857">
        <v>39</v>
      </c>
      <c r="L1293" s="957" t="s">
        <v>482</v>
      </c>
      <c r="X1293" s="939" t="s">
        <v>482</v>
      </c>
      <c r="AC1293"/>
      <c r="AD1293"/>
      <c r="AE1293"/>
    </row>
    <row r="1294" spans="1:31" ht="11.25" customHeight="1">
      <c r="A1294" s="857">
        <v>40</v>
      </c>
      <c r="L1294" s="957" t="s">
        <v>482</v>
      </c>
      <c r="X1294" s="939" t="s">
        <v>482</v>
      </c>
      <c r="AC1294"/>
      <c r="AD1294"/>
      <c r="AE1294"/>
    </row>
    <row r="1295" spans="1:31" ht="11.25" customHeight="1">
      <c r="A1295" s="857">
        <v>41</v>
      </c>
      <c r="L1295" s="957" t="s">
        <v>482</v>
      </c>
      <c r="X1295" s="939" t="s">
        <v>482</v>
      </c>
      <c r="AC1295"/>
      <c r="AD1295"/>
      <c r="AE1295"/>
    </row>
    <row r="1296" spans="1:31" ht="11.25" customHeight="1">
      <c r="A1296" s="857">
        <v>42</v>
      </c>
      <c r="L1296" s="957" t="s">
        <v>482</v>
      </c>
      <c r="X1296" s="939" t="s">
        <v>482</v>
      </c>
      <c r="AC1296"/>
      <c r="AD1296"/>
      <c r="AE1296"/>
    </row>
    <row r="1297" spans="1:24" ht="11.25" customHeight="1">
      <c r="A1297" s="857">
        <v>43</v>
      </c>
      <c r="L1297" s="957" t="s">
        <v>482</v>
      </c>
      <c r="X1297" s="939" t="s">
        <v>482</v>
      </c>
    </row>
    <row r="1298" spans="1:24" ht="11.25" customHeight="1">
      <c r="A1298" s="857">
        <v>44</v>
      </c>
      <c r="L1298" s="957" t="s">
        <v>482</v>
      </c>
      <c r="X1298" s="939" t="s">
        <v>482</v>
      </c>
    </row>
    <row r="1299" spans="1:24" ht="11.25" customHeight="1">
      <c r="A1299" s="857">
        <v>45</v>
      </c>
      <c r="L1299" s="957" t="s">
        <v>482</v>
      </c>
      <c r="X1299" s="939" t="s">
        <v>482</v>
      </c>
    </row>
    <row r="1300" spans="1:24" ht="11.25" customHeight="1">
      <c r="A1300" s="857">
        <v>46</v>
      </c>
      <c r="L1300" s="957" t="s">
        <v>482</v>
      </c>
      <c r="X1300" s="939" t="s">
        <v>482</v>
      </c>
    </row>
    <row r="1301" spans="1:24" ht="11.25" customHeight="1">
      <c r="A1301" s="857">
        <v>47</v>
      </c>
      <c r="L1301" s="957" t="s">
        <v>482</v>
      </c>
      <c r="X1301" s="939" t="s">
        <v>482</v>
      </c>
    </row>
    <row r="1302" spans="1:24" ht="11.25" customHeight="1">
      <c r="A1302" s="857">
        <v>48</v>
      </c>
      <c r="L1302" s="957" t="s">
        <v>482</v>
      </c>
      <c r="X1302" s="939" t="s">
        <v>482</v>
      </c>
    </row>
    <row r="1303" spans="1:24" ht="11.25" customHeight="1">
      <c r="A1303" s="857">
        <v>49</v>
      </c>
      <c r="L1303" s="957" t="s">
        <v>482</v>
      </c>
      <c r="X1303" s="939" t="s">
        <v>482</v>
      </c>
    </row>
    <row r="1304" spans="1:24" ht="11.25" customHeight="1">
      <c r="A1304" s="857">
        <v>50</v>
      </c>
      <c r="L1304" s="957" t="s">
        <v>482</v>
      </c>
      <c r="X1304" s="939" t="s">
        <v>482</v>
      </c>
    </row>
    <row r="1305" spans="1:24" ht="11.25" customHeight="1">
      <c r="A1305" s="857">
        <v>51</v>
      </c>
      <c r="L1305" s="957" t="s">
        <v>482</v>
      </c>
      <c r="X1305" s="939" t="s">
        <v>482</v>
      </c>
    </row>
    <row r="1306" spans="1:24" ht="11.25" customHeight="1">
      <c r="A1306" s="857">
        <v>52</v>
      </c>
      <c r="L1306" s="957" t="s">
        <v>482</v>
      </c>
      <c r="X1306" s="939" t="s">
        <v>482</v>
      </c>
    </row>
    <row r="1307" spans="1:24" ht="11.25" customHeight="1">
      <c r="A1307" s="857">
        <v>53</v>
      </c>
      <c r="L1307" s="957" t="s">
        <v>482</v>
      </c>
      <c r="X1307" s="939" t="s">
        <v>482</v>
      </c>
    </row>
    <row r="1308" spans="1:24" ht="11.25" customHeight="1">
      <c r="A1308" s="857">
        <v>54</v>
      </c>
      <c r="L1308" s="957" t="s">
        <v>482</v>
      </c>
      <c r="X1308" s="939" t="s">
        <v>482</v>
      </c>
    </row>
    <row r="1309" spans="1:24" ht="11.25" customHeight="1">
      <c r="A1309" s="857">
        <v>55</v>
      </c>
      <c r="L1309" s="957" t="s">
        <v>482</v>
      </c>
      <c r="X1309" s="939" t="s">
        <v>482</v>
      </c>
    </row>
    <row r="1310" spans="1:24" ht="11.25" customHeight="1">
      <c r="A1310" s="857">
        <v>56</v>
      </c>
      <c r="L1310" s="957" t="s">
        <v>482</v>
      </c>
      <c r="X1310" s="939" t="s">
        <v>482</v>
      </c>
    </row>
    <row r="1311" spans="1:24" ht="11.25" customHeight="1">
      <c r="A1311" s="857">
        <v>57</v>
      </c>
      <c r="L1311" s="957" t="s">
        <v>482</v>
      </c>
      <c r="X1311" s="939" t="s">
        <v>482</v>
      </c>
    </row>
    <row r="1312" spans="1:24" ht="11.25" customHeight="1">
      <c r="A1312" s="857">
        <v>58</v>
      </c>
      <c r="L1312" s="957" t="s">
        <v>482</v>
      </c>
      <c r="X1312" s="939" t="s">
        <v>482</v>
      </c>
    </row>
    <row r="1313" spans="1:24" ht="11.25" customHeight="1">
      <c r="A1313" s="857">
        <v>59</v>
      </c>
      <c r="L1313" s="957" t="s">
        <v>482</v>
      </c>
      <c r="X1313" s="939" t="s">
        <v>482</v>
      </c>
    </row>
    <row r="1314" spans="1:24" ht="11.25" customHeight="1">
      <c r="A1314" s="857">
        <v>60</v>
      </c>
      <c r="L1314" s="957" t="s">
        <v>482</v>
      </c>
      <c r="X1314" s="939" t="s">
        <v>482</v>
      </c>
    </row>
    <row r="1315" spans="1:24" ht="11.25" customHeight="1">
      <c r="A1315" s="857">
        <v>61</v>
      </c>
      <c r="L1315" s="957" t="s">
        <v>482</v>
      </c>
      <c r="X1315" s="939" t="s">
        <v>482</v>
      </c>
    </row>
    <row r="1316" spans="1:24" ht="11.25" customHeight="1">
      <c r="A1316" s="857">
        <v>62</v>
      </c>
      <c r="L1316" s="957" t="s">
        <v>482</v>
      </c>
      <c r="X1316" s="939" t="s">
        <v>482</v>
      </c>
    </row>
    <row r="1317" spans="1:24" ht="11.25" customHeight="1">
      <c r="A1317" s="857">
        <v>63</v>
      </c>
      <c r="L1317" s="957" t="s">
        <v>482</v>
      </c>
      <c r="X1317" s="939" t="s">
        <v>482</v>
      </c>
    </row>
    <row r="1318" spans="1:24" ht="11.25" customHeight="1">
      <c r="A1318" s="857">
        <v>64</v>
      </c>
      <c r="L1318" s="957" t="s">
        <v>482</v>
      </c>
      <c r="X1318" s="939" t="s">
        <v>482</v>
      </c>
    </row>
    <row r="1319" spans="1:24" ht="11.25" customHeight="1">
      <c r="A1319" s="857">
        <v>65</v>
      </c>
      <c r="B1319" s="60" t="str">
        <f t="array" ref="B1319:C1320">$B$65:$C$66</f>
        <v>Date:</v>
      </c>
      <c r="C1319" s="1664" t="str">
        <v/>
      </c>
      <c r="D1319" s="136"/>
      <c r="E1319" s="59"/>
      <c r="F1319" s="59"/>
      <c r="G1319" s="59"/>
      <c r="H1319" s="59"/>
      <c r="I1319" s="60" t="str">
        <f t="array" ref="I1319:J1320">$I$65:$J$66</f>
        <v>Inspector:</v>
      </c>
      <c r="J1319" s="554" t="str">
        <v>Eugene Mah</v>
      </c>
      <c r="L1319" s="957" t="s">
        <v>482</v>
      </c>
      <c r="X1319" s="939" t="s">
        <v>482</v>
      </c>
    </row>
    <row r="1320" spans="1:24" ht="11.25" customHeight="1">
      <c r="A1320" s="857">
        <v>66</v>
      </c>
      <c r="B1320" s="60" t="str">
        <v>Room Number:</v>
      </c>
      <c r="C1320" s="499" t="str">
        <v/>
      </c>
      <c r="D1320" s="63"/>
      <c r="E1320" s="59"/>
      <c r="F1320" s="59"/>
      <c r="G1320" s="59"/>
      <c r="H1320" s="59"/>
      <c r="I1320" s="60" t="str">
        <v>Survey ID:</v>
      </c>
      <c r="J1320" s="1404" t="str">
        <v/>
      </c>
      <c r="L1320" s="957" t="s">
        <v>482</v>
      </c>
      <c r="X1320" s="939" t="s">
        <v>482</v>
      </c>
    </row>
    <row r="1321" spans="1:24" ht="11.25" customHeight="1">
      <c r="A1321" s="857">
        <v>1</v>
      </c>
      <c r="B1321" s="1"/>
      <c r="C1321" s="1"/>
      <c r="D1321" s="1"/>
      <c r="E1321" s="1"/>
      <c r="H1321" s="1"/>
      <c r="I1321" s="1"/>
      <c r="J1321" s="1"/>
      <c r="K1321" s="161" t="str">
        <f>$F$2</f>
        <v>Medical University of South Carolina</v>
      </c>
      <c r="L1321" s="957" t="s">
        <v>482</v>
      </c>
      <c r="X1321" s="939" t="s">
        <v>482</v>
      </c>
    </row>
    <row r="1322" spans="1:24" ht="11.25" customHeight="1">
      <c r="A1322" s="857">
        <v>2</v>
      </c>
      <c r="F1322" s="336" t="str">
        <f>$F$464</f>
        <v>Measurement Data</v>
      </c>
      <c r="K1322" s="162" t="str">
        <f>$F$5</f>
        <v>Radiographic System Compliance Inspection</v>
      </c>
      <c r="L1322" s="957" t="s">
        <v>482</v>
      </c>
      <c r="X1322" s="939" t="s">
        <v>482</v>
      </c>
    </row>
    <row r="1323" spans="1:24" ht="11.25" customHeight="1">
      <c r="A1323" s="857">
        <v>3</v>
      </c>
      <c r="F1323" s="50"/>
      <c r="L1323" s="957" t="s">
        <v>482</v>
      </c>
      <c r="X1323" s="939" t="s">
        <v>482</v>
      </c>
    </row>
    <row r="1324" spans="1:24" ht="11.25" customHeight="1">
      <c r="A1324" s="857">
        <v>4</v>
      </c>
      <c r="L1324" s="957" t="s">
        <v>482</v>
      </c>
      <c r="X1324" s="939" t="s">
        <v>482</v>
      </c>
    </row>
    <row r="1325" spans="1:24" ht="11.25" customHeight="1">
      <c r="A1325" s="857">
        <v>5</v>
      </c>
      <c r="L1325" s="957" t="s">
        <v>482</v>
      </c>
      <c r="X1325" s="939" t="s">
        <v>482</v>
      </c>
    </row>
    <row r="1326" spans="1:24" ht="11.25" customHeight="1">
      <c r="A1326" s="857">
        <v>6</v>
      </c>
      <c r="L1326" s="957" t="s">
        <v>482</v>
      </c>
      <c r="X1326" s="939" t="s">
        <v>482</v>
      </c>
    </row>
    <row r="1327" spans="1:24" ht="11.25" customHeight="1">
      <c r="A1327" s="857">
        <v>7</v>
      </c>
      <c r="L1327" s="957" t="s">
        <v>482</v>
      </c>
      <c r="X1327" s="939" t="s">
        <v>482</v>
      </c>
    </row>
    <row r="1328" spans="1:24" ht="11.25" customHeight="1">
      <c r="A1328" s="857">
        <v>8</v>
      </c>
      <c r="L1328" s="957" t="s">
        <v>482</v>
      </c>
      <c r="X1328" s="939" t="s">
        <v>482</v>
      </c>
    </row>
    <row r="1329" spans="1:24" ht="11.25" customHeight="1">
      <c r="A1329" s="857">
        <v>9</v>
      </c>
      <c r="L1329" s="957" t="s">
        <v>482</v>
      </c>
      <c r="X1329" s="939" t="s">
        <v>482</v>
      </c>
    </row>
    <row r="1330" spans="1:24" ht="11.25" customHeight="1">
      <c r="A1330" s="857">
        <v>10</v>
      </c>
      <c r="L1330" s="957" t="s">
        <v>482</v>
      </c>
      <c r="X1330" s="939" t="s">
        <v>482</v>
      </c>
    </row>
    <row r="1331" spans="1:24" ht="11.25" customHeight="1">
      <c r="A1331" s="857">
        <v>11</v>
      </c>
      <c r="L1331" s="957" t="s">
        <v>482</v>
      </c>
      <c r="X1331" s="939" t="s">
        <v>482</v>
      </c>
    </row>
    <row r="1332" spans="1:24" ht="11.25" customHeight="1">
      <c r="A1332" s="857">
        <v>12</v>
      </c>
      <c r="L1332" s="957" t="s">
        <v>482</v>
      </c>
      <c r="X1332" s="939" t="s">
        <v>482</v>
      </c>
    </row>
    <row r="1333" spans="1:24" ht="11.25" customHeight="1">
      <c r="A1333" s="857">
        <v>13</v>
      </c>
      <c r="L1333" s="957" t="s">
        <v>482</v>
      </c>
      <c r="X1333" s="939" t="s">
        <v>482</v>
      </c>
    </row>
    <row r="1334" spans="1:24" ht="11.25" customHeight="1">
      <c r="A1334" s="857">
        <v>14</v>
      </c>
      <c r="L1334" s="957" t="s">
        <v>482</v>
      </c>
      <c r="X1334" s="939" t="s">
        <v>482</v>
      </c>
    </row>
    <row r="1335" spans="1:24" ht="11.25" customHeight="1">
      <c r="A1335" s="857">
        <v>15</v>
      </c>
      <c r="L1335" s="957" t="s">
        <v>482</v>
      </c>
      <c r="X1335" s="939" t="s">
        <v>482</v>
      </c>
    </row>
    <row r="1336" spans="1:24" ht="11.25" customHeight="1">
      <c r="A1336" s="857">
        <v>16</v>
      </c>
      <c r="L1336" s="957" t="s">
        <v>482</v>
      </c>
      <c r="X1336" s="939" t="s">
        <v>482</v>
      </c>
    </row>
    <row r="1337" spans="1:24" ht="11.25" customHeight="1">
      <c r="A1337" s="857">
        <v>17</v>
      </c>
      <c r="L1337" s="957" t="s">
        <v>482</v>
      </c>
      <c r="X1337" s="939" t="s">
        <v>482</v>
      </c>
    </row>
    <row r="1338" spans="1:24" ht="11.25" customHeight="1">
      <c r="A1338" s="857">
        <v>18</v>
      </c>
      <c r="L1338" s="957" t="s">
        <v>482</v>
      </c>
      <c r="X1338" s="939" t="s">
        <v>482</v>
      </c>
    </row>
    <row r="1339" spans="1:24" ht="11.25" customHeight="1">
      <c r="A1339" s="857">
        <v>19</v>
      </c>
      <c r="L1339" s="957" t="s">
        <v>482</v>
      </c>
      <c r="X1339" s="939" t="s">
        <v>482</v>
      </c>
    </row>
    <row r="1340" spans="1:24" ht="11.25" customHeight="1">
      <c r="A1340" s="857">
        <v>20</v>
      </c>
      <c r="L1340" s="957" t="s">
        <v>482</v>
      </c>
      <c r="X1340" s="939" t="s">
        <v>482</v>
      </c>
    </row>
    <row r="1341" spans="1:24" ht="11.25" customHeight="1">
      <c r="A1341" s="857">
        <v>21</v>
      </c>
      <c r="L1341" s="957" t="s">
        <v>482</v>
      </c>
      <c r="X1341" s="939" t="s">
        <v>482</v>
      </c>
    </row>
    <row r="1342" spans="1:24" ht="11.25" customHeight="1">
      <c r="A1342" s="857">
        <v>22</v>
      </c>
      <c r="L1342" s="957" t="s">
        <v>482</v>
      </c>
      <c r="X1342" s="939" t="s">
        <v>482</v>
      </c>
    </row>
    <row r="1343" spans="1:24" ht="11.25" customHeight="1">
      <c r="A1343" s="857">
        <v>23</v>
      </c>
      <c r="L1343" s="957" t="s">
        <v>482</v>
      </c>
      <c r="X1343" s="939" t="s">
        <v>482</v>
      </c>
    </row>
    <row r="1344" spans="1:24" ht="11.25" customHeight="1">
      <c r="A1344" s="857">
        <v>24</v>
      </c>
      <c r="L1344" s="957" t="s">
        <v>482</v>
      </c>
      <c r="X1344" s="939" t="s">
        <v>482</v>
      </c>
    </row>
    <row r="1345" spans="1:29" ht="11.25" customHeight="1">
      <c r="A1345" s="857">
        <v>25</v>
      </c>
      <c r="L1345" s="957" t="s">
        <v>482</v>
      </c>
      <c r="X1345" s="939" t="s">
        <v>482</v>
      </c>
    </row>
    <row r="1346" spans="1:29" ht="11.25" customHeight="1">
      <c r="A1346" s="857">
        <v>26</v>
      </c>
      <c r="L1346" s="957" t="s">
        <v>482</v>
      </c>
      <c r="X1346" s="939" t="s">
        <v>482</v>
      </c>
    </row>
    <row r="1347" spans="1:29" ht="11.25" customHeight="1">
      <c r="A1347" s="857">
        <v>27</v>
      </c>
      <c r="L1347" s="957" t="s">
        <v>482</v>
      </c>
      <c r="X1347" s="939" t="s">
        <v>482</v>
      </c>
    </row>
    <row r="1348" spans="1:29" ht="11.25" customHeight="1">
      <c r="A1348" s="857">
        <v>28</v>
      </c>
      <c r="L1348" s="957" t="s">
        <v>482</v>
      </c>
      <c r="X1348" s="939" t="s">
        <v>482</v>
      </c>
    </row>
    <row r="1349" spans="1:29" ht="11.25" customHeight="1">
      <c r="A1349" s="857">
        <v>29</v>
      </c>
      <c r="L1349" s="957" t="s">
        <v>482</v>
      </c>
      <c r="X1349" s="939" t="s">
        <v>482</v>
      </c>
    </row>
    <row r="1350" spans="1:29" ht="11.25" customHeight="1">
      <c r="A1350" s="857">
        <v>30</v>
      </c>
      <c r="L1350" s="957" t="s">
        <v>482</v>
      </c>
      <c r="X1350" s="939" t="s">
        <v>482</v>
      </c>
    </row>
    <row r="1351" spans="1:29" ht="11.25" customHeight="1">
      <c r="A1351" s="857">
        <v>31</v>
      </c>
      <c r="L1351" s="957" t="s">
        <v>482</v>
      </c>
      <c r="X1351" s="939" t="s">
        <v>482</v>
      </c>
      <c r="AC1351"/>
    </row>
    <row r="1352" spans="1:29" ht="11.25" customHeight="1">
      <c r="A1352" s="857">
        <v>32</v>
      </c>
      <c r="L1352" s="957" t="s">
        <v>482</v>
      </c>
      <c r="X1352" s="939" t="s">
        <v>482</v>
      </c>
      <c r="AC1352"/>
    </row>
    <row r="1353" spans="1:29" ht="11.25" customHeight="1">
      <c r="A1353" s="857">
        <v>33</v>
      </c>
      <c r="L1353" s="957" t="s">
        <v>482</v>
      </c>
      <c r="X1353" s="939" t="s">
        <v>482</v>
      </c>
      <c r="AC1353"/>
    </row>
    <row r="1354" spans="1:29" ht="11.25" customHeight="1">
      <c r="A1354" s="857">
        <v>34</v>
      </c>
      <c r="L1354" s="957" t="s">
        <v>482</v>
      </c>
      <c r="X1354" s="939" t="s">
        <v>482</v>
      </c>
      <c r="AC1354"/>
    </row>
    <row r="1355" spans="1:29" ht="11.25" customHeight="1">
      <c r="A1355" s="857">
        <v>35</v>
      </c>
      <c r="L1355" s="957" t="s">
        <v>482</v>
      </c>
      <c r="X1355" s="939" t="s">
        <v>482</v>
      </c>
      <c r="AC1355"/>
    </row>
    <row r="1356" spans="1:29" ht="11.25" customHeight="1">
      <c r="A1356" s="857">
        <v>36</v>
      </c>
      <c r="L1356" s="957" t="s">
        <v>482</v>
      </c>
      <c r="X1356" s="939" t="s">
        <v>482</v>
      </c>
      <c r="AC1356"/>
    </row>
    <row r="1357" spans="1:29" ht="11.25" customHeight="1">
      <c r="A1357" s="857">
        <v>37</v>
      </c>
      <c r="L1357" s="957" t="s">
        <v>482</v>
      </c>
      <c r="X1357" s="939" t="s">
        <v>482</v>
      </c>
      <c r="AC1357"/>
    </row>
    <row r="1358" spans="1:29" ht="11.25" customHeight="1">
      <c r="A1358" s="857">
        <v>38</v>
      </c>
      <c r="L1358" s="957" t="s">
        <v>482</v>
      </c>
      <c r="X1358" s="939" t="s">
        <v>482</v>
      </c>
      <c r="AC1358"/>
    </row>
    <row r="1359" spans="1:29" ht="11.25" customHeight="1">
      <c r="A1359" s="857">
        <v>39</v>
      </c>
      <c r="L1359" s="957" t="s">
        <v>482</v>
      </c>
      <c r="X1359" s="939" t="s">
        <v>482</v>
      </c>
      <c r="AC1359"/>
    </row>
    <row r="1360" spans="1:29" ht="11.25" customHeight="1">
      <c r="A1360" s="857">
        <v>40</v>
      </c>
      <c r="L1360" s="957" t="s">
        <v>482</v>
      </c>
      <c r="X1360" s="939" t="s">
        <v>482</v>
      </c>
      <c r="AC1360"/>
    </row>
    <row r="1361" spans="1:29" ht="11.25" customHeight="1">
      <c r="A1361" s="857">
        <v>41</v>
      </c>
      <c r="L1361" s="957" t="s">
        <v>482</v>
      </c>
      <c r="X1361" s="939" t="s">
        <v>482</v>
      </c>
      <c r="AC1361"/>
    </row>
    <row r="1362" spans="1:29" ht="11.25" customHeight="1">
      <c r="A1362" s="857">
        <v>42</v>
      </c>
      <c r="L1362" s="957" t="s">
        <v>482</v>
      </c>
      <c r="X1362" s="939" t="s">
        <v>482</v>
      </c>
    </row>
    <row r="1363" spans="1:29" ht="11.25" customHeight="1">
      <c r="A1363" s="857">
        <v>43</v>
      </c>
      <c r="L1363" s="957" t="s">
        <v>482</v>
      </c>
      <c r="X1363" s="939" t="s">
        <v>482</v>
      </c>
    </row>
    <row r="1364" spans="1:29" ht="11.25" customHeight="1">
      <c r="A1364" s="857">
        <v>44</v>
      </c>
      <c r="L1364" s="957" t="s">
        <v>482</v>
      </c>
      <c r="X1364" s="939" t="s">
        <v>482</v>
      </c>
    </row>
    <row r="1365" spans="1:29" ht="11.25" customHeight="1">
      <c r="A1365" s="857">
        <v>45</v>
      </c>
      <c r="L1365" s="957" t="s">
        <v>482</v>
      </c>
      <c r="X1365" s="939" t="s">
        <v>482</v>
      </c>
    </row>
    <row r="1366" spans="1:29" ht="11.25" customHeight="1">
      <c r="A1366" s="857">
        <v>46</v>
      </c>
      <c r="L1366" s="957" t="s">
        <v>482</v>
      </c>
      <c r="X1366" s="939" t="s">
        <v>482</v>
      </c>
    </row>
    <row r="1367" spans="1:29" ht="11.25" customHeight="1">
      <c r="A1367" s="857">
        <v>47</v>
      </c>
      <c r="L1367" s="957" t="s">
        <v>482</v>
      </c>
      <c r="X1367" s="939" t="s">
        <v>482</v>
      </c>
    </row>
    <row r="1368" spans="1:29" ht="11.25" customHeight="1">
      <c r="A1368" s="857">
        <v>48</v>
      </c>
      <c r="L1368" s="957" t="s">
        <v>482</v>
      </c>
      <c r="X1368" s="939" t="s">
        <v>482</v>
      </c>
    </row>
    <row r="1369" spans="1:29" ht="11.25" customHeight="1">
      <c r="A1369" s="857">
        <v>49</v>
      </c>
      <c r="L1369" s="957" t="s">
        <v>482</v>
      </c>
      <c r="X1369" s="939" t="s">
        <v>482</v>
      </c>
    </row>
    <row r="1370" spans="1:29" ht="11.25" customHeight="1">
      <c r="A1370" s="857">
        <v>50</v>
      </c>
      <c r="L1370" s="957" t="s">
        <v>482</v>
      </c>
      <c r="X1370" s="939" t="s">
        <v>482</v>
      </c>
    </row>
    <row r="1371" spans="1:29" ht="11.25" customHeight="1">
      <c r="A1371" s="857">
        <v>51</v>
      </c>
      <c r="L1371" s="957" t="s">
        <v>482</v>
      </c>
      <c r="X1371" s="939" t="s">
        <v>482</v>
      </c>
    </row>
    <row r="1372" spans="1:29" ht="11.25" customHeight="1">
      <c r="A1372" s="857">
        <v>52</v>
      </c>
      <c r="L1372" s="957" t="s">
        <v>482</v>
      </c>
      <c r="X1372" s="939" t="s">
        <v>482</v>
      </c>
    </row>
    <row r="1373" spans="1:29" ht="11.25" customHeight="1">
      <c r="A1373" s="857">
        <v>53</v>
      </c>
      <c r="L1373" s="957" t="s">
        <v>482</v>
      </c>
      <c r="X1373" s="939" t="s">
        <v>482</v>
      </c>
    </row>
    <row r="1374" spans="1:29" ht="11.25" customHeight="1">
      <c r="A1374" s="857">
        <v>54</v>
      </c>
      <c r="L1374" s="957" t="s">
        <v>482</v>
      </c>
      <c r="X1374" s="939" t="s">
        <v>482</v>
      </c>
    </row>
    <row r="1375" spans="1:29" ht="11.25" customHeight="1">
      <c r="A1375" s="857">
        <v>55</v>
      </c>
      <c r="L1375" s="957" t="s">
        <v>482</v>
      </c>
      <c r="X1375" s="939" t="s">
        <v>482</v>
      </c>
    </row>
    <row r="1376" spans="1:29" ht="11.25" customHeight="1">
      <c r="A1376" s="857">
        <v>56</v>
      </c>
      <c r="L1376" s="957" t="s">
        <v>482</v>
      </c>
      <c r="X1376" s="939" t="s">
        <v>482</v>
      </c>
    </row>
    <row r="1377" spans="1:35" ht="11.25" customHeight="1">
      <c r="A1377" s="857">
        <v>57</v>
      </c>
      <c r="L1377" s="957" t="s">
        <v>482</v>
      </c>
      <c r="X1377" s="939" t="s">
        <v>482</v>
      </c>
    </row>
    <row r="1378" spans="1:35" ht="11.25" customHeight="1">
      <c r="A1378" s="857">
        <v>58</v>
      </c>
      <c r="L1378" s="957" t="s">
        <v>482</v>
      </c>
      <c r="X1378" s="939" t="s">
        <v>482</v>
      </c>
    </row>
    <row r="1379" spans="1:35" ht="11.25" customHeight="1">
      <c r="A1379" s="857">
        <v>59</v>
      </c>
      <c r="L1379" s="957" t="s">
        <v>482</v>
      </c>
      <c r="X1379" s="939" t="s">
        <v>482</v>
      </c>
    </row>
    <row r="1380" spans="1:35" ht="11.25" customHeight="1">
      <c r="A1380" s="857">
        <v>60</v>
      </c>
      <c r="L1380" s="957" t="s">
        <v>482</v>
      </c>
      <c r="X1380" s="939" t="s">
        <v>482</v>
      </c>
    </row>
    <row r="1381" spans="1:35" ht="11.25" customHeight="1">
      <c r="A1381" s="857">
        <v>61</v>
      </c>
      <c r="L1381" s="957" t="s">
        <v>482</v>
      </c>
      <c r="X1381" s="939" t="s">
        <v>482</v>
      </c>
    </row>
    <row r="1382" spans="1:35" ht="11.25" customHeight="1">
      <c r="A1382" s="857">
        <v>62</v>
      </c>
      <c r="L1382" s="957" t="s">
        <v>482</v>
      </c>
      <c r="X1382" s="939" t="s">
        <v>482</v>
      </c>
    </row>
    <row r="1383" spans="1:35" ht="11.25" customHeight="1">
      <c r="A1383" s="857">
        <v>63</v>
      </c>
      <c r="L1383" s="957" t="s">
        <v>482</v>
      </c>
      <c r="X1383" s="939" t="s">
        <v>482</v>
      </c>
    </row>
    <row r="1384" spans="1:35" ht="11.25" customHeight="1">
      <c r="A1384" s="857">
        <v>64</v>
      </c>
      <c r="L1384" s="957" t="s">
        <v>482</v>
      </c>
      <c r="X1384" s="939" t="s">
        <v>482</v>
      </c>
    </row>
    <row r="1385" spans="1:35" ht="11.25" customHeight="1">
      <c r="A1385" s="857">
        <v>65</v>
      </c>
      <c r="B1385" s="60" t="str">
        <f t="array" ref="B1385:C1386">$B$65:$C$66</f>
        <v>Date:</v>
      </c>
      <c r="C1385" s="1664" t="str">
        <v/>
      </c>
      <c r="D1385" s="136"/>
      <c r="E1385" s="59"/>
      <c r="F1385" s="59"/>
      <c r="G1385" s="59"/>
      <c r="H1385" s="59"/>
      <c r="I1385" s="60" t="str">
        <f t="array" ref="I1385:J1386">$I$65:$J$66</f>
        <v>Inspector:</v>
      </c>
      <c r="J1385" s="554" t="str">
        <v>Eugene Mah</v>
      </c>
      <c r="L1385" s="957" t="s">
        <v>482</v>
      </c>
      <c r="X1385" s="939" t="s">
        <v>482</v>
      </c>
    </row>
    <row r="1386" spans="1:35" ht="11.25" customHeight="1">
      <c r="A1386" s="857">
        <v>66</v>
      </c>
      <c r="B1386" s="60" t="str">
        <v>Room Number:</v>
      </c>
      <c r="C1386" s="499" t="str">
        <v/>
      </c>
      <c r="D1386" s="63"/>
      <c r="E1386" s="59"/>
      <c r="F1386" s="59"/>
      <c r="G1386" s="59"/>
      <c r="H1386" s="59"/>
      <c r="I1386" s="60" t="str">
        <v>Survey ID:</v>
      </c>
      <c r="J1386" s="1404" t="str">
        <v/>
      </c>
      <c r="L1386" s="957" t="s">
        <v>482</v>
      </c>
      <c r="X1386" s="939" t="s">
        <v>482</v>
      </c>
    </row>
    <row r="1387" spans="1:35" ht="11.25" customHeight="1">
      <c r="A1387" s="857">
        <v>1</v>
      </c>
      <c r="B1387" s="1"/>
      <c r="C1387" s="1"/>
      <c r="D1387" s="1"/>
      <c r="E1387" s="1"/>
      <c r="F1387" s="1"/>
      <c r="G1387" s="1"/>
      <c r="H1387" s="1"/>
      <c r="I1387" s="1"/>
      <c r="J1387" s="1"/>
      <c r="K1387" s="161" t="str">
        <f>$F$2</f>
        <v>Medical University of South Carolina</v>
      </c>
      <c r="L1387" s="957" t="s">
        <v>482</v>
      </c>
      <c r="M1387" s="1"/>
      <c r="N1387" s="1"/>
      <c r="O1387" s="1"/>
      <c r="P1387" s="1"/>
      <c r="Q1387" s="1"/>
      <c r="R1387" s="1"/>
      <c r="S1387" s="1"/>
      <c r="T1387" s="1"/>
      <c r="U1387" s="1"/>
      <c r="V1387" s="1"/>
      <c r="W1387" s="161" t="str">
        <f>$F$2</f>
        <v>Medical University of South Carolina</v>
      </c>
      <c r="X1387" s="939" t="s">
        <v>482</v>
      </c>
    </row>
    <row r="1388" spans="1:35" ht="11.25" customHeight="1" thickBot="1">
      <c r="A1388" s="857">
        <v>2</v>
      </c>
      <c r="B1388" s="1"/>
      <c r="C1388" s="1"/>
      <c r="D1388" s="1"/>
      <c r="E1388" s="1"/>
      <c r="F1388" s="336" t="str">
        <f>$F$464</f>
        <v>Measurement Data</v>
      </c>
      <c r="G1388" s="1"/>
      <c r="H1388" s="1"/>
      <c r="I1388" s="1"/>
      <c r="J1388" s="1"/>
      <c r="K1388" s="162" t="str">
        <f>$F$5</f>
        <v>Radiographic System Compliance Inspection</v>
      </c>
      <c r="L1388" s="957" t="s">
        <v>482</v>
      </c>
      <c r="M1388" s="1"/>
      <c r="N1388" s="1"/>
      <c r="O1388" s="1"/>
      <c r="P1388" s="1"/>
      <c r="Q1388" s="336" t="str">
        <f>$F$464</f>
        <v>Measurement Data</v>
      </c>
      <c r="R1388" s="1"/>
      <c r="S1388" s="1"/>
      <c r="T1388" s="1"/>
      <c r="U1388" s="1"/>
      <c r="V1388" s="1"/>
      <c r="W1388" s="162" t="str">
        <f>$F$5</f>
        <v>Radiographic System Compliance Inspection</v>
      </c>
      <c r="X1388" s="939" t="s">
        <v>482</v>
      </c>
    </row>
    <row r="1389" spans="1:35" ht="11.25" customHeight="1" thickTop="1" thickBot="1">
      <c r="A1389" s="857">
        <v>3</v>
      </c>
      <c r="B1389" s="1308" t="s">
        <v>309</v>
      </c>
      <c r="C1389" s="72"/>
      <c r="D1389" s="1309"/>
      <c r="E1389" s="388" t="s">
        <v>312</v>
      </c>
      <c r="F1389" s="388" t="s">
        <v>747</v>
      </c>
      <c r="G1389" s="1309"/>
      <c r="H1389" s="1309"/>
      <c r="I1389" s="72"/>
      <c r="J1389" s="72"/>
      <c r="K1389" s="90"/>
      <c r="L1389" s="957" t="s">
        <v>482</v>
      </c>
      <c r="M1389" s="1"/>
      <c r="N1389" s="1"/>
      <c r="O1389" s="1"/>
      <c r="P1389" s="1"/>
      <c r="Q1389" s="1"/>
      <c r="R1389" s="1"/>
      <c r="S1389" s="1"/>
      <c r="T1389" s="1"/>
      <c r="U1389" s="1"/>
      <c r="V1389" s="1"/>
      <c r="W1389" s="1"/>
      <c r="X1389" s="939" t="s">
        <v>482</v>
      </c>
    </row>
    <row r="1390" spans="1:35" ht="11.25" customHeight="1" thickTop="1">
      <c r="A1390" s="857">
        <v>4</v>
      </c>
      <c r="B1390" s="155"/>
      <c r="C1390" s="63"/>
      <c r="D1390" s="98"/>
      <c r="E1390" s="14" t="s">
        <v>1168</v>
      </c>
      <c r="F1390" s="3" t="s">
        <v>1168</v>
      </c>
      <c r="G1390" s="98"/>
      <c r="H1390" s="98"/>
      <c r="I1390" s="41"/>
      <c r="J1390" s="3"/>
      <c r="K1390" s="81"/>
      <c r="L1390" s="957" t="s">
        <v>482</v>
      </c>
      <c r="M1390" s="89"/>
      <c r="N1390" s="72"/>
      <c r="O1390" s="72"/>
      <c r="P1390" s="72"/>
      <c r="Q1390" s="72"/>
      <c r="R1390" s="72"/>
      <c r="S1390" s="72"/>
      <c r="T1390" s="72"/>
      <c r="U1390" s="72"/>
      <c r="V1390" s="72"/>
      <c r="W1390" s="90"/>
      <c r="X1390" s="939" t="s">
        <v>482</v>
      </c>
    </row>
    <row r="1391" spans="1:35" ht="11.25" customHeight="1">
      <c r="A1391" s="857">
        <v>5</v>
      </c>
      <c r="B1391" s="155"/>
      <c r="C1391" s="63"/>
      <c r="D1391" s="5" t="s">
        <v>312</v>
      </c>
      <c r="E1391" s="394" t="s">
        <v>316</v>
      </c>
      <c r="F1391" s="403" t="s">
        <v>316</v>
      </c>
      <c r="G1391" s="98"/>
      <c r="H1391" s="13"/>
      <c r="I1391" s="63"/>
      <c r="J1391" s="63"/>
      <c r="K1391" s="81"/>
      <c r="L1391" s="957" t="s">
        <v>482</v>
      </c>
      <c r="M1391" s="386" t="s">
        <v>309</v>
      </c>
      <c r="N1391" s="272"/>
      <c r="O1391" s="272"/>
      <c r="P1391" s="63"/>
      <c r="Q1391" s="398"/>
      <c r="R1391" s="63"/>
      <c r="S1391" s="399" t="s">
        <v>310</v>
      </c>
      <c r="T1391" s="63"/>
      <c r="U1391" s="399" t="s">
        <v>311</v>
      </c>
      <c r="V1391" s="63"/>
      <c r="W1391" s="407"/>
      <c r="X1391" s="939" t="s">
        <v>482</v>
      </c>
      <c r="Y1391" s="1094" t="s">
        <v>380</v>
      </c>
      <c r="AI1391" s="1094" t="s">
        <v>380</v>
      </c>
    </row>
    <row r="1392" spans="1:35" ht="11.25" customHeight="1">
      <c r="A1392" s="857">
        <v>6</v>
      </c>
      <c r="B1392" s="155"/>
      <c r="C1392" s="63"/>
      <c r="D1392" s="5" t="s">
        <v>319</v>
      </c>
      <c r="E1392" s="14" t="s">
        <v>539</v>
      </c>
      <c r="F1392" s="3" t="s">
        <v>539</v>
      </c>
      <c r="G1392" s="3" t="s">
        <v>641</v>
      </c>
      <c r="H1392" s="13"/>
      <c r="I1392" s="63"/>
      <c r="J1392" s="63"/>
      <c r="K1392" s="81"/>
      <c r="L1392" s="957" t="s">
        <v>482</v>
      </c>
      <c r="M1392" s="155"/>
      <c r="N1392" s="63"/>
      <c r="O1392" s="63"/>
      <c r="P1392" s="63"/>
      <c r="Q1392" s="63"/>
      <c r="R1392" s="3" t="s">
        <v>312</v>
      </c>
      <c r="S1392" s="400" t="s">
        <v>747</v>
      </c>
      <c r="T1392" s="63"/>
      <c r="U1392" s="400" t="s">
        <v>747</v>
      </c>
      <c r="V1392" s="400" t="s">
        <v>311</v>
      </c>
      <c r="W1392" s="408" t="s">
        <v>311</v>
      </c>
      <c r="X1392" s="939" t="s">
        <v>482</v>
      </c>
      <c r="Y1392" s="400" t="s">
        <v>312</v>
      </c>
      <c r="AH1392" s="408" t="s">
        <v>311</v>
      </c>
      <c r="AI1392" s="400" t="s">
        <v>312</v>
      </c>
    </row>
    <row r="1393" spans="1:35" ht="11.25" customHeight="1" thickBot="1">
      <c r="A1393" s="857">
        <v>7</v>
      </c>
      <c r="B1393" s="155"/>
      <c r="C1393" s="63"/>
      <c r="D1393" s="31" t="s">
        <v>539</v>
      </c>
      <c r="E1393" s="37" t="s">
        <v>323</v>
      </c>
      <c r="F1393" s="37" t="s">
        <v>323</v>
      </c>
      <c r="G1393" s="6" t="s">
        <v>324</v>
      </c>
      <c r="H1393" s="31" t="s">
        <v>708</v>
      </c>
      <c r="I1393" s="63"/>
      <c r="J1393" s="63"/>
      <c r="K1393" s="81"/>
      <c r="L1393" s="957" t="s">
        <v>482</v>
      </c>
      <c r="M1393" s="390" t="s">
        <v>313</v>
      </c>
      <c r="N1393" s="156"/>
      <c r="O1393" s="406"/>
      <c r="P1393" s="211" t="s">
        <v>314</v>
      </c>
      <c r="Q1393" s="156"/>
      <c r="R1393" s="14" t="s">
        <v>1168</v>
      </c>
      <c r="S1393" s="400" t="s">
        <v>1168</v>
      </c>
      <c r="T1393" s="63"/>
      <c r="U1393" s="400" t="s">
        <v>1168</v>
      </c>
      <c r="V1393" s="400" t="s">
        <v>315</v>
      </c>
      <c r="W1393" s="408" t="s">
        <v>312</v>
      </c>
      <c r="X1393" s="939" t="s">
        <v>482</v>
      </c>
      <c r="Y1393" s="400" t="s">
        <v>1168</v>
      </c>
      <c r="AH1393" s="408" t="s">
        <v>312</v>
      </c>
      <c r="AI1393" s="400" t="s">
        <v>1168</v>
      </c>
    </row>
    <row r="1394" spans="1:35" ht="11.25" customHeight="1">
      <c r="A1394" s="857">
        <v>8</v>
      </c>
      <c r="B1394" s="155"/>
      <c r="C1394" s="63"/>
      <c r="D1394" s="280" t="str">
        <f>IF(P1397="","",P1397)</f>
        <v/>
      </c>
      <c r="E1394" s="1537" t="str">
        <f>IF(R1397="","",R1397)</f>
        <v/>
      </c>
      <c r="F1394" s="1537" t="str">
        <f t="shared" ref="F1394:F1401" si="200">IF(OR(D1394="",S1397=""),"",S1397)</f>
        <v/>
      </c>
      <c r="G1394" s="395" t="str">
        <f t="shared" ref="G1394:G1401" si="201">IF(OR(E1394="",F1394=""),"",(E1394-F1394)/F1394)</f>
        <v/>
      </c>
      <c r="H1394" s="142" t="str">
        <f>IF(OR(E1394="",F1394=""),"",IF(ABS(G1394)&gt;0.25,"NO","YES"))</f>
        <v/>
      </c>
      <c r="I1394" s="63"/>
      <c r="J1394" s="63"/>
      <c r="K1394" s="81"/>
      <c r="L1394" s="957" t="s">
        <v>482</v>
      </c>
      <c r="M1394" s="270" t="s">
        <v>317</v>
      </c>
      <c r="N1394" s="1133" t="str">
        <f>IF(OR(AB188=0,AB188=""),"",AB188)</f>
        <v/>
      </c>
      <c r="O1394" s="404"/>
      <c r="P1394" s="62" t="str">
        <f>"SDD ("&amp;LFSDD&amp;"):"</f>
        <v>SDD (cm):</v>
      </c>
      <c r="Q1394" s="479">
        <f>IF($N$694="","",$N$694)</f>
        <v>60</v>
      </c>
      <c r="R1394" s="394" t="s">
        <v>316</v>
      </c>
      <c r="S1394" s="401" t="s">
        <v>316</v>
      </c>
      <c r="T1394" s="63"/>
      <c r="U1394" s="400" t="s">
        <v>318</v>
      </c>
      <c r="V1394" s="400" t="s">
        <v>747</v>
      </c>
      <c r="W1394" s="409" t="s">
        <v>644</v>
      </c>
      <c r="X1394" s="939" t="s">
        <v>482</v>
      </c>
      <c r="Y1394" s="941" t="s">
        <v>316</v>
      </c>
      <c r="AH1394" s="409" t="s">
        <v>644</v>
      </c>
      <c r="AI1394" s="941" t="s">
        <v>316</v>
      </c>
    </row>
    <row r="1395" spans="1:35" ht="11.25" customHeight="1">
      <c r="A1395" s="857">
        <v>9</v>
      </c>
      <c r="B1395" s="155"/>
      <c r="C1395" s="63"/>
      <c r="D1395" s="280" t="str">
        <f t="shared" ref="D1395:D1401" si="202">IF(OR(P1398="",P1398=P1397),"",P1398)</f>
        <v/>
      </c>
      <c r="E1395" s="1537" t="str">
        <f t="shared" ref="E1395:E1401" si="203">IF(R1398=R1397,"",R1398)</f>
        <v/>
      </c>
      <c r="F1395" s="1537" t="str">
        <f t="shared" si="200"/>
        <v/>
      </c>
      <c r="G1395" s="395" t="str">
        <f t="shared" si="201"/>
        <v/>
      </c>
      <c r="H1395" s="142" t="str">
        <f t="shared" ref="H1395:H1401" si="204">IF(H1394="TBD","TBD",IF(OR(E1395="",F1395=""),"",IF(ABS(G1395)&gt;0.25,"NO","YES")))</f>
        <v/>
      </c>
      <c r="I1395" s="63"/>
      <c r="J1395" s="63"/>
      <c r="K1395" s="81"/>
      <c r="L1395" s="957" t="s">
        <v>482</v>
      </c>
      <c r="M1395" s="155"/>
      <c r="N1395" s="3" t="s">
        <v>1168</v>
      </c>
      <c r="O1395" s="404" t="s">
        <v>1168</v>
      </c>
      <c r="P1395" s="33"/>
      <c r="Q1395" s="13" t="s">
        <v>1168</v>
      </c>
      <c r="R1395" s="14" t="s">
        <v>539</v>
      </c>
      <c r="S1395" s="400" t="s">
        <v>320</v>
      </c>
      <c r="T1395" s="63"/>
      <c r="U1395" s="400" t="s">
        <v>321</v>
      </c>
      <c r="V1395" s="400" t="s">
        <v>322</v>
      </c>
      <c r="W1395" s="409" t="s">
        <v>322</v>
      </c>
      <c r="X1395" s="939" t="s">
        <v>482</v>
      </c>
      <c r="Y1395" s="941" t="s">
        <v>539</v>
      </c>
      <c r="AH1395" s="409" t="s">
        <v>322</v>
      </c>
      <c r="AI1395" s="941" t="s">
        <v>539</v>
      </c>
    </row>
    <row r="1396" spans="1:35" ht="11.25" customHeight="1" thickBot="1">
      <c r="A1396" s="857">
        <v>10</v>
      </c>
      <c r="B1396" s="155"/>
      <c r="C1396" s="63"/>
      <c r="D1396" s="280" t="str">
        <f t="shared" si="202"/>
        <v/>
      </c>
      <c r="E1396" s="1537" t="str">
        <f t="shared" si="203"/>
        <v/>
      </c>
      <c r="F1396" s="1537" t="str">
        <f t="shared" si="200"/>
        <v/>
      </c>
      <c r="G1396" s="395" t="str">
        <f t="shared" si="201"/>
        <v/>
      </c>
      <c r="H1396" s="142" t="str">
        <f t="shared" si="204"/>
        <v/>
      </c>
      <c r="I1396" s="63"/>
      <c r="J1396" s="63"/>
      <c r="K1396" s="81"/>
      <c r="L1396" s="957" t="s">
        <v>482</v>
      </c>
      <c r="M1396" s="371" t="s">
        <v>539</v>
      </c>
      <c r="N1396" s="37" t="s">
        <v>325</v>
      </c>
      <c r="O1396" s="405" t="s">
        <v>323</v>
      </c>
      <c r="P1396" s="391" t="s">
        <v>125</v>
      </c>
      <c r="Q1396" s="37" t="s">
        <v>325</v>
      </c>
      <c r="R1396" s="37" t="s">
        <v>323</v>
      </c>
      <c r="S1396" s="402" t="s">
        <v>323</v>
      </c>
      <c r="T1396" s="63"/>
      <c r="U1396" s="396" t="s">
        <v>1169</v>
      </c>
      <c r="V1396" s="396" t="s">
        <v>326</v>
      </c>
      <c r="W1396" s="410" t="s">
        <v>326</v>
      </c>
      <c r="X1396" s="939" t="s">
        <v>482</v>
      </c>
      <c r="Y1396" s="396" t="s">
        <v>323</v>
      </c>
      <c r="AH1396" s="408" t="s">
        <v>326</v>
      </c>
      <c r="AI1396" s="400" t="s">
        <v>323</v>
      </c>
    </row>
    <row r="1397" spans="1:35" ht="11.25" customHeight="1">
      <c r="A1397" s="857">
        <v>11</v>
      </c>
      <c r="B1397" s="155"/>
      <c r="C1397" s="63"/>
      <c r="D1397" s="280" t="str">
        <f t="shared" si="202"/>
        <v/>
      </c>
      <c r="E1397" s="1537" t="str">
        <f t="shared" si="203"/>
        <v/>
      </c>
      <c r="F1397" s="1537" t="str">
        <f t="shared" si="200"/>
        <v/>
      </c>
      <c r="G1397" s="395" t="str">
        <f t="shared" si="201"/>
        <v/>
      </c>
      <c r="H1397" s="142" t="str">
        <f t="shared" si="204"/>
        <v/>
      </c>
      <c r="I1397" s="63"/>
      <c r="J1397" s="63"/>
      <c r="K1397" s="81"/>
      <c r="L1397" s="957" t="s">
        <v>482</v>
      </c>
      <c r="M1397" s="1134" t="str">
        <f t="shared" ref="M1397:M1404" si="205">IF(OR(AB190=0,AB190=""),"",AB190)</f>
        <v/>
      </c>
      <c r="N1397" s="1544" t="str">
        <f t="shared" ref="N1397:N1404" si="206">IF(OR(AB199=0,AB199=""),"",AB199)</f>
        <v/>
      </c>
      <c r="O1397" s="1545" t="str">
        <f>IF(OR(M1397=0,M1397="",N1397=0,N1397="",$N$1394=0,$N$1394=""),"",N1397*($N$1394/40)^2)</f>
        <v/>
      </c>
      <c r="P1397" s="1085" t="str">
        <f>IF(T694="","",T694)</f>
        <v/>
      </c>
      <c r="Q1397" s="1086" t="str">
        <f>IF(OR(AND(LFMAS="",SFMAS=""),R694="",R694=0,W694=""),"",IF(LFMAS="mAs",W694/R694,IF(OR(S694="",S694=0),"",W694/(R694*S694))))</f>
        <v/>
      </c>
      <c r="R1397" s="1087" t="str">
        <f>IF(Q1397="","",IF(LFSDD="in.",Q1397*($Q$1394/40)^2,Q1397*(($Q$1394/2.54)/40)^2))</f>
        <v/>
      </c>
      <c r="S1397" s="1088" t="str">
        <f t="array" ref="S1397:S1404">IF(OR(M1397="",M1398="",N1397="",N1398="",P1397="",P1398="",$N$1394=""),"",EXP(TREND(U1397:U1404,V1397:V1404,W1397:W1404)))</f>
        <v/>
      </c>
      <c r="T1397" s="56"/>
      <c r="U1397" s="1090" t="str">
        <f>IF(O1397="","",LN(O1397))</f>
        <v/>
      </c>
      <c r="V1397" s="1091" t="str">
        <f>IF(M1397="","",LN(M1397))</f>
        <v/>
      </c>
      <c r="W1397" s="1092" t="str">
        <f>IF(P1397="","",LN(P1397))</f>
        <v/>
      </c>
      <c r="X1397" s="939" t="s">
        <v>482</v>
      </c>
      <c r="Y1397" s="1090" t="str">
        <f t="shared" ref="Y1397:Y1404" si="207">IF(R1397="","",LN(R1397))</f>
        <v/>
      </c>
      <c r="AH1397" s="1531" t="str">
        <f>W1397</f>
        <v/>
      </c>
      <c r="AI1397" s="1531" t="str">
        <f>Y1397</f>
        <v/>
      </c>
    </row>
    <row r="1398" spans="1:35" ht="11.25" customHeight="1">
      <c r="A1398" s="857">
        <v>12</v>
      </c>
      <c r="B1398" s="155"/>
      <c r="C1398" s="63"/>
      <c r="D1398" s="280" t="str">
        <f t="shared" si="202"/>
        <v/>
      </c>
      <c r="E1398" s="1537" t="str">
        <f t="shared" si="203"/>
        <v/>
      </c>
      <c r="F1398" s="1537" t="str">
        <f t="shared" si="200"/>
        <v/>
      </c>
      <c r="G1398" s="395" t="str">
        <f t="shared" si="201"/>
        <v/>
      </c>
      <c r="H1398" s="142" t="str">
        <f t="shared" si="204"/>
        <v/>
      </c>
      <c r="I1398" s="63"/>
      <c r="J1398" s="63"/>
      <c r="K1398" s="81"/>
      <c r="L1398" s="957" t="s">
        <v>482</v>
      </c>
      <c r="M1398" s="1134" t="str">
        <f t="shared" si="205"/>
        <v/>
      </c>
      <c r="N1398" s="1544" t="str">
        <f t="shared" si="206"/>
        <v/>
      </c>
      <c r="O1398" s="1546" t="str">
        <f>IF(OR(M1398=0,M1398="",N1398=0,N1398="",$N$1394=0,$N$1394=""),O1397,N1398*($N$1394/40)^2)</f>
        <v/>
      </c>
      <c r="P1398" s="1089" t="str">
        <f t="shared" ref="P1398:P1404" si="208">IF(T695="",P1397,T695)</f>
        <v/>
      </c>
      <c r="Q1398" s="1086" t="str">
        <f>IF(OR(AND(LFMAS="",SFMAS=""),R695="",R695=0,W695=""),Q1397,IF(LFMAS="mAs",W695/R695,IF(OR(S695="",S695=0),"",W695/(R695*S695))))</f>
        <v/>
      </c>
      <c r="R1398" s="1087" t="str">
        <f t="shared" ref="R1398:R1404" si="209">IF(Q1398="","",IF(LFSDD="in.",Q1398*($Q$1394/40)^2,Q1398*(($Q$1394/2.54)/40)^2))</f>
        <v/>
      </c>
      <c r="S1398" s="1088" t="str">
        <v/>
      </c>
      <c r="T1398" s="56"/>
      <c r="U1398" s="1090" t="str">
        <f t="shared" ref="U1398:U1404" si="210">IF(O1398="",U1397,LN(O1398))</f>
        <v/>
      </c>
      <c r="V1398" s="1091" t="str">
        <f t="shared" ref="V1398:V1404" si="211">IF(M1398="",V1397,LN(M1398))</f>
        <v/>
      </c>
      <c r="W1398" s="1092" t="str">
        <f t="shared" ref="W1398:W1404" si="212">IF(P1398="",W1397,LN(P1398))</f>
        <v/>
      </c>
      <c r="X1398" s="939" t="s">
        <v>482</v>
      </c>
      <c r="Y1398" s="1090" t="str">
        <f t="shared" si="207"/>
        <v/>
      </c>
      <c r="AH1398" s="1531" t="str">
        <f t="shared" ref="AH1398:AH1404" si="213">W1398</f>
        <v/>
      </c>
      <c r="AI1398" s="1531" t="str">
        <f t="shared" ref="AI1398:AI1404" si="214">Y1398</f>
        <v/>
      </c>
    </row>
    <row r="1399" spans="1:35" ht="11.25" customHeight="1">
      <c r="A1399" s="857">
        <v>13</v>
      </c>
      <c r="B1399" s="155"/>
      <c r="C1399" s="63"/>
      <c r="D1399" s="280" t="str">
        <f t="shared" si="202"/>
        <v/>
      </c>
      <c r="E1399" s="1537" t="str">
        <f t="shared" si="203"/>
        <v/>
      </c>
      <c r="F1399" s="1537" t="str">
        <f t="shared" si="200"/>
        <v/>
      </c>
      <c r="G1399" s="395" t="str">
        <f t="shared" si="201"/>
        <v/>
      </c>
      <c r="H1399" s="142" t="str">
        <f t="shared" si="204"/>
        <v/>
      </c>
      <c r="I1399" s="63"/>
      <c r="J1399" s="63"/>
      <c r="K1399" s="81"/>
      <c r="L1399" s="957" t="s">
        <v>482</v>
      </c>
      <c r="M1399" s="1134" t="str">
        <f t="shared" si="205"/>
        <v/>
      </c>
      <c r="N1399" s="1544" t="str">
        <f t="shared" si="206"/>
        <v/>
      </c>
      <c r="O1399" s="1546" t="str">
        <f t="shared" ref="O1399:O1404" si="215">IF(OR(M1399=0,M1399="",N1399=0,N1399="",$N$1394=0,$N$1394=""),O1398,N1399*($N$1394/40)^2)</f>
        <v/>
      </c>
      <c r="P1399" s="1089" t="str">
        <f t="shared" si="208"/>
        <v/>
      </c>
      <c r="Q1399" s="1086" t="str">
        <f t="shared" ref="Q1399:Q1404" si="216">IF(OR(AND(LFMAS="",SFMAS=""),R696="",R696=0,W696=""),Q1398,IF(LFMAS="mAs",W696/R696,IF(OR(S696="",S696=0),"",W696/(R696*S696))))</f>
        <v/>
      </c>
      <c r="R1399" s="1087" t="str">
        <f t="shared" si="209"/>
        <v/>
      </c>
      <c r="S1399" s="1088" t="str">
        <v/>
      </c>
      <c r="T1399" s="56"/>
      <c r="U1399" s="1090" t="str">
        <f t="shared" si="210"/>
        <v/>
      </c>
      <c r="V1399" s="1091" t="str">
        <f t="shared" si="211"/>
        <v/>
      </c>
      <c r="W1399" s="1092" t="str">
        <f t="shared" si="212"/>
        <v/>
      </c>
      <c r="X1399" s="939" t="s">
        <v>482</v>
      </c>
      <c r="Y1399" s="1090" t="str">
        <f t="shared" si="207"/>
        <v/>
      </c>
      <c r="AH1399" s="1531" t="str">
        <f t="shared" si="213"/>
        <v/>
      </c>
      <c r="AI1399" s="1531" t="str">
        <f t="shared" si="214"/>
        <v/>
      </c>
    </row>
    <row r="1400" spans="1:35" ht="11.25" customHeight="1" thickBot="1">
      <c r="A1400" s="857">
        <v>14</v>
      </c>
      <c r="B1400" s="155"/>
      <c r="C1400" s="63"/>
      <c r="D1400" s="280" t="str">
        <f t="shared" si="202"/>
        <v/>
      </c>
      <c r="E1400" s="1537" t="str">
        <f t="shared" si="203"/>
        <v/>
      </c>
      <c r="F1400" s="1537" t="str">
        <f t="shared" si="200"/>
        <v/>
      </c>
      <c r="G1400" s="395" t="str">
        <f t="shared" si="201"/>
        <v/>
      </c>
      <c r="H1400" s="142" t="str">
        <f t="shared" si="204"/>
        <v/>
      </c>
      <c r="I1400" s="63"/>
      <c r="J1400" s="63"/>
      <c r="K1400" s="81"/>
      <c r="L1400" s="957" t="s">
        <v>482</v>
      </c>
      <c r="M1400" s="1134" t="str">
        <f t="shared" si="205"/>
        <v/>
      </c>
      <c r="N1400" s="1544" t="str">
        <f t="shared" si="206"/>
        <v/>
      </c>
      <c r="O1400" s="1546" t="str">
        <f t="shared" si="215"/>
        <v/>
      </c>
      <c r="P1400" s="1089" t="str">
        <f t="shared" si="208"/>
        <v/>
      </c>
      <c r="Q1400" s="1086" t="str">
        <f t="shared" si="216"/>
        <v/>
      </c>
      <c r="R1400" s="1087" t="str">
        <f t="shared" si="209"/>
        <v/>
      </c>
      <c r="S1400" s="1088" t="str">
        <v/>
      </c>
      <c r="T1400" s="56"/>
      <c r="U1400" s="1090" t="str">
        <f t="shared" si="210"/>
        <v/>
      </c>
      <c r="V1400" s="1091" t="str">
        <f t="shared" si="211"/>
        <v/>
      </c>
      <c r="W1400" s="1092" t="str">
        <f t="shared" si="212"/>
        <v/>
      </c>
      <c r="X1400" s="939" t="s">
        <v>482</v>
      </c>
      <c r="Y1400" s="1090" t="str">
        <f t="shared" si="207"/>
        <v/>
      </c>
      <c r="AH1400" s="1531" t="str">
        <f t="shared" si="213"/>
        <v/>
      </c>
      <c r="AI1400" s="1531" t="str">
        <f t="shared" si="214"/>
        <v/>
      </c>
    </row>
    <row r="1401" spans="1:35" ht="11.25" customHeight="1" thickBot="1">
      <c r="A1401" s="857">
        <v>15</v>
      </c>
      <c r="B1401" s="155"/>
      <c r="C1401" s="63"/>
      <c r="D1401" s="280" t="str">
        <f t="shared" si="202"/>
        <v/>
      </c>
      <c r="E1401" s="1537" t="str">
        <f t="shared" si="203"/>
        <v/>
      </c>
      <c r="F1401" s="1537" t="str">
        <f t="shared" si="200"/>
        <v/>
      </c>
      <c r="G1401" s="395" t="str">
        <f t="shared" si="201"/>
        <v/>
      </c>
      <c r="H1401" s="142" t="str">
        <f t="shared" si="204"/>
        <v/>
      </c>
      <c r="I1401" s="337" t="s">
        <v>646</v>
      </c>
      <c r="J1401" s="175" t="str">
        <f>V1406</f>
        <v>NA</v>
      </c>
      <c r="K1401" s="81"/>
      <c r="L1401" s="957" t="s">
        <v>482</v>
      </c>
      <c r="M1401" s="1134" t="str">
        <f t="shared" si="205"/>
        <v/>
      </c>
      <c r="N1401" s="1544" t="str">
        <f t="shared" si="206"/>
        <v/>
      </c>
      <c r="O1401" s="1546" t="str">
        <f t="shared" si="215"/>
        <v/>
      </c>
      <c r="P1401" s="1089" t="str">
        <f t="shared" si="208"/>
        <v/>
      </c>
      <c r="Q1401" s="1086" t="str">
        <f t="shared" si="216"/>
        <v/>
      </c>
      <c r="R1401" s="1087" t="str">
        <f t="shared" si="209"/>
        <v/>
      </c>
      <c r="S1401" s="1088" t="str">
        <v/>
      </c>
      <c r="T1401" s="56"/>
      <c r="U1401" s="1090" t="str">
        <f t="shared" si="210"/>
        <v/>
      </c>
      <c r="V1401" s="1091" t="str">
        <f t="shared" si="211"/>
        <v/>
      </c>
      <c r="W1401" s="1092" t="str">
        <f t="shared" si="212"/>
        <v/>
      </c>
      <c r="X1401" s="939" t="s">
        <v>482</v>
      </c>
      <c r="Y1401" s="1090" t="str">
        <f t="shared" si="207"/>
        <v/>
      </c>
      <c r="AH1401" s="1531" t="str">
        <f t="shared" si="213"/>
        <v/>
      </c>
      <c r="AI1401" s="1531" t="str">
        <f t="shared" si="214"/>
        <v/>
      </c>
    </row>
    <row r="1402" spans="1:35" ht="11.25" customHeight="1">
      <c r="A1402" s="857">
        <v>16</v>
      </c>
      <c r="B1402" s="386" t="s">
        <v>328</v>
      </c>
      <c r="C1402" s="63"/>
      <c r="D1402" s="63"/>
      <c r="E1402" s="3" t="s">
        <v>312</v>
      </c>
      <c r="F1402" s="3" t="s">
        <v>747</v>
      </c>
      <c r="G1402" s="63"/>
      <c r="H1402" s="63"/>
      <c r="I1402" s="3"/>
      <c r="J1402" s="63"/>
      <c r="K1402" s="81"/>
      <c r="L1402" s="957" t="s">
        <v>482</v>
      </c>
      <c r="M1402" s="1134" t="str">
        <f t="shared" si="205"/>
        <v/>
      </c>
      <c r="N1402" s="1544" t="str">
        <f t="shared" si="206"/>
        <v/>
      </c>
      <c r="O1402" s="1546" t="str">
        <f t="shared" si="215"/>
        <v/>
      </c>
      <c r="P1402" s="1089" t="str">
        <f t="shared" si="208"/>
        <v/>
      </c>
      <c r="Q1402" s="1086" t="str">
        <f t="shared" si="216"/>
        <v/>
      </c>
      <c r="R1402" s="1087" t="str">
        <f t="shared" si="209"/>
        <v/>
      </c>
      <c r="S1402" s="1088" t="str">
        <v/>
      </c>
      <c r="T1402" s="56"/>
      <c r="U1402" s="1090" t="str">
        <f t="shared" si="210"/>
        <v/>
      </c>
      <c r="V1402" s="1091" t="str">
        <f t="shared" si="211"/>
        <v/>
      </c>
      <c r="W1402" s="1092" t="str">
        <f t="shared" si="212"/>
        <v/>
      </c>
      <c r="X1402" s="939" t="s">
        <v>482</v>
      </c>
      <c r="Y1402" s="1090" t="str">
        <f t="shared" si="207"/>
        <v/>
      </c>
      <c r="AH1402" s="1531" t="str">
        <f t="shared" si="213"/>
        <v/>
      </c>
      <c r="AI1402" s="1531" t="str">
        <f t="shared" si="214"/>
        <v/>
      </c>
    </row>
    <row r="1403" spans="1:35" ht="11.25" customHeight="1">
      <c r="A1403" s="857">
        <v>17</v>
      </c>
      <c r="B1403" s="155"/>
      <c r="C1403" s="63"/>
      <c r="D1403" s="63"/>
      <c r="E1403" s="14" t="s">
        <v>1168</v>
      </c>
      <c r="F1403" s="3" t="s">
        <v>1168</v>
      </c>
      <c r="G1403" s="63"/>
      <c r="H1403" s="63"/>
      <c r="I1403" s="63"/>
      <c r="J1403" s="63"/>
      <c r="K1403" s="81"/>
      <c r="L1403" s="957" t="s">
        <v>482</v>
      </c>
      <c r="M1403" s="1134" t="str">
        <f t="shared" si="205"/>
        <v/>
      </c>
      <c r="N1403" s="1544" t="str">
        <f t="shared" si="206"/>
        <v/>
      </c>
      <c r="O1403" s="1546" t="str">
        <f t="shared" si="215"/>
        <v/>
      </c>
      <c r="P1403" s="1089" t="str">
        <f t="shared" si="208"/>
        <v/>
      </c>
      <c r="Q1403" s="1086" t="str">
        <f t="shared" si="216"/>
        <v/>
      </c>
      <c r="R1403" s="1087" t="str">
        <f t="shared" si="209"/>
        <v/>
      </c>
      <c r="S1403" s="1088" t="str">
        <v/>
      </c>
      <c r="T1403" s="56"/>
      <c r="U1403" s="1090" t="str">
        <f t="shared" si="210"/>
        <v/>
      </c>
      <c r="V1403" s="1091" t="str">
        <f t="shared" si="211"/>
        <v/>
      </c>
      <c r="W1403" s="1092" t="str">
        <f t="shared" si="212"/>
        <v/>
      </c>
      <c r="X1403" s="939" t="s">
        <v>482</v>
      </c>
      <c r="Y1403" s="1090" t="str">
        <f t="shared" si="207"/>
        <v/>
      </c>
      <c r="AH1403" s="1531" t="str">
        <f t="shared" si="213"/>
        <v/>
      </c>
      <c r="AI1403" s="1531" t="str">
        <f t="shared" si="214"/>
        <v/>
      </c>
    </row>
    <row r="1404" spans="1:35" ht="11.25" customHeight="1" thickBot="1">
      <c r="A1404" s="857">
        <v>18</v>
      </c>
      <c r="B1404" s="155"/>
      <c r="C1404" s="63"/>
      <c r="D1404" s="5" t="s">
        <v>312</v>
      </c>
      <c r="E1404" s="394" t="s">
        <v>316</v>
      </c>
      <c r="F1404" s="403" t="s">
        <v>316</v>
      </c>
      <c r="G1404" s="63"/>
      <c r="H1404" s="13"/>
      <c r="I1404" s="63"/>
      <c r="J1404" s="63"/>
      <c r="K1404" s="81"/>
      <c r="L1404" s="957" t="s">
        <v>482</v>
      </c>
      <c r="M1404" s="1363" t="str">
        <f t="shared" si="205"/>
        <v/>
      </c>
      <c r="N1404" s="1547" t="str">
        <f t="shared" si="206"/>
        <v/>
      </c>
      <c r="O1404" s="1548" t="str">
        <f t="shared" si="215"/>
        <v/>
      </c>
      <c r="P1404" s="1364" t="str">
        <f t="shared" si="208"/>
        <v/>
      </c>
      <c r="Q1404" s="1365" t="str">
        <f t="shared" si="216"/>
        <v/>
      </c>
      <c r="R1404" s="1366" t="str">
        <f t="shared" si="209"/>
        <v/>
      </c>
      <c r="S1404" s="1367" t="str">
        <v/>
      </c>
      <c r="T1404" s="56"/>
      <c r="U1404" s="1090" t="str">
        <f t="shared" si="210"/>
        <v/>
      </c>
      <c r="V1404" s="1091" t="str">
        <f t="shared" si="211"/>
        <v/>
      </c>
      <c r="W1404" s="1092" t="str">
        <f t="shared" si="212"/>
        <v/>
      </c>
      <c r="X1404" s="939" t="s">
        <v>482</v>
      </c>
      <c r="Y1404" s="1090" t="str">
        <f t="shared" si="207"/>
        <v/>
      </c>
      <c r="AH1404" s="1531" t="str">
        <f t="shared" si="213"/>
        <v/>
      </c>
      <c r="AI1404" s="1531" t="str">
        <f t="shared" si="214"/>
        <v/>
      </c>
    </row>
    <row r="1405" spans="1:35" ht="11.25" customHeight="1" thickBot="1">
      <c r="A1405" s="857">
        <v>19</v>
      </c>
      <c r="B1405" s="155"/>
      <c r="C1405" s="63"/>
      <c r="D1405" s="5" t="s">
        <v>319</v>
      </c>
      <c r="E1405" s="14" t="s">
        <v>539</v>
      </c>
      <c r="F1405" s="3" t="s">
        <v>539</v>
      </c>
      <c r="G1405" s="3" t="s">
        <v>641</v>
      </c>
      <c r="H1405" s="13"/>
      <c r="I1405" s="63"/>
      <c r="J1405" s="63"/>
      <c r="K1405" s="81"/>
      <c r="L1405" s="957" t="s">
        <v>482</v>
      </c>
      <c r="M1405" s="204" t="s">
        <v>327</v>
      </c>
      <c r="N1405" s="3"/>
      <c r="O1405" s="63"/>
      <c r="P1405" s="1274"/>
      <c r="Q1405" s="1375" t="s">
        <v>1118</v>
      </c>
      <c r="R1405" s="1376" t="s">
        <v>1119</v>
      </c>
      <c r="S1405" s="1377" t="s">
        <v>1120</v>
      </c>
      <c r="U1405" s="63"/>
      <c r="V1405" s="63"/>
      <c r="W1405" s="81"/>
      <c r="X1405" s="939" t="s">
        <v>482</v>
      </c>
      <c r="AH1405" s="1531" t="str">
        <f>W1414</f>
        <v/>
      </c>
      <c r="AI1405" s="1531" t="str">
        <f>Y1414</f>
        <v/>
      </c>
    </row>
    <row r="1406" spans="1:35" ht="11.25" customHeight="1" thickBot="1">
      <c r="A1406" s="857">
        <v>20</v>
      </c>
      <c r="B1406" s="155"/>
      <c r="C1406" s="63"/>
      <c r="D1406" s="31" t="s">
        <v>539</v>
      </c>
      <c r="E1406" s="37" t="s">
        <v>323</v>
      </c>
      <c r="F1406" s="37" t="s">
        <v>323</v>
      </c>
      <c r="G1406" s="6" t="s">
        <v>324</v>
      </c>
      <c r="H1406" s="31" t="s">
        <v>708</v>
      </c>
      <c r="I1406" s="63"/>
      <c r="J1406" s="63"/>
      <c r="K1406" s="81"/>
      <c r="L1406" s="957" t="s">
        <v>482</v>
      </c>
      <c r="M1406" s="155"/>
      <c r="N1406" s="63"/>
      <c r="O1406" s="63"/>
      <c r="P1406" s="63"/>
      <c r="Q1406" s="1370" t="str">
        <f>IF(MAX(G1394:G1401)=0,"NA",MAX(G1394:G1401))</f>
        <v>NA</v>
      </c>
      <c r="R1406" s="1371" t="str">
        <f>IF(MAX(G1394:G1401)=0,"NA",MEDIAN(G1394:G1401))</f>
        <v>NA</v>
      </c>
      <c r="S1406" s="1373" t="str">
        <f>IF(MAX(G1394:G1401)=0,"NA",MIN(G1394:G1401))</f>
        <v>NA</v>
      </c>
      <c r="U1406" s="1358" t="s">
        <v>646</v>
      </c>
      <c r="V1406" s="1021" t="str">
        <f>IF(MIN(N1397:N1404)=0,"NA",IF(H1394="TBD","TBD",IF(OR(H1394="NO",H1395="NO",H1396="NO",H1397="NO",H1398="NO",H1399="NO",H1400="NO",H1401="NO"),"NO","YES")))</f>
        <v>NA</v>
      </c>
      <c r="W1406" s="81"/>
      <c r="X1406" s="939" t="s">
        <v>482</v>
      </c>
      <c r="AH1406" s="1531" t="str">
        <f t="shared" ref="AH1406:AH1410" si="217">W1415</f>
        <v/>
      </c>
      <c r="AI1406" s="1531" t="str">
        <f t="shared" ref="AI1406:AI1410" si="218">Y1415</f>
        <v/>
      </c>
    </row>
    <row r="1407" spans="1:35" ht="11.25" customHeight="1" thickBot="1">
      <c r="A1407" s="857">
        <v>21</v>
      </c>
      <c r="B1407" s="155"/>
      <c r="C1407" s="63"/>
      <c r="D1407" s="280" t="str">
        <f>IF(P1414="","",P1414)</f>
        <v/>
      </c>
      <c r="E1407" s="1537" t="str">
        <f>IF(R1414="","",R1414)</f>
        <v/>
      </c>
      <c r="F1407" s="1537" t="str">
        <f t="shared" ref="F1407:F1412" si="219">IF(OR(D1407="",S1414=""),"",S1414)</f>
        <v/>
      </c>
      <c r="G1407" s="395" t="str">
        <f t="shared" ref="G1407:G1412" si="220">IF(OR(E1407="",F1407=""),"",(E1407-F1407)/F1407)</f>
        <v/>
      </c>
      <c r="H1407" s="142" t="str">
        <f>IF(OR(E1407="",F1407=""),"",IF(ABS(G1407)&gt;0.25,"NO","YES"))</f>
        <v/>
      </c>
      <c r="I1407" s="56"/>
      <c r="J1407" s="56"/>
      <c r="K1407" s="81"/>
      <c r="L1407" s="957" t="s">
        <v>482</v>
      </c>
      <c r="M1407" s="155"/>
      <c r="N1407" s="63"/>
      <c r="O1407" s="397"/>
      <c r="P1407" s="1368" t="s">
        <v>447</v>
      </c>
      <c r="Q1407" s="1369" t="str">
        <f>IF(AB225="","",AB225)</f>
        <v/>
      </c>
      <c r="R1407" s="1372" t="str">
        <f>IF(AB226="","",AB226)</f>
        <v/>
      </c>
      <c r="S1407" s="1374" t="str">
        <f>IF(AB227="","",AB227)</f>
        <v/>
      </c>
      <c r="T1407" s="63"/>
      <c r="U1407" s="392"/>
      <c r="V1407" s="63"/>
      <c r="W1407" s="81"/>
      <c r="X1407" s="939" t="s">
        <v>482</v>
      </c>
      <c r="AH1407" s="1531" t="str">
        <f t="shared" si="217"/>
        <v/>
      </c>
      <c r="AI1407" s="1531" t="str">
        <f t="shared" si="218"/>
        <v/>
      </c>
    </row>
    <row r="1408" spans="1:35" ht="11.25" customHeight="1">
      <c r="A1408" s="857">
        <v>22</v>
      </c>
      <c r="B1408" s="155"/>
      <c r="C1408" s="63"/>
      <c r="D1408" s="280" t="str">
        <f>IF(OR(P1415="",P1415=P1414),"",P1415)</f>
        <v/>
      </c>
      <c r="E1408" s="1537" t="str">
        <f>IF(R1415=R1414,"",R1415)</f>
        <v/>
      </c>
      <c r="F1408" s="1537" t="str">
        <f t="shared" si="219"/>
        <v/>
      </c>
      <c r="G1408" s="395" t="str">
        <f t="shared" si="220"/>
        <v/>
      </c>
      <c r="H1408" s="142" t="str">
        <f>IF(H1407="TBD","TBD",IF(OR(E1408="",F1408=""),"",IF(ABS(G1408)&gt;0.25,"NO","YES")))</f>
        <v/>
      </c>
      <c r="I1408" s="56"/>
      <c r="J1408" s="56"/>
      <c r="K1408" s="81"/>
      <c r="L1408" s="957" t="s">
        <v>482</v>
      </c>
      <c r="M1408" s="386" t="s">
        <v>328</v>
      </c>
      <c r="N1408" s="272"/>
      <c r="O1408" s="272"/>
      <c r="P1408" s="56"/>
      <c r="R1408" s="63"/>
      <c r="S1408" s="399" t="s">
        <v>310</v>
      </c>
      <c r="T1408" s="56"/>
      <c r="U1408" s="399" t="s">
        <v>311</v>
      </c>
      <c r="V1408" s="63"/>
      <c r="W1408" s="407"/>
      <c r="X1408" s="939" t="s">
        <v>482</v>
      </c>
      <c r="Y1408" s="1094" t="s">
        <v>380</v>
      </c>
      <c r="AH1408" s="1531" t="str">
        <f t="shared" si="217"/>
        <v/>
      </c>
      <c r="AI1408" s="1531" t="str">
        <f t="shared" si="218"/>
        <v/>
      </c>
    </row>
    <row r="1409" spans="1:35" ht="11.25" customHeight="1">
      <c r="A1409" s="857">
        <v>23</v>
      </c>
      <c r="B1409" s="155"/>
      <c r="C1409" s="63"/>
      <c r="D1409" s="280" t="str">
        <f>IF(OR(P1416="",P1416=P1415),"",P1416)</f>
        <v/>
      </c>
      <c r="E1409" s="1537" t="str">
        <f>IF(R1416=R1415,"",R1416)</f>
        <v/>
      </c>
      <c r="F1409" s="1537" t="str">
        <f t="shared" si="219"/>
        <v/>
      </c>
      <c r="G1409" s="395" t="str">
        <f t="shared" si="220"/>
        <v/>
      </c>
      <c r="H1409" s="142" t="str">
        <f>IF(H1408="TBD","TBD",IF(OR(E1409="",F1409=""),"",IF(ABS(G1409)&gt;0.25,"NO","YES")))</f>
        <v/>
      </c>
      <c r="I1409" s="56"/>
      <c r="J1409" s="56"/>
      <c r="K1409" s="81"/>
      <c r="L1409" s="957" t="s">
        <v>482</v>
      </c>
      <c r="M1409" s="155"/>
      <c r="N1409" s="63"/>
      <c r="O1409" s="63"/>
      <c r="P1409" s="63"/>
      <c r="R1409" s="3" t="s">
        <v>312</v>
      </c>
      <c r="S1409" s="400" t="s">
        <v>747</v>
      </c>
      <c r="T1409" s="56"/>
      <c r="U1409" s="400" t="s">
        <v>747</v>
      </c>
      <c r="V1409" s="400" t="s">
        <v>311</v>
      </c>
      <c r="W1409" s="408" t="s">
        <v>311</v>
      </c>
      <c r="X1409" s="939" t="s">
        <v>482</v>
      </c>
      <c r="Y1409" s="400" t="s">
        <v>312</v>
      </c>
      <c r="AH1409" s="1531" t="str">
        <f t="shared" si="217"/>
        <v/>
      </c>
      <c r="AI1409" s="1531" t="str">
        <f t="shared" si="218"/>
        <v/>
      </c>
    </row>
    <row r="1410" spans="1:35" ht="11.25" customHeight="1">
      <c r="A1410" s="857">
        <v>24</v>
      </c>
      <c r="B1410" s="155"/>
      <c r="C1410" s="63"/>
      <c r="D1410" s="280" t="str">
        <f>IF(OR(P1417="",P1417=P1416),"",P1417)</f>
        <v/>
      </c>
      <c r="E1410" s="1537" t="str">
        <f>IF(R1417=R1416,"",R1417)</f>
        <v/>
      </c>
      <c r="F1410" s="1537" t="str">
        <f t="shared" si="219"/>
        <v/>
      </c>
      <c r="G1410" s="395" t="str">
        <f t="shared" si="220"/>
        <v/>
      </c>
      <c r="H1410" s="142" t="str">
        <f>IF(H1409="TBD","TBD",IF(OR(E1410="",F1410=""),"",IF(ABS(G1410)&gt;0.25,"NO","YES")))</f>
        <v/>
      </c>
      <c r="I1410" s="56"/>
      <c r="J1410" s="56"/>
      <c r="K1410" s="81"/>
      <c r="L1410" s="957" t="s">
        <v>482</v>
      </c>
      <c r="M1410" s="390" t="s">
        <v>313</v>
      </c>
      <c r="N1410" s="156"/>
      <c r="O1410" s="61"/>
      <c r="P1410" s="211" t="s">
        <v>314</v>
      </c>
      <c r="Q1410" s="156"/>
      <c r="R1410" s="14" t="s">
        <v>1168</v>
      </c>
      <c r="S1410" s="400" t="s">
        <v>1168</v>
      </c>
      <c r="T1410" s="56"/>
      <c r="U1410" s="400" t="s">
        <v>1168</v>
      </c>
      <c r="V1410" s="400" t="s">
        <v>315</v>
      </c>
      <c r="W1410" s="408" t="s">
        <v>312</v>
      </c>
      <c r="X1410" s="939" t="s">
        <v>482</v>
      </c>
      <c r="Y1410" s="400" t="s">
        <v>1168</v>
      </c>
      <c r="AH1410" s="1531" t="str">
        <f t="shared" si="217"/>
        <v/>
      </c>
      <c r="AI1410" s="1531" t="str">
        <f t="shared" si="218"/>
        <v/>
      </c>
    </row>
    <row r="1411" spans="1:35" ht="11.25" customHeight="1" thickBot="1">
      <c r="A1411" s="857">
        <v>25</v>
      </c>
      <c r="B1411" s="155"/>
      <c r="C1411" s="63"/>
      <c r="D1411" s="280" t="str">
        <f>IF(OR(P1418="",P1418=P1417),"",P1418)</f>
        <v/>
      </c>
      <c r="E1411" s="1537" t="str">
        <f>IF(R1418=R1417,"",R1418)</f>
        <v/>
      </c>
      <c r="F1411" s="1537" t="str">
        <f t="shared" si="219"/>
        <v/>
      </c>
      <c r="G1411" s="395" t="str">
        <f t="shared" si="220"/>
        <v/>
      </c>
      <c r="H1411" s="142" t="str">
        <f>IF(H1410="TBD","TBD",IF(OR(E1411="",F1411=""),"",IF(ABS(G1411)&gt;0.25,"NO","YES")))</f>
        <v/>
      </c>
      <c r="I1411" s="56"/>
      <c r="J1411" s="56"/>
      <c r="K1411" s="81"/>
      <c r="L1411" s="957" t="s">
        <v>482</v>
      </c>
      <c r="M1411" s="270" t="s">
        <v>317</v>
      </c>
      <c r="N1411" s="1133" t="str">
        <f>IF(OR(AB209=0,AB209=""),"",AB209)</f>
        <v/>
      </c>
      <c r="O1411" s="3"/>
      <c r="P1411" s="352" t="str">
        <f>"SDD ("&amp;SFSDD&amp;"):"</f>
        <v>SDD (cm):</v>
      </c>
      <c r="Q1411" s="479">
        <f>IF($N$712="","",$N$712)</f>
        <v>60</v>
      </c>
      <c r="R1411" s="394" t="s">
        <v>316</v>
      </c>
      <c r="S1411" s="401" t="s">
        <v>316</v>
      </c>
      <c r="T1411" s="56"/>
      <c r="U1411" s="400" t="s">
        <v>318</v>
      </c>
      <c r="V1411" s="400" t="s">
        <v>747</v>
      </c>
      <c r="W1411" s="409" t="s">
        <v>644</v>
      </c>
      <c r="X1411" s="939" t="s">
        <v>482</v>
      </c>
      <c r="Y1411" s="941" t="s">
        <v>316</v>
      </c>
    </row>
    <row r="1412" spans="1:35" ht="11.25" customHeight="1" thickBot="1">
      <c r="A1412" s="857">
        <v>26</v>
      </c>
      <c r="B1412" s="155"/>
      <c r="C1412" s="63"/>
      <c r="D1412" s="280" t="str">
        <f>IF(OR(P1419="",P1419=P1418),"",P1419)</f>
        <v/>
      </c>
      <c r="E1412" s="1537" t="str">
        <f>IF(R1419=R1418,"",R1419)</f>
        <v/>
      </c>
      <c r="F1412" s="1537" t="str">
        <f t="shared" si="219"/>
        <v/>
      </c>
      <c r="G1412" s="395" t="str">
        <f t="shared" si="220"/>
        <v/>
      </c>
      <c r="H1412" s="142" t="str">
        <f>IF(H1411="TBD","TBD",IF(OR(E1412="",F1412=""),"",IF(ABS(G1412)&gt;0.25,"NO","YES")))</f>
        <v/>
      </c>
      <c r="I1412" s="337" t="s">
        <v>646</v>
      </c>
      <c r="J1412" s="175" t="str">
        <f>V1421</f>
        <v>NA</v>
      </c>
      <c r="K1412" s="81"/>
      <c r="L1412" s="957" t="s">
        <v>482</v>
      </c>
      <c r="M1412" s="155"/>
      <c r="N1412" s="3" t="s">
        <v>1168</v>
      </c>
      <c r="O1412" s="3" t="s">
        <v>1168</v>
      </c>
      <c r="P1412" s="33"/>
      <c r="Q1412" s="13" t="s">
        <v>1168</v>
      </c>
      <c r="R1412" s="14" t="s">
        <v>539</v>
      </c>
      <c r="S1412" s="400" t="s">
        <v>320</v>
      </c>
      <c r="T1412" s="56"/>
      <c r="U1412" s="400" t="s">
        <v>321</v>
      </c>
      <c r="V1412" s="400" t="s">
        <v>322</v>
      </c>
      <c r="W1412" s="409" t="s">
        <v>322</v>
      </c>
      <c r="X1412" s="939" t="s">
        <v>482</v>
      </c>
      <c r="Y1412" s="941" t="s">
        <v>539</v>
      </c>
    </row>
    <row r="1413" spans="1:35" ht="11.25" customHeight="1" thickBot="1">
      <c r="A1413" s="857">
        <v>27</v>
      </c>
      <c r="B1413" s="155"/>
      <c r="C1413" s="63"/>
      <c r="D1413" s="63"/>
      <c r="E1413" s="63"/>
      <c r="F1413" s="63"/>
      <c r="G1413" s="63"/>
      <c r="H1413" s="63"/>
      <c r="I1413" s="63"/>
      <c r="J1413" s="63"/>
      <c r="K1413" s="81"/>
      <c r="L1413" s="957" t="s">
        <v>482</v>
      </c>
      <c r="M1413" s="371" t="s">
        <v>539</v>
      </c>
      <c r="N1413" s="37" t="s">
        <v>325</v>
      </c>
      <c r="O1413" s="482" t="s">
        <v>323</v>
      </c>
      <c r="P1413" s="33" t="s">
        <v>125</v>
      </c>
      <c r="Q1413" s="37" t="s">
        <v>325</v>
      </c>
      <c r="R1413" s="37" t="s">
        <v>323</v>
      </c>
      <c r="S1413" s="402" t="s">
        <v>323</v>
      </c>
      <c r="T1413" s="56"/>
      <c r="U1413" s="396" t="s">
        <v>1169</v>
      </c>
      <c r="V1413" s="396" t="s">
        <v>326</v>
      </c>
      <c r="W1413" s="410" t="s">
        <v>326</v>
      </c>
      <c r="X1413" s="939" t="s">
        <v>482</v>
      </c>
      <c r="Y1413" s="396" t="s">
        <v>323</v>
      </c>
    </row>
    <row r="1414" spans="1:35" ht="11.25" customHeight="1">
      <c r="A1414" s="857">
        <v>28</v>
      </c>
      <c r="B1414" s="155"/>
      <c r="C1414" s="162" t="s">
        <v>647</v>
      </c>
      <c r="D1414" s="238" t="s">
        <v>568</v>
      </c>
      <c r="E1414" s="63"/>
      <c r="F1414" s="63"/>
      <c r="G1414" s="63"/>
      <c r="H1414" s="63"/>
      <c r="I1414" s="63"/>
      <c r="J1414" s="63"/>
      <c r="K1414" s="79"/>
      <c r="L1414" s="957" t="s">
        <v>482</v>
      </c>
      <c r="M1414" s="1134" t="str">
        <f t="shared" ref="M1414:M1419" si="221">IF(OR(AB211=0,AB211=""),"",AB211)</f>
        <v/>
      </c>
      <c r="N1414" s="1544" t="str">
        <f t="shared" ref="N1414:N1419" si="222">IF(OR(AB218=0,AB218=""),"",AB218)</f>
        <v/>
      </c>
      <c r="O1414" s="1549" t="str">
        <f>IF(OR(M1414=0,M1414="",N1414=0,N1414="",$N$1411=0,$N$1411=""),"",N1414*($N$1411/40)^2)</f>
        <v/>
      </c>
      <c r="P1414" s="1550" t="str">
        <f>IF(T712="","",T712)</f>
        <v/>
      </c>
      <c r="Q1414" s="1086" t="str">
        <f>IF(OR(AND(LFMAS="",SFMAS=""),R712="",R712=0,W712=""),"",IF(SFMAS="mAs",W712/R712,IF(OR(S712="",S712=0),"",W712/(R712*S712))))</f>
        <v/>
      </c>
      <c r="R1414" s="1087" t="str">
        <f>IF(Q1414="","",IF(SFSDD="in.",Q1414*($Q$1411/40)^2,Q1414*(($Q$1411/2.54)/40)^2))</f>
        <v/>
      </c>
      <c r="S1414" s="1090" t="str">
        <f t="array" ref="S1414:S1419">IF(OR(M1414="",M1415="",N1414="",N1415="",P1414="",P1415="",$N$1411=""),"",EXP(TREND(U1414:U1419,V1414:V1419,W1414:W1419)))</f>
        <v/>
      </c>
      <c r="T1414" s="56"/>
      <c r="U1414" s="1090" t="str">
        <f>IF(O1414="","",LN(O1414))</f>
        <v/>
      </c>
      <c r="V1414" s="1091" t="str">
        <f>IF(M1414="","",LN(M1414))</f>
        <v/>
      </c>
      <c r="W1414" s="1093" t="str">
        <f>IF(P1414="","",LN(P1414))</f>
        <v/>
      </c>
      <c r="X1414" s="939" t="s">
        <v>482</v>
      </c>
      <c r="Y1414" s="1090" t="str">
        <f t="shared" ref="Y1414:Y1419" si="223">IF(R1414="","",LN(R1414))</f>
        <v/>
      </c>
    </row>
    <row r="1415" spans="1:35" ht="11.25" customHeight="1">
      <c r="A1415" s="857">
        <v>29</v>
      </c>
      <c r="B1415" s="137" t="s">
        <v>629</v>
      </c>
      <c r="C1415" s="1238" t="str">
        <f>IF(O1422="","",IF(LEN(O1422)&lt;=135,O1422,IF(LEN(O1422)&lt;=260,LEFT(O1422,SEARCH(" ",O1422,125)),LEFT(O1422,SEARCH(" ",O1422,130)))))</f>
        <v/>
      </c>
      <c r="D1415" s="2"/>
      <c r="E1415" s="2"/>
      <c r="F1415" s="2"/>
      <c r="G1415" s="2"/>
      <c r="H1415" s="2"/>
      <c r="I1415" s="2"/>
      <c r="J1415" s="2"/>
      <c r="K1415" s="79"/>
      <c r="L1415" s="957" t="s">
        <v>482</v>
      </c>
      <c r="M1415" s="1134" t="str">
        <f t="shared" si="221"/>
        <v/>
      </c>
      <c r="N1415" s="1544" t="str">
        <f t="shared" si="222"/>
        <v/>
      </c>
      <c r="O1415" s="1546" t="str">
        <f>IF(OR(M1415=0,M1415="",N1415=0,N1415="",$N$1411=0,$N$1411=""),O1414,N1415*($N$1411/40)^2)</f>
        <v/>
      </c>
      <c r="P1415" s="1551" t="str">
        <f>IF(T713="",P1414,T713)</f>
        <v/>
      </c>
      <c r="Q1415" s="1086" t="str">
        <f>IF(OR(AND(LFMAS="",SFMAS=""),R713="",R713=0,W713=""),Q1414,IF(SFMAS="mAs",W713/R713,IF(OR(S713="",S713=0),"",W713/(R713*S713))))</f>
        <v/>
      </c>
      <c r="R1415" s="1087" t="str">
        <f>IF(Q1415="",R1414,IF(SFSDD="in.",Q1415*($Q$1411/40)^2,Q1415*(($Q$1411/2.54)/40)^2))</f>
        <v/>
      </c>
      <c r="S1415" s="1090" t="str">
        <v/>
      </c>
      <c r="T1415" s="56"/>
      <c r="U1415" s="1090" t="str">
        <f>IF(O1415="",U1414,LN(O1415))</f>
        <v/>
      </c>
      <c r="V1415" s="1091" t="str">
        <f>IF(M1415="",V1414,LN(M1415))</f>
        <v/>
      </c>
      <c r="W1415" s="1093" t="str">
        <f>IF(P1415="",W1414,LN(P1415))</f>
        <v/>
      </c>
      <c r="X1415" s="939" t="s">
        <v>482</v>
      </c>
      <c r="Y1415" s="1090" t="str">
        <f t="shared" si="223"/>
        <v/>
      </c>
    </row>
    <row r="1416" spans="1:35" ht="11.25" customHeight="1">
      <c r="A1416" s="857">
        <v>30</v>
      </c>
      <c r="B1416" s="52"/>
      <c r="C1416" s="1239" t="str">
        <f>IF(LEN(O1422)&lt;=135,"",IF(LEN(O1422)&lt;=260,RIGHT(O1422,LEN(O1422)-SEARCH(" ",O1422,125)),MID(O1422,SEARCH(" ",O1422,130),IF(LEN(O1422)&lt;=265,LEN(O1422),SEARCH(" ",O1422,255)-SEARCH(" ",O1422,130)))))</f>
        <v/>
      </c>
      <c r="D1416" s="2"/>
      <c r="E1416" s="2"/>
      <c r="F1416" s="2"/>
      <c r="G1416" s="2"/>
      <c r="H1416" s="2"/>
      <c r="I1416" s="2"/>
      <c r="J1416" s="2"/>
      <c r="K1416" s="79"/>
      <c r="L1416" s="957" t="s">
        <v>482</v>
      </c>
      <c r="M1416" s="1134" t="str">
        <f t="shared" si="221"/>
        <v/>
      </c>
      <c r="N1416" s="1544" t="str">
        <f t="shared" si="222"/>
        <v/>
      </c>
      <c r="O1416" s="1546" t="str">
        <f>IF(OR(M1416=0,M1416="",N1416=0,N1416="",$N$1411=0,$N$1411=""),O1415,N1416*($N$1411/40)^2)</f>
        <v/>
      </c>
      <c r="P1416" s="1551" t="str">
        <f>IF(T714="",P1415,T714)</f>
        <v/>
      </c>
      <c r="Q1416" s="1086" t="str">
        <f>IF(OR(AND(LFMAS="",SFMAS=""),R714="",R714=0,W714=""),Q1415,IF(SFMAS="mAs",W714/R714,IF(OR(S714="",S714=0),"",W714/(R714*S714))))</f>
        <v/>
      </c>
      <c r="R1416" s="1087" t="str">
        <f>IF(Q1416="",R1415,IF(SFSDD="in.",Q1416*($Q$1411/40)^2,Q1416*(($Q$1411/2.54)/40)^2))</f>
        <v/>
      </c>
      <c r="S1416" s="1090" t="str">
        <v/>
      </c>
      <c r="T1416" s="56"/>
      <c r="U1416" s="1090" t="str">
        <f>IF(O1416="",U1415,LN(O1416))</f>
        <v/>
      </c>
      <c r="V1416" s="1091" t="str">
        <f>IF(M1416="",V1415,LN(M1416))</f>
        <v/>
      </c>
      <c r="W1416" s="1093" t="str">
        <f>IF(P1416="",W1415,LN(P1416))</f>
        <v/>
      </c>
      <c r="X1416" s="939" t="s">
        <v>482</v>
      </c>
      <c r="Y1416" s="1090" t="str">
        <f t="shared" si="223"/>
        <v/>
      </c>
    </row>
    <row r="1417" spans="1:35" ht="11.25" customHeight="1">
      <c r="A1417" s="857">
        <v>31</v>
      </c>
      <c r="B1417" s="52"/>
      <c r="C1417" s="1238" t="str">
        <f>IF(LEN(O1422)&lt;=265,"",RIGHT(O1422,LEN(O1422)-SEARCH(" ",O1422,255)))</f>
        <v/>
      </c>
      <c r="D1417" s="2"/>
      <c r="E1417" s="2"/>
      <c r="F1417" s="2"/>
      <c r="G1417" s="2"/>
      <c r="H1417" s="2"/>
      <c r="I1417" s="2"/>
      <c r="J1417" s="2"/>
      <c r="K1417" s="79"/>
      <c r="L1417" s="957" t="s">
        <v>482</v>
      </c>
      <c r="M1417" s="1134" t="str">
        <f t="shared" si="221"/>
        <v/>
      </c>
      <c r="N1417" s="1544" t="str">
        <f t="shared" si="222"/>
        <v/>
      </c>
      <c r="O1417" s="1546" t="str">
        <f>IF(OR(M1417=0,M1417="",N1417=0,N1417="",$N$1411=0,$N$1411=""),O1416,N1417*($N$1411/40)^2)</f>
        <v/>
      </c>
      <c r="P1417" s="1551" t="str">
        <f>IF(T715="",P1416,T715)</f>
        <v/>
      </c>
      <c r="Q1417" s="1086" t="str">
        <f>IF(OR(AND(LFMAS="",SFMAS=""),R715="",R715=0,W715=""),Q1416,IF(SFMAS="mAs",W715/R715,IF(OR(S715="",S715=0),"",W715/(R715*S715))))</f>
        <v/>
      </c>
      <c r="R1417" s="1087" t="str">
        <f>IF(Q1417="",R1416,IF(SFSDD="in.",Q1417*($Q$1411/40)^2,Q1417*(($Q$1411/2.54)/40)^2))</f>
        <v/>
      </c>
      <c r="S1417" s="1090" t="str">
        <v/>
      </c>
      <c r="T1417" s="56"/>
      <c r="U1417" s="1090" t="str">
        <f>IF(O1417="",U1416,LN(O1417))</f>
        <v/>
      </c>
      <c r="V1417" s="1091" t="str">
        <f>IF(M1417="",V1416,LN(M1417))</f>
        <v/>
      </c>
      <c r="W1417" s="1093" t="str">
        <f>IF(P1417="",W1416,LN(P1417))</f>
        <v/>
      </c>
      <c r="X1417" s="939" t="s">
        <v>482</v>
      </c>
      <c r="Y1417" s="1090" t="str">
        <f t="shared" si="223"/>
        <v/>
      </c>
    </row>
    <row r="1418" spans="1:35" ht="11.25" customHeight="1">
      <c r="A1418" s="857">
        <v>32</v>
      </c>
      <c r="B1418" s="155"/>
      <c r="C1418" s="63"/>
      <c r="D1418" s="63"/>
      <c r="E1418" s="63"/>
      <c r="F1418" s="63"/>
      <c r="G1418" s="63"/>
      <c r="H1418" s="63"/>
      <c r="I1418" s="63"/>
      <c r="J1418" s="63"/>
      <c r="K1418" s="79"/>
      <c r="L1418" s="957" t="s">
        <v>482</v>
      </c>
      <c r="M1418" s="1134" t="str">
        <f t="shared" si="221"/>
        <v/>
      </c>
      <c r="N1418" s="1544" t="str">
        <f t="shared" si="222"/>
        <v/>
      </c>
      <c r="O1418" s="1546" t="str">
        <f>IF(OR(M1418=0,M1418="",N1418=0,N1418="",$N$1411=0,$N$1411=""),O1417,N1418*($N$1411/40)^2)</f>
        <v/>
      </c>
      <c r="P1418" s="1551" t="str">
        <f>IF(T716="",P1417,T716)</f>
        <v/>
      </c>
      <c r="Q1418" s="1086" t="str">
        <f>IF(OR(AND(LFMAS="",SFMAS=""),R716="",R716=0,W716=""),Q1417,IF(SFMAS="mAs",W716/R716,IF(OR(S716="",S716=0),"",W716/(R716*S716))))</f>
        <v/>
      </c>
      <c r="R1418" s="1087" t="str">
        <f>IF(Q1418="",R1417,IF(SFSDD="in.",Q1418*($Q$1411/40)^2,Q1418*(($Q$1411/2.54)/40)^2))</f>
        <v/>
      </c>
      <c r="S1418" s="1090" t="str">
        <v/>
      </c>
      <c r="T1418" s="56"/>
      <c r="U1418" s="1090" t="str">
        <f>IF(O1418="",U1417,LN(O1418))</f>
        <v/>
      </c>
      <c r="V1418" s="1091" t="str">
        <f>IF(M1418="",V1417,LN(M1418))</f>
        <v/>
      </c>
      <c r="W1418" s="1093" t="str">
        <f>IF(P1418="",W1417,LN(P1418))</f>
        <v/>
      </c>
      <c r="X1418" s="939" t="s">
        <v>482</v>
      </c>
      <c r="Y1418" s="1090" t="str">
        <f t="shared" si="223"/>
        <v/>
      </c>
    </row>
    <row r="1419" spans="1:35" ht="11.25" customHeight="1" thickBot="1">
      <c r="A1419" s="857">
        <v>33</v>
      </c>
      <c r="B1419" s="155"/>
      <c r="C1419" s="98"/>
      <c r="D1419" s="14" t="s">
        <v>331</v>
      </c>
      <c r="E1419" s="63"/>
      <c r="F1419" s="63"/>
      <c r="G1419" s="63"/>
      <c r="H1419" s="98"/>
      <c r="I1419" s="14" t="s">
        <v>332</v>
      </c>
      <c r="J1419" s="63"/>
      <c r="K1419" s="79"/>
      <c r="L1419" s="957" t="s">
        <v>482</v>
      </c>
      <c r="M1419" s="1134" t="str">
        <f t="shared" si="221"/>
        <v/>
      </c>
      <c r="N1419" s="1544" t="str">
        <f t="shared" si="222"/>
        <v/>
      </c>
      <c r="O1419" s="1546" t="str">
        <f>IF(OR(M1419=0,M1419="",N1419=0,N1419="",$N$1411=0,$N$1411=""),O1418,N1419*($N$1411/40)^2)</f>
        <v/>
      </c>
      <c r="P1419" s="1552" t="str">
        <f>IF(T717="",P1418,T717)</f>
        <v/>
      </c>
      <c r="Q1419" s="1359" t="str">
        <f>IF(OR(AND(LFMAS="",SFMAS=""),R717="",R717=0,W717=""),Q1418,IF(SFMAS="mAs",W717/R717,IF(OR(S717="",S717=0),"",W717/(R717*S717))))</f>
        <v/>
      </c>
      <c r="R1419" s="1360" t="str">
        <f>IF(Q1419="",R1418,IF(SFSDD="in.",Q1419*($Q$1411/40)^2,Q1419*(($Q$1411/2.54)/40)^2))</f>
        <v/>
      </c>
      <c r="S1419" s="1362" t="str">
        <v/>
      </c>
      <c r="T1419" s="56"/>
      <c r="U1419" s="1090" t="str">
        <f>IF(O1419="",U1418,LN(O1419))</f>
        <v/>
      </c>
      <c r="V1419" s="1091" t="str">
        <f>IF(M1419="",V1418,LN(M1419))</f>
        <v/>
      </c>
      <c r="W1419" s="1093" t="str">
        <f>IF(P1419="",W1418,LN(P1419))</f>
        <v/>
      </c>
      <c r="X1419" s="939" t="s">
        <v>482</v>
      </c>
      <c r="Y1419" s="1090" t="str">
        <f t="shared" si="223"/>
        <v/>
      </c>
    </row>
    <row r="1420" spans="1:35" ht="11.25" customHeight="1" thickBot="1">
      <c r="A1420" s="857">
        <v>34</v>
      </c>
      <c r="B1420" s="155"/>
      <c r="C1420" s="3"/>
      <c r="D1420" s="5" t="s">
        <v>312</v>
      </c>
      <c r="E1420" s="63"/>
      <c r="F1420" s="63"/>
      <c r="G1420" s="63"/>
      <c r="H1420" s="3"/>
      <c r="I1420" s="14" t="s">
        <v>312</v>
      </c>
      <c r="J1420" s="56"/>
      <c r="K1420" s="81"/>
      <c r="L1420" s="957" t="s">
        <v>482</v>
      </c>
      <c r="M1420" s="204" t="s">
        <v>327</v>
      </c>
      <c r="N1420" s="63"/>
      <c r="O1420" s="63"/>
      <c r="P1420" s="1274"/>
      <c r="Q1420" s="1375" t="s">
        <v>1118</v>
      </c>
      <c r="R1420" s="1376" t="s">
        <v>1119</v>
      </c>
      <c r="S1420" s="1377" t="s">
        <v>1120</v>
      </c>
      <c r="U1420" s="63"/>
      <c r="V1420" s="63"/>
      <c r="W1420" s="79"/>
      <c r="X1420" s="939" t="s">
        <v>482</v>
      </c>
    </row>
    <row r="1421" spans="1:35" ht="11.25" customHeight="1" thickBot="1">
      <c r="A1421" s="857">
        <v>35</v>
      </c>
      <c r="B1421" s="155"/>
      <c r="C1421" s="3"/>
      <c r="D1421" s="14" t="s">
        <v>1168</v>
      </c>
      <c r="E1421" s="63"/>
      <c r="F1421" s="63"/>
      <c r="G1421" s="63"/>
      <c r="H1421" s="3"/>
      <c r="I1421" s="14" t="s">
        <v>1168</v>
      </c>
      <c r="J1421" s="63"/>
      <c r="K1421" s="81"/>
      <c r="L1421" s="957" t="s">
        <v>482</v>
      </c>
      <c r="M1421" s="155"/>
      <c r="N1421" s="63"/>
      <c r="O1421" s="63"/>
      <c r="P1421" s="63"/>
      <c r="Q1421" s="1370" t="str">
        <f>IF(MAX(G1407:G1412)=0,"NA",MAX(G1407:G1412))</f>
        <v>NA</v>
      </c>
      <c r="R1421" s="1371" t="str">
        <f>IF(MAX(G1407:G1412)=0,"NA",MEDIAN(G1407:G1412))</f>
        <v>NA</v>
      </c>
      <c r="S1421" s="1373" t="str">
        <f>IF(MAX(G1407:G1412)=0,"NA",MIN(G1407:G1412))</f>
        <v>NA</v>
      </c>
      <c r="U1421" s="1358" t="s">
        <v>646</v>
      </c>
      <c r="V1421" s="1021" t="str">
        <f>IF(MIN(N1414:N1419)=0,"NA",IF(H1407="TBD","TBD",IF(OR(H1407="NO",H1408="NO",H1409="NO",H1410="NO",H1411="NO",H1412="NO"),"NO","YES")))</f>
        <v>NA</v>
      </c>
      <c r="W1421" s="81"/>
      <c r="X1421" s="939" t="s">
        <v>482</v>
      </c>
    </row>
    <row r="1422" spans="1:35" ht="11.25" customHeight="1" thickBot="1">
      <c r="A1422" s="857">
        <v>36</v>
      </c>
      <c r="B1422" s="155"/>
      <c r="C1422" s="31" t="s">
        <v>539</v>
      </c>
      <c r="D1422" s="37" t="s">
        <v>323</v>
      </c>
      <c r="E1422" s="63"/>
      <c r="F1422" s="63"/>
      <c r="G1422" s="63"/>
      <c r="H1422" s="31" t="s">
        <v>539</v>
      </c>
      <c r="I1422" s="37" t="s">
        <v>323</v>
      </c>
      <c r="J1422" s="63"/>
      <c r="K1422" s="43"/>
      <c r="L1422" s="957" t="s">
        <v>482</v>
      </c>
      <c r="M1422" s="155"/>
      <c r="N1422" s="182"/>
      <c r="O1422" s="1361" t="str">
        <f>IF(AND(O703="",O719=""),"",IF(AND(O703&lt;&gt;"",O719=""),"Lg. F:  "&amp;O703,IF(AND(O703="",O719&lt;&gt;""),"Sm. F:  "&amp;O719,"Lg. F:  "&amp;O703&amp;";  Sm. F:  "&amp;O719)))</f>
        <v/>
      </c>
      <c r="P1422" s="1368" t="s">
        <v>447</v>
      </c>
      <c r="Q1422" s="1369" t="str">
        <f>IF(AB228="","",AB228)</f>
        <v/>
      </c>
      <c r="R1422" s="1372" t="str">
        <f>IF(AB229="","",AB229)</f>
        <v/>
      </c>
      <c r="S1422" s="1374" t="str">
        <f>IF(AB230="","",AB230)</f>
        <v/>
      </c>
      <c r="T1422" s="3"/>
      <c r="U1422" s="3"/>
      <c r="V1422" s="3"/>
      <c r="W1422" s="43"/>
      <c r="X1422" s="939" t="s">
        <v>482</v>
      </c>
    </row>
    <row r="1423" spans="1:35" ht="11.25" customHeight="1">
      <c r="A1423" s="857">
        <v>37</v>
      </c>
      <c r="B1423" s="155"/>
      <c r="C1423" s="275">
        <f>IF(AND($R$694="",T694=""),50,10*(TRUNC((MIN($Q$694:$Q$701)-10)/10,0))+5)</f>
        <v>55</v>
      </c>
      <c r="D1423" s="1538" t="str">
        <f t="array" ref="D1423:D1432">IF(OR(P1397="",Q1397="",P1398="",Q1398=""),"",EXP(TREND(LN(R1397:R1404),LN(P1397:P1404),LN(C1423:C1432))))</f>
        <v/>
      </c>
      <c r="E1423" s="63"/>
      <c r="F1423" s="63"/>
      <c r="G1423" s="63"/>
      <c r="H1423" s="275">
        <f>IF(AND($R$712="",T712=""),55,10*(TRUNC((MIN($Q$712:$Q$717)-10)/10,0))+5)</f>
        <v>45</v>
      </c>
      <c r="I1423" s="1538" t="str">
        <f t="array" ref="I1423:I1432">IF(OR(P1414="",Q1414="",P1415="",Q1415=""),"",EXP(TREND(LN(R1414:R1419),LN(P1414:P1419),LN(H1423:H1432))))</f>
        <v/>
      </c>
      <c r="J1423" s="63"/>
      <c r="K1423" s="81"/>
      <c r="L1423" s="957" t="s">
        <v>482</v>
      </c>
      <c r="M1423" s="121"/>
      <c r="N1423" s="4"/>
      <c r="O1423" s="4"/>
      <c r="P1423" s="4"/>
      <c r="R1423" s="63"/>
      <c r="S1423" s="4"/>
      <c r="T1423" s="4"/>
      <c r="U1423" s="4"/>
      <c r="V1423" s="4"/>
      <c r="W1423" s="480"/>
      <c r="X1423" s="939" t="s">
        <v>482</v>
      </c>
    </row>
    <row r="1424" spans="1:35" ht="11.25" customHeight="1">
      <c r="A1424" s="857">
        <v>38</v>
      </c>
      <c r="B1424" s="155"/>
      <c r="C1424" s="275">
        <f>IF(AND($R$694="",T694=""),60,IF(MAX($Q$694:$Q$701)+5&lt;C1423+5,C1423,10*TRUNC((C1423+10)/10,0)))</f>
        <v>60</v>
      </c>
      <c r="D1424" s="1538" t="str">
        <v/>
      </c>
      <c r="E1424" s="63"/>
      <c r="F1424" s="63"/>
      <c r="G1424" s="63"/>
      <c r="H1424" s="275">
        <f>IF(AND($R$712="",T713=""),65,IF(MAX($Q$712:$Q$717)+5&lt;H1423+10,H1423,H1423+10))</f>
        <v>55</v>
      </c>
      <c r="I1424" s="1538" t="str">
        <v/>
      </c>
      <c r="J1424" s="63"/>
      <c r="K1424" s="81"/>
      <c r="L1424" s="957" t="s">
        <v>482</v>
      </c>
      <c r="M1424" s="256" t="s">
        <v>488</v>
      </c>
      <c r="N1424" s="63"/>
      <c r="O1424" s="63"/>
      <c r="P1424" s="63"/>
      <c r="Q1424" s="63"/>
      <c r="R1424" s="63"/>
      <c r="S1424" s="63"/>
      <c r="T1424" s="63"/>
      <c r="U1424" s="63"/>
      <c r="V1424" s="63"/>
      <c r="W1424" s="81"/>
      <c r="X1424" s="939" t="s">
        <v>482</v>
      </c>
    </row>
    <row r="1425" spans="1:24" ht="11.25" customHeight="1">
      <c r="A1425" s="857">
        <v>39</v>
      </c>
      <c r="B1425" s="155"/>
      <c r="C1425" s="275">
        <f>IF(AND($R$694="",T695=""),70,IF(MAX($Q$694:$Q$701)+5&lt;C1424+5,C1424,10*TRUNC((C1424+10)/10,0)))</f>
        <v>70</v>
      </c>
      <c r="D1425" s="1538" t="str">
        <v/>
      </c>
      <c r="E1425" s="63"/>
      <c r="F1425" s="63"/>
      <c r="G1425" s="63"/>
      <c r="H1425" s="275">
        <f>IF(AND($R$712="",T714=""),75,IF(MAX($Q$712:$Q$717)+5&lt;H1424+10,H1424,H1424+10))</f>
        <v>65</v>
      </c>
      <c r="I1425" s="1538" t="str">
        <v/>
      </c>
      <c r="J1425" s="63"/>
      <c r="K1425" s="81"/>
      <c r="L1425" s="957" t="s">
        <v>482</v>
      </c>
      <c r="M1425" s="146"/>
      <c r="N1425" s="63"/>
      <c r="O1425" s="63"/>
      <c r="P1425" s="63"/>
      <c r="Q1425" s="117" t="s">
        <v>549</v>
      </c>
      <c r="R1425" s="63"/>
      <c r="S1425" s="63"/>
      <c r="T1425" s="63"/>
      <c r="U1425" s="63"/>
      <c r="V1425" s="63"/>
      <c r="W1425" s="81"/>
      <c r="X1425" s="939" t="s">
        <v>482</v>
      </c>
    </row>
    <row r="1426" spans="1:24" ht="11.25" customHeight="1">
      <c r="A1426" s="857">
        <v>40</v>
      </c>
      <c r="B1426" s="155"/>
      <c r="C1426" s="275">
        <f>IF(AND($R$694="",T696=""),80,IF(MAX($Q$694:$Q$701)+5&lt;C1425+5,C1425,10*TRUNC((C1425+10)/10,0)))</f>
        <v>80</v>
      </c>
      <c r="D1426" s="1538" t="str">
        <v/>
      </c>
      <c r="E1426" s="63"/>
      <c r="F1426" s="63"/>
      <c r="G1426" s="63"/>
      <c r="H1426" s="275">
        <f>IF(AND($R$712="",T715=""),85,IF(MAX($Q$712:$Q$717)+5&lt;H1425+10,H1425,H1425+10))</f>
        <v>75</v>
      </c>
      <c r="I1426" s="1538" t="str">
        <v/>
      </c>
      <c r="J1426" s="63"/>
      <c r="K1426" s="81"/>
      <c r="L1426" s="957" t="s">
        <v>482</v>
      </c>
      <c r="M1426" s="864"/>
      <c r="N1426" s="58"/>
      <c r="O1426" s="118" t="s">
        <v>329</v>
      </c>
      <c r="P1426" s="118"/>
      <c r="Q1426" s="118"/>
      <c r="R1426" s="118"/>
      <c r="S1426" s="118"/>
      <c r="T1426" s="118"/>
      <c r="U1426" s="56"/>
      <c r="V1426" s="56"/>
      <c r="W1426" s="81"/>
      <c r="X1426" s="939" t="s">
        <v>482</v>
      </c>
    </row>
    <row r="1427" spans="1:24" ht="11.25" customHeight="1">
      <c r="A1427" s="857">
        <v>41</v>
      </c>
      <c r="B1427" s="155"/>
      <c r="C1427" s="275">
        <f>IF(AND($R$694="",T697=""),90,IF(MAX($Q$694:$Q$701)+5&lt;C1426+5,C1426,10*TRUNC((C1426+10)/10,0)))</f>
        <v>90</v>
      </c>
      <c r="D1427" s="1538" t="str">
        <v/>
      </c>
      <c r="E1427" s="63"/>
      <c r="F1427" s="63"/>
      <c r="G1427" s="63"/>
      <c r="H1427" s="275">
        <f>IF(AND($R$712="",T716=""),95,IF(MAX($Q$712:$Q$717)+5&lt;H1426+10,H1426,H1426+10))</f>
        <v>85</v>
      </c>
      <c r="I1427" s="1538" t="str">
        <v/>
      </c>
      <c r="J1427" s="63"/>
      <c r="K1427" s="81"/>
      <c r="L1427" s="957" t="s">
        <v>482</v>
      </c>
      <c r="M1427" s="864">
        <v>3</v>
      </c>
      <c r="O1427" s="118" t="s">
        <v>1131</v>
      </c>
      <c r="W1427" s="81"/>
      <c r="X1427" s="939" t="s">
        <v>482</v>
      </c>
    </row>
    <row r="1428" spans="1:24" ht="11.25" customHeight="1">
      <c r="A1428" s="857">
        <v>42</v>
      </c>
      <c r="B1428" s="155"/>
      <c r="C1428" s="275">
        <f>IF(AND($R$694="",T698=""),100,IF(MAX($Q$694:$Q$701)+5&lt;C1427+5,C1427,10*TRUNC((C1427+10)/10,0)))</f>
        <v>100</v>
      </c>
      <c r="D1428" s="1538" t="str">
        <v/>
      </c>
      <c r="E1428" s="63"/>
      <c r="F1428" s="63"/>
      <c r="G1428" s="63"/>
      <c r="H1428" s="275">
        <f>IF(AND($R$712="",T717=""),105,IF(MAX($Q$712:$Q$717)+5&lt;H1427+10,H1427,H1427+10))</f>
        <v>95</v>
      </c>
      <c r="I1428" s="1538" t="str">
        <v/>
      </c>
      <c r="J1428" s="63"/>
      <c r="K1428" s="81"/>
      <c r="L1428" s="957" t="s">
        <v>482</v>
      </c>
      <c r="M1428" s="864">
        <v>3</v>
      </c>
      <c r="O1428" s="118" t="s">
        <v>1132</v>
      </c>
      <c r="W1428" s="81"/>
      <c r="X1428" s="939" t="s">
        <v>482</v>
      </c>
    </row>
    <row r="1429" spans="1:24" ht="11.25" customHeight="1">
      <c r="A1429" s="857">
        <v>43</v>
      </c>
      <c r="B1429" s="155"/>
      <c r="C1429" s="275">
        <f>IF(AND($R$694="",T699=""),110,IF(MAX($Q$694:$Q$701)+5&lt;C1428+5,C1428,10*TRUNC((C1428+10)/10,0)))</f>
        <v>110</v>
      </c>
      <c r="D1429" s="1538" t="str">
        <v/>
      </c>
      <c r="E1429" s="63"/>
      <c r="F1429" s="63"/>
      <c r="G1429" s="63"/>
      <c r="H1429" s="275">
        <f>IF(AND($R$712="",T718=""),115,IF(MAX($Q$712:$Q$717)+5&lt;H1428+10,H1428,H1428+10))</f>
        <v>105</v>
      </c>
      <c r="I1429" s="1538" t="str">
        <v/>
      </c>
      <c r="J1429" s="63"/>
      <c r="K1429" s="81"/>
      <c r="L1429" s="957" t="s">
        <v>482</v>
      </c>
      <c r="M1429" s="864">
        <v>3</v>
      </c>
      <c r="O1429" s="118" t="s">
        <v>1133</v>
      </c>
      <c r="W1429" s="81"/>
      <c r="X1429" s="939" t="s">
        <v>482</v>
      </c>
    </row>
    <row r="1430" spans="1:24" ht="11.25" customHeight="1" thickBot="1">
      <c r="A1430" s="857">
        <v>44</v>
      </c>
      <c r="B1430" s="155"/>
      <c r="C1430" s="275">
        <f>IF(AND($R$694="",T700=""),120,IF(MAX($Q$694:$Q$701)+5&lt;C1429+5,C1429,10*TRUNC((C1429+10)/10,0)))</f>
        <v>120</v>
      </c>
      <c r="D1430" s="1538" t="str">
        <v/>
      </c>
      <c r="E1430" s="63"/>
      <c r="F1430" s="63"/>
      <c r="G1430" s="63"/>
      <c r="H1430" s="275">
        <f>IF(AND($R$712="",T719=""),125,IF(MAX($Q$712:$Q$717)+5&lt;H1429+10,H1429,H1429+10))</f>
        <v>115</v>
      </c>
      <c r="I1430" s="1538" t="str">
        <v/>
      </c>
      <c r="J1430" s="63"/>
      <c r="K1430" s="81"/>
      <c r="L1430" s="957" t="s">
        <v>482</v>
      </c>
      <c r="M1430" s="864"/>
      <c r="N1430" s="58"/>
      <c r="O1430" s="118" t="s">
        <v>553</v>
      </c>
      <c r="P1430" s="119"/>
      <c r="Q1430" s="119"/>
      <c r="R1430" s="119"/>
      <c r="S1430" s="119"/>
      <c r="T1430" s="119"/>
      <c r="U1430" s="56"/>
      <c r="V1430" s="1012" t="s">
        <v>379</v>
      </c>
      <c r="W1430" s="81"/>
      <c r="X1430" s="939" t="s">
        <v>482</v>
      </c>
    </row>
    <row r="1431" spans="1:24" ht="11.25" customHeight="1">
      <c r="A1431" s="857">
        <v>45</v>
      </c>
      <c r="B1431" s="155"/>
      <c r="C1431" s="275">
        <f>IF(AND($R$694="",T701=""),130,IF(MAX($Q$694:$Q$701)+5&lt;C1430+5,C1430,10*TRUNC((C1430+10)/10,0)))</f>
        <v>130</v>
      </c>
      <c r="D1431" s="1538" t="str">
        <v/>
      </c>
      <c r="E1431" s="63"/>
      <c r="F1431" s="63"/>
      <c r="G1431" s="63"/>
      <c r="H1431" s="275">
        <f>IF(AND($R$712="",T720=""),135,IF(MAX($Q$712:$Q$717)+5&lt;H1430+10,H1430,H1430+10))</f>
        <v>125</v>
      </c>
      <c r="I1431" s="1538" t="str">
        <v/>
      </c>
      <c r="J1431" s="63"/>
      <c r="K1431" s="81"/>
      <c r="L1431" s="957" t="s">
        <v>482</v>
      </c>
      <c r="M1431" s="864"/>
      <c r="N1431" s="63"/>
      <c r="O1431" s="58" t="s">
        <v>330</v>
      </c>
      <c r="P1431" s="63"/>
      <c r="Q1431" s="63"/>
      <c r="R1431" s="63"/>
      <c r="S1431" s="63"/>
      <c r="T1431" s="63"/>
      <c r="U1431" s="63"/>
      <c r="V1431" s="1011"/>
      <c r="W1431" s="80" t="str">
        <f>IF(Q52=1,"","Half")</f>
        <v>Half</v>
      </c>
      <c r="X1431" s="939" t="s">
        <v>482</v>
      </c>
    </row>
    <row r="1432" spans="1:24" ht="11.25" customHeight="1">
      <c r="A1432" s="857">
        <v>46</v>
      </c>
      <c r="B1432" s="155"/>
      <c r="C1432" s="275">
        <f>IF(AND($R$694="",T702=""),140,IF(MAX($Q$694:$Q$701)+5&lt;C1431+5,C1431,10*TRUNC((C1431+10)/10,0)))</f>
        <v>140</v>
      </c>
      <c r="D1432" s="1538" t="str">
        <v/>
      </c>
      <c r="E1432" s="63"/>
      <c r="F1432" s="63"/>
      <c r="G1432" s="63"/>
      <c r="H1432" s="275">
        <f>IF(AND($R$712="",T721=""),145,IF(MAX($Q$712:$Q$717)+5&lt;H1431+10,H1431,H1431+10))</f>
        <v>135</v>
      </c>
      <c r="I1432" s="1538" t="str">
        <v/>
      </c>
      <c r="J1432" s="63"/>
      <c r="K1432" s="81"/>
      <c r="L1432" s="957" t="s">
        <v>482</v>
      </c>
      <c r="M1432" s="864"/>
      <c r="N1432" s="63"/>
      <c r="O1432" s="58" t="str">
        <f>IF(M53=1,"","Lead apron available")</f>
        <v>Lead apron available</v>
      </c>
      <c r="P1432" s="63"/>
      <c r="Q1432" s="62" t="str">
        <f>IF(M53=1,"","Number:")</f>
        <v>Number:</v>
      </c>
      <c r="R1432" s="1123">
        <f>IF(V1431&lt;&gt;"",V1431,AB486)</f>
        <v>0</v>
      </c>
      <c r="S1432" s="58" t="str">
        <f>IF(M53=1,"","Half")</f>
        <v>Half</v>
      </c>
      <c r="T1432" s="1123">
        <f>IF(V1432&lt;&gt;"",V1432,AB487)</f>
        <v>0</v>
      </c>
      <c r="U1432" s="58" t="str">
        <f>IF(M53=1,"","Full     ")</f>
        <v xml:space="preserve">Full     </v>
      </c>
      <c r="V1432" s="986"/>
      <c r="W1432" s="80" t="str">
        <f>IF(O53=1,"","Full     ")</f>
        <v xml:space="preserve">Full     </v>
      </c>
      <c r="X1432" s="939" t="s">
        <v>482</v>
      </c>
    </row>
    <row r="1433" spans="1:24" ht="11.25" customHeight="1">
      <c r="A1433" s="857">
        <v>47</v>
      </c>
      <c r="B1433" s="155"/>
      <c r="C1433" s="63"/>
      <c r="D1433" s="63"/>
      <c r="E1433" s="63"/>
      <c r="F1433" s="63"/>
      <c r="G1433" s="63"/>
      <c r="H1433" s="63"/>
      <c r="I1433" s="403"/>
      <c r="J1433" s="63"/>
      <c r="K1433" s="81"/>
      <c r="L1433" s="957" t="s">
        <v>482</v>
      </c>
      <c r="M1433" s="864"/>
      <c r="N1433" s="63"/>
      <c r="O1433" s="58" t="str">
        <f>IF(M53=1,"","Lead gloves available.")</f>
        <v>Lead gloves available.</v>
      </c>
      <c r="P1433" s="63"/>
      <c r="Q1433" s="62" t="str">
        <f>IF(M53=1,"","Number:")</f>
        <v>Number:</v>
      </c>
      <c r="R1433" s="1123">
        <f>IF(V1433&lt;&gt;"",V1433,AB488)</f>
        <v>0</v>
      </c>
      <c r="S1433" s="58" t="str">
        <f>IF(M53=1,"","(Left + Right)")</f>
        <v>(Left + Right)</v>
      </c>
      <c r="T1433" s="63"/>
      <c r="U1433" s="58"/>
      <c r="V1433" s="986"/>
      <c r="W1433" s="80" t="str">
        <f>IF(Q53=1,"","(Left + Right)")</f>
        <v>(Left + Right)</v>
      </c>
      <c r="X1433" s="939" t="s">
        <v>482</v>
      </c>
    </row>
    <row r="1434" spans="1:24" ht="11.25" customHeight="1">
      <c r="A1434" s="857">
        <v>48</v>
      </c>
      <c r="B1434" s="155"/>
      <c r="C1434" s="63"/>
      <c r="D1434" s="63"/>
      <c r="E1434" s="63"/>
      <c r="F1434" s="63"/>
      <c r="G1434" s="63"/>
      <c r="H1434" s="63"/>
      <c r="I1434" s="423"/>
      <c r="J1434" s="63"/>
      <c r="K1434" s="81"/>
      <c r="L1434" s="957" t="s">
        <v>482</v>
      </c>
      <c r="M1434" s="864"/>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9" t="s">
        <v>482</v>
      </c>
    </row>
    <row r="1435" spans="1:24" ht="11.25" customHeight="1">
      <c r="A1435" s="857">
        <v>49</v>
      </c>
      <c r="B1435" s="155"/>
      <c r="C1435" s="63"/>
      <c r="D1435" s="63"/>
      <c r="E1435" s="63"/>
      <c r="F1435" s="63"/>
      <c r="G1435" s="63"/>
      <c r="H1435" s="63"/>
      <c r="I1435" s="423"/>
      <c r="J1435" s="63"/>
      <c r="K1435" s="81"/>
      <c r="L1435" s="957" t="s">
        <v>482</v>
      </c>
      <c r="M1435" s="864"/>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9" t="s">
        <v>482</v>
      </c>
    </row>
    <row r="1436" spans="1:24" ht="11.25" customHeight="1">
      <c r="A1436" s="857">
        <v>50</v>
      </c>
      <c r="B1436" s="155"/>
      <c r="C1436" s="63"/>
      <c r="D1436" s="63"/>
      <c r="E1436" s="63"/>
      <c r="F1436" s="63"/>
      <c r="G1436" s="63"/>
      <c r="H1436" s="63"/>
      <c r="I1436" s="423"/>
      <c r="J1436" s="63"/>
      <c r="K1436" s="81"/>
      <c r="L1436" s="957" t="s">
        <v>482</v>
      </c>
      <c r="M1436" s="864"/>
      <c r="N1436" s="63"/>
      <c r="O1436" s="118" t="str">
        <f>IF(M53=1,"","Patient restraint devices available.")</f>
        <v>Patient restraint devices available.</v>
      </c>
      <c r="P1436" s="63"/>
      <c r="Q1436" s="119"/>
      <c r="R1436" s="318"/>
      <c r="S1436" s="315"/>
      <c r="T1436" s="63"/>
      <c r="U1436" s="63"/>
      <c r="V1436" s="56"/>
      <c r="W1436" s="79"/>
      <c r="X1436" s="939" t="s">
        <v>482</v>
      </c>
    </row>
    <row r="1437" spans="1:24" ht="11.25" customHeight="1">
      <c r="A1437" s="857">
        <v>51</v>
      </c>
      <c r="B1437" s="155"/>
      <c r="C1437" s="63"/>
      <c r="D1437" s="63"/>
      <c r="E1437" s="63"/>
      <c r="F1437" s="63"/>
      <c r="G1437" s="63"/>
      <c r="H1437" s="63"/>
      <c r="I1437" s="423"/>
      <c r="J1437" s="63"/>
      <c r="K1437" s="81"/>
      <c r="L1437" s="957" t="s">
        <v>482</v>
      </c>
      <c r="M1437" s="864"/>
      <c r="N1437" s="58"/>
      <c r="O1437" s="118" t="str">
        <f>IF(M53=1,"","Gonadal shielding is present and functional.")</f>
        <v>Gonadal shielding is present and functional.</v>
      </c>
      <c r="P1437" s="119"/>
      <c r="Q1437" s="119"/>
      <c r="R1437" s="119"/>
      <c r="S1437" s="119"/>
      <c r="T1437" s="119"/>
      <c r="U1437" s="56"/>
      <c r="V1437" s="56"/>
      <c r="W1437" s="79"/>
      <c r="X1437" s="939" t="s">
        <v>482</v>
      </c>
    </row>
    <row r="1438" spans="1:24" ht="11.25" customHeight="1">
      <c r="A1438" s="857">
        <v>52</v>
      </c>
      <c r="B1438" s="155"/>
      <c r="C1438" s="63"/>
      <c r="D1438" s="63"/>
      <c r="E1438" s="63"/>
      <c r="F1438" s="63"/>
      <c r="G1438" s="63"/>
      <c r="H1438" s="63"/>
      <c r="I1438" s="423"/>
      <c r="J1438" s="63"/>
      <c r="K1438" s="81"/>
      <c r="L1438" s="957" t="s">
        <v>482</v>
      </c>
      <c r="M1438" s="864"/>
      <c r="N1438" s="58"/>
      <c r="O1438" s="118" t="s">
        <v>565</v>
      </c>
      <c r="P1438" s="119"/>
      <c r="Q1438" s="119"/>
      <c r="R1438" s="119"/>
      <c r="S1438" s="119"/>
      <c r="T1438" s="119"/>
      <c r="U1438" s="56"/>
      <c r="V1438" s="56"/>
      <c r="W1438" s="79"/>
      <c r="X1438" s="939" t="s">
        <v>482</v>
      </c>
    </row>
    <row r="1439" spans="1:24" ht="11.25" customHeight="1">
      <c r="A1439" s="857">
        <v>53</v>
      </c>
      <c r="B1439" s="155"/>
      <c r="C1439" s="63"/>
      <c r="D1439" s="63"/>
      <c r="E1439" s="63"/>
      <c r="F1439" s="63"/>
      <c r="G1439" s="63"/>
      <c r="H1439" s="63"/>
      <c r="I1439" s="423"/>
      <c r="J1439" s="63"/>
      <c r="K1439" s="81"/>
      <c r="L1439" s="957" t="s">
        <v>482</v>
      </c>
      <c r="M1439" s="267"/>
      <c r="T1439" s="63"/>
      <c r="U1439" s="63"/>
      <c r="V1439" s="63"/>
      <c r="W1439" s="81"/>
      <c r="X1439" s="939" t="s">
        <v>482</v>
      </c>
    </row>
    <row r="1440" spans="1:24" ht="11.25" customHeight="1">
      <c r="A1440" s="857">
        <v>54</v>
      </c>
      <c r="B1440" s="155"/>
      <c r="C1440" s="63"/>
      <c r="D1440" s="63"/>
      <c r="E1440" s="63"/>
      <c r="F1440" s="63"/>
      <c r="G1440" s="63"/>
      <c r="H1440" s="63"/>
      <c r="I1440" s="423"/>
      <c r="J1440" s="63"/>
      <c r="K1440" s="81"/>
      <c r="L1440" s="957" t="s">
        <v>482</v>
      </c>
      <c r="M1440" s="267"/>
      <c r="N1440" s="63"/>
      <c r="O1440" s="63"/>
      <c r="P1440" s="63"/>
      <c r="Q1440" s="117" t="s">
        <v>588</v>
      </c>
      <c r="R1440" s="63"/>
      <c r="S1440" s="63"/>
      <c r="T1440" s="119"/>
      <c r="U1440" s="56"/>
      <c r="V1440" s="56"/>
      <c r="W1440" s="79"/>
      <c r="X1440" s="939" t="s">
        <v>482</v>
      </c>
    </row>
    <row r="1441" spans="1:24" ht="11.25" customHeight="1">
      <c r="A1441" s="857">
        <v>55</v>
      </c>
      <c r="B1441" s="155"/>
      <c r="C1441" s="63"/>
      <c r="D1441" s="63"/>
      <c r="E1441" s="63"/>
      <c r="F1441" s="63"/>
      <c r="G1441" s="63"/>
      <c r="H1441" s="63"/>
      <c r="I1441" s="423"/>
      <c r="J1441" s="63"/>
      <c r="K1441" s="81"/>
      <c r="L1441" s="957" t="s">
        <v>482</v>
      </c>
      <c r="M1441" s="864"/>
      <c r="N1441" s="58"/>
      <c r="O1441" s="118" t="s">
        <v>590</v>
      </c>
      <c r="P1441" s="119"/>
      <c r="Q1441" s="119"/>
      <c r="R1441" s="119"/>
      <c r="S1441" s="119"/>
      <c r="T1441" s="119"/>
      <c r="U1441" s="56"/>
      <c r="V1441" s="56"/>
      <c r="W1441" s="79"/>
      <c r="X1441" s="939" t="s">
        <v>482</v>
      </c>
    </row>
    <row r="1442" spans="1:24" ht="11.25" customHeight="1">
      <c r="A1442" s="857">
        <v>56</v>
      </c>
      <c r="B1442" s="155"/>
      <c r="C1442" s="63"/>
      <c r="D1442" s="63"/>
      <c r="E1442" s="63"/>
      <c r="F1442" s="63"/>
      <c r="G1442" s="63"/>
      <c r="H1442" s="63"/>
      <c r="I1442" s="423"/>
      <c r="J1442" s="63"/>
      <c r="K1442" s="81"/>
      <c r="L1442" s="957" t="s">
        <v>482</v>
      </c>
      <c r="M1442" s="864"/>
      <c r="N1442" s="58"/>
      <c r="O1442" s="118" t="s">
        <v>592</v>
      </c>
      <c r="P1442" s="119"/>
      <c r="Q1442" s="119"/>
      <c r="R1442" s="119"/>
      <c r="S1442" s="119"/>
      <c r="T1442" s="119"/>
      <c r="U1442" s="56"/>
      <c r="V1442" s="56"/>
      <c r="W1442" s="79"/>
      <c r="X1442" s="939" t="s">
        <v>482</v>
      </c>
    </row>
    <row r="1443" spans="1:24" ht="11.25" customHeight="1">
      <c r="A1443" s="857">
        <v>57</v>
      </c>
      <c r="B1443" s="155"/>
      <c r="C1443" s="63"/>
      <c r="D1443" s="63"/>
      <c r="E1443" s="63"/>
      <c r="F1443" s="63"/>
      <c r="G1443" s="63"/>
      <c r="H1443" s="63"/>
      <c r="I1443" s="423"/>
      <c r="J1443" s="63"/>
      <c r="K1443" s="81"/>
      <c r="L1443" s="957" t="s">
        <v>482</v>
      </c>
      <c r="M1443" s="864"/>
      <c r="N1443" s="58"/>
      <c r="O1443" s="118" t="s">
        <v>593</v>
      </c>
      <c r="P1443" s="119"/>
      <c r="Q1443" s="119"/>
      <c r="R1443" s="119"/>
      <c r="S1443" s="119"/>
      <c r="T1443" s="58"/>
      <c r="U1443" s="58"/>
      <c r="V1443" s="58"/>
      <c r="W1443" s="80"/>
      <c r="X1443" s="939" t="s">
        <v>482</v>
      </c>
    </row>
    <row r="1444" spans="1:24" ht="11.25" customHeight="1">
      <c r="A1444" s="857">
        <v>58</v>
      </c>
      <c r="B1444" s="155"/>
      <c r="C1444" s="56"/>
      <c r="D1444" s="56"/>
      <c r="E1444" s="63"/>
      <c r="F1444" s="63"/>
      <c r="G1444" s="56"/>
      <c r="H1444" s="423"/>
      <c r="I1444" s="423"/>
      <c r="J1444" s="63"/>
      <c r="K1444" s="81"/>
      <c r="L1444" s="957" t="s">
        <v>482</v>
      </c>
      <c r="M1444" s="864"/>
      <c r="N1444" s="58"/>
      <c r="O1444" s="58" t="s">
        <v>595</v>
      </c>
      <c r="P1444" s="58"/>
      <c r="Q1444" s="58"/>
      <c r="R1444" s="58"/>
      <c r="S1444" s="58"/>
      <c r="T1444" s="58"/>
      <c r="U1444" s="58"/>
      <c r="V1444" s="58"/>
      <c r="W1444" s="80"/>
      <c r="X1444" s="939" t="s">
        <v>482</v>
      </c>
    </row>
    <row r="1445" spans="1:24" ht="11.25" customHeight="1">
      <c r="A1445" s="857">
        <v>59</v>
      </c>
      <c r="B1445" s="155"/>
      <c r="C1445" s="63"/>
      <c r="D1445" s="63"/>
      <c r="E1445" s="63"/>
      <c r="F1445" s="63"/>
      <c r="G1445" s="63"/>
      <c r="H1445" s="63"/>
      <c r="I1445" s="63"/>
      <c r="J1445" s="63"/>
      <c r="K1445" s="81"/>
      <c r="L1445" s="957" t="s">
        <v>482</v>
      </c>
      <c r="M1445" s="864"/>
      <c r="N1445" s="58"/>
      <c r="O1445" s="58" t="s">
        <v>597</v>
      </c>
      <c r="P1445" s="58"/>
      <c r="Q1445" s="58"/>
      <c r="R1445" s="58"/>
      <c r="S1445" s="58"/>
      <c r="T1445" s="58"/>
      <c r="U1445" s="58"/>
      <c r="V1445" s="58"/>
      <c r="W1445" s="80"/>
      <c r="X1445" s="939" t="s">
        <v>482</v>
      </c>
    </row>
    <row r="1446" spans="1:24" ht="11.25" customHeight="1">
      <c r="A1446" s="857">
        <v>60</v>
      </c>
      <c r="B1446" s="155"/>
      <c r="C1446" s="63"/>
      <c r="D1446" s="63"/>
      <c r="E1446" s="63"/>
      <c r="F1446" s="63"/>
      <c r="G1446" s="63"/>
      <c r="H1446" s="63"/>
      <c r="I1446" s="63"/>
      <c r="J1446" s="63"/>
      <c r="K1446" s="81"/>
      <c r="L1446" s="957" t="s">
        <v>482</v>
      </c>
      <c r="M1446" s="864"/>
      <c r="N1446" s="58"/>
      <c r="O1446" s="58" t="s">
        <v>598</v>
      </c>
      <c r="P1446" s="58"/>
      <c r="Q1446" s="58"/>
      <c r="R1446" s="58"/>
      <c r="S1446" s="58"/>
      <c r="T1446" s="58"/>
      <c r="U1446" s="58"/>
      <c r="V1446" s="58"/>
      <c r="W1446" s="80"/>
      <c r="X1446" s="939" t="s">
        <v>482</v>
      </c>
    </row>
    <row r="1447" spans="1:24" ht="11.25" customHeight="1">
      <c r="A1447" s="857">
        <v>61</v>
      </c>
      <c r="B1447" s="155"/>
      <c r="C1447" s="63"/>
      <c r="D1447" s="63"/>
      <c r="E1447" s="63"/>
      <c r="F1447" s="63"/>
      <c r="G1447" s="63"/>
      <c r="H1447" s="63"/>
      <c r="I1447" s="63"/>
      <c r="J1447" s="63"/>
      <c r="K1447" s="81"/>
      <c r="L1447" s="957" t="s">
        <v>482</v>
      </c>
      <c r="M1447" s="864"/>
      <c r="N1447" s="58"/>
      <c r="O1447" s="58" t="s">
        <v>600</v>
      </c>
      <c r="P1447" s="58"/>
      <c r="Q1447" s="58"/>
      <c r="R1447" s="58"/>
      <c r="S1447" s="58"/>
      <c r="T1447" s="58"/>
      <c r="U1447" s="58"/>
      <c r="V1447" s="58"/>
      <c r="W1447" s="80"/>
      <c r="X1447" s="939" t="s">
        <v>482</v>
      </c>
    </row>
    <row r="1448" spans="1:24" ht="11.25" customHeight="1">
      <c r="A1448" s="857">
        <v>62</v>
      </c>
      <c r="B1448" s="155"/>
      <c r="C1448" s="63"/>
      <c r="D1448" s="63"/>
      <c r="E1448" s="63"/>
      <c r="F1448" s="63"/>
      <c r="G1448" s="63"/>
      <c r="H1448" s="63"/>
      <c r="I1448" s="63"/>
      <c r="J1448" s="63"/>
      <c r="K1448" s="81"/>
      <c r="L1448" s="957" t="s">
        <v>482</v>
      </c>
      <c r="M1448" s="864"/>
      <c r="N1448" s="58"/>
      <c r="O1448" s="58" t="s">
        <v>601</v>
      </c>
      <c r="P1448" s="58"/>
      <c r="Q1448" s="58"/>
      <c r="R1448" s="58"/>
      <c r="S1448" s="58"/>
      <c r="T1448" s="119"/>
      <c r="U1448" s="56"/>
      <c r="V1448" s="56"/>
      <c r="W1448" s="79"/>
      <c r="X1448" s="939" t="s">
        <v>482</v>
      </c>
    </row>
    <row r="1449" spans="1:24" ht="11.25" customHeight="1">
      <c r="A1449" s="857">
        <v>63</v>
      </c>
      <c r="B1449" s="155"/>
      <c r="C1449" s="63"/>
      <c r="D1449" s="63"/>
      <c r="E1449" s="63"/>
      <c r="F1449" s="63"/>
      <c r="G1449" s="63"/>
      <c r="H1449" s="63"/>
      <c r="I1449" s="63"/>
      <c r="J1449" s="63"/>
      <c r="K1449" s="81"/>
      <c r="L1449" s="957" t="s">
        <v>482</v>
      </c>
      <c r="M1449" s="864"/>
      <c r="N1449" s="58"/>
      <c r="O1449" s="118" t="s">
        <v>602</v>
      </c>
      <c r="P1449" s="119"/>
      <c r="Q1449" s="119"/>
      <c r="R1449" s="119"/>
      <c r="S1449" s="119"/>
      <c r="T1449" s="63"/>
      <c r="U1449" s="63"/>
      <c r="V1449" s="63"/>
      <c r="W1449" s="81"/>
      <c r="X1449" s="939" t="s">
        <v>482</v>
      </c>
    </row>
    <row r="1450" spans="1:24" ht="11.25" customHeight="1" thickBot="1">
      <c r="A1450" s="857">
        <v>64</v>
      </c>
      <c r="B1450" s="38"/>
      <c r="C1450" s="375"/>
      <c r="D1450" s="375"/>
      <c r="E1450" s="375"/>
      <c r="F1450" s="375"/>
      <c r="G1450" s="375"/>
      <c r="H1450" s="375"/>
      <c r="I1450" s="375"/>
      <c r="J1450" s="375"/>
      <c r="K1450" s="99"/>
      <c r="L1450" s="957" t="s">
        <v>482</v>
      </c>
      <c r="M1450" s="1702"/>
      <c r="N1450" s="375"/>
      <c r="O1450" s="1703" t="str">
        <f>IF(OR(M52="",M52=1),"Unit installed as shown on shielding plan","")</f>
        <v/>
      </c>
      <c r="P1450" s="375"/>
      <c r="Q1450" s="375"/>
      <c r="R1450" s="375"/>
      <c r="S1450" s="375"/>
      <c r="T1450" s="375"/>
      <c r="U1450" s="375"/>
      <c r="V1450" s="375"/>
      <c r="W1450" s="376"/>
      <c r="X1450" s="939" t="s">
        <v>482</v>
      </c>
    </row>
    <row r="1451" spans="1:24" ht="11.25" customHeight="1" thickTop="1">
      <c r="A1451" s="857">
        <v>65</v>
      </c>
      <c r="B1451" s="60" t="str">
        <f t="array" ref="B1451:C1452">$B$65:$C$66</f>
        <v>Date:</v>
      </c>
      <c r="C1451" s="1664" t="str">
        <v/>
      </c>
      <c r="E1451" s="59"/>
      <c r="F1451" s="59"/>
      <c r="G1451" s="59"/>
      <c r="H1451" s="59"/>
      <c r="I1451" s="60" t="str">
        <f t="array" ref="I1451:J1452">$I$65:$J$66</f>
        <v>Inspector:</v>
      </c>
      <c r="J1451" s="554" t="str">
        <v>Eugene Mah</v>
      </c>
      <c r="L1451" s="957" t="s">
        <v>482</v>
      </c>
      <c r="M1451" s="1"/>
      <c r="N1451" s="1"/>
      <c r="O1451" s="1"/>
      <c r="P1451" s="1"/>
      <c r="Q1451" s="1"/>
      <c r="R1451" s="1"/>
      <c r="S1451" s="1"/>
      <c r="T1451" s="1"/>
      <c r="U1451" s="1"/>
      <c r="V1451" s="1"/>
      <c r="W1451" s="1"/>
      <c r="X1451" s="939" t="s">
        <v>482</v>
      </c>
    </row>
    <row r="1452" spans="1:24" ht="11.25" customHeight="1">
      <c r="A1452" s="857">
        <v>66</v>
      </c>
      <c r="B1452" s="60" t="str">
        <v>Room Number:</v>
      </c>
      <c r="C1452" s="499" t="str">
        <v/>
      </c>
      <c r="E1452" s="59"/>
      <c r="F1452" s="59"/>
      <c r="G1452" s="59"/>
      <c r="H1452" s="59"/>
      <c r="I1452" s="60" t="str">
        <v>Survey ID:</v>
      </c>
      <c r="J1452" s="1404" t="str">
        <v/>
      </c>
      <c r="L1452" s="957" t="s">
        <v>482</v>
      </c>
      <c r="M1452" s="1"/>
      <c r="N1452" s="1"/>
      <c r="O1452" s="1"/>
      <c r="P1452" s="1"/>
      <c r="Q1452" s="1"/>
      <c r="R1452" s="1"/>
      <c r="S1452" s="1"/>
      <c r="T1452" s="1"/>
      <c r="U1452" s="1"/>
      <c r="V1452" s="1"/>
      <c r="W1452" s="1"/>
      <c r="X1452" s="939" t="s">
        <v>482</v>
      </c>
    </row>
    <row r="1453" spans="1:24" ht="11.25" customHeight="1">
      <c r="A1453" s="857">
        <v>1</v>
      </c>
      <c r="B1453" s="432"/>
      <c r="C1453" s="432"/>
      <c r="D1453" s="432"/>
      <c r="E1453" s="432"/>
      <c r="F1453" s="432"/>
      <c r="G1453" s="432"/>
      <c r="H1453" s="432"/>
      <c r="I1453" s="432"/>
      <c r="J1453" s="432"/>
      <c r="K1453" s="688" t="str">
        <f>$F$2</f>
        <v>Medical University of South Carolina</v>
      </c>
      <c r="L1453" s="957" t="s">
        <v>482</v>
      </c>
      <c r="X1453" s="939" t="s">
        <v>482</v>
      </c>
    </row>
    <row r="1454" spans="1:24" ht="11.25" customHeight="1">
      <c r="A1454" s="857">
        <v>2</v>
      </c>
      <c r="B1454" s="432"/>
      <c r="C1454" s="432"/>
      <c r="D1454" s="432"/>
      <c r="E1454" s="432"/>
      <c r="F1454" s="432"/>
      <c r="G1454" s="432"/>
      <c r="H1454" s="432"/>
      <c r="I1454" s="432"/>
      <c r="J1454" s="432"/>
      <c r="K1454" s="689" t="str">
        <f>$F$5</f>
        <v>Radiographic System Compliance Inspection</v>
      </c>
      <c r="L1454" s="957" t="s">
        <v>482</v>
      </c>
      <c r="X1454" s="939" t="s">
        <v>482</v>
      </c>
    </row>
    <row r="1455" spans="1:24" ht="11.25" customHeight="1">
      <c r="A1455" s="857">
        <v>3</v>
      </c>
      <c r="B1455" s="194"/>
      <c r="C1455" s="194"/>
      <c r="D1455" s="194"/>
      <c r="E1455" s="194"/>
      <c r="F1455" s="194"/>
      <c r="G1455" s="194"/>
      <c r="H1455" s="194"/>
      <c r="I1455" s="194"/>
      <c r="J1455" s="194"/>
      <c r="K1455" s="194"/>
      <c r="L1455" s="957" t="s">
        <v>482</v>
      </c>
      <c r="X1455" s="939" t="s">
        <v>482</v>
      </c>
    </row>
    <row r="1456" spans="1:24" ht="11.25" customHeight="1">
      <c r="A1456" s="857">
        <v>4</v>
      </c>
      <c r="B1456" s="194"/>
      <c r="C1456" s="194"/>
      <c r="D1456" s="194"/>
      <c r="E1456" s="194"/>
      <c r="F1456" s="336" t="str">
        <f>$F$464</f>
        <v>Measurement Data</v>
      </c>
      <c r="G1456" s="194"/>
      <c r="H1456" s="194"/>
      <c r="I1456" s="194"/>
      <c r="J1456" s="194"/>
      <c r="K1456" s="194"/>
      <c r="L1456" s="957" t="s">
        <v>482</v>
      </c>
      <c r="X1456" s="939" t="s">
        <v>482</v>
      </c>
    </row>
    <row r="1457" spans="1:33" ht="11.25" customHeight="1" thickBot="1">
      <c r="A1457" s="857">
        <v>5</v>
      </c>
      <c r="B1457" s="432"/>
      <c r="C1457" s="432"/>
      <c r="D1457" s="432"/>
      <c r="E1457" s="432"/>
      <c r="F1457" s="432"/>
      <c r="G1457" s="432"/>
      <c r="H1457" s="432"/>
      <c r="I1457" s="432"/>
      <c r="J1457" s="432"/>
      <c r="K1457" s="432"/>
      <c r="L1457" s="957" t="s">
        <v>482</v>
      </c>
      <c r="X1457" s="939" t="s">
        <v>482</v>
      </c>
    </row>
    <row r="1458" spans="1:33" ht="11.25" customHeight="1" thickTop="1">
      <c r="A1458" s="857">
        <v>6</v>
      </c>
      <c r="B1458" s="427"/>
      <c r="C1458" s="428"/>
      <c r="D1458" s="428"/>
      <c r="E1458" s="428"/>
      <c r="F1458" s="428"/>
      <c r="G1458" s="428"/>
      <c r="H1458" s="428"/>
      <c r="I1458" s="428"/>
      <c r="J1458" s="428"/>
      <c r="K1458" s="429"/>
      <c r="L1458" s="957" t="s">
        <v>482</v>
      </c>
      <c r="X1458" s="939" t="s">
        <v>482</v>
      </c>
    </row>
    <row r="1459" spans="1:33" ht="11.25" customHeight="1">
      <c r="A1459" s="857">
        <v>7</v>
      </c>
      <c r="B1459" s="433"/>
      <c r="C1459" s="198"/>
      <c r="D1459" s="198"/>
      <c r="E1459" s="198"/>
      <c r="F1459" s="45" t="str">
        <f t="array" ref="F1459:J1499">IF($AX$686:$BB$729="","",$AX$686:$BB$729)</f>
        <v/>
      </c>
      <c r="G1459" s="45" t="str">
        <v/>
      </c>
      <c r="H1459" s="45" t="str">
        <v/>
      </c>
      <c r="I1459" s="682" t="str">
        <v>Exp</v>
      </c>
      <c r="J1459" s="45" t="str">
        <v/>
      </c>
      <c r="K1459" s="603"/>
      <c r="L1459" s="957" t="s">
        <v>482</v>
      </c>
      <c r="X1459" s="939" t="s">
        <v>482</v>
      </c>
    </row>
    <row r="1460" spans="1:33" ht="11.25" customHeight="1" thickBot="1">
      <c r="A1460" s="857">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7" t="s">
        <v>482</v>
      </c>
      <c r="X1460" s="939" t="s">
        <v>482</v>
      </c>
    </row>
    <row r="1461" spans="1:33" ht="11.25" customHeight="1">
      <c r="A1461" s="857">
        <v>9</v>
      </c>
      <c r="B1461" s="694">
        <v>60</v>
      </c>
      <c r="C1461" s="695">
        <f t="array" ref="C1461:C1499">IF(MAX($AD$688:$AD$729)=0,$AB$688:$AB$729,$AD$688:$AD$729)</f>
        <v>400</v>
      </c>
      <c r="D1461" s="696">
        <v>0.05</v>
      </c>
      <c r="E1461" s="697" t="str">
        <v>Large</v>
      </c>
      <c r="F1461" s="683" t="str">
        <v/>
      </c>
      <c r="G1461" s="683" t="str">
        <v/>
      </c>
      <c r="H1461" s="683" t="str">
        <v/>
      </c>
      <c r="I1461" s="684" t="str">
        <v/>
      </c>
      <c r="J1461" s="685" t="str">
        <v/>
      </c>
      <c r="K1461" s="603" t="str">
        <v/>
      </c>
      <c r="L1461" s="957" t="s">
        <v>482</v>
      </c>
      <c r="X1461" s="939" t="s">
        <v>482</v>
      </c>
    </row>
    <row r="1462" spans="1:33" ht="11.25" customHeight="1">
      <c r="A1462" s="857">
        <v>10</v>
      </c>
      <c r="B1462" s="694">
        <v>60</v>
      </c>
      <c r="C1462" s="695">
        <v>400</v>
      </c>
      <c r="D1462" s="696">
        <v>0.05</v>
      </c>
      <c r="E1462" s="697" t="str">
        <v>Large</v>
      </c>
      <c r="F1462" s="683" t="str">
        <v/>
      </c>
      <c r="G1462" s="683" t="str">
        <v/>
      </c>
      <c r="H1462" s="683" t="str">
        <v/>
      </c>
      <c r="I1462" s="684" t="str">
        <v/>
      </c>
      <c r="J1462" s="685" t="str">
        <v/>
      </c>
      <c r="K1462" s="603" t="str">
        <v/>
      </c>
      <c r="L1462" s="957" t="s">
        <v>482</v>
      </c>
      <c r="X1462" s="939" t="s">
        <v>482</v>
      </c>
    </row>
    <row r="1463" spans="1:33" ht="11.25" customHeight="1">
      <c r="A1463" s="857">
        <v>11</v>
      </c>
      <c r="B1463" s="694">
        <v>80</v>
      </c>
      <c r="C1463" s="695">
        <v>400</v>
      </c>
      <c r="D1463" s="696">
        <v>0.05</v>
      </c>
      <c r="E1463" s="697" t="str">
        <v>Large</v>
      </c>
      <c r="F1463" s="683" t="str">
        <v/>
      </c>
      <c r="G1463" s="683" t="str">
        <v/>
      </c>
      <c r="H1463" s="683" t="str">
        <v/>
      </c>
      <c r="I1463" s="684" t="str">
        <v/>
      </c>
      <c r="J1463" s="685" t="str">
        <v/>
      </c>
      <c r="K1463" s="603" t="str">
        <v/>
      </c>
      <c r="L1463" s="957" t="s">
        <v>482</v>
      </c>
      <c r="X1463" s="939" t="s">
        <v>482</v>
      </c>
    </row>
    <row r="1464" spans="1:33" ht="11.25" customHeight="1">
      <c r="A1464" s="857">
        <v>12</v>
      </c>
      <c r="B1464" s="694">
        <v>80</v>
      </c>
      <c r="C1464" s="695">
        <v>400</v>
      </c>
      <c r="D1464" s="696">
        <v>0.05</v>
      </c>
      <c r="E1464" s="697" t="str">
        <v>Large</v>
      </c>
      <c r="F1464" s="683" t="str">
        <v/>
      </c>
      <c r="G1464" s="683" t="str">
        <v/>
      </c>
      <c r="H1464" s="683" t="str">
        <v/>
      </c>
      <c r="I1464" s="684" t="str">
        <v/>
      </c>
      <c r="J1464" s="685" t="str">
        <v/>
      </c>
      <c r="K1464" s="603" t="str">
        <v/>
      </c>
      <c r="L1464" s="957" t="s">
        <v>482</v>
      </c>
      <c r="X1464" s="939" t="s">
        <v>482</v>
      </c>
      <c r="AG1464" s="1504"/>
    </row>
    <row r="1465" spans="1:33" ht="11.25" customHeight="1">
      <c r="A1465" s="857">
        <v>13</v>
      </c>
      <c r="B1465" s="694">
        <v>80</v>
      </c>
      <c r="C1465" s="695">
        <v>400</v>
      </c>
      <c r="D1465" s="696">
        <v>0.05</v>
      </c>
      <c r="E1465" s="697" t="str">
        <v>Large</v>
      </c>
      <c r="F1465" s="683" t="str">
        <v/>
      </c>
      <c r="G1465" s="683" t="str">
        <v/>
      </c>
      <c r="H1465" s="683" t="str">
        <v/>
      </c>
      <c r="I1465" s="684" t="str">
        <v/>
      </c>
      <c r="J1465" s="685" t="str">
        <v/>
      </c>
      <c r="K1465" s="603" t="str">
        <v/>
      </c>
      <c r="L1465" s="957" t="s">
        <v>482</v>
      </c>
      <c r="X1465" s="939" t="s">
        <v>482</v>
      </c>
      <c r="AG1465" s="1504"/>
    </row>
    <row r="1466" spans="1:33" ht="11.25" customHeight="1">
      <c r="A1466" s="857">
        <v>14</v>
      </c>
      <c r="B1466" s="694">
        <v>80</v>
      </c>
      <c r="C1466" s="695">
        <v>400</v>
      </c>
      <c r="D1466" s="696">
        <v>0.05</v>
      </c>
      <c r="E1466" s="697" t="str">
        <v>Large</v>
      </c>
      <c r="F1466" s="683" t="str">
        <v/>
      </c>
      <c r="G1466" s="683" t="str">
        <v/>
      </c>
      <c r="H1466" s="683" t="str">
        <v/>
      </c>
      <c r="I1466" s="684" t="str">
        <v/>
      </c>
      <c r="J1466" s="685" t="str">
        <v/>
      </c>
      <c r="K1466" s="603" t="str">
        <v/>
      </c>
      <c r="L1466" s="957" t="s">
        <v>482</v>
      </c>
      <c r="X1466" s="939" t="s">
        <v>482</v>
      </c>
      <c r="AG1466" s="1504"/>
    </row>
    <row r="1467" spans="1:33" ht="11.25" customHeight="1">
      <c r="A1467" s="857">
        <v>15</v>
      </c>
      <c r="B1467" s="694">
        <v>80</v>
      </c>
      <c r="C1467" s="695">
        <v>400</v>
      </c>
      <c r="D1467" s="696">
        <v>0.05</v>
      </c>
      <c r="E1467" s="697" t="str">
        <v>Large</v>
      </c>
      <c r="F1467" s="683" t="str">
        <v/>
      </c>
      <c r="G1467" s="683" t="str">
        <v/>
      </c>
      <c r="H1467" s="683" t="str">
        <v/>
      </c>
      <c r="I1467" s="684" t="str">
        <v/>
      </c>
      <c r="J1467" s="685" t="str">
        <v/>
      </c>
      <c r="K1467" s="603" t="str">
        <v/>
      </c>
      <c r="L1467" s="957" t="s">
        <v>482</v>
      </c>
      <c r="X1467" s="939" t="s">
        <v>482</v>
      </c>
      <c r="AG1467" s="1504"/>
    </row>
    <row r="1468" spans="1:33" ht="11.25" customHeight="1">
      <c r="A1468" s="857">
        <v>16</v>
      </c>
      <c r="B1468" s="694">
        <v>80</v>
      </c>
      <c r="C1468" s="695">
        <v>400</v>
      </c>
      <c r="D1468" s="696">
        <v>0.05</v>
      </c>
      <c r="E1468" s="697" t="str">
        <v>Large</v>
      </c>
      <c r="F1468" s="683" t="str">
        <v/>
      </c>
      <c r="G1468" s="683" t="str">
        <v/>
      </c>
      <c r="H1468" s="683" t="str">
        <v/>
      </c>
      <c r="I1468" s="684" t="str">
        <v/>
      </c>
      <c r="J1468" s="685" t="str">
        <v/>
      </c>
      <c r="K1468" s="603" t="str">
        <v/>
      </c>
      <c r="L1468" s="957" t="s">
        <v>482</v>
      </c>
      <c r="X1468" s="939" t="s">
        <v>482</v>
      </c>
      <c r="AG1468" s="1504"/>
    </row>
    <row r="1469" spans="1:33" ht="11.25" customHeight="1">
      <c r="A1469" s="857">
        <v>17</v>
      </c>
      <c r="B1469" s="694">
        <v>80</v>
      </c>
      <c r="C1469" s="695">
        <v>400</v>
      </c>
      <c r="D1469" s="696">
        <v>0.05</v>
      </c>
      <c r="E1469" s="697" t="str">
        <v>Large</v>
      </c>
      <c r="F1469" s="683" t="str">
        <v/>
      </c>
      <c r="G1469" s="683" t="str">
        <v/>
      </c>
      <c r="H1469" s="683" t="str">
        <v/>
      </c>
      <c r="I1469" s="684" t="str">
        <v/>
      </c>
      <c r="J1469" s="685" t="str">
        <v/>
      </c>
      <c r="K1469" s="603" t="str">
        <v/>
      </c>
      <c r="L1469" s="957" t="s">
        <v>482</v>
      </c>
      <c r="X1469" s="939" t="s">
        <v>482</v>
      </c>
      <c r="AG1469" s="1504"/>
    </row>
    <row r="1470" spans="1:33" ht="11.25" customHeight="1">
      <c r="A1470" s="857">
        <v>18</v>
      </c>
      <c r="B1470" s="694">
        <v>80</v>
      </c>
      <c r="C1470" s="695">
        <v>400</v>
      </c>
      <c r="D1470" s="696">
        <v>0.05</v>
      </c>
      <c r="E1470" s="697" t="str">
        <v>Large</v>
      </c>
      <c r="F1470" s="683" t="str">
        <v/>
      </c>
      <c r="G1470" s="683" t="str">
        <v/>
      </c>
      <c r="H1470" s="683" t="str">
        <v/>
      </c>
      <c r="I1470" s="684" t="str">
        <v/>
      </c>
      <c r="J1470" s="685" t="str">
        <v/>
      </c>
      <c r="K1470" s="603" t="str">
        <v/>
      </c>
      <c r="L1470" s="957" t="s">
        <v>482</v>
      </c>
      <c r="X1470" s="939" t="s">
        <v>482</v>
      </c>
      <c r="AG1470" s="1504"/>
    </row>
    <row r="1471" spans="1:33" ht="11.25" customHeight="1">
      <c r="A1471" s="857">
        <v>19</v>
      </c>
      <c r="B1471" s="694">
        <v>80</v>
      </c>
      <c r="C1471" s="695">
        <v>400</v>
      </c>
      <c r="D1471" s="696">
        <v>0.05</v>
      </c>
      <c r="E1471" s="697" t="str">
        <v>Large</v>
      </c>
      <c r="F1471" s="683" t="str">
        <v/>
      </c>
      <c r="G1471" s="683" t="str">
        <v/>
      </c>
      <c r="H1471" s="683" t="str">
        <v/>
      </c>
      <c r="I1471" s="684" t="str">
        <v/>
      </c>
      <c r="J1471" s="685" t="str">
        <v/>
      </c>
      <c r="K1471" s="603" t="str">
        <v/>
      </c>
      <c r="L1471" s="957" t="s">
        <v>482</v>
      </c>
      <c r="X1471" s="939" t="s">
        <v>482</v>
      </c>
      <c r="AG1471" s="1504"/>
    </row>
    <row r="1472" spans="1:33" ht="11.25" customHeight="1">
      <c r="A1472" s="857">
        <v>20</v>
      </c>
      <c r="B1472" s="694">
        <v>80</v>
      </c>
      <c r="C1472" s="695">
        <v>400</v>
      </c>
      <c r="D1472" s="696">
        <v>0.05</v>
      </c>
      <c r="E1472" s="697" t="str">
        <v>Large</v>
      </c>
      <c r="F1472" s="683" t="str">
        <v/>
      </c>
      <c r="G1472" s="683" t="str">
        <v/>
      </c>
      <c r="H1472" s="683" t="str">
        <v/>
      </c>
      <c r="I1472" s="684" t="str">
        <v/>
      </c>
      <c r="J1472" s="685" t="str">
        <v/>
      </c>
      <c r="K1472" s="603" t="str">
        <v/>
      </c>
      <c r="L1472" s="957" t="s">
        <v>482</v>
      </c>
      <c r="X1472" s="939" t="s">
        <v>482</v>
      </c>
      <c r="AG1472" s="1504"/>
    </row>
    <row r="1473" spans="1:33" ht="11.25" customHeight="1">
      <c r="A1473" s="857">
        <v>21</v>
      </c>
      <c r="B1473" s="694">
        <v>80</v>
      </c>
      <c r="C1473" s="695">
        <v>400</v>
      </c>
      <c r="D1473" s="696">
        <v>0.05</v>
      </c>
      <c r="E1473" s="697" t="str">
        <v>Large</v>
      </c>
      <c r="F1473" s="683" t="str">
        <v/>
      </c>
      <c r="G1473" s="683" t="str">
        <v/>
      </c>
      <c r="H1473" s="683" t="str">
        <v/>
      </c>
      <c r="I1473" s="684" t="str">
        <v/>
      </c>
      <c r="J1473" s="685" t="str">
        <v/>
      </c>
      <c r="K1473" s="603" t="str">
        <v/>
      </c>
      <c r="L1473" s="957" t="s">
        <v>482</v>
      </c>
      <c r="X1473" s="939" t="s">
        <v>482</v>
      </c>
      <c r="AG1473" s="1504"/>
    </row>
    <row r="1474" spans="1:33" ht="11.25" customHeight="1">
      <c r="A1474" s="857">
        <v>22</v>
      </c>
      <c r="B1474" s="694">
        <v>80</v>
      </c>
      <c r="C1474" s="695">
        <v>500</v>
      </c>
      <c r="D1474" s="696">
        <v>0.05</v>
      </c>
      <c r="E1474" s="697" t="str">
        <v>Large</v>
      </c>
      <c r="F1474" s="683" t="str">
        <v/>
      </c>
      <c r="G1474" s="683" t="str">
        <v/>
      </c>
      <c r="H1474" s="683" t="str">
        <v/>
      </c>
      <c r="I1474" s="684" t="str">
        <v/>
      </c>
      <c r="J1474" s="685" t="str">
        <v/>
      </c>
      <c r="K1474" s="603" t="str">
        <v/>
      </c>
      <c r="L1474" s="957" t="s">
        <v>482</v>
      </c>
      <c r="X1474" s="939" t="s">
        <v>482</v>
      </c>
    </row>
    <row r="1475" spans="1:33" ht="11.25" customHeight="1">
      <c r="A1475" s="857">
        <v>23</v>
      </c>
      <c r="B1475" s="694">
        <v>80</v>
      </c>
      <c r="C1475" s="695">
        <v>50</v>
      </c>
      <c r="D1475" s="696">
        <v>0.05</v>
      </c>
      <c r="E1475" s="697" t="str">
        <v>Large</v>
      </c>
      <c r="F1475" s="683" t="str">
        <v/>
      </c>
      <c r="G1475" s="683" t="str">
        <v/>
      </c>
      <c r="H1475" s="683" t="str">
        <v/>
      </c>
      <c r="I1475" s="684" t="str">
        <v/>
      </c>
      <c r="J1475" s="685" t="str">
        <v/>
      </c>
      <c r="K1475" s="603" t="str">
        <v/>
      </c>
      <c r="L1475" s="957" t="s">
        <v>482</v>
      </c>
      <c r="X1475" s="939" t="s">
        <v>482</v>
      </c>
    </row>
    <row r="1476" spans="1:33" ht="11.25" customHeight="1">
      <c r="A1476" s="857">
        <v>24</v>
      </c>
      <c r="B1476" s="694">
        <v>80</v>
      </c>
      <c r="C1476" s="695">
        <v>800</v>
      </c>
      <c r="D1476" s="696">
        <v>0.05</v>
      </c>
      <c r="E1476" s="697" t="str">
        <v>Large</v>
      </c>
      <c r="F1476" s="683" t="str">
        <v/>
      </c>
      <c r="G1476" s="683" t="str">
        <v/>
      </c>
      <c r="H1476" s="683" t="str">
        <v/>
      </c>
      <c r="I1476" s="684" t="str">
        <v/>
      </c>
      <c r="J1476" s="685" t="str">
        <v/>
      </c>
      <c r="K1476" s="603" t="str">
        <v/>
      </c>
      <c r="L1476" s="957" t="s">
        <v>482</v>
      </c>
      <c r="X1476" s="939" t="s">
        <v>482</v>
      </c>
      <c r="AB1476" s="1187"/>
    </row>
    <row r="1477" spans="1:33" ht="11.25" customHeight="1">
      <c r="A1477" s="857">
        <v>25</v>
      </c>
      <c r="B1477" s="694">
        <v>80</v>
      </c>
      <c r="C1477" s="695">
        <v>250</v>
      </c>
      <c r="D1477" s="696">
        <v>0.05</v>
      </c>
      <c r="E1477" s="697" t="str">
        <v>Large</v>
      </c>
      <c r="F1477" s="683" t="str">
        <v/>
      </c>
      <c r="G1477" s="683" t="str">
        <v/>
      </c>
      <c r="H1477" s="683" t="str">
        <v/>
      </c>
      <c r="I1477" s="684" t="str">
        <v/>
      </c>
      <c r="J1477" s="685" t="str">
        <v/>
      </c>
      <c r="K1477" s="603" t="str">
        <v/>
      </c>
      <c r="L1477" s="957" t="s">
        <v>482</v>
      </c>
      <c r="X1477" s="939" t="s">
        <v>482</v>
      </c>
      <c r="AB1477" s="1187"/>
    </row>
    <row r="1478" spans="1:33" ht="11.25" customHeight="1">
      <c r="A1478" s="857">
        <v>26</v>
      </c>
      <c r="B1478" s="694">
        <v>100</v>
      </c>
      <c r="C1478" s="695">
        <v>400</v>
      </c>
      <c r="D1478" s="696">
        <v>0.05</v>
      </c>
      <c r="E1478" s="697" t="str">
        <v>Large</v>
      </c>
      <c r="F1478" s="683" t="str">
        <v/>
      </c>
      <c r="G1478" s="683" t="str">
        <v/>
      </c>
      <c r="H1478" s="683" t="str">
        <v/>
      </c>
      <c r="I1478" s="684" t="str">
        <v/>
      </c>
      <c r="J1478" s="685" t="str">
        <v/>
      </c>
      <c r="K1478" s="603" t="str">
        <v/>
      </c>
      <c r="L1478" s="957" t="s">
        <v>482</v>
      </c>
      <c r="X1478" s="939" t="s">
        <v>482</v>
      </c>
      <c r="AB1478" s="1187"/>
    </row>
    <row r="1479" spans="1:33" ht="11.25" customHeight="1">
      <c r="A1479" s="857">
        <v>27</v>
      </c>
      <c r="B1479" s="694">
        <v>100</v>
      </c>
      <c r="C1479" s="695">
        <v>400</v>
      </c>
      <c r="D1479" s="696">
        <v>0.05</v>
      </c>
      <c r="E1479" s="119" t="str">
        <v>Large</v>
      </c>
      <c r="F1479" s="683" t="str">
        <v/>
      </c>
      <c r="G1479" s="683" t="str">
        <v/>
      </c>
      <c r="H1479" s="683" t="str">
        <v/>
      </c>
      <c r="I1479" s="684" t="str">
        <v/>
      </c>
      <c r="J1479" s="685" t="str">
        <v/>
      </c>
      <c r="K1479" s="603" t="str">
        <v/>
      </c>
      <c r="L1479" s="957" t="s">
        <v>482</v>
      </c>
      <c r="X1479" s="939" t="s">
        <v>482</v>
      </c>
      <c r="AB1479" s="1187"/>
    </row>
    <row r="1480" spans="1:33" ht="11.25" customHeight="1">
      <c r="A1480" s="857">
        <v>28</v>
      </c>
      <c r="B1480" s="694">
        <v>120</v>
      </c>
      <c r="C1480" s="695">
        <v>400</v>
      </c>
      <c r="D1480" s="696">
        <v>0.05</v>
      </c>
      <c r="E1480" s="117" t="str">
        <v>Large</v>
      </c>
      <c r="F1480" s="683" t="str">
        <v/>
      </c>
      <c r="G1480" s="683" t="str">
        <v/>
      </c>
      <c r="H1480" s="683" t="str">
        <v/>
      </c>
      <c r="I1480" s="684" t="str">
        <v/>
      </c>
      <c r="J1480" s="685" t="str">
        <v/>
      </c>
      <c r="K1480" s="603" t="str">
        <v/>
      </c>
      <c r="L1480" s="957" t="s">
        <v>482</v>
      </c>
      <c r="X1480" s="939" t="s">
        <v>482</v>
      </c>
      <c r="AB1480" s="1187"/>
    </row>
    <row r="1481" spans="1:33" ht="11.25" customHeight="1">
      <c r="A1481" s="857">
        <v>29</v>
      </c>
      <c r="B1481" s="694">
        <v>120</v>
      </c>
      <c r="C1481" s="695">
        <v>400</v>
      </c>
      <c r="D1481" s="696">
        <v>0.05</v>
      </c>
      <c r="E1481" s="117" t="str">
        <v>Large</v>
      </c>
      <c r="F1481" s="683" t="str">
        <v/>
      </c>
      <c r="G1481" s="683" t="str">
        <v/>
      </c>
      <c r="H1481" s="683" t="str">
        <v/>
      </c>
      <c r="I1481" s="684" t="str">
        <v/>
      </c>
      <c r="J1481" s="685" t="str">
        <v/>
      </c>
      <c r="K1481" s="603" t="str">
        <v/>
      </c>
      <c r="L1481" s="957" t="s">
        <v>482</v>
      </c>
      <c r="X1481" s="939" t="s">
        <v>482</v>
      </c>
      <c r="AB1481" s="1187"/>
    </row>
    <row r="1482" spans="1:33" ht="11.25" customHeight="1">
      <c r="A1482" s="857">
        <v>30</v>
      </c>
      <c r="B1482" s="694">
        <v>140</v>
      </c>
      <c r="C1482" s="695">
        <v>400</v>
      </c>
      <c r="D1482" s="696">
        <v>0.05</v>
      </c>
      <c r="E1482" s="117" t="str">
        <v>Large</v>
      </c>
      <c r="F1482" s="683" t="str">
        <v/>
      </c>
      <c r="G1482" s="683" t="str">
        <v/>
      </c>
      <c r="H1482" s="683" t="str">
        <v/>
      </c>
      <c r="I1482" s="684" t="str">
        <v/>
      </c>
      <c r="J1482" s="685" t="str">
        <v/>
      </c>
      <c r="K1482" s="603" t="str">
        <v/>
      </c>
      <c r="L1482" s="957" t="s">
        <v>482</v>
      </c>
      <c r="X1482" s="939" t="s">
        <v>482</v>
      </c>
      <c r="AB1482" s="1187"/>
    </row>
    <row r="1483" spans="1:33" ht="11.25" customHeight="1">
      <c r="A1483" s="857">
        <v>31</v>
      </c>
      <c r="B1483" s="694">
        <v>50</v>
      </c>
      <c r="C1483" s="695">
        <v>100</v>
      </c>
      <c r="D1483" s="696">
        <v>0.1</v>
      </c>
      <c r="E1483" s="117" t="str">
        <v>Small</v>
      </c>
      <c r="F1483" s="683" t="str">
        <v/>
      </c>
      <c r="G1483" s="683" t="str">
        <v/>
      </c>
      <c r="H1483" s="683" t="str">
        <v/>
      </c>
      <c r="I1483" s="684" t="str">
        <v/>
      </c>
      <c r="J1483" s="685" t="str">
        <v/>
      </c>
      <c r="K1483" s="603" t="str">
        <v/>
      </c>
      <c r="L1483" s="957" t="s">
        <v>482</v>
      </c>
      <c r="X1483" s="939" t="s">
        <v>482</v>
      </c>
    </row>
    <row r="1484" spans="1:33" ht="11.25" customHeight="1">
      <c r="A1484" s="857">
        <v>32</v>
      </c>
      <c r="B1484" s="694">
        <v>70</v>
      </c>
      <c r="C1484" s="695">
        <v>100</v>
      </c>
      <c r="D1484" s="696">
        <v>0.1</v>
      </c>
      <c r="E1484" s="117" t="str">
        <v>Small</v>
      </c>
      <c r="F1484" s="683" t="str">
        <v/>
      </c>
      <c r="G1484" s="683" t="str">
        <v/>
      </c>
      <c r="H1484" s="683" t="str">
        <v/>
      </c>
      <c r="I1484" s="684" t="str">
        <v/>
      </c>
      <c r="J1484" s="685" t="str">
        <v/>
      </c>
      <c r="K1484" s="603" t="str">
        <v/>
      </c>
      <c r="L1484" s="957" t="s">
        <v>482</v>
      </c>
      <c r="X1484" s="939" t="s">
        <v>482</v>
      </c>
    </row>
    <row r="1485" spans="1:33" ht="11.25" customHeight="1">
      <c r="A1485" s="857">
        <v>33</v>
      </c>
      <c r="B1485" s="694">
        <v>90</v>
      </c>
      <c r="C1485" s="695">
        <v>100</v>
      </c>
      <c r="D1485" s="696">
        <v>0.1</v>
      </c>
      <c r="E1485" s="117" t="str">
        <v>Small</v>
      </c>
      <c r="F1485" s="683" t="str">
        <v/>
      </c>
      <c r="G1485" s="683" t="str">
        <v/>
      </c>
      <c r="H1485" s="683" t="str">
        <v/>
      </c>
      <c r="I1485" s="684" t="str">
        <v/>
      </c>
      <c r="J1485" s="685" t="str">
        <v/>
      </c>
      <c r="K1485" s="603" t="str">
        <v/>
      </c>
      <c r="L1485" s="957" t="s">
        <v>482</v>
      </c>
      <c r="X1485" s="939" t="s">
        <v>482</v>
      </c>
    </row>
    <row r="1486" spans="1:33" ht="11.25" customHeight="1">
      <c r="A1486" s="857">
        <v>34</v>
      </c>
      <c r="B1486" s="694">
        <v>90</v>
      </c>
      <c r="C1486" s="695">
        <v>100</v>
      </c>
      <c r="D1486" s="696">
        <v>0.1</v>
      </c>
      <c r="E1486" s="117" t="str">
        <v>Small</v>
      </c>
      <c r="F1486" s="683" t="str">
        <v/>
      </c>
      <c r="G1486" s="683" t="str">
        <v/>
      </c>
      <c r="H1486" s="683" t="str">
        <v/>
      </c>
      <c r="I1486" s="684" t="str">
        <v/>
      </c>
      <c r="J1486" s="685" t="str">
        <v/>
      </c>
      <c r="K1486" s="603" t="str">
        <v/>
      </c>
      <c r="L1486" s="957" t="s">
        <v>482</v>
      </c>
      <c r="X1486" s="939" t="s">
        <v>482</v>
      </c>
    </row>
    <row r="1487" spans="1:33" ht="11.25" customHeight="1">
      <c r="A1487" s="857">
        <v>35</v>
      </c>
      <c r="B1487" s="694">
        <v>90</v>
      </c>
      <c r="C1487" s="695">
        <v>100</v>
      </c>
      <c r="D1487" s="696">
        <v>0.1</v>
      </c>
      <c r="E1487" s="117" t="str">
        <v>Small</v>
      </c>
      <c r="F1487" s="683" t="str">
        <v/>
      </c>
      <c r="G1487" s="683" t="str">
        <v/>
      </c>
      <c r="H1487" s="683" t="str">
        <v/>
      </c>
      <c r="I1487" s="684" t="str">
        <v/>
      </c>
      <c r="J1487" s="685" t="str">
        <v/>
      </c>
      <c r="K1487" s="603" t="str">
        <v/>
      </c>
      <c r="L1487" s="957" t="s">
        <v>482</v>
      </c>
      <c r="X1487" s="939" t="s">
        <v>482</v>
      </c>
    </row>
    <row r="1488" spans="1:33" ht="11.25" customHeight="1">
      <c r="A1488" s="857">
        <v>36</v>
      </c>
      <c r="B1488" s="694">
        <v>90</v>
      </c>
      <c r="C1488" s="695">
        <v>100</v>
      </c>
      <c r="D1488" s="696">
        <v>0.1</v>
      </c>
      <c r="E1488" s="117" t="str">
        <v>Small</v>
      </c>
      <c r="F1488" s="683" t="str">
        <v/>
      </c>
      <c r="G1488" s="683" t="str">
        <v/>
      </c>
      <c r="H1488" s="683" t="str">
        <v/>
      </c>
      <c r="I1488" s="684" t="str">
        <v/>
      </c>
      <c r="J1488" s="685" t="str">
        <v/>
      </c>
      <c r="K1488" s="603" t="str">
        <v/>
      </c>
      <c r="L1488" s="957" t="s">
        <v>482</v>
      </c>
      <c r="X1488" s="939" t="s">
        <v>482</v>
      </c>
    </row>
    <row r="1489" spans="1:34" ht="11.25" customHeight="1">
      <c r="A1489" s="857">
        <v>37</v>
      </c>
      <c r="B1489" s="694">
        <v>90</v>
      </c>
      <c r="C1489" s="695">
        <v>100</v>
      </c>
      <c r="D1489" s="696">
        <v>0.1</v>
      </c>
      <c r="E1489" s="117" t="str">
        <v>Small</v>
      </c>
      <c r="F1489" s="683" t="str">
        <v/>
      </c>
      <c r="G1489" s="683" t="str">
        <v/>
      </c>
      <c r="H1489" s="683" t="str">
        <v/>
      </c>
      <c r="I1489" s="684" t="str">
        <v/>
      </c>
      <c r="J1489" s="685" t="str">
        <v/>
      </c>
      <c r="K1489" s="603" t="str">
        <v/>
      </c>
      <c r="L1489" s="957" t="s">
        <v>482</v>
      </c>
      <c r="X1489" s="939" t="s">
        <v>482</v>
      </c>
    </row>
    <row r="1490" spans="1:34" ht="11.25" customHeight="1">
      <c r="A1490" s="857">
        <v>38</v>
      </c>
      <c r="B1490" s="694">
        <v>80</v>
      </c>
      <c r="C1490" s="695">
        <v>100</v>
      </c>
      <c r="D1490" s="696">
        <v>0.1</v>
      </c>
      <c r="E1490" s="117" t="str">
        <v>Small</v>
      </c>
      <c r="F1490" s="683" t="str">
        <v/>
      </c>
      <c r="G1490" s="683" t="str">
        <v/>
      </c>
      <c r="H1490" s="683" t="str">
        <v/>
      </c>
      <c r="I1490" s="684" t="str">
        <v/>
      </c>
      <c r="J1490" s="685" t="str">
        <v/>
      </c>
      <c r="K1490" s="603" t="str">
        <v/>
      </c>
      <c r="L1490" s="957" t="s">
        <v>482</v>
      </c>
      <c r="X1490" s="939" t="s">
        <v>482</v>
      </c>
    </row>
    <row r="1491" spans="1:34" ht="11.25" customHeight="1">
      <c r="A1491" s="857">
        <v>39</v>
      </c>
      <c r="B1491" s="694">
        <v>80</v>
      </c>
      <c r="C1491" s="695">
        <v>110</v>
      </c>
      <c r="D1491" s="696">
        <v>0.1</v>
      </c>
      <c r="E1491" s="117" t="str">
        <v>Small</v>
      </c>
      <c r="F1491" s="683" t="str">
        <v/>
      </c>
      <c r="G1491" s="683" t="str">
        <v/>
      </c>
      <c r="H1491" s="683" t="str">
        <v/>
      </c>
      <c r="I1491" s="684" t="str">
        <v/>
      </c>
      <c r="J1491" s="685" t="str">
        <v/>
      </c>
      <c r="K1491" s="603" t="str">
        <v/>
      </c>
      <c r="L1491" s="957" t="s">
        <v>482</v>
      </c>
      <c r="X1491" s="939" t="s">
        <v>482</v>
      </c>
    </row>
    <row r="1492" spans="1:34" ht="11.25" customHeight="1">
      <c r="A1492" s="857">
        <v>40</v>
      </c>
      <c r="B1492" s="694">
        <v>80</v>
      </c>
      <c r="C1492" s="695">
        <v>250</v>
      </c>
      <c r="D1492" s="696">
        <v>0.1</v>
      </c>
      <c r="E1492" s="117" t="str">
        <v>Small</v>
      </c>
      <c r="F1492" s="683" t="str">
        <v/>
      </c>
      <c r="G1492" s="683" t="str">
        <v/>
      </c>
      <c r="H1492" s="683" t="str">
        <v/>
      </c>
      <c r="I1492" s="684" t="str">
        <v/>
      </c>
      <c r="J1492" s="685" t="str">
        <v/>
      </c>
      <c r="K1492" s="603" t="str">
        <v/>
      </c>
      <c r="L1492" s="957" t="s">
        <v>482</v>
      </c>
      <c r="X1492" s="939" t="s">
        <v>482</v>
      </c>
    </row>
    <row r="1493" spans="1:34" ht="11.25" customHeight="1">
      <c r="A1493" s="857">
        <v>41</v>
      </c>
      <c r="B1493" s="694">
        <v>80</v>
      </c>
      <c r="C1493" s="695">
        <v>50</v>
      </c>
      <c r="D1493" s="696">
        <v>0.1</v>
      </c>
      <c r="E1493" s="117" t="str">
        <v>Small</v>
      </c>
      <c r="F1493" s="683" t="str">
        <v/>
      </c>
      <c r="G1493" s="683" t="str">
        <v/>
      </c>
      <c r="H1493" s="683" t="str">
        <v/>
      </c>
      <c r="I1493" s="684" t="str">
        <v/>
      </c>
      <c r="J1493" s="685" t="str">
        <v/>
      </c>
      <c r="K1493" s="603" t="str">
        <v/>
      </c>
      <c r="L1493" s="957" t="s">
        <v>482</v>
      </c>
      <c r="X1493" s="939" t="s">
        <v>482</v>
      </c>
    </row>
    <row r="1494" spans="1:34" ht="11.25" customHeight="1">
      <c r="A1494" s="857">
        <v>42</v>
      </c>
      <c r="B1494" s="694">
        <v>80</v>
      </c>
      <c r="C1494" s="695">
        <v>160</v>
      </c>
      <c r="D1494" s="696">
        <v>0.1</v>
      </c>
      <c r="E1494" s="697" t="str">
        <v>Small</v>
      </c>
      <c r="F1494" s="683" t="str">
        <v/>
      </c>
      <c r="G1494" s="683" t="str">
        <v/>
      </c>
      <c r="H1494" s="683" t="str">
        <v/>
      </c>
      <c r="I1494" s="684" t="str">
        <v/>
      </c>
      <c r="J1494" s="685" t="str">
        <v/>
      </c>
      <c r="K1494" s="603" t="str">
        <v/>
      </c>
      <c r="L1494" s="957" t="s">
        <v>482</v>
      </c>
      <c r="X1494" s="939" t="s">
        <v>482</v>
      </c>
    </row>
    <row r="1495" spans="1:34" ht="11.25" customHeight="1">
      <c r="A1495" s="857">
        <v>43</v>
      </c>
      <c r="B1495" s="694">
        <v>110</v>
      </c>
      <c r="C1495" s="695">
        <v>100</v>
      </c>
      <c r="D1495" s="696">
        <v>0.1</v>
      </c>
      <c r="E1495" s="697" t="str">
        <v>Small</v>
      </c>
      <c r="F1495" s="683" t="str">
        <v/>
      </c>
      <c r="G1495" s="683" t="str">
        <v/>
      </c>
      <c r="H1495" s="683" t="str">
        <v/>
      </c>
      <c r="I1495" s="684" t="str">
        <v/>
      </c>
      <c r="J1495" s="685" t="str">
        <v/>
      </c>
      <c r="K1495" s="603" t="str">
        <v/>
      </c>
      <c r="L1495" s="957" t="s">
        <v>482</v>
      </c>
      <c r="X1495" s="939" t="s">
        <v>482</v>
      </c>
    </row>
    <row r="1496" spans="1:34" ht="11.25" customHeight="1">
      <c r="A1496" s="857">
        <v>44</v>
      </c>
      <c r="B1496" s="694">
        <v>130</v>
      </c>
      <c r="C1496" s="695">
        <v>100</v>
      </c>
      <c r="D1496" s="696">
        <v>0.1</v>
      </c>
      <c r="E1496" s="697" t="str">
        <v>Small</v>
      </c>
      <c r="F1496" s="683" t="str">
        <v/>
      </c>
      <c r="G1496" s="683" t="str">
        <v/>
      </c>
      <c r="H1496" s="683" t="str">
        <v/>
      </c>
      <c r="I1496" s="684" t="str">
        <v/>
      </c>
      <c r="J1496" s="685" t="str">
        <v/>
      </c>
      <c r="K1496" s="603" t="str">
        <v/>
      </c>
      <c r="L1496" s="957" t="s">
        <v>482</v>
      </c>
      <c r="X1496" s="939" t="s">
        <v>482</v>
      </c>
    </row>
    <row r="1497" spans="1:34" ht="11.25" customHeight="1">
      <c r="A1497" s="857">
        <v>45</v>
      </c>
      <c r="B1497" s="694">
        <v>80</v>
      </c>
      <c r="C1497" s="695">
        <v>200</v>
      </c>
      <c r="D1497" s="696">
        <v>0.01</v>
      </c>
      <c r="E1497" s="697" t="str">
        <v>Large</v>
      </c>
      <c r="F1497" s="683" t="str">
        <v/>
      </c>
      <c r="G1497" s="683" t="str">
        <v/>
      </c>
      <c r="H1497" s="683" t="str">
        <v/>
      </c>
      <c r="I1497" s="684" t="str">
        <v/>
      </c>
      <c r="J1497" s="685" t="str">
        <v/>
      </c>
      <c r="K1497" s="603" t="str">
        <v/>
      </c>
      <c r="L1497" s="957" t="s">
        <v>482</v>
      </c>
      <c r="X1497" s="939" t="s">
        <v>482</v>
      </c>
    </row>
    <row r="1498" spans="1:34" ht="11.25" customHeight="1">
      <c r="A1498" s="857">
        <v>46</v>
      </c>
      <c r="B1498" s="694">
        <v>80</v>
      </c>
      <c r="C1498" s="695">
        <v>200</v>
      </c>
      <c r="D1498" s="696">
        <v>0.02</v>
      </c>
      <c r="E1498" s="697" t="str">
        <v>Large</v>
      </c>
      <c r="F1498" s="683" t="str">
        <v/>
      </c>
      <c r="G1498" s="683" t="str">
        <v/>
      </c>
      <c r="H1498" s="683" t="str">
        <v/>
      </c>
      <c r="I1498" s="684" t="str">
        <v/>
      </c>
      <c r="J1498" s="685" t="str">
        <v/>
      </c>
      <c r="K1498" s="603" t="str">
        <v/>
      </c>
      <c r="L1498" s="957" t="s">
        <v>482</v>
      </c>
      <c r="X1498" s="939" t="s">
        <v>482</v>
      </c>
    </row>
    <row r="1499" spans="1:34" ht="11.25" customHeight="1">
      <c r="A1499" s="857">
        <v>47</v>
      </c>
      <c r="B1499" s="694">
        <v>80</v>
      </c>
      <c r="C1499" s="695">
        <v>200</v>
      </c>
      <c r="D1499" s="696">
        <v>0.04</v>
      </c>
      <c r="E1499" s="697" t="str">
        <v>Large</v>
      </c>
      <c r="F1499" s="683" t="str">
        <v/>
      </c>
      <c r="G1499" s="683" t="str">
        <v/>
      </c>
      <c r="H1499" s="683" t="str">
        <v/>
      </c>
      <c r="I1499" s="684" t="str">
        <v/>
      </c>
      <c r="J1499" s="685" t="str">
        <v/>
      </c>
      <c r="K1499" s="603" t="str">
        <v/>
      </c>
      <c r="L1499" s="957" t="s">
        <v>482</v>
      </c>
      <c r="X1499" s="939" t="s">
        <v>482</v>
      </c>
    </row>
    <row r="1500" spans="1:34" ht="11.25" customHeight="1">
      <c r="A1500" s="857">
        <v>48</v>
      </c>
      <c r="B1500" s="433"/>
      <c r="C1500" s="198"/>
      <c r="D1500" s="198"/>
      <c r="E1500" s="198"/>
      <c r="F1500" s="198"/>
      <c r="G1500" s="198"/>
      <c r="H1500" s="198"/>
      <c r="I1500" s="198"/>
      <c r="J1500" s="198"/>
      <c r="K1500" s="603"/>
      <c r="L1500" s="957" t="s">
        <v>482</v>
      </c>
    </row>
    <row r="1501" spans="1:34" ht="11.25" customHeight="1" thickBot="1">
      <c r="A1501" s="857">
        <v>49</v>
      </c>
      <c r="B1501" s="701"/>
      <c r="C1501" s="702"/>
      <c r="D1501" s="702"/>
      <c r="E1501" s="702"/>
      <c r="F1501" s="702"/>
      <c r="G1501" s="702"/>
      <c r="H1501" s="702"/>
      <c r="I1501" s="702"/>
      <c r="J1501" s="702"/>
      <c r="K1501" s="703"/>
      <c r="L1501" s="957" t="s">
        <v>482</v>
      </c>
    </row>
    <row r="1502" spans="1:34" ht="11.25" customHeight="1" thickTop="1">
      <c r="A1502" s="857">
        <v>50</v>
      </c>
      <c r="B1502" s="432"/>
      <c r="C1502" s="432"/>
      <c r="D1502" s="432"/>
      <c r="E1502" s="432"/>
      <c r="F1502" s="432"/>
      <c r="G1502" s="432"/>
      <c r="H1502" s="432"/>
      <c r="I1502" s="432"/>
      <c r="J1502" s="432"/>
      <c r="K1502" s="432"/>
      <c r="L1502" s="957" t="s">
        <v>482</v>
      </c>
    </row>
    <row r="1503" spans="1:34" ht="11.25" customHeight="1">
      <c r="A1503" s="857">
        <v>51</v>
      </c>
      <c r="B1503" s="432"/>
      <c r="C1503" s="432"/>
      <c r="D1503" s="432"/>
      <c r="E1503" s="432"/>
      <c r="F1503" s="432"/>
      <c r="G1503" s="432"/>
      <c r="H1503" s="432"/>
      <c r="I1503" s="432"/>
      <c r="J1503" s="432"/>
      <c r="K1503" s="432"/>
      <c r="L1503" s="957" t="s">
        <v>482</v>
      </c>
      <c r="AH1503" s="1270"/>
    </row>
    <row r="1504" spans="1:34" ht="11.25" customHeight="1">
      <c r="A1504" s="857">
        <v>52</v>
      </c>
      <c r="B1504" s="432"/>
      <c r="C1504" s="432"/>
      <c r="D1504" s="432"/>
      <c r="E1504" s="432"/>
      <c r="F1504" s="432"/>
      <c r="G1504" s="432"/>
      <c r="H1504" s="432"/>
      <c r="I1504" s="432"/>
      <c r="J1504" s="432"/>
      <c r="K1504" s="432"/>
      <c r="L1504" s="957" t="s">
        <v>482</v>
      </c>
    </row>
    <row r="1505" spans="1:24" ht="11.25" customHeight="1">
      <c r="A1505" s="857">
        <v>53</v>
      </c>
      <c r="B1505" s="432"/>
      <c r="C1505" s="432"/>
      <c r="D1505" s="432"/>
      <c r="E1505" s="432"/>
      <c r="F1505" s="432"/>
      <c r="G1505" s="432"/>
      <c r="H1505" s="432"/>
      <c r="I1505" s="432"/>
      <c r="J1505" s="432"/>
      <c r="K1505" s="432"/>
      <c r="L1505" s="957" t="s">
        <v>482</v>
      </c>
    </row>
    <row r="1506" spans="1:24" ht="11.25" customHeight="1">
      <c r="A1506" s="857">
        <v>54</v>
      </c>
      <c r="B1506" s="432"/>
      <c r="C1506" s="432"/>
      <c r="D1506" s="432"/>
      <c r="E1506" s="432"/>
      <c r="F1506" s="432"/>
      <c r="G1506" s="432"/>
      <c r="H1506" s="432"/>
      <c r="I1506" s="432"/>
      <c r="J1506" s="432"/>
      <c r="K1506" s="432"/>
      <c r="L1506" s="957" t="s">
        <v>482</v>
      </c>
    </row>
    <row r="1507" spans="1:24" ht="11.25" customHeight="1">
      <c r="A1507" s="857">
        <v>55</v>
      </c>
      <c r="B1507" s="432"/>
      <c r="C1507" s="432"/>
      <c r="D1507" s="432"/>
      <c r="E1507" s="432"/>
      <c r="F1507" s="432"/>
      <c r="G1507" s="432"/>
      <c r="H1507" s="432"/>
      <c r="I1507" s="432"/>
      <c r="J1507" s="432"/>
      <c r="K1507" s="432"/>
      <c r="L1507" s="957" t="s">
        <v>482</v>
      </c>
    </row>
    <row r="1508" spans="1:24" ht="11.25" customHeight="1">
      <c r="A1508" s="857">
        <v>56</v>
      </c>
      <c r="B1508" s="432"/>
      <c r="C1508" s="432"/>
      <c r="D1508" s="432"/>
      <c r="E1508" s="432"/>
      <c r="F1508" s="432"/>
      <c r="G1508" s="432"/>
      <c r="H1508" s="432"/>
      <c r="I1508" s="432"/>
      <c r="J1508" s="432"/>
      <c r="K1508" s="432"/>
      <c r="L1508" s="957" t="s">
        <v>482</v>
      </c>
    </row>
    <row r="1509" spans="1:24" ht="11.25" customHeight="1">
      <c r="A1509" s="857">
        <v>57</v>
      </c>
      <c r="B1509" s="432"/>
      <c r="C1509" s="432"/>
      <c r="D1509" s="432"/>
      <c r="E1509" s="432"/>
      <c r="F1509" s="432"/>
      <c r="G1509" s="432"/>
      <c r="H1509" s="432"/>
      <c r="I1509" s="432"/>
      <c r="J1509" s="432"/>
      <c r="K1509" s="432"/>
      <c r="L1509" s="957" t="s">
        <v>482</v>
      </c>
    </row>
    <row r="1510" spans="1:24" ht="11.25" customHeight="1">
      <c r="A1510" s="857">
        <v>58</v>
      </c>
      <c r="B1510" s="432"/>
      <c r="C1510" s="432"/>
      <c r="D1510" s="432"/>
      <c r="E1510" s="432"/>
      <c r="F1510" s="432"/>
      <c r="G1510" s="432"/>
      <c r="H1510" s="432"/>
      <c r="I1510" s="432"/>
      <c r="J1510" s="432"/>
      <c r="K1510" s="432"/>
      <c r="L1510" s="957" t="s">
        <v>482</v>
      </c>
    </row>
    <row r="1511" spans="1:24" ht="11.25" customHeight="1">
      <c r="A1511" s="857">
        <v>59</v>
      </c>
      <c r="B1511" s="432"/>
      <c r="C1511" s="432"/>
      <c r="D1511" s="432"/>
      <c r="E1511" s="432"/>
      <c r="F1511" s="432"/>
      <c r="G1511" s="432"/>
      <c r="H1511" s="432"/>
      <c r="I1511" s="432"/>
      <c r="J1511" s="432"/>
      <c r="K1511" s="432"/>
      <c r="L1511" s="957" t="s">
        <v>482</v>
      </c>
    </row>
    <row r="1512" spans="1:24" ht="11.25" customHeight="1">
      <c r="A1512" s="857">
        <v>60</v>
      </c>
      <c r="B1512" s="432"/>
      <c r="C1512" s="432"/>
      <c r="D1512" s="432"/>
      <c r="E1512" s="432"/>
      <c r="F1512" s="432"/>
      <c r="G1512" s="432"/>
      <c r="H1512" s="432"/>
      <c r="I1512" s="432"/>
      <c r="J1512" s="432"/>
      <c r="K1512" s="432"/>
      <c r="L1512" s="957" t="s">
        <v>482</v>
      </c>
      <c r="X1512" s="939" t="s">
        <v>482</v>
      </c>
    </row>
    <row r="1513" spans="1:24" ht="11.25" customHeight="1">
      <c r="A1513" s="857">
        <v>61</v>
      </c>
      <c r="B1513" s="432"/>
      <c r="C1513" s="432"/>
      <c r="D1513" s="432"/>
      <c r="E1513" s="432"/>
      <c r="F1513" s="432"/>
      <c r="G1513" s="432"/>
      <c r="H1513" s="432"/>
      <c r="I1513" s="432"/>
      <c r="J1513" s="432"/>
      <c r="K1513" s="432"/>
      <c r="L1513" s="957" t="s">
        <v>482</v>
      </c>
      <c r="X1513" s="939" t="s">
        <v>482</v>
      </c>
    </row>
    <row r="1514" spans="1:24" ht="11.25" customHeight="1">
      <c r="A1514" s="857">
        <v>62</v>
      </c>
      <c r="B1514" s="432"/>
      <c r="C1514" s="432"/>
      <c r="D1514" s="432"/>
      <c r="E1514" s="432"/>
      <c r="F1514" s="432"/>
      <c r="G1514" s="432"/>
      <c r="H1514" s="432"/>
      <c r="I1514" s="432"/>
      <c r="J1514" s="432"/>
      <c r="K1514" s="432"/>
      <c r="L1514" s="957" t="s">
        <v>482</v>
      </c>
      <c r="X1514" s="939" t="s">
        <v>482</v>
      </c>
    </row>
    <row r="1515" spans="1:24" ht="11.25" customHeight="1">
      <c r="A1515" s="857">
        <v>63</v>
      </c>
      <c r="B1515" s="432"/>
      <c r="C1515" s="432"/>
      <c r="D1515" s="432"/>
      <c r="E1515" s="432"/>
      <c r="F1515" s="432"/>
      <c r="G1515" s="432"/>
      <c r="H1515" s="432"/>
      <c r="I1515" s="432"/>
      <c r="J1515" s="432"/>
      <c r="K1515" s="432"/>
      <c r="L1515" s="957" t="s">
        <v>482</v>
      </c>
      <c r="X1515" s="939" t="s">
        <v>482</v>
      </c>
    </row>
    <row r="1516" spans="1:24" ht="11.25" customHeight="1">
      <c r="A1516" s="857">
        <v>64</v>
      </c>
      <c r="B1516" s="432"/>
      <c r="C1516" s="432"/>
      <c r="D1516" s="432"/>
      <c r="E1516" s="432"/>
      <c r="F1516" s="432"/>
      <c r="G1516" s="432"/>
      <c r="H1516" s="432"/>
      <c r="I1516" s="432"/>
      <c r="J1516" s="432"/>
      <c r="K1516" s="432"/>
      <c r="L1516" s="957" t="s">
        <v>482</v>
      </c>
      <c r="X1516" s="939" t="s">
        <v>482</v>
      </c>
    </row>
    <row r="1517" spans="1:24" ht="11.25" customHeight="1">
      <c r="A1517" s="857">
        <v>65</v>
      </c>
      <c r="B1517" s="704" t="str">
        <f t="array" ref="B1517:C1518">$B$65:$C$66</f>
        <v>Date:</v>
      </c>
      <c r="C1517" s="1664" t="str">
        <v/>
      </c>
      <c r="D1517" s="432"/>
      <c r="E1517" s="705"/>
      <c r="F1517" s="705"/>
      <c r="G1517" s="705"/>
      <c r="H1517" s="705"/>
      <c r="I1517" s="704" t="str">
        <f t="array" ref="I1517:J1518">$I$65:$J$66</f>
        <v>Inspector:</v>
      </c>
      <c r="J1517" s="554" t="str">
        <v>Eugene Mah</v>
      </c>
      <c r="K1517" s="432"/>
      <c r="L1517" s="957" t="s">
        <v>482</v>
      </c>
      <c r="X1517" s="939" t="s">
        <v>482</v>
      </c>
    </row>
    <row r="1518" spans="1:24" ht="11.25" customHeight="1">
      <c r="A1518" s="857">
        <v>66</v>
      </c>
      <c r="B1518" s="704" t="str">
        <v>Room Number:</v>
      </c>
      <c r="C1518" s="499" t="str">
        <v/>
      </c>
      <c r="D1518" s="432"/>
      <c r="E1518" s="705"/>
      <c r="F1518" s="705"/>
      <c r="G1518" s="705"/>
      <c r="H1518" s="705"/>
      <c r="I1518" s="704" t="str">
        <v>Survey ID:</v>
      </c>
      <c r="J1518" s="1406" t="str">
        <v/>
      </c>
      <c r="K1518" s="432"/>
      <c r="L1518" s="957" t="s">
        <v>482</v>
      </c>
      <c r="X1518" s="939" t="s">
        <v>482</v>
      </c>
    </row>
    <row r="1519" spans="1:24" ht="11.25" customHeight="1">
      <c r="A1519" s="857">
        <v>1</v>
      </c>
      <c r="B1519" s="432"/>
      <c r="C1519" s="432"/>
      <c r="D1519" s="432"/>
      <c r="E1519" s="432"/>
      <c r="F1519" s="432"/>
      <c r="G1519" s="432"/>
      <c r="H1519" s="432"/>
      <c r="I1519" s="432"/>
      <c r="J1519" s="432"/>
      <c r="K1519" s="688" t="str">
        <f>$F$2</f>
        <v>Medical University of South Carolina</v>
      </c>
      <c r="L1519" s="957" t="s">
        <v>482</v>
      </c>
      <c r="X1519" s="939" t="s">
        <v>482</v>
      </c>
    </row>
    <row r="1520" spans="1:24" ht="11.25" customHeight="1">
      <c r="A1520" s="857">
        <v>2</v>
      </c>
      <c r="B1520" s="432"/>
      <c r="C1520" s="432"/>
      <c r="D1520" s="432"/>
      <c r="E1520" s="432"/>
      <c r="F1520" s="432"/>
      <c r="G1520" s="432"/>
      <c r="H1520" s="432"/>
      <c r="I1520" s="432"/>
      <c r="J1520" s="432"/>
      <c r="K1520" s="689" t="str">
        <f>$F$5</f>
        <v>Radiographic System Compliance Inspection</v>
      </c>
      <c r="L1520" s="957" t="s">
        <v>482</v>
      </c>
      <c r="X1520" s="939" t="s">
        <v>482</v>
      </c>
    </row>
    <row r="1521" spans="1:33" ht="11.25" customHeight="1">
      <c r="A1521" s="857">
        <v>3</v>
      </c>
      <c r="B1521" s="194"/>
      <c r="C1521" s="194"/>
      <c r="D1521" s="194"/>
      <c r="E1521" s="194"/>
      <c r="F1521" s="194"/>
      <c r="G1521" s="194"/>
      <c r="H1521" s="194"/>
      <c r="I1521" s="194"/>
      <c r="J1521" s="194"/>
      <c r="K1521" s="194"/>
      <c r="L1521" s="957" t="s">
        <v>482</v>
      </c>
      <c r="X1521" s="939" t="s">
        <v>482</v>
      </c>
    </row>
    <row r="1522" spans="1:33" ht="11.25" customHeight="1">
      <c r="A1522" s="857">
        <v>4</v>
      </c>
      <c r="B1522" s="194"/>
      <c r="C1522" s="194"/>
      <c r="D1522" s="194"/>
      <c r="E1522" s="194"/>
      <c r="F1522" s="336" t="str">
        <f>$F$464</f>
        <v>Measurement Data</v>
      </c>
      <c r="G1522" s="194"/>
      <c r="H1522" s="194"/>
      <c r="I1522" s="194"/>
      <c r="J1522" s="194"/>
      <c r="K1522" s="194"/>
      <c r="L1522" s="957" t="s">
        <v>482</v>
      </c>
      <c r="X1522" s="939" t="s">
        <v>482</v>
      </c>
    </row>
    <row r="1523" spans="1:33" ht="11.25" customHeight="1">
      <c r="A1523" s="857">
        <v>5</v>
      </c>
      <c r="B1523" s="432"/>
      <c r="C1523" s="432"/>
      <c r="D1523" s="432"/>
      <c r="E1523" s="432"/>
      <c r="F1523" s="432"/>
      <c r="G1523" s="432"/>
      <c r="H1523" s="432"/>
      <c r="I1523" s="432"/>
      <c r="J1523" s="432"/>
      <c r="K1523" s="432"/>
      <c r="L1523" s="957" t="s">
        <v>482</v>
      </c>
      <c r="X1523" s="939" t="s">
        <v>482</v>
      </c>
    </row>
    <row r="1524" spans="1:33" ht="11.25" customHeight="1" thickBot="1">
      <c r="A1524" s="857">
        <v>6</v>
      </c>
      <c r="B1524" s="432"/>
      <c r="C1524" s="432"/>
      <c r="D1524" s="432"/>
      <c r="E1524" s="432"/>
      <c r="F1524" s="432"/>
      <c r="G1524" s="432"/>
      <c r="H1524" s="432"/>
      <c r="I1524" s="432"/>
      <c r="J1524" s="432"/>
      <c r="K1524" s="432"/>
      <c r="L1524" s="957" t="s">
        <v>482</v>
      </c>
      <c r="X1524" s="939" t="s">
        <v>482</v>
      </c>
    </row>
    <row r="1525" spans="1:33" ht="11.25" customHeight="1" thickTop="1">
      <c r="A1525" s="857">
        <v>7</v>
      </c>
      <c r="B1525" s="427"/>
      <c r="C1525" s="428"/>
      <c r="D1525" s="428"/>
      <c r="E1525" s="428"/>
      <c r="F1525" s="428"/>
      <c r="G1525" s="428"/>
      <c r="H1525" s="428"/>
      <c r="I1525" s="428"/>
      <c r="J1525" s="428"/>
      <c r="K1525" s="429"/>
      <c r="L1525" s="957" t="s">
        <v>482</v>
      </c>
      <c r="M1525" s="89"/>
      <c r="N1525" s="72"/>
      <c r="O1525" s="72"/>
      <c r="P1525" s="72"/>
      <c r="Q1525" s="428"/>
      <c r="R1525" s="428"/>
      <c r="S1525" s="834"/>
      <c r="T1525" s="834"/>
      <c r="U1525" s="834"/>
      <c r="V1525" s="834"/>
      <c r="W1525" s="834"/>
      <c r="X1525" s="72"/>
      <c r="Y1525" s="72"/>
      <c r="Z1525" s="72"/>
      <c r="AA1525" s="72"/>
      <c r="AB1525" s="72"/>
      <c r="AC1525" s="72"/>
      <c r="AD1525" s="72"/>
      <c r="AE1525" s="72"/>
      <c r="AF1525" s="72"/>
      <c r="AG1525" s="90"/>
    </row>
    <row r="1526" spans="1:33" ht="11.25" customHeight="1" thickBot="1">
      <c r="A1526" s="857">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7" t="s">
        <v>482</v>
      </c>
      <c r="M1526" s="155"/>
      <c r="N1526" s="966" t="s">
        <v>1099</v>
      </c>
      <c r="O1526" s="63"/>
      <c r="Q1526" s="1254"/>
      <c r="R1526" s="198"/>
      <c r="S1526" s="198"/>
      <c r="T1526" s="795"/>
      <c r="U1526" s="795"/>
      <c r="V1526" s="795"/>
      <c r="W1526" s="795"/>
      <c r="X1526" s="795"/>
      <c r="Y1526" s="63"/>
      <c r="Z1526" s="63"/>
      <c r="AA1526" s="63"/>
      <c r="AB1526" s="63"/>
      <c r="AC1526" s="63"/>
      <c r="AD1526" s="63"/>
      <c r="AE1526" s="63"/>
      <c r="AF1526" s="63"/>
      <c r="AG1526" s="81"/>
    </row>
    <row r="1527" spans="1:33" ht="11.25" customHeight="1">
      <c r="A1527" s="857">
        <v>9</v>
      </c>
      <c r="B1527" s="694">
        <v>60</v>
      </c>
      <c r="C1527" s="695">
        <f t="array" ref="C1527:C1565">IF(MAX($AD$688:$AD$729)=0,$AB$688:$AB$729,$AD$688:$AD$729)</f>
        <v>400</v>
      </c>
      <c r="D1527" s="696">
        <v>0.05</v>
      </c>
      <c r="E1527" s="697" t="str">
        <v>Large</v>
      </c>
      <c r="F1527" s="698" t="str">
        <v>50-85</v>
      </c>
      <c r="G1527" s="698">
        <v>0</v>
      </c>
      <c r="H1527" s="698" t="str">
        <v>none</v>
      </c>
      <c r="I1527" s="699">
        <v>60</v>
      </c>
      <c r="J1527" s="698" t="str">
        <v>cm</v>
      </c>
      <c r="K1527" s="700">
        <v>1</v>
      </c>
      <c r="L1527" s="957" t="s">
        <v>482</v>
      </c>
      <c r="M1527" s="155"/>
      <c r="N1527" s="616"/>
      <c r="O1527" s="616"/>
      <c r="P1527" s="616"/>
      <c r="Q1527" s="616"/>
      <c r="R1527" s="1243" t="s">
        <v>191</v>
      </c>
      <c r="S1527" s="1244"/>
      <c r="T1527" s="1264"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7">
        <v>10</v>
      </c>
      <c r="B1528" s="694">
        <v>60</v>
      </c>
      <c r="C1528" s="695">
        <v>400</v>
      </c>
      <c r="D1528" s="696">
        <v>0.05</v>
      </c>
      <c r="E1528" s="697" t="str">
        <v>Large</v>
      </c>
      <c r="F1528" s="698" t="str">
        <v>50-85</v>
      </c>
      <c r="G1528" s="698">
        <v>0</v>
      </c>
      <c r="H1528" s="698" t="str">
        <v>none</v>
      </c>
      <c r="I1528" s="699">
        <v>60</v>
      </c>
      <c r="J1528" s="698" t="str">
        <v>cm</v>
      </c>
      <c r="K1528" s="700">
        <v>1</v>
      </c>
      <c r="L1528" s="957" t="s">
        <v>482</v>
      </c>
      <c r="M1528" s="155"/>
      <c r="N1528" s="616"/>
      <c r="O1528" s="616"/>
      <c r="P1528" s="616"/>
      <c r="Q1528" s="616"/>
      <c r="R1528" s="1245" t="s">
        <v>188</v>
      </c>
      <c r="S1528" s="1246" t="s">
        <v>189</v>
      </c>
      <c r="T1528" s="616"/>
      <c r="U1528" s="1240" t="s">
        <v>1100</v>
      </c>
      <c r="V1528" s="616"/>
      <c r="W1528" s="616"/>
      <c r="X1528" s="795"/>
      <c r="Y1528" s="63"/>
      <c r="Z1528" s="63"/>
      <c r="AA1528" s="63"/>
      <c r="AB1528" s="63"/>
      <c r="AC1528" s="63"/>
      <c r="AD1528" s="63"/>
      <c r="AE1528" s="63"/>
      <c r="AF1528" s="63"/>
      <c r="AG1528" s="1271" t="s">
        <v>482</v>
      </c>
    </row>
    <row r="1529" spans="1:33" ht="11.25" customHeight="1">
      <c r="A1529" s="857">
        <v>11</v>
      </c>
      <c r="B1529" s="694">
        <v>80</v>
      </c>
      <c r="C1529" s="695">
        <v>400</v>
      </c>
      <c r="D1529" s="696">
        <v>0.05</v>
      </c>
      <c r="E1529" s="697" t="str">
        <v>Large</v>
      </c>
      <c r="F1529" s="698" t="str">
        <v>70-120</v>
      </c>
      <c r="G1529" s="698">
        <v>0</v>
      </c>
      <c r="H1529" s="698" t="str">
        <v>none</v>
      </c>
      <c r="I1529" s="699">
        <v>60</v>
      </c>
      <c r="J1529" s="698" t="str">
        <v>cm</v>
      </c>
      <c r="K1529" s="700">
        <v>1</v>
      </c>
      <c r="L1529" s="957" t="s">
        <v>482</v>
      </c>
      <c r="M1529" s="155"/>
      <c r="N1529" s="1247"/>
      <c r="O1529" s="1248"/>
      <c r="P1529" s="1248"/>
      <c r="Q1529" s="1241" t="s">
        <v>198</v>
      </c>
      <c r="R1529" s="1262">
        <v>6</v>
      </c>
      <c r="S1529" s="1249"/>
      <c r="T1529" s="616"/>
      <c r="U1529" s="1265" t="s">
        <v>197</v>
      </c>
      <c r="V1529" s="1269">
        <f>LEN(U1528)</f>
        <v>409</v>
      </c>
      <c r="W1529" s="616"/>
      <c r="X1529" s="795"/>
      <c r="Y1529" s="63"/>
      <c r="Z1529" s="63"/>
      <c r="AA1529" s="63"/>
      <c r="AB1529" s="63"/>
      <c r="AC1529" s="63"/>
      <c r="AD1529" s="63"/>
      <c r="AE1529" s="63"/>
      <c r="AF1529" s="63"/>
      <c r="AG1529" s="81"/>
    </row>
    <row r="1530" spans="1:33" ht="11.25" customHeight="1">
      <c r="A1530" s="857">
        <v>12</v>
      </c>
      <c r="B1530" s="694">
        <v>80</v>
      </c>
      <c r="C1530" s="695">
        <v>400</v>
      </c>
      <c r="D1530" s="696">
        <v>0.05</v>
      </c>
      <c r="E1530" s="697" t="str">
        <v>Large</v>
      </c>
      <c r="F1530" s="698" t="str">
        <v>70-120</v>
      </c>
      <c r="G1530" s="698">
        <v>0</v>
      </c>
      <c r="H1530" s="698" t="str">
        <v>none</v>
      </c>
      <c r="I1530" s="699">
        <v>60</v>
      </c>
      <c r="J1530" s="698" t="str">
        <v>cm</v>
      </c>
      <c r="K1530" s="700">
        <v>1</v>
      </c>
      <c r="L1530" s="957" t="s">
        <v>482</v>
      </c>
      <c r="M1530" s="155"/>
      <c r="N1530" s="1250"/>
      <c r="O1530" s="616"/>
      <c r="P1530" s="616"/>
      <c r="Q1530" s="617" t="s">
        <v>199</v>
      </c>
      <c r="R1530" s="1263">
        <v>137</v>
      </c>
      <c r="S1530" s="1261">
        <v>1505</v>
      </c>
      <c r="T1530" s="1266">
        <f>LEN(U1530)</f>
        <v>135</v>
      </c>
      <c r="U1530" s="1255" t="str">
        <f>IF(U1528="","",IF(LEN(U1528)&lt;=$R$1530,U1528,IF(LEN($U$1528)&lt;=$R$1531,LEFT(U1528,SEARCH(" ",U1528,$R$1532)),LEFT(U1528,SEARCH(" ",U1528,$R$1533)))))</f>
        <v xml:space="preserve">I wanted every body to know that now is the time for all good women to come to the aid of their country, and if you don't belive that, </v>
      </c>
      <c r="V1530" s="1256"/>
      <c r="W1530" s="1256"/>
      <c r="X1530" s="1257"/>
      <c r="Y1530" s="1258"/>
      <c r="Z1530" s="1258"/>
      <c r="AA1530" s="1258"/>
      <c r="AB1530" s="1258"/>
      <c r="AC1530" s="1258"/>
      <c r="AD1530" s="1258"/>
      <c r="AE1530" s="1258"/>
      <c r="AF1530" s="1258"/>
      <c r="AG1530" s="81"/>
    </row>
    <row r="1531" spans="1:33" ht="11.25" customHeight="1">
      <c r="A1531" s="857">
        <v>13</v>
      </c>
      <c r="B1531" s="694">
        <v>80</v>
      </c>
      <c r="C1531" s="695">
        <v>400</v>
      </c>
      <c r="D1531" s="696">
        <v>0.05</v>
      </c>
      <c r="E1531" s="697" t="str">
        <v>Large</v>
      </c>
      <c r="F1531" s="696" t="str">
        <v>70-120</v>
      </c>
      <c r="G1531" s="698">
        <v>0</v>
      </c>
      <c r="H1531" s="698" t="str">
        <v>none</v>
      </c>
      <c r="I1531" s="699">
        <v>60</v>
      </c>
      <c r="J1531" s="698" t="str">
        <v>cm</v>
      </c>
      <c r="K1531" s="700">
        <v>1</v>
      </c>
      <c r="L1531" s="957" t="s">
        <v>482</v>
      </c>
      <c r="M1531" s="155"/>
      <c r="N1531" s="1250"/>
      <c r="O1531" s="616"/>
      <c r="P1531" s="616"/>
      <c r="Q1531" s="617" t="s">
        <v>192</v>
      </c>
      <c r="R1531" s="1259">
        <f>2*R1530-R1529</f>
        <v>268</v>
      </c>
      <c r="S1531" s="1251">
        <v>1506</v>
      </c>
      <c r="T1531" s="1266">
        <f>LEN(U1531)</f>
        <v>133</v>
      </c>
      <c r="U1531" s="125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6"/>
      <c r="W1531" s="1256"/>
      <c r="X1531" s="1257"/>
      <c r="Y1531" s="1258"/>
      <c r="Z1531" s="1258"/>
      <c r="AA1531" s="1258"/>
      <c r="AB1531" s="1258"/>
      <c r="AC1531" s="1258"/>
      <c r="AD1531" s="1258"/>
      <c r="AE1531" s="1258"/>
      <c r="AF1531" s="1258"/>
      <c r="AG1531" s="81"/>
    </row>
    <row r="1532" spans="1:33" ht="11.25" customHeight="1" thickBot="1">
      <c r="A1532" s="857">
        <v>14</v>
      </c>
      <c r="B1532" s="694">
        <v>80</v>
      </c>
      <c r="C1532" s="695">
        <v>400</v>
      </c>
      <c r="D1532" s="696">
        <v>0.05</v>
      </c>
      <c r="E1532" s="697" t="str">
        <v>Large</v>
      </c>
      <c r="F1532" s="696" t="str">
        <v>70-120</v>
      </c>
      <c r="G1532" s="698">
        <v>0</v>
      </c>
      <c r="H1532" s="698" t="str">
        <v>none</v>
      </c>
      <c r="I1532" s="699">
        <v>60</v>
      </c>
      <c r="J1532" s="698" t="str">
        <v>cm</v>
      </c>
      <c r="K1532" s="700">
        <v>1</v>
      </c>
      <c r="L1532" s="957" t="s">
        <v>482</v>
      </c>
      <c r="M1532" s="155"/>
      <c r="N1532" s="1250"/>
      <c r="O1532" s="616"/>
      <c r="P1532" s="616"/>
      <c r="Q1532" s="617" t="s">
        <v>193</v>
      </c>
      <c r="R1532" s="1259">
        <f>R1530-R1529/2</f>
        <v>134</v>
      </c>
      <c r="S1532" s="1261">
        <v>1507</v>
      </c>
      <c r="T1532" s="1267">
        <f>LEN(U1532)</f>
        <v>141</v>
      </c>
      <c r="U1532" s="1255" t="str">
        <f>IF(LEN(U1528)&lt;=$R$1534,"",RIGHT(U1528,LEN(U1528)-SEARCH(" ",U1528,$R$1535)))</f>
        <v>to come to the aid of their country, and if you don't belive that, the know that the sly brown fox jumped quickly over the lazy dog. The end.</v>
      </c>
      <c r="V1532" s="1256"/>
      <c r="W1532" s="1256"/>
      <c r="X1532" s="1257"/>
      <c r="Y1532" s="1258"/>
      <c r="Z1532" s="1258"/>
      <c r="AA1532" s="1258"/>
      <c r="AB1532" s="1258"/>
      <c r="AC1532" s="1258"/>
      <c r="AD1532" s="1258"/>
      <c r="AE1532" s="1258"/>
      <c r="AF1532" s="1258"/>
      <c r="AG1532" s="81"/>
    </row>
    <row r="1533" spans="1:33" ht="11.25" customHeight="1">
      <c r="A1533" s="857">
        <v>15</v>
      </c>
      <c r="B1533" s="694">
        <v>80</v>
      </c>
      <c r="C1533" s="695">
        <v>400</v>
      </c>
      <c r="D1533" s="696">
        <v>0.05</v>
      </c>
      <c r="E1533" s="697" t="str">
        <v>Large</v>
      </c>
      <c r="F1533" s="696" t="str">
        <v>70-120</v>
      </c>
      <c r="G1533" s="698">
        <v>0</v>
      </c>
      <c r="H1533" s="698" t="str">
        <v>none</v>
      </c>
      <c r="I1533" s="699">
        <v>60</v>
      </c>
      <c r="J1533" s="698" t="str">
        <v>cm</v>
      </c>
      <c r="K1533" s="700">
        <v>1</v>
      </c>
      <c r="L1533" s="957" t="s">
        <v>482</v>
      </c>
      <c r="M1533" s="155"/>
      <c r="N1533" s="1250"/>
      <c r="O1533" s="616"/>
      <c r="P1533" s="616"/>
      <c r="Q1533" s="617" t="s">
        <v>194</v>
      </c>
      <c r="R1533" s="1259">
        <f>R1530-R1529/4</f>
        <v>135.5</v>
      </c>
      <c r="S1533" s="1251">
        <v>1508</v>
      </c>
      <c r="T1533" s="1268">
        <f>SUM(T1530:T1532)</f>
        <v>409</v>
      </c>
      <c r="U1533" s="616"/>
      <c r="V1533" s="616"/>
      <c r="W1533" s="616"/>
      <c r="X1533" s="795"/>
      <c r="Y1533" s="63"/>
      <c r="Z1533" s="63"/>
      <c r="AA1533" s="63"/>
      <c r="AB1533" s="63"/>
      <c r="AC1533" s="63"/>
      <c r="AD1533" s="63"/>
      <c r="AE1533" s="63"/>
      <c r="AF1533" s="63"/>
      <c r="AG1533" s="81"/>
    </row>
    <row r="1534" spans="1:33" ht="11.25" customHeight="1">
      <c r="A1534" s="857">
        <v>16</v>
      </c>
      <c r="B1534" s="694">
        <v>80</v>
      </c>
      <c r="C1534" s="695">
        <v>400</v>
      </c>
      <c r="D1534" s="696">
        <v>0.05</v>
      </c>
      <c r="E1534" s="697" t="str">
        <v>Large</v>
      </c>
      <c r="F1534" s="696" t="str">
        <v>70-120</v>
      </c>
      <c r="G1534" s="698">
        <v>3</v>
      </c>
      <c r="H1534" s="698" t="str">
        <v>Aluminum</v>
      </c>
      <c r="I1534" s="699">
        <v>60</v>
      </c>
      <c r="J1534" s="698" t="str">
        <v>cm</v>
      </c>
      <c r="K1534" s="700">
        <v>1</v>
      </c>
      <c r="L1534" s="957" t="s">
        <v>482</v>
      </c>
      <c r="M1534" s="155"/>
      <c r="N1534" s="1250"/>
      <c r="O1534" s="616"/>
      <c r="P1534" s="616"/>
      <c r="Q1534" s="617" t="s">
        <v>195</v>
      </c>
      <c r="R1534" s="1259">
        <f>2*R1530-R1529/4</f>
        <v>272.5</v>
      </c>
      <c r="S1534" s="1261">
        <v>1509</v>
      </c>
      <c r="T1534" s="616"/>
      <c r="U1534" s="616"/>
      <c r="V1534" s="616"/>
      <c r="W1534" s="616"/>
      <c r="X1534" s="795"/>
      <c r="Y1534" s="63"/>
      <c r="Z1534" s="63"/>
      <c r="AA1534" s="63"/>
      <c r="AB1534" s="63"/>
      <c r="AC1534" s="63"/>
      <c r="AD1534" s="63"/>
      <c r="AE1534" s="63"/>
      <c r="AF1534" s="63"/>
      <c r="AG1534" s="81"/>
    </row>
    <row r="1535" spans="1:33" ht="11.25" customHeight="1" thickBot="1">
      <c r="A1535" s="857">
        <v>17</v>
      </c>
      <c r="B1535" s="694">
        <v>80</v>
      </c>
      <c r="C1535" s="695">
        <v>400</v>
      </c>
      <c r="D1535" s="696">
        <v>0.05</v>
      </c>
      <c r="E1535" s="697" t="str">
        <v>Large</v>
      </c>
      <c r="F1535" s="696" t="str">
        <v>70-120</v>
      </c>
      <c r="G1535" s="698">
        <v>3</v>
      </c>
      <c r="H1535" s="698" t="str">
        <v>Aluminum</v>
      </c>
      <c r="I1535" s="699">
        <v>60</v>
      </c>
      <c r="J1535" s="698" t="str">
        <v>cm</v>
      </c>
      <c r="K1535" s="700">
        <v>1</v>
      </c>
      <c r="L1535" s="957" t="s">
        <v>482</v>
      </c>
      <c r="M1535" s="155"/>
      <c r="N1535" s="740"/>
      <c r="O1535" s="1252"/>
      <c r="P1535" s="1252"/>
      <c r="Q1535" s="1242" t="s">
        <v>196</v>
      </c>
      <c r="R1535" s="1260">
        <f>R1534-R1529</f>
        <v>266.5</v>
      </c>
      <c r="S1535" s="1253">
        <v>1510</v>
      </c>
      <c r="T1535" s="616"/>
      <c r="U1535" s="616"/>
      <c r="V1535" s="616"/>
      <c r="W1535" s="616"/>
      <c r="X1535" s="795"/>
      <c r="Y1535" s="63"/>
      <c r="Z1535" s="63"/>
      <c r="AA1535" s="63"/>
      <c r="AB1535" s="63"/>
      <c r="AC1535" s="63"/>
      <c r="AD1535" s="63"/>
      <c r="AE1535" s="63"/>
      <c r="AF1535" s="63"/>
      <c r="AG1535" s="81"/>
    </row>
    <row r="1536" spans="1:33" ht="11.25" customHeight="1" thickBot="1">
      <c r="A1536" s="857">
        <v>18</v>
      </c>
      <c r="B1536" s="694">
        <v>80</v>
      </c>
      <c r="C1536" s="695">
        <v>400</v>
      </c>
      <c r="D1536" s="696">
        <v>0.05</v>
      </c>
      <c r="E1536" s="697" t="str">
        <v>Large</v>
      </c>
      <c r="F1536" s="696" t="str">
        <v>70-120</v>
      </c>
      <c r="G1536" s="698">
        <v>3.5</v>
      </c>
      <c r="H1536" s="698" t="str">
        <v>Aluminum</v>
      </c>
      <c r="I1536" s="699">
        <v>60</v>
      </c>
      <c r="J1536" s="698" t="str">
        <v>cm</v>
      </c>
      <c r="K1536" s="700">
        <v>1</v>
      </c>
      <c r="L1536" s="957" t="s">
        <v>482</v>
      </c>
      <c r="M1536" s="112"/>
      <c r="N1536" s="94"/>
      <c r="O1536" s="94"/>
      <c r="P1536" s="94"/>
      <c r="Q1536" s="702"/>
      <c r="R1536" s="702"/>
      <c r="S1536" s="835"/>
      <c r="T1536" s="835"/>
      <c r="U1536" s="835"/>
      <c r="V1536" s="835"/>
      <c r="W1536" s="835"/>
      <c r="X1536" s="94"/>
      <c r="Y1536" s="94"/>
      <c r="Z1536" s="94"/>
      <c r="AA1536" s="94"/>
      <c r="AB1536" s="94"/>
      <c r="AC1536" s="94"/>
      <c r="AD1536" s="94"/>
      <c r="AE1536" s="94"/>
      <c r="AF1536" s="94"/>
      <c r="AG1536" s="99"/>
    </row>
    <row r="1537" spans="1:24" ht="11.25" customHeight="1" thickTop="1">
      <c r="A1537" s="857">
        <v>19</v>
      </c>
      <c r="B1537" s="694">
        <v>80</v>
      </c>
      <c r="C1537" s="695">
        <v>400</v>
      </c>
      <c r="D1537" s="696">
        <v>0.05</v>
      </c>
      <c r="E1537" s="697" t="str">
        <v>Large</v>
      </c>
      <c r="F1537" s="696" t="str">
        <v>70-120</v>
      </c>
      <c r="G1537" s="698">
        <v>3.5</v>
      </c>
      <c r="H1537" s="698" t="str">
        <v>Aluminum</v>
      </c>
      <c r="I1537" s="699">
        <v>60</v>
      </c>
      <c r="J1537" s="698" t="str">
        <v>cm</v>
      </c>
      <c r="K1537" s="700">
        <v>1</v>
      </c>
      <c r="L1537" s="957" t="s">
        <v>482</v>
      </c>
      <c r="X1537" s="939" t="s">
        <v>482</v>
      </c>
    </row>
    <row r="1538" spans="1:24" ht="11.25" customHeight="1">
      <c r="A1538" s="857">
        <v>20</v>
      </c>
      <c r="B1538" s="694">
        <v>80</v>
      </c>
      <c r="C1538" s="695">
        <v>400</v>
      </c>
      <c r="D1538" s="696">
        <v>0.05</v>
      </c>
      <c r="E1538" s="697" t="str">
        <v>Large</v>
      </c>
      <c r="F1538" s="696" t="str">
        <v>70-120</v>
      </c>
      <c r="G1538" s="698">
        <v>2.5</v>
      </c>
      <c r="H1538" s="698" t="str">
        <v>Aluminum</v>
      </c>
      <c r="I1538" s="699">
        <v>60</v>
      </c>
      <c r="J1538" s="698" t="str">
        <v>cm</v>
      </c>
      <c r="K1538" s="700">
        <v>1</v>
      </c>
      <c r="L1538" s="957" t="s">
        <v>482</v>
      </c>
      <c r="X1538" s="939" t="s">
        <v>482</v>
      </c>
    </row>
    <row r="1539" spans="1:24" ht="11.25" customHeight="1">
      <c r="A1539" s="857">
        <v>21</v>
      </c>
      <c r="B1539" s="694">
        <v>80</v>
      </c>
      <c r="C1539" s="695">
        <v>400</v>
      </c>
      <c r="D1539" s="696">
        <v>0.05</v>
      </c>
      <c r="E1539" s="697" t="str">
        <v>Large</v>
      </c>
      <c r="F1539" s="698" t="str">
        <v>70-120</v>
      </c>
      <c r="G1539" s="698">
        <v>2.5</v>
      </c>
      <c r="H1539" s="698" t="str">
        <v>Aluminum</v>
      </c>
      <c r="I1539" s="699">
        <v>60</v>
      </c>
      <c r="J1539" s="698" t="str">
        <v>cm</v>
      </c>
      <c r="K1539" s="700">
        <v>1</v>
      </c>
      <c r="L1539" s="957" t="s">
        <v>482</v>
      </c>
      <c r="X1539" s="939" t="s">
        <v>482</v>
      </c>
    </row>
    <row r="1540" spans="1:24" ht="11.25" customHeight="1">
      <c r="A1540" s="857">
        <v>22</v>
      </c>
      <c r="B1540" s="694">
        <v>80</v>
      </c>
      <c r="C1540" s="695">
        <v>500</v>
      </c>
      <c r="D1540" s="696">
        <v>0.05</v>
      </c>
      <c r="E1540" s="697" t="str">
        <v>Large</v>
      </c>
      <c r="F1540" s="698" t="str">
        <v>70-120</v>
      </c>
      <c r="G1540" s="698">
        <v>0</v>
      </c>
      <c r="H1540" s="698" t="str">
        <v>none</v>
      </c>
      <c r="I1540" s="699">
        <v>60</v>
      </c>
      <c r="J1540" s="698" t="str">
        <v>cm</v>
      </c>
      <c r="K1540" s="700">
        <v>1</v>
      </c>
      <c r="L1540" s="957" t="s">
        <v>482</v>
      </c>
      <c r="X1540" s="939" t="s">
        <v>482</v>
      </c>
    </row>
    <row r="1541" spans="1:24" ht="11.25" customHeight="1">
      <c r="A1541" s="857">
        <v>23</v>
      </c>
      <c r="B1541" s="694">
        <v>80</v>
      </c>
      <c r="C1541" s="695">
        <v>50</v>
      </c>
      <c r="D1541" s="696">
        <v>0.05</v>
      </c>
      <c r="E1541" s="697" t="str">
        <v>Large</v>
      </c>
      <c r="F1541" s="698" t="str">
        <v>70-120</v>
      </c>
      <c r="G1541" s="698">
        <v>0</v>
      </c>
      <c r="H1541" s="698" t="str">
        <v>none</v>
      </c>
      <c r="I1541" s="699">
        <v>60</v>
      </c>
      <c r="J1541" s="698" t="str">
        <v>cm</v>
      </c>
      <c r="K1541" s="700">
        <v>1</v>
      </c>
      <c r="L1541" s="957" t="s">
        <v>482</v>
      </c>
      <c r="X1541" s="939" t="s">
        <v>482</v>
      </c>
    </row>
    <row r="1542" spans="1:24" ht="11.25" customHeight="1">
      <c r="A1542" s="857">
        <v>24</v>
      </c>
      <c r="B1542" s="694">
        <v>80</v>
      </c>
      <c r="C1542" s="695">
        <v>800</v>
      </c>
      <c r="D1542" s="696">
        <v>0.05</v>
      </c>
      <c r="E1542" s="697" t="str">
        <v>Large</v>
      </c>
      <c r="F1542" s="698" t="str">
        <v>70-120</v>
      </c>
      <c r="G1542" s="698">
        <v>0</v>
      </c>
      <c r="H1542" s="698" t="str">
        <v>none</v>
      </c>
      <c r="I1542" s="699">
        <v>60</v>
      </c>
      <c r="J1542" s="698" t="str">
        <v>cm</v>
      </c>
      <c r="K1542" s="700">
        <v>1</v>
      </c>
      <c r="L1542" s="957" t="s">
        <v>482</v>
      </c>
      <c r="X1542" s="939" t="s">
        <v>482</v>
      </c>
    </row>
    <row r="1543" spans="1:24" ht="11.25" customHeight="1">
      <c r="A1543" s="857">
        <v>25</v>
      </c>
      <c r="B1543" s="694">
        <v>80</v>
      </c>
      <c r="C1543" s="695">
        <v>250</v>
      </c>
      <c r="D1543" s="696">
        <v>0.05</v>
      </c>
      <c r="E1543" s="697" t="str">
        <v>Large</v>
      </c>
      <c r="F1543" s="698" t="str">
        <v>70-120</v>
      </c>
      <c r="G1543" s="698">
        <v>0</v>
      </c>
      <c r="H1543" s="698" t="str">
        <v>none</v>
      </c>
      <c r="I1543" s="699">
        <v>60</v>
      </c>
      <c r="J1543" s="698" t="str">
        <v>cm</v>
      </c>
      <c r="K1543" s="700">
        <v>1</v>
      </c>
      <c r="L1543" s="957" t="s">
        <v>482</v>
      </c>
      <c r="X1543" s="939" t="s">
        <v>482</v>
      </c>
    </row>
    <row r="1544" spans="1:24" ht="11.25" customHeight="1">
      <c r="A1544" s="857">
        <v>26</v>
      </c>
      <c r="B1544" s="694">
        <v>100</v>
      </c>
      <c r="C1544" s="695">
        <v>400</v>
      </c>
      <c r="D1544" s="696">
        <v>0.05</v>
      </c>
      <c r="E1544" s="697" t="str">
        <v>Large</v>
      </c>
      <c r="F1544" s="698" t="str">
        <v>70-120</v>
      </c>
      <c r="G1544" s="698">
        <v>0</v>
      </c>
      <c r="H1544" s="698" t="str">
        <v>none</v>
      </c>
      <c r="I1544" s="699">
        <v>60</v>
      </c>
      <c r="J1544" s="698" t="str">
        <v>cm</v>
      </c>
      <c r="K1544" s="700">
        <v>1</v>
      </c>
      <c r="L1544" s="957" t="s">
        <v>482</v>
      </c>
      <c r="X1544" s="939" t="s">
        <v>482</v>
      </c>
    </row>
    <row r="1545" spans="1:24" ht="11.25" customHeight="1">
      <c r="A1545" s="857">
        <v>27</v>
      </c>
      <c r="B1545" s="694">
        <v>100</v>
      </c>
      <c r="C1545" s="695">
        <v>400</v>
      </c>
      <c r="D1545" s="696">
        <v>0.05</v>
      </c>
      <c r="E1545" s="119" t="str">
        <v>Large</v>
      </c>
      <c r="F1545" s="698" t="str">
        <v>100-155</v>
      </c>
      <c r="G1545" s="698">
        <v>0</v>
      </c>
      <c r="H1545" s="698" t="str">
        <v>none</v>
      </c>
      <c r="I1545" s="699">
        <v>60</v>
      </c>
      <c r="J1545" s="698" t="str">
        <v>cm</v>
      </c>
      <c r="K1545" s="700">
        <v>1</v>
      </c>
      <c r="L1545" s="957" t="s">
        <v>482</v>
      </c>
      <c r="X1545" s="939" t="s">
        <v>482</v>
      </c>
    </row>
    <row r="1546" spans="1:24" ht="11.25" customHeight="1">
      <c r="A1546" s="857">
        <v>28</v>
      </c>
      <c r="B1546" s="694">
        <v>120</v>
      </c>
      <c r="C1546" s="695">
        <v>400</v>
      </c>
      <c r="D1546" s="696">
        <v>0.05</v>
      </c>
      <c r="E1546" s="117" t="str">
        <v>Large</v>
      </c>
      <c r="F1546" s="698" t="str">
        <v>100-155</v>
      </c>
      <c r="G1546" s="698">
        <v>0</v>
      </c>
      <c r="H1546" s="698" t="str">
        <v>none</v>
      </c>
      <c r="I1546" s="699">
        <v>60</v>
      </c>
      <c r="J1546" s="698" t="str">
        <v>cm</v>
      </c>
      <c r="K1546" s="700">
        <v>1</v>
      </c>
      <c r="L1546" s="957" t="s">
        <v>482</v>
      </c>
      <c r="X1546" s="939" t="s">
        <v>482</v>
      </c>
    </row>
    <row r="1547" spans="1:24" ht="11.25" customHeight="1">
      <c r="A1547" s="857">
        <v>29</v>
      </c>
      <c r="B1547" s="694">
        <v>120</v>
      </c>
      <c r="C1547" s="695">
        <v>400</v>
      </c>
      <c r="D1547" s="696">
        <v>0.05</v>
      </c>
      <c r="E1547" s="117" t="str">
        <v>Large</v>
      </c>
      <c r="F1547" s="698" t="str">
        <v>100-155</v>
      </c>
      <c r="G1547" s="698">
        <v>0</v>
      </c>
      <c r="H1547" s="698" t="str">
        <v>none</v>
      </c>
      <c r="I1547" s="699">
        <v>60</v>
      </c>
      <c r="J1547" s="698" t="str">
        <v>cm</v>
      </c>
      <c r="K1547" s="700">
        <v>1</v>
      </c>
      <c r="L1547" s="957" t="s">
        <v>482</v>
      </c>
      <c r="X1547" s="939" t="s">
        <v>482</v>
      </c>
    </row>
    <row r="1548" spans="1:24" ht="11.25" customHeight="1">
      <c r="A1548" s="857">
        <v>30</v>
      </c>
      <c r="B1548" s="694">
        <v>140</v>
      </c>
      <c r="C1548" s="695">
        <v>400</v>
      </c>
      <c r="D1548" s="696">
        <v>0.05</v>
      </c>
      <c r="E1548" s="117" t="str">
        <v>Large</v>
      </c>
      <c r="F1548" s="698" t="str">
        <v>100-155</v>
      </c>
      <c r="G1548" s="698">
        <v>0</v>
      </c>
      <c r="H1548" s="698" t="str">
        <v>none</v>
      </c>
      <c r="I1548" s="699">
        <v>60</v>
      </c>
      <c r="J1548" s="698" t="str">
        <v>cm</v>
      </c>
      <c r="K1548" s="700">
        <v>1</v>
      </c>
      <c r="L1548" s="957" t="s">
        <v>482</v>
      </c>
      <c r="X1548" s="939" t="s">
        <v>482</v>
      </c>
    </row>
    <row r="1549" spans="1:24" ht="11.25" customHeight="1">
      <c r="A1549" s="857">
        <v>31</v>
      </c>
      <c r="B1549" s="694">
        <v>50</v>
      </c>
      <c r="C1549" s="695">
        <v>100</v>
      </c>
      <c r="D1549" s="696">
        <v>0.1</v>
      </c>
      <c r="E1549" s="117" t="str">
        <v>Small</v>
      </c>
      <c r="F1549" s="696" t="str">
        <v>35-60</v>
      </c>
      <c r="G1549" s="698">
        <v>0</v>
      </c>
      <c r="H1549" s="698" t="str">
        <v>none</v>
      </c>
      <c r="I1549" s="699">
        <v>60</v>
      </c>
      <c r="J1549" s="698" t="str">
        <v>cm</v>
      </c>
      <c r="K1549" s="700">
        <v>1</v>
      </c>
      <c r="L1549" s="957" t="s">
        <v>482</v>
      </c>
      <c r="X1549" s="939" t="s">
        <v>482</v>
      </c>
    </row>
    <row r="1550" spans="1:24" ht="11.25" customHeight="1">
      <c r="A1550" s="857">
        <v>32</v>
      </c>
      <c r="B1550" s="694">
        <v>70</v>
      </c>
      <c r="C1550" s="695">
        <v>100</v>
      </c>
      <c r="D1550" s="696">
        <v>0.1</v>
      </c>
      <c r="E1550" s="117" t="str">
        <v>Small</v>
      </c>
      <c r="F1550" s="696" t="str">
        <v>50-85</v>
      </c>
      <c r="G1550" s="698">
        <v>0</v>
      </c>
      <c r="H1550" s="698" t="str">
        <v>none</v>
      </c>
      <c r="I1550" s="699">
        <v>60</v>
      </c>
      <c r="J1550" s="698" t="str">
        <v>cm</v>
      </c>
      <c r="K1550" s="700">
        <v>1</v>
      </c>
      <c r="L1550" s="957" t="s">
        <v>482</v>
      </c>
      <c r="X1550" s="939" t="s">
        <v>482</v>
      </c>
    </row>
    <row r="1551" spans="1:24" ht="11.25" customHeight="1">
      <c r="A1551" s="857">
        <v>33</v>
      </c>
      <c r="B1551" s="694">
        <v>90</v>
      </c>
      <c r="C1551" s="695">
        <v>100</v>
      </c>
      <c r="D1551" s="696">
        <v>0.1</v>
      </c>
      <c r="E1551" s="117" t="str">
        <v>Small</v>
      </c>
      <c r="F1551" s="696" t="str">
        <v>70-120</v>
      </c>
      <c r="G1551" s="698">
        <v>0</v>
      </c>
      <c r="H1551" s="698" t="str">
        <v>none</v>
      </c>
      <c r="I1551" s="699">
        <v>60</v>
      </c>
      <c r="J1551" s="698" t="str">
        <v>cm</v>
      </c>
      <c r="K1551" s="700">
        <v>1</v>
      </c>
      <c r="L1551" s="957" t="s">
        <v>482</v>
      </c>
      <c r="X1551" s="939" t="s">
        <v>482</v>
      </c>
    </row>
    <row r="1552" spans="1:24" ht="11.25" customHeight="1">
      <c r="A1552" s="857">
        <v>34</v>
      </c>
      <c r="B1552" s="694">
        <v>90</v>
      </c>
      <c r="C1552" s="695">
        <v>100</v>
      </c>
      <c r="D1552" s="696">
        <v>0.1</v>
      </c>
      <c r="E1552" s="117" t="str">
        <v>Small</v>
      </c>
      <c r="F1552" s="696" t="str">
        <v>70-120</v>
      </c>
      <c r="G1552" s="698">
        <v>0</v>
      </c>
      <c r="H1552" s="698" t="str">
        <v>none</v>
      </c>
      <c r="I1552" s="699">
        <v>60</v>
      </c>
      <c r="J1552" s="698" t="str">
        <v>cm</v>
      </c>
      <c r="K1552" s="700">
        <v>1</v>
      </c>
      <c r="L1552" s="957" t="s">
        <v>482</v>
      </c>
      <c r="X1552" s="939" t="s">
        <v>482</v>
      </c>
    </row>
    <row r="1553" spans="1:24" ht="11.25" customHeight="1">
      <c r="A1553" s="857">
        <v>35</v>
      </c>
      <c r="B1553" s="694">
        <v>90</v>
      </c>
      <c r="C1553" s="695">
        <v>100</v>
      </c>
      <c r="D1553" s="696">
        <v>0.1</v>
      </c>
      <c r="E1553" s="117" t="str">
        <v>Small</v>
      </c>
      <c r="F1553" s="696" t="str">
        <v>70-120</v>
      </c>
      <c r="G1553" s="698">
        <v>0</v>
      </c>
      <c r="H1553" s="698" t="str">
        <v>none</v>
      </c>
      <c r="I1553" s="699">
        <v>60</v>
      </c>
      <c r="J1553" s="698" t="str">
        <v>cm</v>
      </c>
      <c r="K1553" s="700">
        <v>1</v>
      </c>
      <c r="L1553" s="957" t="s">
        <v>482</v>
      </c>
      <c r="X1553" s="939" t="s">
        <v>482</v>
      </c>
    </row>
    <row r="1554" spans="1:24" ht="11.25" customHeight="1">
      <c r="A1554" s="857">
        <v>36</v>
      </c>
      <c r="B1554" s="694">
        <v>90</v>
      </c>
      <c r="C1554" s="695">
        <v>100</v>
      </c>
      <c r="D1554" s="696">
        <v>0.1</v>
      </c>
      <c r="E1554" s="117" t="str">
        <v>Small</v>
      </c>
      <c r="F1554" s="696" t="str">
        <v>70-120</v>
      </c>
      <c r="G1554" s="698">
        <v>0</v>
      </c>
      <c r="H1554" s="698" t="str">
        <v>none</v>
      </c>
      <c r="I1554" s="699">
        <v>60</v>
      </c>
      <c r="J1554" s="698" t="str">
        <v>cm</v>
      </c>
      <c r="K1554" s="700">
        <v>1</v>
      </c>
      <c r="L1554" s="957" t="s">
        <v>482</v>
      </c>
      <c r="X1554" s="939" t="s">
        <v>482</v>
      </c>
    </row>
    <row r="1555" spans="1:24" ht="11.25" customHeight="1">
      <c r="A1555" s="857">
        <v>37</v>
      </c>
      <c r="B1555" s="694">
        <v>90</v>
      </c>
      <c r="C1555" s="695">
        <v>100</v>
      </c>
      <c r="D1555" s="696">
        <v>0.1</v>
      </c>
      <c r="E1555" s="117" t="str">
        <v>Small</v>
      </c>
      <c r="F1555" s="696" t="str">
        <v>70-120</v>
      </c>
      <c r="G1555" s="698">
        <v>0</v>
      </c>
      <c r="H1555" s="698" t="str">
        <v>none</v>
      </c>
      <c r="I1555" s="699">
        <v>60</v>
      </c>
      <c r="J1555" s="698" t="str">
        <v>cm</v>
      </c>
      <c r="K1555" s="700">
        <v>1</v>
      </c>
      <c r="L1555" s="957" t="s">
        <v>482</v>
      </c>
      <c r="X1555" s="939" t="s">
        <v>482</v>
      </c>
    </row>
    <row r="1556" spans="1:24" ht="11.25" customHeight="1">
      <c r="A1556" s="857">
        <v>38</v>
      </c>
      <c r="B1556" s="694">
        <v>80</v>
      </c>
      <c r="C1556" s="695">
        <v>100</v>
      </c>
      <c r="D1556" s="696">
        <v>0.1</v>
      </c>
      <c r="E1556" s="117" t="str">
        <v>Small</v>
      </c>
      <c r="F1556" s="696" t="str">
        <v>70-120</v>
      </c>
      <c r="G1556" s="698">
        <v>0</v>
      </c>
      <c r="H1556" s="698" t="str">
        <v>none</v>
      </c>
      <c r="I1556" s="699">
        <v>60</v>
      </c>
      <c r="J1556" s="698" t="str">
        <v>cm</v>
      </c>
      <c r="K1556" s="700">
        <v>1</v>
      </c>
      <c r="L1556" s="957" t="s">
        <v>482</v>
      </c>
      <c r="X1556" s="939" t="s">
        <v>482</v>
      </c>
    </row>
    <row r="1557" spans="1:24" ht="11.25" customHeight="1">
      <c r="A1557" s="857">
        <v>39</v>
      </c>
      <c r="B1557" s="694">
        <v>80</v>
      </c>
      <c r="C1557" s="695">
        <v>110</v>
      </c>
      <c r="D1557" s="696">
        <v>0.1</v>
      </c>
      <c r="E1557" s="117" t="str">
        <v>Small</v>
      </c>
      <c r="F1557" s="698" t="str">
        <v>70-120</v>
      </c>
      <c r="G1557" s="698">
        <v>0</v>
      </c>
      <c r="H1557" s="698" t="str">
        <v>none</v>
      </c>
      <c r="I1557" s="699">
        <v>60</v>
      </c>
      <c r="J1557" s="698" t="str">
        <v>cm</v>
      </c>
      <c r="K1557" s="700">
        <v>1</v>
      </c>
      <c r="L1557" s="957" t="s">
        <v>482</v>
      </c>
      <c r="X1557" s="939" t="s">
        <v>482</v>
      </c>
    </row>
    <row r="1558" spans="1:24" ht="11.25" customHeight="1">
      <c r="A1558" s="857">
        <v>40</v>
      </c>
      <c r="B1558" s="694">
        <v>80</v>
      </c>
      <c r="C1558" s="695">
        <v>250</v>
      </c>
      <c r="D1558" s="696">
        <v>0.1</v>
      </c>
      <c r="E1558" s="117" t="str">
        <v>Small</v>
      </c>
      <c r="F1558" s="698" t="str">
        <v>70-120</v>
      </c>
      <c r="G1558" s="698">
        <v>0</v>
      </c>
      <c r="H1558" s="698" t="str">
        <v>none</v>
      </c>
      <c r="I1558" s="699">
        <v>60</v>
      </c>
      <c r="J1558" s="698" t="str">
        <v>cm</v>
      </c>
      <c r="K1558" s="700">
        <v>1</v>
      </c>
      <c r="L1558" s="957" t="s">
        <v>482</v>
      </c>
      <c r="X1558" s="939" t="s">
        <v>482</v>
      </c>
    </row>
    <row r="1559" spans="1:24" ht="11.25" customHeight="1">
      <c r="A1559" s="857">
        <v>41</v>
      </c>
      <c r="B1559" s="694">
        <v>80</v>
      </c>
      <c r="C1559" s="695">
        <v>50</v>
      </c>
      <c r="D1559" s="696">
        <v>0.1</v>
      </c>
      <c r="E1559" s="117" t="str">
        <v>Small</v>
      </c>
      <c r="F1559" s="698" t="str">
        <v>70-120</v>
      </c>
      <c r="G1559" s="698">
        <v>0</v>
      </c>
      <c r="H1559" s="698" t="str">
        <v>none</v>
      </c>
      <c r="I1559" s="699">
        <v>60</v>
      </c>
      <c r="J1559" s="698" t="str">
        <v>cm</v>
      </c>
      <c r="K1559" s="700">
        <v>1</v>
      </c>
      <c r="L1559" s="957" t="s">
        <v>482</v>
      </c>
      <c r="X1559" s="939" t="s">
        <v>482</v>
      </c>
    </row>
    <row r="1560" spans="1:24" ht="11.25" customHeight="1">
      <c r="A1560" s="857">
        <v>42</v>
      </c>
      <c r="B1560" s="694">
        <v>80</v>
      </c>
      <c r="C1560" s="695">
        <v>160</v>
      </c>
      <c r="D1560" s="696">
        <v>0.1</v>
      </c>
      <c r="E1560" s="697" t="str">
        <v>Small</v>
      </c>
      <c r="F1560" s="698" t="str">
        <v>70-120</v>
      </c>
      <c r="G1560" s="698">
        <v>0</v>
      </c>
      <c r="H1560" s="698" t="str">
        <v>none</v>
      </c>
      <c r="I1560" s="699">
        <v>60</v>
      </c>
      <c r="J1560" s="698" t="str">
        <v>cm</v>
      </c>
      <c r="K1560" s="700">
        <v>1</v>
      </c>
      <c r="L1560" s="957" t="s">
        <v>482</v>
      </c>
      <c r="X1560" s="939" t="s">
        <v>482</v>
      </c>
    </row>
    <row r="1561" spans="1:24" ht="11.25" customHeight="1">
      <c r="A1561" s="857">
        <v>43</v>
      </c>
      <c r="B1561" s="694">
        <v>110</v>
      </c>
      <c r="C1561" s="695">
        <v>100</v>
      </c>
      <c r="D1561" s="696">
        <v>0.1</v>
      </c>
      <c r="E1561" s="697" t="str">
        <v>Small</v>
      </c>
      <c r="F1561" s="698" t="str">
        <v>70-120</v>
      </c>
      <c r="G1561" s="698">
        <v>0</v>
      </c>
      <c r="H1561" s="698" t="str">
        <v>none</v>
      </c>
      <c r="I1561" s="699">
        <v>60</v>
      </c>
      <c r="J1561" s="698" t="str">
        <v>cm</v>
      </c>
      <c r="K1561" s="700">
        <v>1</v>
      </c>
      <c r="L1561" s="957" t="s">
        <v>482</v>
      </c>
      <c r="X1561" s="939" t="s">
        <v>482</v>
      </c>
    </row>
    <row r="1562" spans="1:24" ht="11.25" customHeight="1">
      <c r="A1562" s="857">
        <v>44</v>
      </c>
      <c r="B1562" s="694">
        <v>130</v>
      </c>
      <c r="C1562" s="695">
        <v>100</v>
      </c>
      <c r="D1562" s="696">
        <v>0.1</v>
      </c>
      <c r="E1562" s="697" t="str">
        <v>Small</v>
      </c>
      <c r="F1562" s="698" t="str">
        <v>100-155</v>
      </c>
      <c r="G1562" s="698">
        <v>0</v>
      </c>
      <c r="H1562" s="698" t="str">
        <v>none</v>
      </c>
      <c r="I1562" s="699">
        <v>60</v>
      </c>
      <c r="J1562" s="698" t="str">
        <v>cm</v>
      </c>
      <c r="K1562" s="700">
        <v>1</v>
      </c>
      <c r="L1562" s="957" t="s">
        <v>482</v>
      </c>
      <c r="X1562" s="939" t="s">
        <v>482</v>
      </c>
    </row>
    <row r="1563" spans="1:24" ht="11.25" customHeight="1">
      <c r="A1563" s="857">
        <v>45</v>
      </c>
      <c r="B1563" s="694">
        <v>80</v>
      </c>
      <c r="C1563" s="695">
        <v>200</v>
      </c>
      <c r="D1563" s="696">
        <v>0.01</v>
      </c>
      <c r="E1563" s="697" t="str">
        <v>Large</v>
      </c>
      <c r="F1563" s="698" t="str">
        <v>70-120</v>
      </c>
      <c r="G1563" s="698">
        <v>0</v>
      </c>
      <c r="H1563" s="698" t="str">
        <v>none</v>
      </c>
      <c r="I1563" s="699">
        <v>60</v>
      </c>
      <c r="J1563" s="698" t="str">
        <v>cm</v>
      </c>
      <c r="K1563" s="700">
        <v>1</v>
      </c>
      <c r="L1563" s="957" t="s">
        <v>482</v>
      </c>
      <c r="X1563" s="939" t="s">
        <v>482</v>
      </c>
    </row>
    <row r="1564" spans="1:24" ht="11.25" customHeight="1">
      <c r="A1564" s="857">
        <v>46</v>
      </c>
      <c r="B1564" s="694">
        <v>80</v>
      </c>
      <c r="C1564" s="695">
        <v>200</v>
      </c>
      <c r="D1564" s="696">
        <v>0.02</v>
      </c>
      <c r="E1564" s="697" t="str">
        <v>Large</v>
      </c>
      <c r="F1564" s="698" t="str">
        <v>70-120</v>
      </c>
      <c r="G1564" s="698">
        <v>0</v>
      </c>
      <c r="H1564" s="698" t="str">
        <v>none</v>
      </c>
      <c r="I1564" s="699">
        <v>60</v>
      </c>
      <c r="J1564" s="698" t="str">
        <v>cm</v>
      </c>
      <c r="K1564" s="700">
        <v>1</v>
      </c>
      <c r="L1564" s="957" t="s">
        <v>482</v>
      </c>
      <c r="X1564" s="939" t="s">
        <v>482</v>
      </c>
    </row>
    <row r="1565" spans="1:24" ht="11.25" customHeight="1">
      <c r="A1565" s="857">
        <v>47</v>
      </c>
      <c r="B1565" s="694">
        <v>80</v>
      </c>
      <c r="C1565" s="695">
        <v>200</v>
      </c>
      <c r="D1565" s="696">
        <v>0.04</v>
      </c>
      <c r="E1565" s="697" t="str">
        <v>Large</v>
      </c>
      <c r="F1565" s="698" t="str">
        <v>70-120</v>
      </c>
      <c r="G1565" s="698">
        <v>0</v>
      </c>
      <c r="H1565" s="698" t="str">
        <v>none</v>
      </c>
      <c r="I1565" s="699">
        <v>60</v>
      </c>
      <c r="J1565" s="698" t="str">
        <v>cm</v>
      </c>
      <c r="K1565" s="700">
        <v>1</v>
      </c>
      <c r="L1565" s="957" t="s">
        <v>482</v>
      </c>
      <c r="X1565" s="939" t="s">
        <v>482</v>
      </c>
    </row>
    <row r="1566" spans="1:24" ht="11.25" customHeight="1">
      <c r="A1566" s="857">
        <v>48</v>
      </c>
      <c r="B1566" s="433"/>
      <c r="C1566" s="198"/>
      <c r="D1566" s="198"/>
      <c r="E1566" s="198"/>
      <c r="F1566" s="198"/>
      <c r="G1566" s="198"/>
      <c r="H1566" s="198"/>
      <c r="I1566" s="198"/>
      <c r="J1566" s="198"/>
      <c r="K1566" s="199"/>
      <c r="L1566" s="957" t="s">
        <v>482</v>
      </c>
      <c r="X1566" s="939" t="s">
        <v>482</v>
      </c>
    </row>
    <row r="1567" spans="1:24" ht="11.25" customHeight="1" thickBot="1">
      <c r="A1567" s="857">
        <v>49</v>
      </c>
      <c r="B1567" s="701"/>
      <c r="C1567" s="702"/>
      <c r="D1567" s="702"/>
      <c r="E1567" s="702"/>
      <c r="F1567" s="702"/>
      <c r="G1567" s="702"/>
      <c r="H1567" s="702"/>
      <c r="I1567" s="702"/>
      <c r="J1567" s="702"/>
      <c r="K1567" s="703"/>
      <c r="L1567" s="957" t="s">
        <v>482</v>
      </c>
      <c r="X1567" s="939" t="s">
        <v>482</v>
      </c>
    </row>
    <row r="1568" spans="1:24" ht="11.25" customHeight="1" thickTop="1">
      <c r="A1568" s="857">
        <v>50</v>
      </c>
      <c r="B1568" s="432"/>
      <c r="C1568" s="432"/>
      <c r="D1568" s="432"/>
      <c r="E1568" s="432"/>
      <c r="F1568" s="432"/>
      <c r="G1568" s="432"/>
      <c r="H1568" s="432"/>
      <c r="I1568" s="432"/>
      <c r="J1568" s="432"/>
      <c r="K1568" s="432"/>
      <c r="L1568" s="957" t="s">
        <v>482</v>
      </c>
      <c r="X1568" s="939" t="s">
        <v>482</v>
      </c>
    </row>
    <row r="1569" spans="1:24" ht="11.25" customHeight="1">
      <c r="A1569" s="857">
        <v>51</v>
      </c>
      <c r="B1569" s="432"/>
      <c r="C1569" s="432"/>
      <c r="D1569" s="432"/>
      <c r="E1569" s="432"/>
      <c r="F1569" s="432"/>
      <c r="G1569" s="432"/>
      <c r="H1569" s="432"/>
      <c r="I1569" s="432"/>
      <c r="J1569" s="432"/>
      <c r="K1569" s="432"/>
      <c r="L1569" s="957" t="s">
        <v>482</v>
      </c>
      <c r="X1569" s="939" t="s">
        <v>482</v>
      </c>
    </row>
    <row r="1570" spans="1:24" ht="11.25" customHeight="1">
      <c r="A1570" s="857">
        <v>52</v>
      </c>
      <c r="B1570" s="432"/>
      <c r="C1570" s="432"/>
      <c r="D1570" s="432"/>
      <c r="E1570" s="432"/>
      <c r="F1570" s="432"/>
      <c r="G1570" s="432"/>
      <c r="H1570" s="432"/>
      <c r="I1570" s="432"/>
      <c r="J1570" s="432"/>
      <c r="K1570" s="432"/>
      <c r="L1570" s="957" t="s">
        <v>482</v>
      </c>
      <c r="X1570" s="939" t="s">
        <v>482</v>
      </c>
    </row>
    <row r="1571" spans="1:24" ht="11.25" customHeight="1">
      <c r="A1571" s="857">
        <v>53</v>
      </c>
      <c r="B1571" s="432"/>
      <c r="C1571" s="432"/>
      <c r="D1571" s="432"/>
      <c r="E1571" s="432"/>
      <c r="F1571" s="432"/>
      <c r="G1571" s="432"/>
      <c r="H1571" s="432"/>
      <c r="I1571" s="432"/>
      <c r="J1571" s="432"/>
      <c r="K1571" s="432"/>
      <c r="L1571" s="957" t="s">
        <v>482</v>
      </c>
      <c r="X1571" s="939" t="s">
        <v>482</v>
      </c>
    </row>
    <row r="1572" spans="1:24" ht="11.25" customHeight="1">
      <c r="A1572" s="857">
        <v>54</v>
      </c>
      <c r="B1572" s="432"/>
      <c r="C1572" s="432"/>
      <c r="D1572" s="432"/>
      <c r="E1572" s="432"/>
      <c r="F1572" s="432"/>
      <c r="G1572" s="432"/>
      <c r="H1572" s="432"/>
      <c r="I1572" s="432"/>
      <c r="J1572" s="432"/>
      <c r="K1572" s="432"/>
      <c r="L1572" s="957" t="s">
        <v>482</v>
      </c>
      <c r="X1572" s="939" t="s">
        <v>482</v>
      </c>
    </row>
    <row r="1573" spans="1:24" ht="11.25" customHeight="1">
      <c r="A1573" s="857">
        <v>55</v>
      </c>
      <c r="B1573" s="432"/>
      <c r="C1573" s="432"/>
      <c r="D1573" s="432"/>
      <c r="E1573" s="432"/>
      <c r="F1573" s="432"/>
      <c r="G1573" s="432"/>
      <c r="H1573" s="432"/>
      <c r="I1573" s="432"/>
      <c r="J1573" s="432"/>
      <c r="K1573" s="432"/>
      <c r="L1573" s="957" t="s">
        <v>482</v>
      </c>
      <c r="X1573" s="939" t="s">
        <v>482</v>
      </c>
    </row>
    <row r="1574" spans="1:24" ht="11.25" customHeight="1">
      <c r="A1574" s="857">
        <v>56</v>
      </c>
      <c r="B1574" s="432"/>
      <c r="C1574" s="432"/>
      <c r="D1574" s="432"/>
      <c r="E1574" s="432"/>
      <c r="F1574" s="432"/>
      <c r="G1574" s="432"/>
      <c r="H1574" s="432"/>
      <c r="I1574" s="432"/>
      <c r="J1574" s="432"/>
      <c r="K1574" s="432"/>
      <c r="L1574" s="957" t="s">
        <v>482</v>
      </c>
      <c r="X1574" s="939" t="s">
        <v>482</v>
      </c>
    </row>
    <row r="1575" spans="1:24" ht="11.25" customHeight="1">
      <c r="A1575" s="857">
        <v>57</v>
      </c>
      <c r="B1575" s="432"/>
      <c r="C1575" s="432"/>
      <c r="D1575" s="432"/>
      <c r="E1575" s="432"/>
      <c r="F1575" s="432"/>
      <c r="G1575" s="432"/>
      <c r="H1575" s="432"/>
      <c r="I1575" s="432"/>
      <c r="J1575" s="432"/>
      <c r="K1575" s="432"/>
      <c r="L1575" s="957" t="s">
        <v>482</v>
      </c>
      <c r="X1575" s="939" t="s">
        <v>482</v>
      </c>
    </row>
    <row r="1576" spans="1:24" ht="11.25" customHeight="1">
      <c r="A1576" s="857">
        <v>58</v>
      </c>
      <c r="B1576" s="432"/>
      <c r="C1576" s="432"/>
      <c r="D1576" s="432"/>
      <c r="E1576" s="432"/>
      <c r="F1576" s="432"/>
      <c r="G1576" s="432"/>
      <c r="H1576" s="432"/>
      <c r="I1576" s="432"/>
      <c r="J1576" s="432"/>
      <c r="K1576" s="432"/>
      <c r="L1576" s="957" t="s">
        <v>482</v>
      </c>
      <c r="X1576" s="939" t="s">
        <v>482</v>
      </c>
    </row>
    <row r="1577" spans="1:24" ht="11.25" customHeight="1">
      <c r="A1577" s="857">
        <v>59</v>
      </c>
      <c r="B1577" s="432"/>
      <c r="C1577" s="432"/>
      <c r="D1577" s="432"/>
      <c r="E1577" s="432"/>
      <c r="F1577" s="432"/>
      <c r="G1577" s="432"/>
      <c r="H1577" s="432"/>
      <c r="I1577" s="432"/>
      <c r="J1577" s="432"/>
      <c r="K1577" s="432"/>
      <c r="L1577" s="957" t="s">
        <v>482</v>
      </c>
      <c r="X1577" s="939" t="s">
        <v>482</v>
      </c>
    </row>
    <row r="1578" spans="1:24" ht="11.25" customHeight="1">
      <c r="A1578" s="857">
        <v>60</v>
      </c>
      <c r="B1578" s="432"/>
      <c r="C1578" s="432"/>
      <c r="D1578" s="432"/>
      <c r="E1578" s="432"/>
      <c r="F1578" s="432"/>
      <c r="G1578" s="432"/>
      <c r="H1578" s="432"/>
      <c r="I1578" s="432"/>
      <c r="J1578" s="432"/>
      <c r="K1578" s="432"/>
      <c r="L1578" s="957" t="s">
        <v>482</v>
      </c>
      <c r="X1578" s="939" t="s">
        <v>482</v>
      </c>
    </row>
    <row r="1579" spans="1:24" ht="11.25" customHeight="1">
      <c r="A1579" s="857">
        <v>61</v>
      </c>
      <c r="B1579" s="432"/>
      <c r="C1579" s="432"/>
      <c r="D1579" s="432"/>
      <c r="E1579" s="432"/>
      <c r="F1579" s="432"/>
      <c r="G1579" s="432"/>
      <c r="H1579" s="432"/>
      <c r="I1579" s="432"/>
      <c r="J1579" s="432"/>
      <c r="K1579" s="432"/>
      <c r="L1579" s="957" t="s">
        <v>482</v>
      </c>
      <c r="X1579" s="939" t="s">
        <v>482</v>
      </c>
    </row>
    <row r="1580" spans="1:24" ht="11.25" customHeight="1">
      <c r="A1580" s="857">
        <v>62</v>
      </c>
      <c r="B1580" s="432"/>
      <c r="C1580" s="432"/>
      <c r="D1580" s="432"/>
      <c r="E1580" s="432"/>
      <c r="F1580" s="432"/>
      <c r="G1580" s="432"/>
      <c r="H1580" s="432"/>
      <c r="I1580" s="432"/>
      <c r="J1580" s="432"/>
      <c r="K1580" s="432"/>
      <c r="L1580" s="957" t="s">
        <v>482</v>
      </c>
      <c r="X1580" s="939" t="s">
        <v>482</v>
      </c>
    </row>
    <row r="1581" spans="1:24" ht="11.25" customHeight="1">
      <c r="A1581" s="857">
        <v>63</v>
      </c>
      <c r="B1581" s="432"/>
      <c r="C1581" s="432"/>
      <c r="D1581" s="432"/>
      <c r="E1581" s="432"/>
      <c r="F1581" s="432"/>
      <c r="G1581" s="432"/>
      <c r="H1581" s="432"/>
      <c r="I1581" s="432"/>
      <c r="J1581" s="432"/>
      <c r="K1581" s="432"/>
      <c r="L1581" s="957" t="s">
        <v>482</v>
      </c>
      <c r="X1581" s="939" t="s">
        <v>482</v>
      </c>
    </row>
    <row r="1582" spans="1:24" ht="11.25" customHeight="1">
      <c r="A1582" s="857">
        <v>64</v>
      </c>
      <c r="B1582" s="432"/>
      <c r="C1582" s="432"/>
      <c r="D1582" s="432"/>
      <c r="E1582" s="432"/>
      <c r="F1582" s="432"/>
      <c r="G1582" s="432"/>
      <c r="H1582" s="432"/>
      <c r="I1582" s="432"/>
      <c r="J1582" s="432"/>
      <c r="K1582" s="432"/>
      <c r="L1582" s="957" t="s">
        <v>482</v>
      </c>
      <c r="X1582" s="939" t="s">
        <v>482</v>
      </c>
    </row>
    <row r="1583" spans="1:24" ht="11.25" customHeight="1">
      <c r="A1583" s="857">
        <v>65</v>
      </c>
      <c r="B1583" s="704" t="str">
        <f t="array" ref="B1583:C1584">$B$65:$C$66</f>
        <v>Date:</v>
      </c>
      <c r="C1583" s="1664" t="str">
        <v/>
      </c>
      <c r="D1583" s="432"/>
      <c r="E1583" s="705"/>
      <c r="F1583" s="705"/>
      <c r="G1583" s="705"/>
      <c r="H1583" s="705"/>
      <c r="I1583" s="704" t="str">
        <f t="array" ref="I1583:J1584">$I$65:$J$66</f>
        <v>Inspector:</v>
      </c>
      <c r="J1583" s="554" t="str">
        <v>Eugene Mah</v>
      </c>
      <c r="K1583" s="432"/>
      <c r="L1583" s="957" t="s">
        <v>482</v>
      </c>
      <c r="X1583" s="939" t="s">
        <v>482</v>
      </c>
    </row>
    <row r="1584" spans="1:24" ht="11.25" customHeight="1">
      <c r="A1584" s="857">
        <v>66</v>
      </c>
      <c r="B1584" s="704" t="str">
        <v>Room Number:</v>
      </c>
      <c r="C1584" s="499" t="str">
        <v/>
      </c>
      <c r="D1584" s="432"/>
      <c r="E1584" s="705"/>
      <c r="F1584" s="705"/>
      <c r="G1584" s="705"/>
      <c r="H1584" s="705"/>
      <c r="I1584" s="704" t="str">
        <v>Survey ID:</v>
      </c>
      <c r="J1584" s="1406" t="str">
        <v/>
      </c>
      <c r="K1584" s="432"/>
      <c r="L1584" s="957" t="s">
        <v>482</v>
      </c>
      <c r="X1584" s="939" t="s">
        <v>482</v>
      </c>
    </row>
    <row r="1585" spans="1:24" ht="11.25" customHeight="1">
      <c r="A1585" s="857">
        <v>1</v>
      </c>
      <c r="B1585" s="432"/>
      <c r="C1585" s="432"/>
      <c r="D1585" s="432"/>
      <c r="E1585" s="432"/>
      <c r="F1585" s="432"/>
      <c r="G1585" s="432"/>
      <c r="H1585" s="432"/>
      <c r="I1585" s="432"/>
      <c r="J1585" s="432"/>
      <c r="K1585" s="688" t="str">
        <f>$F$2</f>
        <v>Medical University of South Carolina</v>
      </c>
      <c r="L1585" s="957" t="s">
        <v>482</v>
      </c>
      <c r="X1585" s="939" t="s">
        <v>482</v>
      </c>
    </row>
    <row r="1586" spans="1:24" ht="11.25" customHeight="1">
      <c r="A1586" s="857">
        <v>2</v>
      </c>
      <c r="B1586" s="432"/>
      <c r="C1586" s="432"/>
      <c r="D1586" s="432"/>
      <c r="E1586" s="432"/>
      <c r="F1586" s="432"/>
      <c r="G1586" s="432"/>
      <c r="H1586" s="432"/>
      <c r="I1586" s="432"/>
      <c r="J1586" s="432"/>
      <c r="K1586" s="689" t="str">
        <f>$F$5</f>
        <v>Radiographic System Compliance Inspection</v>
      </c>
      <c r="L1586" s="957" t="s">
        <v>482</v>
      </c>
      <c r="X1586" s="939" t="s">
        <v>482</v>
      </c>
    </row>
    <row r="1587" spans="1:24" ht="11.25" customHeight="1">
      <c r="A1587" s="857">
        <v>3</v>
      </c>
      <c r="B1587" s="194"/>
      <c r="C1587" s="194"/>
      <c r="D1587" s="194"/>
      <c r="E1587" s="194"/>
      <c r="F1587" s="194"/>
      <c r="G1587" s="194"/>
      <c r="H1587" s="194"/>
      <c r="I1587" s="194"/>
      <c r="J1587" s="194"/>
      <c r="K1587" s="194"/>
      <c r="L1587" s="957" t="s">
        <v>482</v>
      </c>
      <c r="X1587" s="939" t="s">
        <v>482</v>
      </c>
    </row>
    <row r="1588" spans="1:24" ht="11.25" customHeight="1">
      <c r="A1588" s="857">
        <v>4</v>
      </c>
      <c r="B1588" s="194"/>
      <c r="C1588" s="194"/>
      <c r="D1588" s="194"/>
      <c r="E1588" s="194"/>
      <c r="F1588" s="336" t="str">
        <f>$F$464</f>
        <v>Measurement Data</v>
      </c>
      <c r="G1588" s="194"/>
      <c r="H1588" s="194"/>
      <c r="I1588" s="194"/>
      <c r="J1588" s="194"/>
      <c r="K1588" s="194"/>
      <c r="L1588" s="957" t="s">
        <v>482</v>
      </c>
      <c r="X1588" s="939" t="s">
        <v>482</v>
      </c>
    </row>
    <row r="1589" spans="1:24" ht="11.25" customHeight="1" thickBot="1">
      <c r="A1589" s="857">
        <v>5</v>
      </c>
      <c r="B1589" s="432"/>
      <c r="C1589" s="432"/>
      <c r="D1589" s="432"/>
      <c r="E1589" s="432"/>
      <c r="F1589" s="432"/>
      <c r="G1589" s="432"/>
      <c r="H1589" s="432"/>
      <c r="I1589" s="432"/>
      <c r="J1589" s="432"/>
      <c r="K1589" s="432"/>
      <c r="L1589" s="957" t="s">
        <v>482</v>
      </c>
      <c r="X1589" s="939" t="s">
        <v>482</v>
      </c>
    </row>
    <row r="1590" spans="1:24" ht="11.25" customHeight="1" thickTop="1">
      <c r="A1590" s="857">
        <v>6</v>
      </c>
      <c r="B1590" s="427"/>
      <c r="C1590" s="428"/>
      <c r="D1590" s="428"/>
      <c r="E1590" s="428"/>
      <c r="F1590" s="428"/>
      <c r="G1590" s="428"/>
      <c r="H1590" s="428"/>
      <c r="I1590" s="428"/>
      <c r="J1590" s="428"/>
      <c r="K1590" s="429"/>
      <c r="L1590" s="957" t="s">
        <v>482</v>
      </c>
      <c r="X1590" s="939" t="s">
        <v>482</v>
      </c>
    </row>
    <row r="1591" spans="1:24" ht="11.25" customHeight="1">
      <c r="A1591" s="857">
        <v>7</v>
      </c>
      <c r="B1591" s="433"/>
      <c r="C1591" s="198"/>
      <c r="D1591" s="198"/>
      <c r="E1591" s="198"/>
      <c r="F1591" s="198"/>
      <c r="G1591" s="706" t="s">
        <v>343</v>
      </c>
      <c r="H1591" s="198"/>
      <c r="I1591" s="198"/>
      <c r="J1591" s="706" t="s">
        <v>344</v>
      </c>
      <c r="K1591" s="199"/>
      <c r="L1591" s="957" t="s">
        <v>482</v>
      </c>
      <c r="X1591" s="939" t="s">
        <v>482</v>
      </c>
    </row>
    <row r="1592" spans="1:24" ht="11.25" customHeight="1" thickBot="1">
      <c r="A1592" s="857">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7" t="s">
        <v>482</v>
      </c>
      <c r="X1592" s="939" t="s">
        <v>482</v>
      </c>
    </row>
    <row r="1593" spans="1:24" ht="11.25" customHeight="1">
      <c r="A1593" s="857">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7" t="s">
        <v>482</v>
      </c>
      <c r="X1593" s="939" t="s">
        <v>482</v>
      </c>
    </row>
    <row r="1594" spans="1:24" ht="11.25" customHeight="1">
      <c r="A1594" s="857">
        <v>10</v>
      </c>
      <c r="B1594" s="694">
        <v>60</v>
      </c>
      <c r="C1594" s="695">
        <v>400</v>
      </c>
      <c r="D1594" s="696">
        <v>0.05</v>
      </c>
      <c r="E1594" s="697" t="str">
        <v>Large</v>
      </c>
      <c r="F1594" s="697" t="str">
        <v>Low</v>
      </c>
      <c r="G1594" s="697" t="str">
        <v>Internal</v>
      </c>
      <c r="H1594" s="708">
        <v>0</v>
      </c>
      <c r="I1594" s="709" t="str">
        <v/>
      </c>
      <c r="J1594" s="697" t="str">
        <v/>
      </c>
      <c r="K1594" s="710" t="str">
        <v/>
      </c>
      <c r="L1594" s="957" t="s">
        <v>482</v>
      </c>
      <c r="X1594" s="939" t="s">
        <v>482</v>
      </c>
    </row>
    <row r="1595" spans="1:24" ht="11.25" customHeight="1">
      <c r="A1595" s="857">
        <v>11</v>
      </c>
      <c r="B1595" s="694">
        <v>80</v>
      </c>
      <c r="C1595" s="695">
        <v>400</v>
      </c>
      <c r="D1595" s="696">
        <v>0.05</v>
      </c>
      <c r="E1595" s="697" t="str">
        <v>Large</v>
      </c>
      <c r="F1595" s="697" t="str">
        <v>Low</v>
      </c>
      <c r="G1595" s="697" t="str">
        <v>Internal</v>
      </c>
      <c r="H1595" s="708">
        <v>0</v>
      </c>
      <c r="I1595" s="709" t="str">
        <v/>
      </c>
      <c r="J1595" s="697" t="str">
        <v/>
      </c>
      <c r="K1595" s="710" t="str">
        <v/>
      </c>
      <c r="L1595" s="957" t="s">
        <v>482</v>
      </c>
      <c r="X1595" s="939" t="s">
        <v>482</v>
      </c>
    </row>
    <row r="1596" spans="1:24" ht="11.25" customHeight="1">
      <c r="A1596" s="857">
        <v>12</v>
      </c>
      <c r="B1596" s="694">
        <v>80</v>
      </c>
      <c r="C1596" s="695">
        <v>400</v>
      </c>
      <c r="D1596" s="696">
        <v>0.05</v>
      </c>
      <c r="E1596" s="697" t="str">
        <v>Large</v>
      </c>
      <c r="F1596" s="697" t="str">
        <v>Low</v>
      </c>
      <c r="G1596" s="697" t="str">
        <v>Internal</v>
      </c>
      <c r="H1596" s="708">
        <v>0</v>
      </c>
      <c r="I1596" s="709" t="str">
        <v/>
      </c>
      <c r="J1596" s="697" t="str">
        <v/>
      </c>
      <c r="K1596" s="710" t="str">
        <v/>
      </c>
      <c r="L1596" s="957" t="s">
        <v>482</v>
      </c>
      <c r="X1596" s="939" t="s">
        <v>482</v>
      </c>
    </row>
    <row r="1597" spans="1:24" ht="11.25" customHeight="1">
      <c r="A1597" s="857">
        <v>13</v>
      </c>
      <c r="B1597" s="694">
        <v>80</v>
      </c>
      <c r="C1597" s="695">
        <v>400</v>
      </c>
      <c r="D1597" s="696">
        <v>0.05</v>
      </c>
      <c r="E1597" s="697" t="str">
        <v>Large</v>
      </c>
      <c r="F1597" s="697" t="str">
        <v>Low</v>
      </c>
      <c r="G1597" s="697" t="str">
        <v>Internal</v>
      </c>
      <c r="H1597" s="708">
        <v>0</v>
      </c>
      <c r="I1597" s="709" t="str">
        <v>X</v>
      </c>
      <c r="J1597" s="697" t="str">
        <v/>
      </c>
      <c r="K1597" s="710" t="str">
        <v/>
      </c>
      <c r="L1597" s="957" t="s">
        <v>482</v>
      </c>
      <c r="X1597" s="939" t="s">
        <v>482</v>
      </c>
    </row>
    <row r="1598" spans="1:24" ht="11.25" customHeight="1">
      <c r="A1598" s="857">
        <v>14</v>
      </c>
      <c r="B1598" s="694">
        <v>80</v>
      </c>
      <c r="C1598" s="695">
        <v>400</v>
      </c>
      <c r="D1598" s="696">
        <v>0.05</v>
      </c>
      <c r="E1598" s="697" t="str">
        <v>Large</v>
      </c>
      <c r="F1598" s="697" t="str">
        <v>Low</v>
      </c>
      <c r="G1598" s="697" t="str">
        <v>Internal</v>
      </c>
      <c r="H1598" s="708">
        <v>0</v>
      </c>
      <c r="I1598" s="709" t="str">
        <v/>
      </c>
      <c r="J1598" s="697" t="str">
        <v/>
      </c>
      <c r="K1598" s="710" t="str">
        <v/>
      </c>
      <c r="L1598" s="957" t="s">
        <v>482</v>
      </c>
      <c r="X1598" s="939" t="s">
        <v>482</v>
      </c>
    </row>
    <row r="1599" spans="1:24" ht="11.25" customHeight="1">
      <c r="A1599" s="857">
        <v>15</v>
      </c>
      <c r="B1599" s="694">
        <v>80</v>
      </c>
      <c r="C1599" s="695">
        <v>400</v>
      </c>
      <c r="D1599" s="696">
        <v>0.05</v>
      </c>
      <c r="E1599" s="697" t="str">
        <v>Large</v>
      </c>
      <c r="F1599" s="697" t="str">
        <v>Low</v>
      </c>
      <c r="G1599" s="697" t="str">
        <v>Internal</v>
      </c>
      <c r="H1599" s="708">
        <v>0</v>
      </c>
      <c r="I1599" s="709" t="str">
        <v/>
      </c>
      <c r="J1599" s="697" t="str">
        <v/>
      </c>
      <c r="K1599" s="710" t="str">
        <v/>
      </c>
      <c r="L1599" s="957" t="s">
        <v>482</v>
      </c>
      <c r="X1599" s="939" t="s">
        <v>482</v>
      </c>
    </row>
    <row r="1600" spans="1:24" ht="11.25" customHeight="1">
      <c r="A1600" s="857">
        <v>16</v>
      </c>
      <c r="B1600" s="694">
        <v>80</v>
      </c>
      <c r="C1600" s="695">
        <v>400</v>
      </c>
      <c r="D1600" s="696">
        <v>0.05</v>
      </c>
      <c r="E1600" s="697" t="str">
        <v>Large</v>
      </c>
      <c r="F1600" s="697" t="str">
        <v>Low</v>
      </c>
      <c r="G1600" s="697" t="str">
        <v>Internal</v>
      </c>
      <c r="H1600" s="708">
        <v>0</v>
      </c>
      <c r="I1600" s="709" t="str">
        <v/>
      </c>
      <c r="J1600" s="697" t="str">
        <v/>
      </c>
      <c r="K1600" s="710" t="str">
        <v/>
      </c>
      <c r="L1600" s="957" t="s">
        <v>482</v>
      </c>
      <c r="X1600" s="939" t="s">
        <v>482</v>
      </c>
    </row>
    <row r="1601" spans="1:24" ht="11.25" customHeight="1">
      <c r="A1601" s="857">
        <v>17</v>
      </c>
      <c r="B1601" s="694">
        <v>80</v>
      </c>
      <c r="C1601" s="695">
        <v>400</v>
      </c>
      <c r="D1601" s="696">
        <v>0.05</v>
      </c>
      <c r="E1601" s="697" t="str">
        <v>Large</v>
      </c>
      <c r="F1601" s="697" t="str">
        <v>Low</v>
      </c>
      <c r="G1601" s="697" t="str">
        <v>Internal</v>
      </c>
      <c r="H1601" s="708">
        <v>0</v>
      </c>
      <c r="I1601" s="709" t="str">
        <v/>
      </c>
      <c r="J1601" s="697" t="str">
        <v/>
      </c>
      <c r="K1601" s="710" t="str">
        <v/>
      </c>
      <c r="L1601" s="957" t="s">
        <v>482</v>
      </c>
      <c r="X1601" s="939" t="s">
        <v>482</v>
      </c>
    </row>
    <row r="1602" spans="1:24" ht="11.25" customHeight="1">
      <c r="A1602" s="857">
        <v>18</v>
      </c>
      <c r="B1602" s="694">
        <v>80</v>
      </c>
      <c r="C1602" s="695">
        <v>400</v>
      </c>
      <c r="D1602" s="696">
        <v>0.05</v>
      </c>
      <c r="E1602" s="697" t="str">
        <v>Large</v>
      </c>
      <c r="F1602" s="697" t="str">
        <v>Low</v>
      </c>
      <c r="G1602" s="697" t="str">
        <v>Internal</v>
      </c>
      <c r="H1602" s="708">
        <v>0</v>
      </c>
      <c r="I1602" s="709" t="str">
        <v/>
      </c>
      <c r="J1602" s="697" t="str">
        <v/>
      </c>
      <c r="K1602" s="710" t="str">
        <v/>
      </c>
      <c r="L1602" s="957" t="s">
        <v>482</v>
      </c>
      <c r="X1602" s="939" t="s">
        <v>482</v>
      </c>
    </row>
    <row r="1603" spans="1:24" ht="11.25" customHeight="1">
      <c r="A1603" s="857">
        <v>19</v>
      </c>
      <c r="B1603" s="694">
        <v>80</v>
      </c>
      <c r="C1603" s="695">
        <v>400</v>
      </c>
      <c r="D1603" s="696">
        <v>0.05</v>
      </c>
      <c r="E1603" s="697" t="str">
        <v>Large</v>
      </c>
      <c r="F1603" s="697" t="str">
        <v>Low</v>
      </c>
      <c r="G1603" s="697" t="str">
        <v>Internal</v>
      </c>
      <c r="H1603" s="708">
        <v>0</v>
      </c>
      <c r="I1603" s="709" t="str">
        <v/>
      </c>
      <c r="J1603" s="697" t="str">
        <v/>
      </c>
      <c r="K1603" s="710" t="str">
        <v/>
      </c>
      <c r="L1603" s="957" t="s">
        <v>482</v>
      </c>
      <c r="X1603" s="939" t="s">
        <v>482</v>
      </c>
    </row>
    <row r="1604" spans="1:24" ht="11.25" customHeight="1">
      <c r="A1604" s="857">
        <v>20</v>
      </c>
      <c r="B1604" s="694">
        <v>80</v>
      </c>
      <c r="C1604" s="695">
        <v>400</v>
      </c>
      <c r="D1604" s="696">
        <v>0.05</v>
      </c>
      <c r="E1604" s="697" t="str">
        <v>Large</v>
      </c>
      <c r="F1604" s="697" t="str">
        <v>Low</v>
      </c>
      <c r="G1604" s="697" t="str">
        <v>Internal</v>
      </c>
      <c r="H1604" s="708">
        <v>0</v>
      </c>
      <c r="I1604" s="709" t="str">
        <v/>
      </c>
      <c r="J1604" s="697" t="str">
        <v/>
      </c>
      <c r="K1604" s="710" t="str">
        <v/>
      </c>
      <c r="L1604" s="957" t="s">
        <v>482</v>
      </c>
      <c r="X1604" s="939" t="s">
        <v>482</v>
      </c>
    </row>
    <row r="1605" spans="1:24" ht="11.25" customHeight="1">
      <c r="A1605" s="857">
        <v>21</v>
      </c>
      <c r="B1605" s="694">
        <v>80</v>
      </c>
      <c r="C1605" s="695">
        <v>400</v>
      </c>
      <c r="D1605" s="696">
        <v>0.05</v>
      </c>
      <c r="E1605" s="697" t="str">
        <v>Large</v>
      </c>
      <c r="F1605" s="697" t="str">
        <v>Low</v>
      </c>
      <c r="G1605" s="697" t="str">
        <v>Internal</v>
      </c>
      <c r="H1605" s="708">
        <v>0</v>
      </c>
      <c r="I1605" s="709" t="str">
        <v/>
      </c>
      <c r="J1605" s="697" t="str">
        <v/>
      </c>
      <c r="K1605" s="710" t="str">
        <v/>
      </c>
      <c r="L1605" s="957" t="s">
        <v>482</v>
      </c>
      <c r="X1605" s="939" t="s">
        <v>482</v>
      </c>
    </row>
    <row r="1606" spans="1:24" ht="11.25" customHeight="1">
      <c r="A1606" s="857">
        <v>22</v>
      </c>
      <c r="B1606" s="694">
        <v>80</v>
      </c>
      <c r="C1606" s="695">
        <v>500</v>
      </c>
      <c r="D1606" s="696">
        <v>0.05</v>
      </c>
      <c r="E1606" s="697" t="str">
        <v>Large</v>
      </c>
      <c r="F1606" s="697" t="str">
        <v>Low</v>
      </c>
      <c r="G1606" s="697" t="str">
        <v>Internal</v>
      </c>
      <c r="H1606" s="708">
        <v>0</v>
      </c>
      <c r="I1606" s="709" t="str">
        <v/>
      </c>
      <c r="J1606" s="697" t="str">
        <v/>
      </c>
      <c r="K1606" s="710" t="str">
        <v/>
      </c>
      <c r="L1606" s="957" t="s">
        <v>482</v>
      </c>
      <c r="X1606" s="939" t="s">
        <v>482</v>
      </c>
    </row>
    <row r="1607" spans="1:24" ht="11.25" customHeight="1">
      <c r="A1607" s="857">
        <v>23</v>
      </c>
      <c r="B1607" s="694">
        <v>80</v>
      </c>
      <c r="C1607" s="695">
        <v>50</v>
      </c>
      <c r="D1607" s="696">
        <v>0.05</v>
      </c>
      <c r="E1607" s="697" t="str">
        <v>Large</v>
      </c>
      <c r="F1607" s="697" t="str">
        <v>High</v>
      </c>
      <c r="G1607" s="697" t="str">
        <v>Internal</v>
      </c>
      <c r="H1607" s="708">
        <v>0</v>
      </c>
      <c r="I1607" s="709" t="str">
        <v/>
      </c>
      <c r="J1607" s="697" t="str">
        <v/>
      </c>
      <c r="K1607" s="710" t="str">
        <v/>
      </c>
      <c r="L1607" s="957" t="s">
        <v>482</v>
      </c>
      <c r="X1607" s="939" t="s">
        <v>482</v>
      </c>
    </row>
    <row r="1608" spans="1:24" ht="11.25" customHeight="1">
      <c r="A1608" s="857">
        <v>24</v>
      </c>
      <c r="B1608" s="694">
        <v>80</v>
      </c>
      <c r="C1608" s="695">
        <v>800</v>
      </c>
      <c r="D1608" s="696">
        <v>0.05</v>
      </c>
      <c r="E1608" s="697" t="str">
        <v>Large</v>
      </c>
      <c r="F1608" s="697" t="str">
        <v>Low</v>
      </c>
      <c r="G1608" s="697" t="str">
        <v>Internal</v>
      </c>
      <c r="H1608" s="708">
        <v>0</v>
      </c>
      <c r="I1608" s="709" t="str">
        <v/>
      </c>
      <c r="J1608" s="697" t="str">
        <v/>
      </c>
      <c r="K1608" s="710" t="str">
        <v/>
      </c>
      <c r="L1608" s="957" t="s">
        <v>482</v>
      </c>
      <c r="X1608" s="939" t="s">
        <v>482</v>
      </c>
    </row>
    <row r="1609" spans="1:24" ht="11.25" customHeight="1">
      <c r="A1609" s="857">
        <v>25</v>
      </c>
      <c r="B1609" s="694">
        <v>80</v>
      </c>
      <c r="C1609" s="695">
        <v>250</v>
      </c>
      <c r="D1609" s="696">
        <v>0.05</v>
      </c>
      <c r="E1609" s="697" t="str">
        <v>Large</v>
      </c>
      <c r="F1609" s="697" t="str">
        <v>Low</v>
      </c>
      <c r="G1609" s="697" t="str">
        <v>Internal</v>
      </c>
      <c r="H1609" s="708">
        <v>0</v>
      </c>
      <c r="I1609" s="709" t="str">
        <v/>
      </c>
      <c r="J1609" s="697" t="str">
        <v/>
      </c>
      <c r="K1609" s="710" t="str">
        <v/>
      </c>
      <c r="L1609" s="957" t="s">
        <v>482</v>
      </c>
      <c r="X1609" s="939" t="s">
        <v>482</v>
      </c>
    </row>
    <row r="1610" spans="1:24" ht="11.25" customHeight="1">
      <c r="A1610" s="857">
        <v>26</v>
      </c>
      <c r="B1610" s="694">
        <v>100</v>
      </c>
      <c r="C1610" s="695">
        <v>400</v>
      </c>
      <c r="D1610" s="696">
        <v>0.05</v>
      </c>
      <c r="E1610" s="697" t="str">
        <v>Large</v>
      </c>
      <c r="F1610" s="697" t="str">
        <v>Low</v>
      </c>
      <c r="G1610" s="697" t="str">
        <v>Internal</v>
      </c>
      <c r="H1610" s="708">
        <v>0</v>
      </c>
      <c r="I1610" s="709" t="str">
        <v/>
      </c>
      <c r="J1610" s="697" t="str">
        <v/>
      </c>
      <c r="K1610" s="710" t="str">
        <v/>
      </c>
      <c r="L1610" s="957" t="s">
        <v>482</v>
      </c>
      <c r="X1610" s="939" t="s">
        <v>482</v>
      </c>
    </row>
    <row r="1611" spans="1:24" ht="11.25" customHeight="1">
      <c r="A1611" s="857">
        <v>27</v>
      </c>
      <c r="B1611" s="694">
        <v>100</v>
      </c>
      <c r="C1611" s="695">
        <v>400</v>
      </c>
      <c r="D1611" s="696">
        <v>0.05</v>
      </c>
      <c r="E1611" s="119" t="str">
        <v>Large</v>
      </c>
      <c r="F1611" s="697" t="str">
        <v>Low</v>
      </c>
      <c r="G1611" s="697" t="str">
        <v>Internal</v>
      </c>
      <c r="H1611" s="708">
        <v>0</v>
      </c>
      <c r="I1611" s="709" t="str">
        <v/>
      </c>
      <c r="J1611" s="711" t="str">
        <v/>
      </c>
      <c r="K1611" s="710" t="str">
        <v/>
      </c>
      <c r="L1611" s="957" t="s">
        <v>482</v>
      </c>
      <c r="X1611" s="939" t="s">
        <v>482</v>
      </c>
    </row>
    <row r="1612" spans="1:24" ht="11.25" customHeight="1">
      <c r="A1612" s="857">
        <v>28</v>
      </c>
      <c r="B1612" s="694">
        <v>120</v>
      </c>
      <c r="C1612" s="695">
        <v>400</v>
      </c>
      <c r="D1612" s="696">
        <v>0.05</v>
      </c>
      <c r="E1612" s="117" t="str">
        <v>Large</v>
      </c>
      <c r="F1612" s="697" t="str">
        <v>Low</v>
      </c>
      <c r="G1612" s="697" t="str">
        <v>Internal</v>
      </c>
      <c r="H1612" s="708">
        <v>0</v>
      </c>
      <c r="I1612" s="709" t="str">
        <v/>
      </c>
      <c r="J1612" s="711" t="str">
        <v/>
      </c>
      <c r="K1612" s="710" t="str">
        <v/>
      </c>
      <c r="L1612" s="957" t="s">
        <v>482</v>
      </c>
      <c r="X1612" s="939" t="s">
        <v>482</v>
      </c>
    </row>
    <row r="1613" spans="1:24" ht="11.25" customHeight="1">
      <c r="A1613" s="857">
        <v>29</v>
      </c>
      <c r="B1613" s="694">
        <v>120</v>
      </c>
      <c r="C1613" s="695">
        <v>400</v>
      </c>
      <c r="D1613" s="696">
        <v>0.05</v>
      </c>
      <c r="E1613" s="117" t="str">
        <v>Large</v>
      </c>
      <c r="F1613" s="697" t="str">
        <v>Low</v>
      </c>
      <c r="G1613" s="697" t="str">
        <v>Internal</v>
      </c>
      <c r="H1613" s="708">
        <v>0</v>
      </c>
      <c r="I1613" s="709" t="str">
        <v/>
      </c>
      <c r="J1613" s="711" t="str">
        <v/>
      </c>
      <c r="K1613" s="710" t="str">
        <v/>
      </c>
      <c r="L1613" s="957" t="s">
        <v>482</v>
      </c>
      <c r="X1613" s="939" t="s">
        <v>482</v>
      </c>
    </row>
    <row r="1614" spans="1:24" ht="11.25" customHeight="1">
      <c r="A1614" s="857">
        <v>30</v>
      </c>
      <c r="B1614" s="694">
        <v>140</v>
      </c>
      <c r="C1614" s="695">
        <v>400</v>
      </c>
      <c r="D1614" s="696">
        <v>0.05</v>
      </c>
      <c r="E1614" s="117" t="str">
        <v>Large</v>
      </c>
      <c r="F1614" s="697" t="str">
        <v>Low</v>
      </c>
      <c r="G1614" s="697" t="str">
        <v>Internal</v>
      </c>
      <c r="H1614" s="708">
        <v>0</v>
      </c>
      <c r="I1614" s="709" t="str">
        <v/>
      </c>
      <c r="J1614" s="711" t="str">
        <v/>
      </c>
      <c r="K1614" s="710" t="str">
        <v/>
      </c>
      <c r="L1614" s="957" t="s">
        <v>482</v>
      </c>
      <c r="X1614" s="939" t="s">
        <v>482</v>
      </c>
    </row>
    <row r="1615" spans="1:24" ht="11.25" customHeight="1">
      <c r="A1615" s="857">
        <v>31</v>
      </c>
      <c r="B1615" s="694">
        <v>50</v>
      </c>
      <c r="C1615" s="695">
        <v>100</v>
      </c>
      <c r="D1615" s="696">
        <v>0.1</v>
      </c>
      <c r="E1615" s="117" t="str">
        <v>Small</v>
      </c>
      <c r="F1615" s="697" t="str">
        <v>Low</v>
      </c>
      <c r="G1615" s="697" t="str">
        <v>Internal</v>
      </c>
      <c r="H1615" s="708">
        <v>0</v>
      </c>
      <c r="I1615" s="709" t="str">
        <v/>
      </c>
      <c r="J1615" s="711" t="str">
        <v/>
      </c>
      <c r="K1615" s="710" t="str">
        <v/>
      </c>
      <c r="L1615" s="957" t="s">
        <v>482</v>
      </c>
      <c r="X1615" s="939" t="s">
        <v>482</v>
      </c>
    </row>
    <row r="1616" spans="1:24" ht="11.25" customHeight="1">
      <c r="A1616" s="857">
        <v>32</v>
      </c>
      <c r="B1616" s="694">
        <v>70</v>
      </c>
      <c r="C1616" s="695">
        <v>100</v>
      </c>
      <c r="D1616" s="696">
        <v>0.1</v>
      </c>
      <c r="E1616" s="117" t="str">
        <v>Small</v>
      </c>
      <c r="F1616" s="697" t="str">
        <v>Low</v>
      </c>
      <c r="G1616" s="697" t="str">
        <v>Internal</v>
      </c>
      <c r="H1616" s="708">
        <v>0</v>
      </c>
      <c r="I1616" s="709" t="str">
        <v/>
      </c>
      <c r="J1616" s="711" t="str">
        <v/>
      </c>
      <c r="K1616" s="710" t="str">
        <v/>
      </c>
      <c r="L1616" s="957" t="s">
        <v>482</v>
      </c>
      <c r="X1616" s="939" t="s">
        <v>482</v>
      </c>
    </row>
    <row r="1617" spans="1:24" ht="11.25" customHeight="1">
      <c r="A1617" s="857">
        <v>33</v>
      </c>
      <c r="B1617" s="694">
        <v>90</v>
      </c>
      <c r="C1617" s="695">
        <v>100</v>
      </c>
      <c r="D1617" s="696">
        <v>0.1</v>
      </c>
      <c r="E1617" s="117" t="str">
        <v>Small</v>
      </c>
      <c r="F1617" s="697" t="str">
        <v>Low</v>
      </c>
      <c r="G1617" s="697" t="str">
        <v>Internal</v>
      </c>
      <c r="H1617" s="708">
        <v>0</v>
      </c>
      <c r="I1617" s="709" t="str">
        <v/>
      </c>
      <c r="J1617" s="711" t="str">
        <v/>
      </c>
      <c r="K1617" s="710" t="str">
        <v/>
      </c>
      <c r="L1617" s="957" t="s">
        <v>482</v>
      </c>
      <c r="X1617" s="939" t="s">
        <v>482</v>
      </c>
    </row>
    <row r="1618" spans="1:24" ht="11.25" customHeight="1">
      <c r="A1618" s="857">
        <v>34</v>
      </c>
      <c r="B1618" s="694">
        <v>90</v>
      </c>
      <c r="C1618" s="695">
        <v>100</v>
      </c>
      <c r="D1618" s="696">
        <v>0.1</v>
      </c>
      <c r="E1618" s="117" t="str">
        <v>Small</v>
      </c>
      <c r="F1618" s="697" t="str">
        <v>Low</v>
      </c>
      <c r="G1618" s="697" t="str">
        <v>Internal</v>
      </c>
      <c r="H1618" s="708">
        <v>0</v>
      </c>
      <c r="I1618" s="709" t="str">
        <v/>
      </c>
      <c r="J1618" s="711" t="str">
        <v/>
      </c>
      <c r="K1618" s="710" t="str">
        <v/>
      </c>
      <c r="L1618" s="957" t="s">
        <v>482</v>
      </c>
      <c r="X1618" s="939" t="s">
        <v>482</v>
      </c>
    </row>
    <row r="1619" spans="1:24" ht="11.25" customHeight="1">
      <c r="A1619" s="857">
        <v>35</v>
      </c>
      <c r="B1619" s="694">
        <v>90</v>
      </c>
      <c r="C1619" s="695">
        <v>100</v>
      </c>
      <c r="D1619" s="696">
        <v>0.1</v>
      </c>
      <c r="E1619" s="117" t="str">
        <v>Small</v>
      </c>
      <c r="F1619" s="697" t="str">
        <v>Low</v>
      </c>
      <c r="G1619" s="697" t="str">
        <v>Internal</v>
      </c>
      <c r="H1619" s="708">
        <v>0</v>
      </c>
      <c r="I1619" s="709" t="str">
        <v>X</v>
      </c>
      <c r="J1619" s="711" t="str">
        <v/>
      </c>
      <c r="K1619" s="710" t="str">
        <v/>
      </c>
      <c r="L1619" s="957" t="s">
        <v>482</v>
      </c>
      <c r="X1619" s="939" t="s">
        <v>482</v>
      </c>
    </row>
    <row r="1620" spans="1:24" ht="11.25" customHeight="1">
      <c r="A1620" s="857">
        <v>36</v>
      </c>
      <c r="B1620" s="694">
        <v>90</v>
      </c>
      <c r="C1620" s="695">
        <v>100</v>
      </c>
      <c r="D1620" s="696">
        <v>0.1</v>
      </c>
      <c r="E1620" s="117" t="str">
        <v>Small</v>
      </c>
      <c r="F1620" s="697" t="str">
        <v>Low</v>
      </c>
      <c r="G1620" s="697" t="str">
        <v>Internal</v>
      </c>
      <c r="H1620" s="708">
        <v>0</v>
      </c>
      <c r="I1620" s="709" t="str">
        <v/>
      </c>
      <c r="J1620" s="711" t="str">
        <v/>
      </c>
      <c r="K1620" s="710" t="str">
        <v/>
      </c>
      <c r="L1620" s="957" t="s">
        <v>482</v>
      </c>
      <c r="X1620" s="939" t="s">
        <v>482</v>
      </c>
    </row>
    <row r="1621" spans="1:24" ht="11.25" customHeight="1">
      <c r="A1621" s="857">
        <v>37</v>
      </c>
      <c r="B1621" s="694">
        <v>90</v>
      </c>
      <c r="C1621" s="695">
        <v>100</v>
      </c>
      <c r="D1621" s="696">
        <v>0.1</v>
      </c>
      <c r="E1621" s="117" t="str">
        <v>Small</v>
      </c>
      <c r="F1621" s="697" t="str">
        <v>Low</v>
      </c>
      <c r="G1621" s="697" t="str">
        <v>Internal</v>
      </c>
      <c r="H1621" s="708">
        <v>0</v>
      </c>
      <c r="I1621" s="709" t="str">
        <v/>
      </c>
      <c r="J1621" s="711" t="str">
        <v/>
      </c>
      <c r="K1621" s="710" t="str">
        <v/>
      </c>
      <c r="L1621" s="957" t="s">
        <v>482</v>
      </c>
      <c r="X1621" s="939" t="s">
        <v>482</v>
      </c>
    </row>
    <row r="1622" spans="1:24" ht="11.25" customHeight="1">
      <c r="A1622" s="857">
        <v>38</v>
      </c>
      <c r="B1622" s="694">
        <v>80</v>
      </c>
      <c r="C1622" s="695">
        <v>100</v>
      </c>
      <c r="D1622" s="696">
        <v>0.1</v>
      </c>
      <c r="E1622" s="117" t="str">
        <v>Small</v>
      </c>
      <c r="F1622" s="697" t="str">
        <v>Low</v>
      </c>
      <c r="G1622" s="697" t="str">
        <v>Internal</v>
      </c>
      <c r="H1622" s="708">
        <v>0</v>
      </c>
      <c r="I1622" s="709" t="str">
        <v/>
      </c>
      <c r="J1622" s="711" t="str">
        <v/>
      </c>
      <c r="K1622" s="710" t="str">
        <v/>
      </c>
      <c r="L1622" s="957" t="s">
        <v>482</v>
      </c>
      <c r="X1622" s="939" t="s">
        <v>482</v>
      </c>
    </row>
    <row r="1623" spans="1:24" ht="11.25" customHeight="1">
      <c r="A1623" s="857">
        <v>39</v>
      </c>
      <c r="B1623" s="694">
        <v>80</v>
      </c>
      <c r="C1623" s="695">
        <v>110</v>
      </c>
      <c r="D1623" s="696">
        <v>0.1</v>
      </c>
      <c r="E1623" s="117" t="str">
        <v>Small</v>
      </c>
      <c r="F1623" s="697" t="str">
        <v>Low</v>
      </c>
      <c r="G1623" s="697" t="str">
        <v>Internal</v>
      </c>
      <c r="H1623" s="708">
        <v>0</v>
      </c>
      <c r="I1623" s="709" t="str">
        <v/>
      </c>
      <c r="J1623" s="711" t="str">
        <v/>
      </c>
      <c r="K1623" s="710" t="str">
        <v/>
      </c>
      <c r="L1623" s="957" t="s">
        <v>482</v>
      </c>
      <c r="X1623" s="939" t="s">
        <v>482</v>
      </c>
    </row>
    <row r="1624" spans="1:24" ht="11.25" customHeight="1">
      <c r="A1624" s="857">
        <v>40</v>
      </c>
      <c r="B1624" s="694">
        <v>80</v>
      </c>
      <c r="C1624" s="695">
        <v>250</v>
      </c>
      <c r="D1624" s="696">
        <v>0.1</v>
      </c>
      <c r="E1624" s="117" t="str">
        <v>Small</v>
      </c>
      <c r="F1624" s="697" t="str">
        <v>High</v>
      </c>
      <c r="G1624" s="697" t="str">
        <v>Internal</v>
      </c>
      <c r="H1624" s="708">
        <v>0</v>
      </c>
      <c r="I1624" s="709" t="str">
        <v/>
      </c>
      <c r="J1624" s="697" t="str">
        <v/>
      </c>
      <c r="K1624" s="710" t="str">
        <v/>
      </c>
      <c r="L1624" s="957" t="s">
        <v>482</v>
      </c>
      <c r="X1624" s="939" t="s">
        <v>482</v>
      </c>
    </row>
    <row r="1625" spans="1:24" ht="11.25" customHeight="1">
      <c r="A1625" s="857">
        <v>41</v>
      </c>
      <c r="B1625" s="694">
        <v>80</v>
      </c>
      <c r="C1625" s="695">
        <v>50</v>
      </c>
      <c r="D1625" s="696">
        <v>0.1</v>
      </c>
      <c r="E1625" s="117" t="str">
        <v>Small</v>
      </c>
      <c r="F1625" s="697" t="str">
        <v>High</v>
      </c>
      <c r="G1625" s="697" t="str">
        <v>Internal</v>
      </c>
      <c r="H1625" s="708">
        <v>0</v>
      </c>
      <c r="I1625" s="709" t="str">
        <v/>
      </c>
      <c r="J1625" s="697" t="str">
        <v/>
      </c>
      <c r="K1625" s="710" t="str">
        <v/>
      </c>
      <c r="L1625" s="957" t="s">
        <v>482</v>
      </c>
      <c r="X1625" s="939" t="s">
        <v>482</v>
      </c>
    </row>
    <row r="1626" spans="1:24" ht="11.25" customHeight="1">
      <c r="A1626" s="857">
        <v>42</v>
      </c>
      <c r="B1626" s="694">
        <v>80</v>
      </c>
      <c r="C1626" s="695">
        <v>160</v>
      </c>
      <c r="D1626" s="696">
        <v>0.1</v>
      </c>
      <c r="E1626" s="697" t="str">
        <v>Small</v>
      </c>
      <c r="F1626" s="697" t="str">
        <v>Low</v>
      </c>
      <c r="G1626" s="697" t="str">
        <v>Internal</v>
      </c>
      <c r="H1626" s="708">
        <v>0</v>
      </c>
      <c r="I1626" s="709" t="str">
        <v/>
      </c>
      <c r="J1626" s="697" t="str">
        <v/>
      </c>
      <c r="K1626" s="710" t="str">
        <v/>
      </c>
      <c r="L1626" s="957" t="s">
        <v>482</v>
      </c>
      <c r="X1626" s="939" t="s">
        <v>482</v>
      </c>
    </row>
    <row r="1627" spans="1:24" ht="11.25" customHeight="1">
      <c r="A1627" s="857">
        <v>43</v>
      </c>
      <c r="B1627" s="694">
        <v>110</v>
      </c>
      <c r="C1627" s="695">
        <v>100</v>
      </c>
      <c r="D1627" s="696">
        <v>0.1</v>
      </c>
      <c r="E1627" s="697" t="str">
        <v>Small</v>
      </c>
      <c r="F1627" s="697" t="str">
        <v>Low</v>
      </c>
      <c r="G1627" s="697" t="str">
        <v>Internal</v>
      </c>
      <c r="H1627" s="708">
        <v>0</v>
      </c>
      <c r="I1627" s="709" t="str">
        <v/>
      </c>
      <c r="J1627" s="697" t="str">
        <v/>
      </c>
      <c r="K1627" s="710" t="str">
        <v/>
      </c>
      <c r="L1627" s="957" t="s">
        <v>482</v>
      </c>
      <c r="X1627" s="939" t="s">
        <v>482</v>
      </c>
    </row>
    <row r="1628" spans="1:24" ht="11.25" customHeight="1">
      <c r="A1628" s="857">
        <v>44</v>
      </c>
      <c r="B1628" s="694">
        <v>130</v>
      </c>
      <c r="C1628" s="695">
        <v>100</v>
      </c>
      <c r="D1628" s="696">
        <v>0.1</v>
      </c>
      <c r="E1628" s="697" t="str">
        <v>Small</v>
      </c>
      <c r="F1628" s="697" t="str">
        <v>Low</v>
      </c>
      <c r="G1628" s="697" t="str">
        <v>Internal</v>
      </c>
      <c r="H1628" s="708">
        <v>0</v>
      </c>
      <c r="I1628" s="709" t="str">
        <v/>
      </c>
      <c r="J1628" s="697" t="str">
        <v/>
      </c>
      <c r="K1628" s="710" t="str">
        <v/>
      </c>
      <c r="L1628" s="957" t="s">
        <v>482</v>
      </c>
      <c r="X1628" s="939" t="s">
        <v>482</v>
      </c>
    </row>
    <row r="1629" spans="1:24" ht="11.25" customHeight="1">
      <c r="A1629" s="857">
        <v>45</v>
      </c>
      <c r="B1629" s="694">
        <v>80</v>
      </c>
      <c r="C1629" s="695">
        <v>200</v>
      </c>
      <c r="D1629" s="696">
        <v>0.01</v>
      </c>
      <c r="E1629" s="697" t="str">
        <v>Large</v>
      </c>
      <c r="F1629" s="697" t="str">
        <v>Low</v>
      </c>
      <c r="G1629" s="697" t="str">
        <v>Internal</v>
      </c>
      <c r="H1629" s="708">
        <v>0</v>
      </c>
      <c r="I1629" s="709" t="str">
        <v>X</v>
      </c>
      <c r="J1629" s="697" t="str">
        <v/>
      </c>
      <c r="K1629" s="710" t="str">
        <v/>
      </c>
      <c r="L1629" s="957" t="s">
        <v>482</v>
      </c>
      <c r="X1629" s="939" t="s">
        <v>482</v>
      </c>
    </row>
    <row r="1630" spans="1:24" ht="11.25" customHeight="1">
      <c r="A1630" s="857">
        <v>46</v>
      </c>
      <c r="B1630" s="694">
        <v>80</v>
      </c>
      <c r="C1630" s="695">
        <v>200</v>
      </c>
      <c r="D1630" s="696">
        <v>0.02</v>
      </c>
      <c r="E1630" s="697" t="str">
        <v>Large</v>
      </c>
      <c r="F1630" s="697" t="str">
        <v>Low</v>
      </c>
      <c r="G1630" s="697" t="str">
        <v>Internal</v>
      </c>
      <c r="H1630" s="708">
        <v>0</v>
      </c>
      <c r="I1630" s="709" t="str">
        <v>X</v>
      </c>
      <c r="J1630" s="697" t="str">
        <v/>
      </c>
      <c r="K1630" s="710" t="str">
        <v/>
      </c>
      <c r="L1630" s="957" t="s">
        <v>482</v>
      </c>
      <c r="X1630" s="939" t="s">
        <v>482</v>
      </c>
    </row>
    <row r="1631" spans="1:24" ht="11.25" customHeight="1">
      <c r="A1631" s="857">
        <v>47</v>
      </c>
      <c r="B1631" s="694">
        <v>80</v>
      </c>
      <c r="C1631" s="695">
        <v>200</v>
      </c>
      <c r="D1631" s="696">
        <v>0.04</v>
      </c>
      <c r="E1631" s="697" t="str">
        <v>Large</v>
      </c>
      <c r="F1631" s="697" t="str">
        <v>Low</v>
      </c>
      <c r="G1631" s="697" t="str">
        <v>Internal</v>
      </c>
      <c r="H1631" s="708">
        <v>0</v>
      </c>
      <c r="I1631" s="709" t="str">
        <v>X</v>
      </c>
      <c r="J1631" s="697" t="str">
        <v/>
      </c>
      <c r="K1631" s="710" t="str">
        <v/>
      </c>
      <c r="L1631" s="957" t="s">
        <v>482</v>
      </c>
      <c r="X1631" s="939" t="s">
        <v>482</v>
      </c>
    </row>
    <row r="1632" spans="1:24" ht="11.25" customHeight="1">
      <c r="A1632" s="857">
        <v>48</v>
      </c>
      <c r="B1632" s="433"/>
      <c r="C1632" s="198"/>
      <c r="D1632" s="198"/>
      <c r="E1632" s="198"/>
      <c r="F1632" s="198"/>
      <c r="G1632" s="198"/>
      <c r="H1632" s="198"/>
      <c r="I1632" s="198"/>
      <c r="J1632" s="198"/>
      <c r="K1632" s="199"/>
      <c r="L1632" s="957" t="s">
        <v>482</v>
      </c>
      <c r="X1632" s="939" t="s">
        <v>482</v>
      </c>
    </row>
    <row r="1633" spans="1:24" ht="11.25" customHeight="1" thickBot="1">
      <c r="A1633" s="857">
        <v>49</v>
      </c>
      <c r="B1633" s="701"/>
      <c r="C1633" s="702"/>
      <c r="D1633" s="702"/>
      <c r="E1633" s="702"/>
      <c r="F1633" s="702"/>
      <c r="G1633" s="702"/>
      <c r="H1633" s="702"/>
      <c r="I1633" s="702"/>
      <c r="J1633" s="702"/>
      <c r="K1633" s="703"/>
      <c r="L1633" s="957" t="s">
        <v>482</v>
      </c>
      <c r="X1633" s="939" t="s">
        <v>482</v>
      </c>
    </row>
    <row r="1634" spans="1:24" ht="11.25" customHeight="1" thickTop="1">
      <c r="A1634" s="857">
        <v>50</v>
      </c>
      <c r="B1634" s="432"/>
      <c r="C1634" s="432"/>
      <c r="D1634" s="432"/>
      <c r="E1634" s="432"/>
      <c r="F1634" s="432"/>
      <c r="G1634" s="432"/>
      <c r="H1634" s="432"/>
      <c r="I1634" s="432"/>
      <c r="J1634" s="432"/>
      <c r="K1634" s="432"/>
      <c r="L1634" s="957" t="s">
        <v>482</v>
      </c>
      <c r="X1634" s="939" t="s">
        <v>482</v>
      </c>
    </row>
    <row r="1635" spans="1:24" ht="11.25" customHeight="1">
      <c r="A1635" s="857">
        <v>51</v>
      </c>
      <c r="B1635" s="432"/>
      <c r="C1635" s="432"/>
      <c r="D1635" s="432"/>
      <c r="E1635" s="432"/>
      <c r="F1635" s="432"/>
      <c r="G1635" s="432"/>
      <c r="H1635" s="432"/>
      <c r="I1635" s="432"/>
      <c r="J1635" s="432"/>
      <c r="K1635" s="432"/>
      <c r="L1635" s="957" t="s">
        <v>482</v>
      </c>
      <c r="X1635" s="939" t="s">
        <v>482</v>
      </c>
    </row>
    <row r="1636" spans="1:24" ht="11.25" customHeight="1">
      <c r="A1636" s="857">
        <v>52</v>
      </c>
      <c r="B1636" s="432"/>
      <c r="C1636" s="432"/>
      <c r="D1636" s="432"/>
      <c r="E1636" s="432"/>
      <c r="F1636" s="432"/>
      <c r="G1636" s="432"/>
      <c r="H1636" s="432"/>
      <c r="I1636" s="432"/>
      <c r="J1636" s="432"/>
      <c r="K1636" s="432"/>
      <c r="L1636" s="957" t="s">
        <v>482</v>
      </c>
      <c r="X1636" s="939" t="s">
        <v>482</v>
      </c>
    </row>
    <row r="1637" spans="1:24" ht="11.25" customHeight="1">
      <c r="A1637" s="857">
        <v>53</v>
      </c>
      <c r="B1637" s="432"/>
      <c r="C1637" s="432"/>
      <c r="D1637" s="432"/>
      <c r="E1637" s="432"/>
      <c r="F1637" s="432"/>
      <c r="G1637" s="432"/>
      <c r="H1637" s="432"/>
      <c r="I1637" s="432"/>
      <c r="J1637" s="432"/>
      <c r="K1637" s="432"/>
      <c r="L1637" s="957" t="s">
        <v>482</v>
      </c>
      <c r="X1637" s="939" t="s">
        <v>482</v>
      </c>
    </row>
    <row r="1638" spans="1:24" ht="11.25" customHeight="1">
      <c r="A1638" s="857">
        <v>54</v>
      </c>
      <c r="B1638" s="432"/>
      <c r="C1638" s="432"/>
      <c r="D1638" s="432"/>
      <c r="E1638" s="432"/>
      <c r="F1638" s="432"/>
      <c r="G1638" s="432"/>
      <c r="H1638" s="432"/>
      <c r="I1638" s="432"/>
      <c r="J1638" s="432"/>
      <c r="K1638" s="432"/>
      <c r="L1638" s="957" t="s">
        <v>482</v>
      </c>
      <c r="X1638" s="939" t="s">
        <v>482</v>
      </c>
    </row>
    <row r="1639" spans="1:24" ht="11.25" customHeight="1">
      <c r="A1639" s="857">
        <v>55</v>
      </c>
      <c r="B1639" s="432"/>
      <c r="C1639" s="432"/>
      <c r="D1639" s="432"/>
      <c r="E1639" s="432"/>
      <c r="F1639" s="432"/>
      <c r="G1639" s="432"/>
      <c r="H1639" s="432"/>
      <c r="I1639" s="432"/>
      <c r="J1639" s="432"/>
      <c r="K1639" s="432"/>
      <c r="L1639" s="957" t="s">
        <v>482</v>
      </c>
      <c r="X1639" s="939" t="s">
        <v>482</v>
      </c>
    </row>
    <row r="1640" spans="1:24" ht="11.25" customHeight="1">
      <c r="A1640" s="857">
        <v>56</v>
      </c>
      <c r="B1640" s="432"/>
      <c r="C1640" s="432"/>
      <c r="D1640" s="432"/>
      <c r="E1640" s="432"/>
      <c r="F1640" s="432"/>
      <c r="G1640" s="432"/>
      <c r="H1640" s="432"/>
      <c r="I1640" s="432"/>
      <c r="J1640" s="432"/>
      <c r="K1640" s="432"/>
      <c r="L1640" s="957" t="s">
        <v>482</v>
      </c>
      <c r="X1640" s="939" t="s">
        <v>482</v>
      </c>
    </row>
    <row r="1641" spans="1:24" ht="11.25" customHeight="1">
      <c r="A1641" s="857">
        <v>57</v>
      </c>
      <c r="B1641" s="432"/>
      <c r="C1641" s="432"/>
      <c r="D1641" s="432"/>
      <c r="E1641" s="432"/>
      <c r="F1641" s="432"/>
      <c r="G1641" s="432"/>
      <c r="H1641" s="432"/>
      <c r="I1641" s="432"/>
      <c r="J1641" s="432"/>
      <c r="K1641" s="432"/>
      <c r="L1641" s="957" t="s">
        <v>482</v>
      </c>
      <c r="X1641" s="939" t="s">
        <v>482</v>
      </c>
    </row>
    <row r="1642" spans="1:24" ht="11.25" customHeight="1">
      <c r="A1642" s="857">
        <v>58</v>
      </c>
      <c r="B1642" s="432"/>
      <c r="C1642" s="432"/>
      <c r="D1642" s="432"/>
      <c r="E1642" s="432"/>
      <c r="F1642" s="432"/>
      <c r="G1642" s="432"/>
      <c r="H1642" s="432"/>
      <c r="I1642" s="432"/>
      <c r="J1642" s="432"/>
      <c r="K1642" s="432"/>
      <c r="L1642" s="957" t="s">
        <v>482</v>
      </c>
      <c r="X1642" s="939" t="s">
        <v>482</v>
      </c>
    </row>
    <row r="1643" spans="1:24" ht="11.25" customHeight="1">
      <c r="A1643" s="857">
        <v>59</v>
      </c>
      <c r="B1643" s="432"/>
      <c r="C1643" s="432"/>
      <c r="D1643" s="432"/>
      <c r="E1643" s="432"/>
      <c r="F1643" s="432"/>
      <c r="G1643" s="432"/>
      <c r="H1643" s="432"/>
      <c r="I1643" s="432"/>
      <c r="J1643" s="432"/>
      <c r="K1643" s="432"/>
      <c r="L1643" s="957" t="s">
        <v>482</v>
      </c>
      <c r="X1643" s="939" t="s">
        <v>482</v>
      </c>
    </row>
    <row r="1644" spans="1:24" ht="11.25" customHeight="1">
      <c r="A1644" s="857">
        <v>60</v>
      </c>
      <c r="B1644" s="432"/>
      <c r="C1644" s="432"/>
      <c r="D1644" s="432"/>
      <c r="E1644" s="432"/>
      <c r="F1644" s="432"/>
      <c r="G1644" s="432"/>
      <c r="H1644" s="432"/>
      <c r="I1644" s="432"/>
      <c r="J1644" s="432"/>
      <c r="K1644" s="432"/>
      <c r="L1644" s="957" t="s">
        <v>482</v>
      </c>
      <c r="X1644" s="939" t="s">
        <v>482</v>
      </c>
    </row>
    <row r="1645" spans="1:24" ht="11.25" customHeight="1">
      <c r="A1645" s="857">
        <v>61</v>
      </c>
      <c r="B1645" s="432"/>
      <c r="C1645" s="432"/>
      <c r="D1645" s="432"/>
      <c r="E1645" s="432"/>
      <c r="F1645" s="432"/>
      <c r="G1645" s="432"/>
      <c r="H1645" s="432"/>
      <c r="I1645" s="432"/>
      <c r="J1645" s="432"/>
      <c r="K1645" s="432"/>
      <c r="L1645" s="957" t="s">
        <v>482</v>
      </c>
      <c r="X1645" s="939" t="s">
        <v>482</v>
      </c>
    </row>
    <row r="1646" spans="1:24" ht="11.25" customHeight="1">
      <c r="A1646" s="857">
        <v>62</v>
      </c>
      <c r="B1646" s="432"/>
      <c r="C1646" s="432"/>
      <c r="D1646" s="432"/>
      <c r="E1646" s="432"/>
      <c r="F1646" s="432"/>
      <c r="G1646" s="432"/>
      <c r="H1646" s="432"/>
      <c r="I1646" s="432"/>
      <c r="J1646" s="432"/>
      <c r="K1646" s="432"/>
      <c r="L1646" s="957" t="s">
        <v>482</v>
      </c>
      <c r="X1646" s="939" t="s">
        <v>482</v>
      </c>
    </row>
    <row r="1647" spans="1:24" ht="11.25" customHeight="1">
      <c r="A1647" s="857">
        <v>63</v>
      </c>
      <c r="B1647" s="432"/>
      <c r="C1647" s="432"/>
      <c r="D1647" s="432"/>
      <c r="E1647" s="432"/>
      <c r="F1647" s="432"/>
      <c r="G1647" s="432"/>
      <c r="H1647" s="432"/>
      <c r="I1647" s="432"/>
      <c r="J1647" s="432"/>
      <c r="K1647" s="432"/>
      <c r="L1647" s="957" t="s">
        <v>482</v>
      </c>
      <c r="X1647" s="939" t="s">
        <v>482</v>
      </c>
    </row>
    <row r="1648" spans="1:24" ht="11.25" customHeight="1">
      <c r="A1648" s="857">
        <v>64</v>
      </c>
      <c r="B1648" s="432"/>
      <c r="C1648" s="432"/>
      <c r="D1648" s="432"/>
      <c r="E1648" s="432"/>
      <c r="F1648" s="432"/>
      <c r="G1648" s="432"/>
      <c r="H1648" s="432"/>
      <c r="I1648" s="432"/>
      <c r="J1648" s="432"/>
      <c r="K1648" s="432"/>
      <c r="L1648" s="957" t="s">
        <v>482</v>
      </c>
      <c r="X1648" s="939" t="s">
        <v>482</v>
      </c>
    </row>
    <row r="1649" spans="1:24" ht="11.25" customHeight="1">
      <c r="A1649" s="857">
        <v>65</v>
      </c>
      <c r="B1649" s="704" t="str">
        <f t="array" ref="B1649:C1650">$B$65:$C$66</f>
        <v>Date:</v>
      </c>
      <c r="C1649" s="1664" t="str">
        <v/>
      </c>
      <c r="D1649" s="432"/>
      <c r="E1649" s="705"/>
      <c r="F1649" s="705"/>
      <c r="G1649" s="705"/>
      <c r="H1649" s="705"/>
      <c r="I1649" s="704" t="str">
        <f t="array" ref="I1649:J1650">$I$65:$J$66</f>
        <v>Inspector:</v>
      </c>
      <c r="J1649" s="554" t="str">
        <v>Eugene Mah</v>
      </c>
      <c r="K1649" s="432"/>
      <c r="L1649" s="957" t="s">
        <v>482</v>
      </c>
      <c r="X1649" s="939" t="s">
        <v>482</v>
      </c>
    </row>
    <row r="1650" spans="1:24" ht="11.25" customHeight="1">
      <c r="A1650" s="857">
        <v>66</v>
      </c>
      <c r="B1650" s="704" t="str">
        <v>Room Number:</v>
      </c>
      <c r="C1650" s="499" t="str">
        <v/>
      </c>
      <c r="D1650" s="432"/>
      <c r="E1650" s="705"/>
      <c r="F1650" s="705"/>
      <c r="G1650" s="705"/>
      <c r="H1650" s="705"/>
      <c r="I1650" s="704" t="str">
        <v>Survey ID:</v>
      </c>
      <c r="J1650" s="1406" t="str">
        <v/>
      </c>
      <c r="K1650" s="432"/>
      <c r="L1650" s="957" t="s">
        <v>482</v>
      </c>
      <c r="X1650" s="939" t="s">
        <v>482</v>
      </c>
    </row>
    <row r="1651" spans="1:24" ht="11.25" customHeight="1">
      <c r="A1651" s="857">
        <v>1</v>
      </c>
      <c r="B1651" s="432"/>
      <c r="C1651" s="432"/>
      <c r="D1651" s="432"/>
      <c r="E1651" s="432"/>
      <c r="F1651" s="432"/>
      <c r="G1651" s="432"/>
      <c r="H1651" s="432"/>
      <c r="I1651" s="432"/>
      <c r="J1651" s="432"/>
      <c r="K1651" s="688" t="str">
        <f>$F$2</f>
        <v>Medical University of South Carolina</v>
      </c>
      <c r="L1651" s="957" t="s">
        <v>482</v>
      </c>
      <c r="X1651" s="939" t="s">
        <v>482</v>
      </c>
    </row>
    <row r="1652" spans="1:24" ht="11.25" customHeight="1">
      <c r="A1652" s="857">
        <v>2</v>
      </c>
      <c r="B1652" s="432"/>
      <c r="C1652" s="432"/>
      <c r="D1652" s="432"/>
      <c r="E1652" s="432"/>
      <c r="F1652" s="432"/>
      <c r="G1652" s="432"/>
      <c r="H1652" s="432"/>
      <c r="I1652" s="432"/>
      <c r="J1652" s="432"/>
      <c r="K1652" s="689" t="str">
        <f>$F$5</f>
        <v>Radiographic System Compliance Inspection</v>
      </c>
      <c r="L1652" s="957" t="s">
        <v>482</v>
      </c>
      <c r="X1652" s="939" t="s">
        <v>482</v>
      </c>
    </row>
    <row r="1653" spans="1:24" ht="11.25" customHeight="1">
      <c r="A1653" s="857">
        <v>3</v>
      </c>
      <c r="B1653" s="194"/>
      <c r="C1653" s="194"/>
      <c r="D1653" s="194"/>
      <c r="E1653" s="194"/>
      <c r="F1653" s="194"/>
      <c r="G1653" s="194"/>
      <c r="H1653" s="194"/>
      <c r="I1653" s="194"/>
      <c r="J1653" s="194"/>
      <c r="K1653" s="194"/>
      <c r="L1653" s="957" t="s">
        <v>482</v>
      </c>
      <c r="X1653" s="939" t="s">
        <v>482</v>
      </c>
    </row>
    <row r="1654" spans="1:24" ht="11.25" customHeight="1">
      <c r="A1654" s="857">
        <v>4</v>
      </c>
      <c r="B1654" s="194"/>
      <c r="C1654" s="194"/>
      <c r="D1654" s="194"/>
      <c r="E1654" s="194"/>
      <c r="F1654" s="336" t="str">
        <f>$F$464</f>
        <v>Measurement Data</v>
      </c>
      <c r="G1654" s="194"/>
      <c r="H1654" s="194"/>
      <c r="I1654" s="194"/>
      <c r="J1654" s="194"/>
      <c r="K1654" s="194"/>
      <c r="L1654" s="957" t="s">
        <v>482</v>
      </c>
      <c r="X1654" s="939" t="s">
        <v>482</v>
      </c>
    </row>
    <row r="1655" spans="1:24" ht="11.25" customHeight="1" thickBot="1">
      <c r="A1655" s="857">
        <v>5</v>
      </c>
      <c r="B1655" s="432"/>
      <c r="C1655" s="432"/>
      <c r="D1655" s="432"/>
      <c r="E1655" s="432"/>
      <c r="F1655" s="432"/>
      <c r="G1655" s="432"/>
      <c r="H1655" s="432"/>
      <c r="I1655" s="432"/>
      <c r="J1655" s="432"/>
      <c r="K1655" s="432"/>
      <c r="L1655" s="957" t="s">
        <v>482</v>
      </c>
      <c r="X1655" s="939" t="s">
        <v>482</v>
      </c>
    </row>
    <row r="1656" spans="1:24" ht="11.25" customHeight="1" thickTop="1">
      <c r="A1656" s="857">
        <v>6</v>
      </c>
      <c r="B1656" s="427"/>
      <c r="C1656" s="428"/>
      <c r="D1656" s="428"/>
      <c r="E1656" s="428"/>
      <c r="F1656" s="428"/>
      <c r="G1656" s="428"/>
      <c r="H1656" s="428"/>
      <c r="I1656" s="428"/>
      <c r="J1656" s="428"/>
      <c r="K1656" s="429"/>
      <c r="L1656" s="957" t="s">
        <v>482</v>
      </c>
      <c r="X1656" s="939" t="s">
        <v>482</v>
      </c>
    </row>
    <row r="1657" spans="1:24" ht="11.25" customHeight="1">
      <c r="A1657" s="857">
        <v>7</v>
      </c>
      <c r="B1657" s="433"/>
      <c r="C1657" s="198"/>
      <c r="D1657" s="198"/>
      <c r="E1657" s="198"/>
      <c r="F1657" s="198"/>
      <c r="G1657" s="198"/>
      <c r="H1657" s="198"/>
      <c r="I1657" s="198"/>
      <c r="J1657" s="706"/>
      <c r="K1657" s="199"/>
      <c r="L1657" s="957" t="s">
        <v>482</v>
      </c>
      <c r="X1657" s="939" t="s">
        <v>482</v>
      </c>
    </row>
    <row r="1658" spans="1:24" ht="11.25" customHeight="1" thickBot="1">
      <c r="A1658" s="857">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7" t="s">
        <v>482</v>
      </c>
      <c r="X1658" s="939" t="s">
        <v>482</v>
      </c>
    </row>
    <row r="1659" spans="1:24" ht="11.25" customHeight="1">
      <c r="A1659" s="857">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7" t="s">
        <v>482</v>
      </c>
      <c r="X1659" s="939" t="s">
        <v>482</v>
      </c>
    </row>
    <row r="1660" spans="1:24" ht="11.25" customHeight="1">
      <c r="A1660" s="857">
        <v>10</v>
      </c>
      <c r="B1660" s="694">
        <v>60</v>
      </c>
      <c r="C1660" s="695">
        <v>400</v>
      </c>
      <c r="D1660" s="696">
        <v>0.05</v>
      </c>
      <c r="E1660" s="697" t="str">
        <v>Large</v>
      </c>
      <c r="F1660" s="712" t="str">
        <v/>
      </c>
      <c r="G1660" s="712" t="str">
        <v/>
      </c>
      <c r="H1660" s="712" t="str">
        <v>X</v>
      </c>
      <c r="I1660" s="712" t="str">
        <v/>
      </c>
      <c r="J1660" s="712" t="str">
        <v/>
      </c>
      <c r="K1660" s="713" t="str">
        <v/>
      </c>
      <c r="L1660" s="957" t="s">
        <v>482</v>
      </c>
      <c r="X1660" s="939" t="s">
        <v>482</v>
      </c>
    </row>
    <row r="1661" spans="1:24" ht="11.25" customHeight="1">
      <c r="A1661" s="857">
        <v>11</v>
      </c>
      <c r="B1661" s="694">
        <v>80</v>
      </c>
      <c r="C1661" s="695">
        <v>400</v>
      </c>
      <c r="D1661" s="696">
        <v>0.05</v>
      </c>
      <c r="E1661" s="697" t="str">
        <v>Large</v>
      </c>
      <c r="F1661" s="712" t="str">
        <v>X</v>
      </c>
      <c r="G1661" s="712" t="str">
        <v>X</v>
      </c>
      <c r="H1661" s="712" t="str">
        <v/>
      </c>
      <c r="I1661" s="712" t="str">
        <v/>
      </c>
      <c r="J1661" s="712" t="str">
        <v>X</v>
      </c>
      <c r="K1661" s="713" t="str">
        <v/>
      </c>
      <c r="L1661" s="957" t="s">
        <v>482</v>
      </c>
      <c r="X1661" s="939" t="s">
        <v>482</v>
      </c>
    </row>
    <row r="1662" spans="1:24" ht="11.25" customHeight="1">
      <c r="A1662" s="857">
        <v>12</v>
      </c>
      <c r="B1662" s="694">
        <v>80</v>
      </c>
      <c r="C1662" s="695">
        <v>400</v>
      </c>
      <c r="D1662" s="696">
        <v>0.05</v>
      </c>
      <c r="E1662" s="697" t="str">
        <v>Large</v>
      </c>
      <c r="F1662" s="712" t="str">
        <v/>
      </c>
      <c r="G1662" s="712" t="str">
        <v/>
      </c>
      <c r="H1662" s="712" t="str">
        <v/>
      </c>
      <c r="I1662" s="712" t="str">
        <v/>
      </c>
      <c r="J1662" s="712" t="str">
        <v>X</v>
      </c>
      <c r="K1662" s="713" t="str">
        <v/>
      </c>
      <c r="L1662" s="957" t="s">
        <v>482</v>
      </c>
      <c r="X1662" s="939" t="s">
        <v>482</v>
      </c>
    </row>
    <row r="1663" spans="1:24" ht="11.25" customHeight="1">
      <c r="A1663" s="857">
        <v>13</v>
      </c>
      <c r="B1663" s="694">
        <v>80</v>
      </c>
      <c r="C1663" s="695">
        <v>400</v>
      </c>
      <c r="D1663" s="696">
        <v>0.05</v>
      </c>
      <c r="E1663" s="697" t="str">
        <v>Large</v>
      </c>
      <c r="F1663" s="712" t="str">
        <v/>
      </c>
      <c r="G1663" s="712" t="str">
        <v/>
      </c>
      <c r="H1663" s="712" t="str">
        <v/>
      </c>
      <c r="I1663" s="712" t="str">
        <v/>
      </c>
      <c r="J1663" s="712" t="str">
        <v>X</v>
      </c>
      <c r="K1663" s="713" t="str">
        <v/>
      </c>
      <c r="L1663" s="957" t="s">
        <v>482</v>
      </c>
      <c r="X1663" s="939" t="s">
        <v>482</v>
      </c>
    </row>
    <row r="1664" spans="1:24" ht="11.25" customHeight="1">
      <c r="A1664" s="857">
        <v>14</v>
      </c>
      <c r="B1664" s="694">
        <v>80</v>
      </c>
      <c r="C1664" s="695">
        <v>400</v>
      </c>
      <c r="D1664" s="696">
        <v>0.05</v>
      </c>
      <c r="E1664" s="697" t="str">
        <v>Large</v>
      </c>
      <c r="F1664" s="712" t="str">
        <v/>
      </c>
      <c r="G1664" s="712" t="str">
        <v/>
      </c>
      <c r="H1664" s="712" t="str">
        <v>X</v>
      </c>
      <c r="I1664" s="712" t="str">
        <v/>
      </c>
      <c r="J1664" s="712" t="str">
        <v>X</v>
      </c>
      <c r="K1664" s="713" t="str">
        <v/>
      </c>
      <c r="L1664" s="957" t="s">
        <v>482</v>
      </c>
      <c r="X1664" s="939" t="s">
        <v>482</v>
      </c>
    </row>
    <row r="1665" spans="1:24" ht="11.25" customHeight="1">
      <c r="A1665" s="857">
        <v>15</v>
      </c>
      <c r="B1665" s="694">
        <v>80</v>
      </c>
      <c r="C1665" s="695">
        <v>400</v>
      </c>
      <c r="D1665" s="696">
        <v>0.05</v>
      </c>
      <c r="E1665" s="697" t="str">
        <v>Large</v>
      </c>
      <c r="F1665" s="712" t="str">
        <v/>
      </c>
      <c r="G1665" s="712" t="str">
        <v/>
      </c>
      <c r="H1665" s="712" t="str">
        <v>X</v>
      </c>
      <c r="I1665" s="712" t="str">
        <v/>
      </c>
      <c r="J1665" s="712" t="str">
        <v>X</v>
      </c>
      <c r="K1665" s="713" t="str">
        <v/>
      </c>
      <c r="L1665" s="957" t="s">
        <v>482</v>
      </c>
      <c r="X1665" s="939" t="s">
        <v>482</v>
      </c>
    </row>
    <row r="1666" spans="1:24" ht="11.25" customHeight="1">
      <c r="A1666" s="857">
        <v>16</v>
      </c>
      <c r="B1666" s="694">
        <v>80</v>
      </c>
      <c r="C1666" s="695">
        <v>400</v>
      </c>
      <c r="D1666" s="696">
        <v>0.05</v>
      </c>
      <c r="E1666" s="697" t="str">
        <v>Large</v>
      </c>
      <c r="F1666" s="712" t="str">
        <v/>
      </c>
      <c r="G1666" s="712" t="str">
        <v/>
      </c>
      <c r="H1666" s="712" t="str">
        <v>X</v>
      </c>
      <c r="I1666" s="712" t="str">
        <v/>
      </c>
      <c r="J1666" s="712" t="str">
        <v/>
      </c>
      <c r="K1666" s="713" t="str">
        <v/>
      </c>
      <c r="L1666" s="957" t="s">
        <v>482</v>
      </c>
      <c r="X1666" s="939" t="s">
        <v>482</v>
      </c>
    </row>
    <row r="1667" spans="1:24" ht="11.25" customHeight="1">
      <c r="A1667" s="857">
        <v>17</v>
      </c>
      <c r="B1667" s="694">
        <v>80</v>
      </c>
      <c r="C1667" s="695">
        <v>400</v>
      </c>
      <c r="D1667" s="696">
        <v>0.05</v>
      </c>
      <c r="E1667" s="697" t="str">
        <v>Large</v>
      </c>
      <c r="F1667" s="712" t="str">
        <v/>
      </c>
      <c r="G1667" s="712" t="str">
        <v/>
      </c>
      <c r="H1667" s="712" t="str">
        <v>X</v>
      </c>
      <c r="I1667" s="712" t="str">
        <v/>
      </c>
      <c r="J1667" s="712" t="str">
        <v/>
      </c>
      <c r="K1667" s="713" t="str">
        <v/>
      </c>
      <c r="L1667" s="957" t="s">
        <v>482</v>
      </c>
      <c r="X1667" s="939" t="s">
        <v>482</v>
      </c>
    </row>
    <row r="1668" spans="1:24" ht="11.25" customHeight="1">
      <c r="A1668" s="857">
        <v>18</v>
      </c>
      <c r="B1668" s="694">
        <v>80</v>
      </c>
      <c r="C1668" s="695">
        <v>400</v>
      </c>
      <c r="D1668" s="696">
        <v>0.05</v>
      </c>
      <c r="E1668" s="697" t="str">
        <v>Large</v>
      </c>
      <c r="F1668" s="712" t="str">
        <v/>
      </c>
      <c r="G1668" s="712" t="str">
        <v/>
      </c>
      <c r="H1668" s="712" t="str">
        <v>X</v>
      </c>
      <c r="I1668" s="712" t="str">
        <v/>
      </c>
      <c r="J1668" s="712" t="str">
        <v/>
      </c>
      <c r="K1668" s="713" t="str">
        <v/>
      </c>
      <c r="L1668" s="957" t="s">
        <v>482</v>
      </c>
      <c r="X1668" s="939" t="s">
        <v>482</v>
      </c>
    </row>
    <row r="1669" spans="1:24" ht="11.25" customHeight="1">
      <c r="A1669" s="857">
        <v>19</v>
      </c>
      <c r="B1669" s="694">
        <v>80</v>
      </c>
      <c r="C1669" s="695">
        <v>400</v>
      </c>
      <c r="D1669" s="696">
        <v>0.05</v>
      </c>
      <c r="E1669" s="697" t="str">
        <v>Large</v>
      </c>
      <c r="F1669" s="712" t="str">
        <v/>
      </c>
      <c r="G1669" s="712" t="str">
        <v/>
      </c>
      <c r="H1669" s="712" t="str">
        <v>X</v>
      </c>
      <c r="I1669" s="712" t="str">
        <v/>
      </c>
      <c r="J1669" s="712" t="str">
        <v/>
      </c>
      <c r="K1669" s="713" t="str">
        <v/>
      </c>
      <c r="L1669" s="957" t="s">
        <v>482</v>
      </c>
      <c r="X1669" s="939" t="s">
        <v>482</v>
      </c>
    </row>
    <row r="1670" spans="1:24" ht="11.25" customHeight="1">
      <c r="A1670" s="857">
        <v>20</v>
      </c>
      <c r="B1670" s="694">
        <v>80</v>
      </c>
      <c r="C1670" s="695">
        <v>400</v>
      </c>
      <c r="D1670" s="696">
        <v>0.05</v>
      </c>
      <c r="E1670" s="697" t="str">
        <v>Large</v>
      </c>
      <c r="F1670" s="712" t="str">
        <v/>
      </c>
      <c r="G1670" s="712" t="str">
        <v/>
      </c>
      <c r="H1670" s="712" t="str">
        <v>X</v>
      </c>
      <c r="I1670" s="712" t="str">
        <v/>
      </c>
      <c r="J1670" s="712" t="str">
        <v/>
      </c>
      <c r="K1670" s="713" t="str">
        <v/>
      </c>
      <c r="L1670" s="957" t="s">
        <v>482</v>
      </c>
      <c r="X1670" s="939" t="s">
        <v>482</v>
      </c>
    </row>
    <row r="1671" spans="1:24" ht="11.25" customHeight="1">
      <c r="A1671" s="857">
        <v>21</v>
      </c>
      <c r="B1671" s="694">
        <v>80</v>
      </c>
      <c r="C1671" s="695">
        <v>400</v>
      </c>
      <c r="D1671" s="696">
        <v>0.05</v>
      </c>
      <c r="E1671" s="697" t="str">
        <v>Large</v>
      </c>
      <c r="F1671" s="712" t="str">
        <v/>
      </c>
      <c r="G1671" s="712" t="str">
        <v/>
      </c>
      <c r="H1671" s="712" t="str">
        <v>X</v>
      </c>
      <c r="I1671" s="712" t="str">
        <v/>
      </c>
      <c r="J1671" s="712" t="str">
        <v/>
      </c>
      <c r="K1671" s="713" t="str">
        <v/>
      </c>
      <c r="L1671" s="957" t="s">
        <v>482</v>
      </c>
      <c r="X1671" s="939" t="s">
        <v>482</v>
      </c>
    </row>
    <row r="1672" spans="1:24" ht="11.25" customHeight="1">
      <c r="A1672" s="857">
        <v>22</v>
      </c>
      <c r="B1672" s="694">
        <v>80</v>
      </c>
      <c r="C1672" s="695">
        <v>500</v>
      </c>
      <c r="D1672" s="696">
        <v>0.05</v>
      </c>
      <c r="E1672" s="697" t="str">
        <v>Large</v>
      </c>
      <c r="F1672" s="712" t="str">
        <v>X</v>
      </c>
      <c r="G1672" s="712" t="str">
        <v/>
      </c>
      <c r="H1672" s="712" t="str">
        <v/>
      </c>
      <c r="I1672" s="712" t="str">
        <v/>
      </c>
      <c r="J1672" s="712" t="str">
        <v/>
      </c>
      <c r="K1672" s="713" t="str">
        <v/>
      </c>
      <c r="L1672" s="957" t="s">
        <v>482</v>
      </c>
      <c r="X1672" s="939" t="s">
        <v>482</v>
      </c>
    </row>
    <row r="1673" spans="1:24" ht="11.25" customHeight="1">
      <c r="A1673" s="857">
        <v>23</v>
      </c>
      <c r="B1673" s="694">
        <v>80</v>
      </c>
      <c r="C1673" s="695">
        <v>50</v>
      </c>
      <c r="D1673" s="696">
        <v>0.05</v>
      </c>
      <c r="E1673" s="697" t="str">
        <v>Large</v>
      </c>
      <c r="F1673" s="712" t="str">
        <v>X</v>
      </c>
      <c r="G1673" s="712" t="str">
        <v/>
      </c>
      <c r="H1673" s="712" t="str">
        <v/>
      </c>
      <c r="I1673" s="712" t="str">
        <v/>
      </c>
      <c r="J1673" s="712" t="str">
        <v/>
      </c>
      <c r="K1673" s="713" t="str">
        <v/>
      </c>
      <c r="L1673" s="957" t="s">
        <v>482</v>
      </c>
      <c r="X1673" s="939" t="s">
        <v>482</v>
      </c>
    </row>
    <row r="1674" spans="1:24" ht="11.25" customHeight="1">
      <c r="A1674" s="857">
        <v>24</v>
      </c>
      <c r="B1674" s="694">
        <v>80</v>
      </c>
      <c r="C1674" s="695">
        <v>800</v>
      </c>
      <c r="D1674" s="696">
        <v>0.05</v>
      </c>
      <c r="E1674" s="697" t="str">
        <v>Large</v>
      </c>
      <c r="F1674" s="712" t="str">
        <v>X</v>
      </c>
      <c r="G1674" s="712" t="str">
        <v/>
      </c>
      <c r="H1674" s="712" t="str">
        <v/>
      </c>
      <c r="I1674" s="712" t="str">
        <v/>
      </c>
      <c r="J1674" s="712" t="str">
        <v/>
      </c>
      <c r="K1674" s="713" t="str">
        <v/>
      </c>
      <c r="L1674" s="957" t="s">
        <v>482</v>
      </c>
      <c r="X1674" s="939" t="s">
        <v>482</v>
      </c>
    </row>
    <row r="1675" spans="1:24" ht="11.25" customHeight="1">
      <c r="A1675" s="857">
        <v>25</v>
      </c>
      <c r="B1675" s="694">
        <v>80</v>
      </c>
      <c r="C1675" s="695">
        <v>250</v>
      </c>
      <c r="D1675" s="696">
        <v>0.05</v>
      </c>
      <c r="E1675" s="697" t="str">
        <v>Large</v>
      </c>
      <c r="F1675" s="712" t="str">
        <v>X</v>
      </c>
      <c r="G1675" s="712" t="str">
        <v/>
      </c>
      <c r="H1675" s="712" t="str">
        <v/>
      </c>
      <c r="I1675" s="712" t="str">
        <v/>
      </c>
      <c r="J1675" s="712" t="str">
        <v/>
      </c>
      <c r="K1675" s="713" t="str">
        <v/>
      </c>
      <c r="L1675" s="957" t="s">
        <v>482</v>
      </c>
      <c r="X1675" s="939" t="s">
        <v>482</v>
      </c>
    </row>
    <row r="1676" spans="1:24" ht="11.25" customHeight="1">
      <c r="A1676" s="857">
        <v>26</v>
      </c>
      <c r="B1676" s="694">
        <v>100</v>
      </c>
      <c r="C1676" s="695">
        <v>400</v>
      </c>
      <c r="D1676" s="696">
        <v>0.05</v>
      </c>
      <c r="E1676" s="697" t="str">
        <v>Large</v>
      </c>
      <c r="F1676" s="712" t="str">
        <v/>
      </c>
      <c r="G1676" s="712" t="str">
        <v>X</v>
      </c>
      <c r="H1676" s="712" t="str">
        <v/>
      </c>
      <c r="I1676" s="712" t="str">
        <v/>
      </c>
      <c r="J1676" s="712" t="str">
        <v/>
      </c>
      <c r="K1676" s="713" t="str">
        <v/>
      </c>
      <c r="L1676" s="957" t="s">
        <v>482</v>
      </c>
      <c r="X1676" s="939" t="s">
        <v>482</v>
      </c>
    </row>
    <row r="1677" spans="1:24" ht="11.25" customHeight="1">
      <c r="A1677" s="857">
        <v>27</v>
      </c>
      <c r="B1677" s="694">
        <v>100</v>
      </c>
      <c r="C1677" s="695">
        <v>400</v>
      </c>
      <c r="D1677" s="696">
        <v>0.05</v>
      </c>
      <c r="E1677" s="119" t="str">
        <v>Large</v>
      </c>
      <c r="F1677" s="712" t="str">
        <v/>
      </c>
      <c r="G1677" s="712" t="str">
        <v>X</v>
      </c>
      <c r="H1677" s="712" t="str">
        <v>X</v>
      </c>
      <c r="I1677" s="712" t="str">
        <v/>
      </c>
      <c r="J1677" s="714" t="str">
        <v/>
      </c>
      <c r="K1677" s="713" t="str">
        <v/>
      </c>
      <c r="L1677" s="957" t="s">
        <v>482</v>
      </c>
      <c r="X1677" s="939" t="s">
        <v>482</v>
      </c>
    </row>
    <row r="1678" spans="1:24" ht="11.25" customHeight="1">
      <c r="A1678" s="857">
        <v>28</v>
      </c>
      <c r="B1678" s="694">
        <v>120</v>
      </c>
      <c r="C1678" s="695">
        <v>400</v>
      </c>
      <c r="D1678" s="696">
        <v>0.05</v>
      </c>
      <c r="E1678" s="117" t="str">
        <v>Large</v>
      </c>
      <c r="F1678" s="712" t="str">
        <v/>
      </c>
      <c r="G1678" s="712" t="str">
        <v>X</v>
      </c>
      <c r="H1678" s="712" t="str">
        <v/>
      </c>
      <c r="I1678" s="712" t="str">
        <v/>
      </c>
      <c r="J1678" s="714" t="str">
        <v/>
      </c>
      <c r="K1678" s="713" t="str">
        <v/>
      </c>
      <c r="L1678" s="957" t="s">
        <v>482</v>
      </c>
      <c r="X1678" s="939" t="s">
        <v>482</v>
      </c>
    </row>
    <row r="1679" spans="1:24" ht="11.25" customHeight="1">
      <c r="A1679" s="857">
        <v>29</v>
      </c>
      <c r="B1679" s="694">
        <v>120</v>
      </c>
      <c r="C1679" s="695">
        <v>400</v>
      </c>
      <c r="D1679" s="696">
        <v>0.05</v>
      </c>
      <c r="E1679" s="117" t="str">
        <v>Large</v>
      </c>
      <c r="F1679" s="712" t="str">
        <v/>
      </c>
      <c r="G1679" s="712" t="str">
        <v>X</v>
      </c>
      <c r="H1679" s="712" t="str">
        <v>X</v>
      </c>
      <c r="I1679" s="712" t="str">
        <v/>
      </c>
      <c r="J1679" s="714" t="str">
        <v/>
      </c>
      <c r="K1679" s="713" t="str">
        <v/>
      </c>
      <c r="L1679" s="957" t="s">
        <v>482</v>
      </c>
      <c r="X1679" s="939" t="s">
        <v>482</v>
      </c>
    </row>
    <row r="1680" spans="1:24" ht="11.25" customHeight="1">
      <c r="A1680" s="857">
        <v>30</v>
      </c>
      <c r="B1680" s="694">
        <v>140</v>
      </c>
      <c r="C1680" s="695">
        <v>400</v>
      </c>
      <c r="D1680" s="696">
        <v>0.05</v>
      </c>
      <c r="E1680" s="117" t="str">
        <v>Large</v>
      </c>
      <c r="F1680" s="712" t="str">
        <v/>
      </c>
      <c r="G1680" s="712" t="str">
        <v>X</v>
      </c>
      <c r="H1680" s="712" t="str">
        <v/>
      </c>
      <c r="I1680" s="712" t="str">
        <v/>
      </c>
      <c r="J1680" s="714" t="str">
        <v/>
      </c>
      <c r="K1680" s="713" t="str">
        <v/>
      </c>
      <c r="L1680" s="957" t="s">
        <v>482</v>
      </c>
      <c r="X1680" s="939" t="s">
        <v>482</v>
      </c>
    </row>
    <row r="1681" spans="1:24" ht="11.25" customHeight="1">
      <c r="A1681" s="857">
        <v>31</v>
      </c>
      <c r="B1681" s="694">
        <v>50</v>
      </c>
      <c r="C1681" s="695">
        <v>100</v>
      </c>
      <c r="D1681" s="696">
        <v>0.1</v>
      </c>
      <c r="E1681" s="117" t="str">
        <v>Small</v>
      </c>
      <c r="F1681" s="712" t="str">
        <v/>
      </c>
      <c r="G1681" s="712" t="str">
        <v>X</v>
      </c>
      <c r="H1681" s="712" t="str">
        <v/>
      </c>
      <c r="I1681" s="712" t="str">
        <v/>
      </c>
      <c r="J1681" s="714" t="str">
        <v/>
      </c>
      <c r="K1681" s="713" t="str">
        <v/>
      </c>
      <c r="L1681" s="957" t="s">
        <v>482</v>
      </c>
      <c r="X1681" s="939" t="s">
        <v>482</v>
      </c>
    </row>
    <row r="1682" spans="1:24" ht="11.25" customHeight="1">
      <c r="A1682" s="857">
        <v>32</v>
      </c>
      <c r="B1682" s="694">
        <v>70</v>
      </c>
      <c r="C1682" s="695">
        <v>100</v>
      </c>
      <c r="D1682" s="696">
        <v>0.1</v>
      </c>
      <c r="E1682" s="117" t="str">
        <v>Small</v>
      </c>
      <c r="F1682" s="712" t="str">
        <v/>
      </c>
      <c r="G1682" s="712" t="str">
        <v>X</v>
      </c>
      <c r="H1682" s="712" t="str">
        <v/>
      </c>
      <c r="I1682" s="712" t="str">
        <v/>
      </c>
      <c r="J1682" s="714" t="str">
        <v/>
      </c>
      <c r="K1682" s="713" t="str">
        <v/>
      </c>
      <c r="L1682" s="957" t="s">
        <v>482</v>
      </c>
      <c r="X1682" s="939" t="s">
        <v>482</v>
      </c>
    </row>
    <row r="1683" spans="1:24" ht="11.25" customHeight="1">
      <c r="A1683" s="857">
        <v>33</v>
      </c>
      <c r="B1683" s="694">
        <v>90</v>
      </c>
      <c r="C1683" s="695">
        <v>100</v>
      </c>
      <c r="D1683" s="696">
        <v>0.1</v>
      </c>
      <c r="E1683" s="117" t="str">
        <v>Small</v>
      </c>
      <c r="F1683" s="712" t="str">
        <v/>
      </c>
      <c r="G1683" s="712" t="str">
        <v>X</v>
      </c>
      <c r="H1683" s="712" t="str">
        <v/>
      </c>
      <c r="I1683" s="712" t="str">
        <v/>
      </c>
      <c r="J1683" s="714" t="str">
        <v>X</v>
      </c>
      <c r="K1683" s="713" t="str">
        <v/>
      </c>
      <c r="L1683" s="957" t="s">
        <v>482</v>
      </c>
      <c r="X1683" s="939" t="s">
        <v>482</v>
      </c>
    </row>
    <row r="1684" spans="1:24" ht="11.25" customHeight="1">
      <c r="A1684" s="857">
        <v>34</v>
      </c>
      <c r="B1684" s="694">
        <v>90</v>
      </c>
      <c r="C1684" s="695">
        <v>100</v>
      </c>
      <c r="D1684" s="696">
        <v>0.1</v>
      </c>
      <c r="E1684" s="117" t="str">
        <v>Small</v>
      </c>
      <c r="F1684" s="712" t="str">
        <v/>
      </c>
      <c r="G1684" s="712" t="str">
        <v/>
      </c>
      <c r="H1684" s="712" t="str">
        <v/>
      </c>
      <c r="I1684" s="712" t="str">
        <v/>
      </c>
      <c r="J1684" s="714" t="str">
        <v>X</v>
      </c>
      <c r="K1684" s="713" t="str">
        <v/>
      </c>
      <c r="L1684" s="957" t="s">
        <v>482</v>
      </c>
      <c r="X1684" s="939" t="s">
        <v>482</v>
      </c>
    </row>
    <row r="1685" spans="1:24" ht="11.25" customHeight="1">
      <c r="A1685" s="857">
        <v>35</v>
      </c>
      <c r="B1685" s="694">
        <v>90</v>
      </c>
      <c r="C1685" s="695">
        <v>100</v>
      </c>
      <c r="D1685" s="696">
        <v>0.1</v>
      </c>
      <c r="E1685" s="117" t="str">
        <v>Small</v>
      </c>
      <c r="F1685" s="712" t="str">
        <v/>
      </c>
      <c r="G1685" s="712" t="str">
        <v/>
      </c>
      <c r="H1685" s="712" t="str">
        <v/>
      </c>
      <c r="I1685" s="712" t="str">
        <v/>
      </c>
      <c r="J1685" s="714" t="str">
        <v>X</v>
      </c>
      <c r="K1685" s="713" t="str">
        <v/>
      </c>
      <c r="L1685" s="957" t="s">
        <v>482</v>
      </c>
      <c r="X1685" s="939" t="s">
        <v>482</v>
      </c>
    </row>
    <row r="1686" spans="1:24" ht="11.25" customHeight="1">
      <c r="A1686" s="857">
        <v>36</v>
      </c>
      <c r="B1686" s="694">
        <v>90</v>
      </c>
      <c r="C1686" s="695">
        <v>100</v>
      </c>
      <c r="D1686" s="696">
        <v>0.1</v>
      </c>
      <c r="E1686" s="117" t="str">
        <v>Small</v>
      </c>
      <c r="F1686" s="712" t="str">
        <v/>
      </c>
      <c r="G1686" s="712" t="str">
        <v/>
      </c>
      <c r="H1686" s="712" t="str">
        <v/>
      </c>
      <c r="I1686" s="712" t="str">
        <v/>
      </c>
      <c r="J1686" s="714" t="str">
        <v>X</v>
      </c>
      <c r="K1686" s="713" t="str">
        <v/>
      </c>
      <c r="L1686" s="957" t="s">
        <v>482</v>
      </c>
      <c r="X1686" s="939" t="s">
        <v>482</v>
      </c>
    </row>
    <row r="1687" spans="1:24" ht="11.25" customHeight="1">
      <c r="A1687" s="857">
        <v>37</v>
      </c>
      <c r="B1687" s="694">
        <v>90</v>
      </c>
      <c r="C1687" s="695">
        <v>100</v>
      </c>
      <c r="D1687" s="696">
        <v>0.1</v>
      </c>
      <c r="E1687" s="117" t="str">
        <v>Small</v>
      </c>
      <c r="F1687" s="712" t="str">
        <v/>
      </c>
      <c r="G1687" s="712" t="str">
        <v/>
      </c>
      <c r="H1687" s="712" t="str">
        <v/>
      </c>
      <c r="I1687" s="712" t="str">
        <v/>
      </c>
      <c r="J1687" s="714" t="str">
        <v>X</v>
      </c>
      <c r="K1687" s="713" t="str">
        <v/>
      </c>
      <c r="L1687" s="957" t="s">
        <v>482</v>
      </c>
      <c r="X1687" s="939" t="s">
        <v>482</v>
      </c>
    </row>
    <row r="1688" spans="1:24" ht="11.25" customHeight="1">
      <c r="A1688" s="857">
        <v>38</v>
      </c>
      <c r="B1688" s="694">
        <v>80</v>
      </c>
      <c r="C1688" s="695">
        <v>100</v>
      </c>
      <c r="D1688" s="696">
        <v>0.1</v>
      </c>
      <c r="E1688" s="117" t="str">
        <v>Small</v>
      </c>
      <c r="F1688" s="712" t="str">
        <v>X</v>
      </c>
      <c r="G1688" s="712" t="str">
        <v/>
      </c>
      <c r="H1688" s="712" t="str">
        <v/>
      </c>
      <c r="I1688" s="712" t="str">
        <v/>
      </c>
      <c r="J1688" s="714" t="str">
        <v/>
      </c>
      <c r="K1688" s="713" t="str">
        <v/>
      </c>
      <c r="L1688" s="957" t="s">
        <v>482</v>
      </c>
      <c r="X1688" s="939" t="s">
        <v>482</v>
      </c>
    </row>
    <row r="1689" spans="1:24" ht="11.25" customHeight="1">
      <c r="A1689" s="857">
        <v>39</v>
      </c>
      <c r="B1689" s="694">
        <v>80</v>
      </c>
      <c r="C1689" s="695">
        <v>110</v>
      </c>
      <c r="D1689" s="696">
        <v>0.1</v>
      </c>
      <c r="E1689" s="117" t="str">
        <v>Small</v>
      </c>
      <c r="F1689" s="712" t="str">
        <v>X</v>
      </c>
      <c r="G1689" s="712" t="str">
        <v/>
      </c>
      <c r="H1689" s="712" t="str">
        <v/>
      </c>
      <c r="I1689" s="712" t="str">
        <v/>
      </c>
      <c r="J1689" s="714" t="str">
        <v/>
      </c>
      <c r="K1689" s="713" t="str">
        <v/>
      </c>
      <c r="L1689" s="957" t="s">
        <v>482</v>
      </c>
      <c r="X1689" s="939" t="s">
        <v>482</v>
      </c>
    </row>
    <row r="1690" spans="1:24" ht="11.25" customHeight="1">
      <c r="A1690" s="857">
        <v>40</v>
      </c>
      <c r="B1690" s="694">
        <v>80</v>
      </c>
      <c r="C1690" s="695">
        <v>250</v>
      </c>
      <c r="D1690" s="696">
        <v>0.1</v>
      </c>
      <c r="E1690" s="117" t="str">
        <v>Small</v>
      </c>
      <c r="F1690" s="712" t="str">
        <v>X</v>
      </c>
      <c r="G1690" s="712" t="str">
        <v/>
      </c>
      <c r="H1690" s="712" t="str">
        <v/>
      </c>
      <c r="I1690" s="712" t="str">
        <v/>
      </c>
      <c r="J1690" s="712" t="str">
        <v/>
      </c>
      <c r="K1690" s="713" t="str">
        <v/>
      </c>
      <c r="L1690" s="957" t="s">
        <v>482</v>
      </c>
      <c r="X1690" s="939" t="s">
        <v>482</v>
      </c>
    </row>
    <row r="1691" spans="1:24" ht="11.25" customHeight="1">
      <c r="A1691" s="857">
        <v>41</v>
      </c>
      <c r="B1691" s="694">
        <v>80</v>
      </c>
      <c r="C1691" s="695">
        <v>50</v>
      </c>
      <c r="D1691" s="696">
        <v>0.1</v>
      </c>
      <c r="E1691" s="117" t="str">
        <v>Small</v>
      </c>
      <c r="F1691" s="712" t="str">
        <v>X</v>
      </c>
      <c r="G1691" s="712" t="str">
        <v/>
      </c>
      <c r="H1691" s="712" t="str">
        <v/>
      </c>
      <c r="I1691" s="712" t="str">
        <v/>
      </c>
      <c r="J1691" s="712" t="str">
        <v/>
      </c>
      <c r="K1691" s="713" t="str">
        <v/>
      </c>
      <c r="L1691" s="957" t="s">
        <v>482</v>
      </c>
      <c r="X1691" s="939" t="s">
        <v>482</v>
      </c>
    </row>
    <row r="1692" spans="1:24" ht="11.25" customHeight="1">
      <c r="A1692" s="857">
        <v>42</v>
      </c>
      <c r="B1692" s="694">
        <v>80</v>
      </c>
      <c r="C1692" s="695">
        <v>160</v>
      </c>
      <c r="D1692" s="696">
        <v>0.1</v>
      </c>
      <c r="E1692" s="697" t="str">
        <v>Small</v>
      </c>
      <c r="F1692" s="712" t="str">
        <v>X</v>
      </c>
      <c r="G1692" s="712" t="str">
        <v/>
      </c>
      <c r="H1692" s="712" t="str">
        <v/>
      </c>
      <c r="I1692" s="712" t="str">
        <v/>
      </c>
      <c r="J1692" s="712" t="str">
        <v/>
      </c>
      <c r="K1692" s="713" t="str">
        <v/>
      </c>
      <c r="L1692" s="957" t="s">
        <v>482</v>
      </c>
      <c r="X1692" s="939" t="s">
        <v>482</v>
      </c>
    </row>
    <row r="1693" spans="1:24" ht="11.25" customHeight="1">
      <c r="A1693" s="857">
        <v>43</v>
      </c>
      <c r="B1693" s="694">
        <v>110</v>
      </c>
      <c r="C1693" s="695">
        <v>100</v>
      </c>
      <c r="D1693" s="696">
        <v>0.1</v>
      </c>
      <c r="E1693" s="697" t="str">
        <v>Small</v>
      </c>
      <c r="F1693" s="712" t="str">
        <v/>
      </c>
      <c r="G1693" s="712" t="str">
        <v>X</v>
      </c>
      <c r="H1693" s="712" t="str">
        <v/>
      </c>
      <c r="I1693" s="712" t="str">
        <v/>
      </c>
      <c r="J1693" s="712" t="str">
        <v/>
      </c>
      <c r="K1693" s="713" t="str">
        <v/>
      </c>
      <c r="L1693" s="957" t="s">
        <v>482</v>
      </c>
      <c r="X1693" s="939" t="s">
        <v>482</v>
      </c>
    </row>
    <row r="1694" spans="1:24" ht="11.25" customHeight="1">
      <c r="A1694" s="857">
        <v>44</v>
      </c>
      <c r="B1694" s="694">
        <v>130</v>
      </c>
      <c r="C1694" s="695">
        <v>100</v>
      </c>
      <c r="D1694" s="696">
        <v>0.1</v>
      </c>
      <c r="E1694" s="697" t="str">
        <v>Small</v>
      </c>
      <c r="F1694" s="712" t="str">
        <v/>
      </c>
      <c r="G1694" s="712" t="str">
        <v>X</v>
      </c>
      <c r="H1694" s="712" t="str">
        <v/>
      </c>
      <c r="I1694" s="712" t="str">
        <v/>
      </c>
      <c r="J1694" s="712" t="str">
        <v/>
      </c>
      <c r="K1694" s="713" t="str">
        <v/>
      </c>
      <c r="L1694" s="957" t="s">
        <v>482</v>
      </c>
      <c r="X1694" s="939" t="s">
        <v>482</v>
      </c>
    </row>
    <row r="1695" spans="1:24" ht="11.25" customHeight="1">
      <c r="A1695" s="857">
        <v>45</v>
      </c>
      <c r="B1695" s="694">
        <v>80</v>
      </c>
      <c r="C1695" s="695">
        <v>200</v>
      </c>
      <c r="D1695" s="696">
        <v>0.01</v>
      </c>
      <c r="E1695" s="697" t="str">
        <v>Large</v>
      </c>
      <c r="F1695" s="712" t="str">
        <v/>
      </c>
      <c r="G1695" s="712" t="str">
        <v>X</v>
      </c>
      <c r="H1695" s="712" t="str">
        <v/>
      </c>
      <c r="I1695" s="712" t="str">
        <v/>
      </c>
      <c r="J1695" s="712" t="str">
        <v/>
      </c>
      <c r="K1695" s="713" t="str">
        <v/>
      </c>
      <c r="L1695" s="957" t="s">
        <v>482</v>
      </c>
      <c r="X1695" s="939" t="s">
        <v>482</v>
      </c>
    </row>
    <row r="1696" spans="1:24" ht="11.25" customHeight="1">
      <c r="A1696" s="857">
        <v>46</v>
      </c>
      <c r="B1696" s="694">
        <v>80</v>
      </c>
      <c r="C1696" s="695">
        <v>200</v>
      </c>
      <c r="D1696" s="696">
        <v>0.02</v>
      </c>
      <c r="E1696" s="697" t="str">
        <v>Large</v>
      </c>
      <c r="F1696" s="712" t="str">
        <v/>
      </c>
      <c r="G1696" s="712" t="str">
        <v>X</v>
      </c>
      <c r="H1696" s="712" t="str">
        <v/>
      </c>
      <c r="I1696" s="712" t="str">
        <v/>
      </c>
      <c r="J1696" s="712" t="str">
        <v/>
      </c>
      <c r="K1696" s="713" t="str">
        <v/>
      </c>
      <c r="L1696" s="957" t="s">
        <v>482</v>
      </c>
      <c r="X1696" s="939" t="s">
        <v>482</v>
      </c>
    </row>
    <row r="1697" spans="1:24" ht="11.25" customHeight="1">
      <c r="A1697" s="857">
        <v>47</v>
      </c>
      <c r="B1697" s="694">
        <v>80</v>
      </c>
      <c r="C1697" s="695">
        <v>200</v>
      </c>
      <c r="D1697" s="696">
        <v>0.04</v>
      </c>
      <c r="E1697" s="697" t="str">
        <v>Large</v>
      </c>
      <c r="F1697" s="712" t="str">
        <v/>
      </c>
      <c r="G1697" s="712" t="str">
        <v>X</v>
      </c>
      <c r="H1697" s="712" t="str">
        <v/>
      </c>
      <c r="I1697" s="712" t="str">
        <v/>
      </c>
      <c r="J1697" s="712" t="str">
        <v/>
      </c>
      <c r="K1697" s="713" t="str">
        <v/>
      </c>
      <c r="L1697" s="957" t="s">
        <v>482</v>
      </c>
      <c r="X1697" s="939" t="s">
        <v>482</v>
      </c>
    </row>
    <row r="1698" spans="1:24" ht="11.25" customHeight="1">
      <c r="A1698" s="857">
        <v>48</v>
      </c>
      <c r="B1698" s="433"/>
      <c r="C1698" s="198"/>
      <c r="D1698" s="198"/>
      <c r="E1698" s="198"/>
      <c r="F1698" s="198"/>
      <c r="G1698" s="198"/>
      <c r="H1698" s="198"/>
      <c r="I1698" s="198"/>
      <c r="J1698" s="198"/>
      <c r="K1698" s="199"/>
      <c r="L1698" s="957" t="s">
        <v>482</v>
      </c>
      <c r="X1698" s="939" t="s">
        <v>482</v>
      </c>
    </row>
    <row r="1699" spans="1:24" ht="11.25" customHeight="1" thickBot="1">
      <c r="A1699" s="857">
        <v>49</v>
      </c>
      <c r="B1699" s="701"/>
      <c r="C1699" s="702"/>
      <c r="D1699" s="702"/>
      <c r="E1699" s="702"/>
      <c r="F1699" s="702"/>
      <c r="G1699" s="702"/>
      <c r="H1699" s="702"/>
      <c r="I1699" s="702"/>
      <c r="J1699" s="702"/>
      <c r="K1699" s="703"/>
      <c r="L1699" s="957" t="s">
        <v>482</v>
      </c>
      <c r="X1699" s="939" t="s">
        <v>482</v>
      </c>
    </row>
    <row r="1700" spans="1:24" ht="11.25" customHeight="1" thickTop="1">
      <c r="A1700" s="857">
        <v>50</v>
      </c>
      <c r="B1700" s="432"/>
      <c r="C1700" s="432"/>
      <c r="D1700" s="432"/>
      <c r="E1700" s="432"/>
      <c r="F1700" s="432"/>
      <c r="G1700" s="432"/>
      <c r="H1700" s="432"/>
      <c r="I1700" s="432"/>
      <c r="J1700" s="432"/>
      <c r="K1700" s="432"/>
      <c r="L1700" s="957" t="s">
        <v>482</v>
      </c>
      <c r="X1700" s="939" t="s">
        <v>482</v>
      </c>
    </row>
    <row r="1701" spans="1:24" ht="11.25" customHeight="1">
      <c r="A1701" s="857">
        <v>51</v>
      </c>
      <c r="B1701" s="432"/>
      <c r="C1701" s="432"/>
      <c r="D1701" s="432"/>
      <c r="E1701" s="432"/>
      <c r="F1701" s="432"/>
      <c r="G1701" s="432"/>
      <c r="H1701" s="432"/>
      <c r="I1701" s="432"/>
      <c r="J1701" s="432"/>
      <c r="K1701" s="432"/>
      <c r="L1701" s="957" t="s">
        <v>482</v>
      </c>
      <c r="X1701" s="939" t="s">
        <v>482</v>
      </c>
    </row>
    <row r="1702" spans="1:24" ht="11.25" customHeight="1">
      <c r="A1702" s="857">
        <v>52</v>
      </c>
      <c r="B1702" s="432"/>
      <c r="C1702" s="432"/>
      <c r="D1702" s="432"/>
      <c r="E1702" s="432"/>
      <c r="F1702" s="432"/>
      <c r="G1702" s="432"/>
      <c r="H1702" s="432"/>
      <c r="I1702" s="432"/>
      <c r="J1702" s="432"/>
      <c r="K1702" s="432"/>
      <c r="L1702" s="957" t="s">
        <v>482</v>
      </c>
      <c r="X1702" s="939" t="s">
        <v>482</v>
      </c>
    </row>
    <row r="1703" spans="1:24" ht="11.25" customHeight="1">
      <c r="A1703" s="857">
        <v>53</v>
      </c>
      <c r="B1703" s="432"/>
      <c r="C1703" s="432"/>
      <c r="D1703" s="432"/>
      <c r="E1703" s="432"/>
      <c r="F1703" s="432"/>
      <c r="G1703" s="432"/>
      <c r="H1703" s="432"/>
      <c r="I1703" s="432"/>
      <c r="J1703" s="432"/>
      <c r="K1703" s="432"/>
      <c r="L1703" s="957" t="s">
        <v>482</v>
      </c>
      <c r="X1703" s="939" t="s">
        <v>482</v>
      </c>
    </row>
    <row r="1704" spans="1:24" ht="11.25" customHeight="1">
      <c r="A1704" s="857">
        <v>54</v>
      </c>
      <c r="B1704" s="432"/>
      <c r="C1704" s="432"/>
      <c r="D1704" s="432"/>
      <c r="E1704" s="432"/>
      <c r="F1704" s="432"/>
      <c r="G1704" s="432"/>
      <c r="H1704" s="432"/>
      <c r="I1704" s="432"/>
      <c r="J1704" s="432"/>
      <c r="K1704" s="432"/>
      <c r="L1704" s="957" t="s">
        <v>482</v>
      </c>
      <c r="X1704" s="939" t="s">
        <v>482</v>
      </c>
    </row>
    <row r="1705" spans="1:24" ht="11.25" customHeight="1">
      <c r="A1705" s="857">
        <v>55</v>
      </c>
      <c r="B1705" s="432"/>
      <c r="C1705" s="432"/>
      <c r="D1705" s="432"/>
      <c r="E1705" s="432"/>
      <c r="F1705" s="432"/>
      <c r="G1705" s="432"/>
      <c r="H1705" s="432"/>
      <c r="I1705" s="432"/>
      <c r="J1705" s="432"/>
      <c r="K1705" s="432"/>
      <c r="L1705" s="957" t="s">
        <v>482</v>
      </c>
      <c r="X1705" s="939" t="s">
        <v>482</v>
      </c>
    </row>
    <row r="1706" spans="1:24" ht="11.25" customHeight="1">
      <c r="A1706" s="857">
        <v>56</v>
      </c>
      <c r="B1706" s="432"/>
      <c r="C1706" s="432"/>
      <c r="D1706" s="432"/>
      <c r="E1706" s="432"/>
      <c r="F1706" s="432"/>
      <c r="G1706" s="432"/>
      <c r="H1706" s="432"/>
      <c r="I1706" s="432"/>
      <c r="J1706" s="432"/>
      <c r="K1706" s="432"/>
      <c r="L1706" s="957" t="s">
        <v>482</v>
      </c>
      <c r="X1706" s="939" t="s">
        <v>482</v>
      </c>
    </row>
    <row r="1707" spans="1:24" ht="11.25" customHeight="1">
      <c r="A1707" s="857">
        <v>57</v>
      </c>
      <c r="B1707" s="432"/>
      <c r="C1707" s="432"/>
      <c r="D1707" s="432"/>
      <c r="E1707" s="432"/>
      <c r="F1707" s="432"/>
      <c r="G1707" s="432"/>
      <c r="H1707" s="432"/>
      <c r="I1707" s="432"/>
      <c r="J1707" s="432"/>
      <c r="K1707" s="432"/>
      <c r="L1707" s="957" t="s">
        <v>482</v>
      </c>
      <c r="X1707" s="939" t="s">
        <v>482</v>
      </c>
    </row>
    <row r="1708" spans="1:24" ht="11.25" customHeight="1">
      <c r="A1708" s="857">
        <v>58</v>
      </c>
      <c r="B1708" s="432"/>
      <c r="C1708" s="432"/>
      <c r="D1708" s="432"/>
      <c r="E1708" s="432"/>
      <c r="F1708" s="432"/>
      <c r="G1708" s="432"/>
      <c r="H1708" s="432"/>
      <c r="I1708" s="432"/>
      <c r="J1708" s="432"/>
      <c r="K1708" s="432"/>
      <c r="L1708" s="957" t="s">
        <v>482</v>
      </c>
      <c r="X1708" s="939" t="s">
        <v>482</v>
      </c>
    </row>
    <row r="1709" spans="1:24" ht="11.25" customHeight="1">
      <c r="A1709" s="857">
        <v>59</v>
      </c>
      <c r="B1709" s="432"/>
      <c r="C1709" s="432"/>
      <c r="D1709" s="432"/>
      <c r="E1709" s="432"/>
      <c r="F1709" s="432"/>
      <c r="G1709" s="432"/>
      <c r="H1709" s="432"/>
      <c r="I1709" s="432"/>
      <c r="J1709" s="432"/>
      <c r="K1709" s="432"/>
      <c r="L1709" s="957" t="s">
        <v>482</v>
      </c>
      <c r="X1709" s="939" t="s">
        <v>482</v>
      </c>
    </row>
    <row r="1710" spans="1:24" ht="11.25" customHeight="1">
      <c r="A1710" s="857">
        <v>60</v>
      </c>
      <c r="B1710" s="432"/>
      <c r="C1710" s="432"/>
      <c r="D1710" s="432"/>
      <c r="E1710" s="432"/>
      <c r="F1710" s="432"/>
      <c r="G1710" s="432"/>
      <c r="H1710" s="432"/>
      <c r="I1710" s="432"/>
      <c r="J1710" s="432"/>
      <c r="K1710" s="432"/>
      <c r="L1710" s="957" t="s">
        <v>482</v>
      </c>
      <c r="X1710" s="939" t="s">
        <v>482</v>
      </c>
    </row>
    <row r="1711" spans="1:24" ht="11.25" customHeight="1">
      <c r="A1711" s="857">
        <v>61</v>
      </c>
      <c r="B1711" s="432"/>
      <c r="C1711" s="432"/>
      <c r="D1711" s="432"/>
      <c r="E1711" s="432"/>
      <c r="F1711" s="432"/>
      <c r="G1711" s="432"/>
      <c r="H1711" s="432"/>
      <c r="I1711" s="432"/>
      <c r="J1711" s="432"/>
      <c r="K1711" s="432"/>
      <c r="L1711" s="957" t="s">
        <v>482</v>
      </c>
      <c r="X1711" s="939" t="s">
        <v>482</v>
      </c>
    </row>
    <row r="1712" spans="1:24" ht="11.25" customHeight="1">
      <c r="A1712" s="857">
        <v>62</v>
      </c>
      <c r="B1712" s="432"/>
      <c r="C1712" s="432"/>
      <c r="D1712" s="432"/>
      <c r="E1712" s="432"/>
      <c r="F1712" s="432"/>
      <c r="G1712" s="432"/>
      <c r="H1712" s="432"/>
      <c r="I1712" s="432"/>
      <c r="J1712" s="432"/>
      <c r="K1712" s="432"/>
      <c r="L1712" s="957" t="s">
        <v>482</v>
      </c>
      <c r="X1712" s="939" t="s">
        <v>482</v>
      </c>
    </row>
    <row r="1713" spans="1:24" ht="11.25" customHeight="1">
      <c r="A1713" s="857">
        <v>63</v>
      </c>
      <c r="B1713" s="432"/>
      <c r="C1713" s="432"/>
      <c r="D1713" s="432"/>
      <c r="E1713" s="432"/>
      <c r="F1713" s="432"/>
      <c r="G1713" s="432"/>
      <c r="H1713" s="432"/>
      <c r="I1713" s="432"/>
      <c r="J1713" s="432"/>
      <c r="K1713" s="432"/>
      <c r="L1713" s="957" t="s">
        <v>482</v>
      </c>
      <c r="X1713" s="939" t="s">
        <v>482</v>
      </c>
    </row>
    <row r="1714" spans="1:24" ht="11.25" customHeight="1">
      <c r="A1714" s="857">
        <v>64</v>
      </c>
      <c r="B1714" s="432"/>
      <c r="C1714" s="432"/>
      <c r="D1714" s="432"/>
      <c r="E1714" s="432"/>
      <c r="F1714" s="432"/>
      <c r="G1714" s="432"/>
      <c r="H1714" s="432"/>
      <c r="I1714" s="432"/>
      <c r="J1714" s="432"/>
      <c r="K1714" s="432"/>
      <c r="L1714" s="957" t="s">
        <v>482</v>
      </c>
      <c r="X1714" s="939" t="s">
        <v>482</v>
      </c>
    </row>
    <row r="1715" spans="1:24" ht="11.25" customHeight="1">
      <c r="A1715" s="857">
        <v>65</v>
      </c>
      <c r="B1715" s="704" t="str">
        <f t="array" ref="B1715:C1716">$B$65:$C$66</f>
        <v>Date:</v>
      </c>
      <c r="C1715" s="1664" t="str">
        <v/>
      </c>
      <c r="D1715" s="432"/>
      <c r="E1715" s="705"/>
      <c r="F1715" s="705"/>
      <c r="G1715" s="705"/>
      <c r="H1715" s="705"/>
      <c r="I1715" s="704" t="str">
        <f t="array" ref="I1715:J1716">$I$65:$J$66</f>
        <v>Inspector:</v>
      </c>
      <c r="J1715" s="554" t="str">
        <v>Eugene Mah</v>
      </c>
      <c r="K1715" s="432"/>
      <c r="L1715" s="957" t="s">
        <v>482</v>
      </c>
      <c r="X1715" s="939" t="s">
        <v>482</v>
      </c>
    </row>
    <row r="1716" spans="1:24" ht="11.25" customHeight="1">
      <c r="A1716" s="857">
        <v>66</v>
      </c>
      <c r="B1716" s="704" t="str">
        <v>Room Number:</v>
      </c>
      <c r="C1716" s="499" t="str">
        <v/>
      </c>
      <c r="D1716" s="432"/>
      <c r="E1716" s="705"/>
      <c r="F1716" s="705"/>
      <c r="G1716" s="705"/>
      <c r="H1716" s="705"/>
      <c r="I1716" s="704" t="str">
        <v>Survey ID:</v>
      </c>
      <c r="J1716" s="1406" t="str">
        <v/>
      </c>
      <c r="K1716" s="432"/>
      <c r="L1716" s="957" t="s">
        <v>482</v>
      </c>
      <c r="X1716" s="939" t="s">
        <v>482</v>
      </c>
    </row>
  </sheetData>
  <mergeCells count="86">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R637:T637"/>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P124:Q124"/>
    <mergeCell ref="R124:S124"/>
    <mergeCell ref="M127:N127"/>
    <mergeCell ref="M128:N128"/>
    <mergeCell ref="M129:N129"/>
    <mergeCell ref="M126:N126"/>
    <mergeCell ref="M137:N137"/>
    <mergeCell ref="P126:Q126"/>
    <mergeCell ref="R126:S126"/>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G482:H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H482:H484">
    <cfRule type="cellIs" dxfId="32" priority="33" operator="equal">
      <formula>"NO"</formula>
    </cfRule>
  </conditionalFormatting>
  <conditionalFormatting sqref="G482:G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2" operator="equal">
      <formula>"Fail"</formula>
    </cfRule>
    <cfRule type="cellIs" dxfId="0" priority="1" operator="equal">
      <formula>"Pass"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1205</v>
      </c>
      <c r="B1" s="1588" t="s">
        <v>1206</v>
      </c>
    </row>
    <row r="2" spans="1:7">
      <c r="A2" t="s">
        <v>1207</v>
      </c>
      <c r="B2" s="1588" t="str">
        <f>Gen_form!E14</f>
        <v/>
      </c>
    </row>
    <row r="3" spans="1:7">
      <c r="A3" t="s">
        <v>589</v>
      </c>
      <c r="B3" s="1588" t="str">
        <f>Gen_form!S484</f>
        <v/>
      </c>
    </row>
    <row r="4" spans="1:7">
      <c r="A4" t="s">
        <v>656</v>
      </c>
      <c r="B4" s="1588" t="str">
        <f>Gen_form!U504</f>
        <v>TBD</v>
      </c>
    </row>
    <row r="5" spans="1:7">
      <c r="A5" t="s">
        <v>1189</v>
      </c>
      <c r="B5" s="1588" t="str">
        <f>Gen_form!R537</f>
        <v>NA</v>
      </c>
    </row>
    <row r="6" spans="1:7">
      <c r="A6" t="s">
        <v>1190</v>
      </c>
      <c r="B6" s="1588">
        <f>Gen_form!Q547</f>
        <v>0</v>
      </c>
    </row>
    <row r="7" spans="1:7">
      <c r="A7" t="s">
        <v>1191</v>
      </c>
      <c r="B7" s="1588">
        <f>Gen_form!Q608</f>
        <v>0</v>
      </c>
    </row>
    <row r="8" spans="1:7">
      <c r="A8" t="s">
        <v>1192</v>
      </c>
      <c r="B8" s="1588">
        <f>Gen_form!U669</f>
        <v>0</v>
      </c>
    </row>
    <row r="9" spans="1:7">
      <c r="A9" t="s">
        <v>1193</v>
      </c>
      <c r="B9" s="1588">
        <f>Gen_form!U674</f>
        <v>0</v>
      </c>
    </row>
    <row r="10" spans="1:7">
      <c r="A10" t="s">
        <v>1194</v>
      </c>
      <c r="B10" s="1588" t="str">
        <f>Gen_form!K543</f>
        <v/>
      </c>
    </row>
    <row r="11" spans="1:7">
      <c r="A11" t="s">
        <v>1195</v>
      </c>
      <c r="B11" s="1589" t="str">
        <f>Gen_form!C615</f>
        <v/>
      </c>
    </row>
    <row r="12" spans="1:7">
      <c r="A12" t="s">
        <v>1196</v>
      </c>
      <c r="B12" s="1588" t="str">
        <f>Gen_form!B554</f>
        <v/>
      </c>
      <c r="C12" s="1588" t="str">
        <f>Gen_form!C554</f>
        <v/>
      </c>
      <c r="D12" s="1588" t="str">
        <f>Gen_form!D554</f>
        <v/>
      </c>
      <c r="E12" s="1588" t="str">
        <f>Gen_form!E554</f>
        <v/>
      </c>
      <c r="F12" s="1588" t="str">
        <f>Gen_form!F554</f>
        <v/>
      </c>
      <c r="G12" s="1588" t="str">
        <f>Gen_form!G554</f>
        <v/>
      </c>
    </row>
    <row r="13" spans="1:7">
      <c r="B13" s="1588" t="str">
        <f>Gen_form!B555</f>
        <v/>
      </c>
      <c r="C13" s="1588" t="str">
        <f>Gen_form!C555</f>
        <v/>
      </c>
      <c r="D13" s="1588" t="str">
        <f>Gen_form!D555</f>
        <v/>
      </c>
      <c r="E13" s="1588" t="str">
        <f>Gen_form!E555</f>
        <v/>
      </c>
      <c r="F13" s="1588" t="str">
        <f>Gen_form!F555</f>
        <v/>
      </c>
      <c r="G13" s="1588" t="str">
        <f>Gen_form!G555</f>
        <v/>
      </c>
    </row>
    <row r="14" spans="1:7">
      <c r="A14" t="s">
        <v>1197</v>
      </c>
      <c r="B14" s="1588" t="str">
        <f>Gen_form!B575</f>
        <v>NA</v>
      </c>
      <c r="C14" s="1588" t="str">
        <f>Gen_form!C575</f>
        <v>NA</v>
      </c>
      <c r="D14" s="1588"/>
      <c r="E14" s="1588"/>
    </row>
    <row r="15" spans="1:7">
      <c r="B15" s="1589" t="str">
        <f>Gen_form!B576</f>
        <v>NA</v>
      </c>
      <c r="C15" s="1589" t="str">
        <f>Gen_form!C576</f>
        <v>NA</v>
      </c>
      <c r="D15" s="1589"/>
      <c r="E15" s="1589"/>
    </row>
    <row r="16" spans="1:7">
      <c r="A16" t="s">
        <v>1198</v>
      </c>
      <c r="B16" s="1588" t="str">
        <f>Gen_form!D615</f>
        <v/>
      </c>
      <c r="C16" s="1588" t="str">
        <f>Gen_form!E615</f>
        <v/>
      </c>
      <c r="D16" s="1588" t="str">
        <f>Gen_form!F615</f>
        <v/>
      </c>
      <c r="E16" s="1588" t="str">
        <f>Gen_form!G615</f>
        <v/>
      </c>
      <c r="F16" s="1588">
        <f>Gen_form!H615</f>
        <v>14</v>
      </c>
      <c r="G16" s="1588">
        <f>Gen_form!I615</f>
        <v>18</v>
      </c>
    </row>
    <row r="17" spans="1:7">
      <c r="B17" s="1588" t="str">
        <f>Gen_form!D616</f>
        <v/>
      </c>
      <c r="C17" s="1588" t="str">
        <f>Gen_form!E616</f>
        <v/>
      </c>
      <c r="D17" s="1588" t="str">
        <f>Gen_form!F616</f>
        <v/>
      </c>
      <c r="E17" s="1588" t="str">
        <f>Gen_form!G616</f>
        <v/>
      </c>
      <c r="F17" s="1588" t="str">
        <f>Gen_form!H616</f>
        <v/>
      </c>
      <c r="G17" s="1588" t="str">
        <f>Gen_form!I616</f>
        <v/>
      </c>
    </row>
    <row r="18" spans="1:7">
      <c r="A18" t="s">
        <v>1199</v>
      </c>
      <c r="B18" s="1588" t="str">
        <f>Gen_form!C637</f>
        <v>NA</v>
      </c>
      <c r="C18" s="1588" t="str">
        <f>Gen_form!D637</f>
        <v>NA</v>
      </c>
      <c r="D18" s="1588"/>
      <c r="E18" s="1588"/>
    </row>
    <row r="19" spans="1:7">
      <c r="B19" s="1588" t="str">
        <f>Gen_form!C638</f>
        <v>NA</v>
      </c>
      <c r="C19" s="1588" t="str">
        <f>Gen_form!D638</f>
        <v>NA</v>
      </c>
      <c r="D19" s="1588"/>
      <c r="E19" s="1588"/>
    </row>
    <row r="20" spans="1:7">
      <c r="A20" t="s">
        <v>1200</v>
      </c>
      <c r="B20" s="1588" t="str">
        <f>Gen_form!D1394</f>
        <v/>
      </c>
      <c r="C20" s="1588" t="str">
        <f>Gen_form!E1394</f>
        <v/>
      </c>
    </row>
    <row r="21" spans="1:7">
      <c r="B21" s="1588" t="str">
        <f>Gen_form!D1395</f>
        <v/>
      </c>
      <c r="C21" s="1588" t="str">
        <f>Gen_form!E1395</f>
        <v/>
      </c>
    </row>
    <row r="22" spans="1:7">
      <c r="B22" s="1588" t="str">
        <f>Gen_form!D1396</f>
        <v/>
      </c>
      <c r="C22" s="1588" t="str">
        <f>Gen_form!E1396</f>
        <v/>
      </c>
    </row>
    <row r="23" spans="1:7">
      <c r="B23" s="1588" t="str">
        <f>Gen_form!D1397</f>
        <v/>
      </c>
      <c r="C23" s="1588" t="str">
        <f>Gen_form!E1397</f>
        <v/>
      </c>
    </row>
    <row r="24" spans="1:7">
      <c r="B24" s="1588" t="str">
        <f>Gen_form!D1398</f>
        <v/>
      </c>
      <c r="C24" s="1588" t="str">
        <f>Gen_form!E1398</f>
        <v/>
      </c>
    </row>
    <row r="25" spans="1:7">
      <c r="B25" s="1588" t="str">
        <f>Gen_form!D1399</f>
        <v/>
      </c>
      <c r="C25" s="1588" t="str">
        <f>Gen_form!E1399</f>
        <v/>
      </c>
    </row>
    <row r="26" spans="1:7">
      <c r="B26" s="1588" t="str">
        <f>Gen_form!D1400</f>
        <v/>
      </c>
      <c r="C26" s="1588" t="str">
        <f>Gen_form!E1400</f>
        <v/>
      </c>
    </row>
    <row r="27" spans="1:7">
      <c r="B27" s="1588" t="str">
        <f>Gen_form!D1401</f>
        <v/>
      </c>
      <c r="C27" s="1588" t="str">
        <f>Gen_form!E1401</f>
        <v/>
      </c>
    </row>
    <row r="28" spans="1:7">
      <c r="A28" t="s">
        <v>1201</v>
      </c>
      <c r="B28" s="1588" t="str">
        <f>Gen_form!D1407</f>
        <v/>
      </c>
      <c r="C28" s="1588" t="str">
        <f>Gen_form!E1407</f>
        <v/>
      </c>
    </row>
    <row r="29" spans="1:7">
      <c r="B29" s="1588" t="str">
        <f>Gen_form!D1408</f>
        <v/>
      </c>
      <c r="C29" s="1588" t="str">
        <f>Gen_form!E1408</f>
        <v/>
      </c>
    </row>
    <row r="30" spans="1:7">
      <c r="B30" s="1588" t="str">
        <f>Gen_form!D1409</f>
        <v/>
      </c>
      <c r="C30" s="1588" t="str">
        <f>Gen_form!E1409</f>
        <v/>
      </c>
    </row>
    <row r="31" spans="1:7">
      <c r="B31" s="1588" t="str">
        <f>Gen_form!D1410</f>
        <v/>
      </c>
      <c r="C31" s="1588" t="str">
        <f>Gen_form!E1410</f>
        <v/>
      </c>
    </row>
    <row r="32" spans="1:7">
      <c r="B32" s="1588" t="str">
        <f>Gen_form!D1411</f>
        <v/>
      </c>
      <c r="C32" s="1588" t="str">
        <f>Gen_form!E1411</f>
        <v/>
      </c>
    </row>
    <row r="33" spans="1:29">
      <c r="B33" s="1589" t="str">
        <f>Gen_form!D1412</f>
        <v/>
      </c>
      <c r="C33" s="1589" t="str">
        <f>Gen_form!E1412</f>
        <v/>
      </c>
    </row>
    <row r="34" spans="1:29">
      <c r="A34" t="s">
        <v>1202</v>
      </c>
      <c r="B34" s="1588">
        <f>Gen_form!AA688</f>
        <v>60</v>
      </c>
      <c r="C34" s="1588">
        <f>Gen_form!AB688</f>
        <v>400</v>
      </c>
      <c r="D34" s="1588">
        <f>Gen_form!AC688</f>
        <v>0.05</v>
      </c>
      <c r="E34" s="1588">
        <f>Gen_form!AD688</f>
        <v>0</v>
      </c>
      <c r="F34" s="1588" t="str">
        <f>Gen_form!AE688</f>
        <v>50-85</v>
      </c>
      <c r="G34" s="1588">
        <f>Gen_form!AF688</f>
        <v>0</v>
      </c>
      <c r="H34" s="1588" t="str">
        <f>Gen_form!AG688</f>
        <v>none</v>
      </c>
      <c r="I34" s="1588">
        <f>Gen_form!AH688</f>
        <v>60</v>
      </c>
      <c r="J34" s="1588" t="str">
        <f>Gen_form!AI688</f>
        <v>cm</v>
      </c>
      <c r="K34" s="1588">
        <f>Gen_form!AJ688</f>
        <v>1</v>
      </c>
      <c r="L34" s="1588" t="str">
        <f>Gen_form!AK688</f>
        <v>Low</v>
      </c>
      <c r="M34" s="1588" t="str">
        <f>Gen_form!AL688</f>
        <v>Internal</v>
      </c>
      <c r="N34" s="1588">
        <f>Gen_form!AM688</f>
        <v>0</v>
      </c>
      <c r="O34" s="1588">
        <f>Gen_form!AN688</f>
        <v>0</v>
      </c>
      <c r="P34" s="1588" t="str">
        <f>Gen_form!AO688</f>
        <v>Large</v>
      </c>
      <c r="Q34" s="1588">
        <f>Gen_form!AP688</f>
        <v>0</v>
      </c>
      <c r="R34" s="1588">
        <f>Gen_form!AQ688</f>
        <v>0</v>
      </c>
      <c r="S34" s="1588">
        <f>Gen_form!AR688</f>
        <v>1</v>
      </c>
      <c r="T34" s="1588">
        <f>Gen_form!AS688</f>
        <v>0</v>
      </c>
      <c r="U34" s="1588">
        <f>Gen_form!AT688</f>
        <v>0</v>
      </c>
      <c r="V34" s="1588">
        <f>Gen_form!AU688</f>
        <v>0</v>
      </c>
      <c r="W34" s="1588">
        <f>Gen_form!AV688</f>
        <v>0</v>
      </c>
      <c r="X34" s="1588">
        <f>Gen_form!AW688</f>
        <v>0</v>
      </c>
      <c r="Y34" s="1588">
        <f>Gen_form!AX688</f>
        <v>0</v>
      </c>
      <c r="Z34" s="1588" t="str">
        <f>Gen_form!AY688</f>
        <v/>
      </c>
      <c r="AA34" s="1588" t="str">
        <f>Gen_form!AZ688</f>
        <v/>
      </c>
      <c r="AB34" s="1588" t="str">
        <f>Gen_form!BA688</f>
        <v/>
      </c>
      <c r="AC34" s="1588" t="str">
        <f>Gen_form!BB688</f>
        <v/>
      </c>
    </row>
    <row r="35" spans="1:29">
      <c r="B35" s="1588">
        <f>Gen_form!AA689</f>
        <v>60</v>
      </c>
      <c r="C35" s="1588">
        <f>Gen_form!AB689</f>
        <v>400</v>
      </c>
      <c r="D35" s="1588">
        <f>Gen_form!AC689</f>
        <v>0.05</v>
      </c>
      <c r="E35" s="1588">
        <f>Gen_form!AD689</f>
        <v>0</v>
      </c>
      <c r="F35" s="1588" t="str">
        <f>Gen_form!AE689</f>
        <v>50-85</v>
      </c>
      <c r="G35" s="1588">
        <f>Gen_form!AF689</f>
        <v>0</v>
      </c>
      <c r="H35" s="1588" t="str">
        <f>Gen_form!AG689</f>
        <v>none</v>
      </c>
      <c r="I35" s="1588">
        <f>Gen_form!AH689</f>
        <v>60</v>
      </c>
      <c r="J35" s="1588" t="str">
        <f>Gen_form!AI689</f>
        <v>cm</v>
      </c>
      <c r="K35" s="1588">
        <f>Gen_form!AJ689</f>
        <v>1</v>
      </c>
      <c r="L35" s="1588" t="str">
        <f>Gen_form!AK689</f>
        <v>Low</v>
      </c>
      <c r="M35" s="1588" t="str">
        <f>Gen_form!AL689</f>
        <v>Internal</v>
      </c>
      <c r="N35" s="1588">
        <f>Gen_form!AM689</f>
        <v>0</v>
      </c>
      <c r="O35" s="1588">
        <f>Gen_form!AN689</f>
        <v>0</v>
      </c>
      <c r="P35" s="1588" t="str">
        <f>Gen_form!AO689</f>
        <v>Large</v>
      </c>
      <c r="Q35" s="1588">
        <f>Gen_form!AP689</f>
        <v>0</v>
      </c>
      <c r="R35" s="1588">
        <f>Gen_form!AQ689</f>
        <v>0</v>
      </c>
      <c r="S35" s="1588">
        <f>Gen_form!AR689</f>
        <v>0</v>
      </c>
      <c r="T35" s="1588">
        <f>Gen_form!AS689</f>
        <v>1</v>
      </c>
      <c r="U35" s="1588">
        <f>Gen_form!AT689</f>
        <v>0</v>
      </c>
      <c r="V35" s="1588">
        <f>Gen_form!AU689</f>
        <v>0</v>
      </c>
      <c r="W35" s="1588">
        <f>Gen_form!AV689</f>
        <v>0</v>
      </c>
      <c r="X35" s="1588">
        <f>Gen_form!AW689</f>
        <v>0</v>
      </c>
      <c r="Y35" s="1588">
        <f>Gen_form!AX689</f>
        <v>0</v>
      </c>
      <c r="Z35" s="1588" t="str">
        <f>Gen_form!AY689</f>
        <v/>
      </c>
      <c r="AA35" s="1588" t="str">
        <f>Gen_form!AZ689</f>
        <v/>
      </c>
      <c r="AB35" s="1588" t="str">
        <f>Gen_form!BA689</f>
        <v/>
      </c>
      <c r="AC35" s="1588" t="str">
        <f>Gen_form!BB689</f>
        <v/>
      </c>
    </row>
    <row r="36" spans="1:29">
      <c r="B36" s="1588" t="e">
        <f>Gen_form!#REF!</f>
        <v>#REF!</v>
      </c>
      <c r="C36" s="1588" t="e">
        <f>Gen_form!#REF!</f>
        <v>#REF!</v>
      </c>
      <c r="D36" s="1588" t="e">
        <f>Gen_form!#REF!</f>
        <v>#REF!</v>
      </c>
      <c r="E36" s="1588" t="e">
        <f>Gen_form!#REF!</f>
        <v>#REF!</v>
      </c>
      <c r="F36" s="1588" t="e">
        <f>Gen_form!#REF!</f>
        <v>#REF!</v>
      </c>
      <c r="G36" s="1588" t="e">
        <f>Gen_form!#REF!</f>
        <v>#REF!</v>
      </c>
      <c r="H36" s="1588" t="e">
        <f>Gen_form!#REF!</f>
        <v>#REF!</v>
      </c>
      <c r="I36" s="1588" t="e">
        <f>Gen_form!#REF!</f>
        <v>#REF!</v>
      </c>
      <c r="J36" s="1588" t="e">
        <f>Gen_form!#REF!</f>
        <v>#REF!</v>
      </c>
      <c r="K36" s="1588" t="e">
        <f>Gen_form!#REF!</f>
        <v>#REF!</v>
      </c>
      <c r="L36" s="1588" t="e">
        <f>Gen_form!#REF!</f>
        <v>#REF!</v>
      </c>
      <c r="M36" s="1588" t="e">
        <f>Gen_form!#REF!</f>
        <v>#REF!</v>
      </c>
      <c r="N36" s="1588" t="e">
        <f>Gen_form!#REF!</f>
        <v>#REF!</v>
      </c>
      <c r="O36" s="1588" t="e">
        <f>Gen_form!#REF!</f>
        <v>#REF!</v>
      </c>
      <c r="P36" s="1588" t="e">
        <f>Gen_form!#REF!</f>
        <v>#REF!</v>
      </c>
      <c r="Q36" s="1588" t="e">
        <f>Gen_form!#REF!</f>
        <v>#REF!</v>
      </c>
      <c r="R36" s="1588" t="e">
        <f>Gen_form!#REF!</f>
        <v>#REF!</v>
      </c>
      <c r="S36" s="1588" t="e">
        <f>Gen_form!#REF!</f>
        <v>#REF!</v>
      </c>
      <c r="T36" s="1588" t="e">
        <f>Gen_form!#REF!</f>
        <v>#REF!</v>
      </c>
      <c r="U36" s="1588" t="e">
        <f>Gen_form!#REF!</f>
        <v>#REF!</v>
      </c>
      <c r="V36" s="1588" t="e">
        <f>Gen_form!#REF!</f>
        <v>#REF!</v>
      </c>
      <c r="W36" s="1588" t="e">
        <f>Gen_form!#REF!</f>
        <v>#REF!</v>
      </c>
      <c r="X36" s="1588" t="e">
        <f>Gen_form!#REF!</f>
        <v>#REF!</v>
      </c>
      <c r="Y36" s="1588" t="e">
        <f>Gen_form!#REF!</f>
        <v>#REF!</v>
      </c>
      <c r="Z36" s="1588" t="e">
        <f>Gen_form!#REF!</f>
        <v>#REF!</v>
      </c>
      <c r="AA36" s="1588" t="e">
        <f>Gen_form!#REF!</f>
        <v>#REF!</v>
      </c>
      <c r="AB36" s="1588" t="e">
        <f>Gen_form!#REF!</f>
        <v>#REF!</v>
      </c>
      <c r="AC36" s="1588" t="e">
        <f>Gen_form!#REF!</f>
        <v>#REF!</v>
      </c>
    </row>
    <row r="37" spans="1:29">
      <c r="B37" s="1588" t="e">
        <f>Gen_form!#REF!</f>
        <v>#REF!</v>
      </c>
      <c r="C37" s="1588" t="e">
        <f>Gen_form!#REF!</f>
        <v>#REF!</v>
      </c>
      <c r="D37" s="1588" t="e">
        <f>Gen_form!#REF!</f>
        <v>#REF!</v>
      </c>
      <c r="E37" s="1588" t="e">
        <f>Gen_form!#REF!</f>
        <v>#REF!</v>
      </c>
      <c r="F37" s="1588" t="e">
        <f>Gen_form!#REF!</f>
        <v>#REF!</v>
      </c>
      <c r="G37" s="1588" t="e">
        <f>Gen_form!#REF!</f>
        <v>#REF!</v>
      </c>
      <c r="H37" s="1588" t="e">
        <f>Gen_form!#REF!</f>
        <v>#REF!</v>
      </c>
      <c r="I37" s="1588" t="e">
        <f>Gen_form!#REF!</f>
        <v>#REF!</v>
      </c>
      <c r="J37" s="1588" t="e">
        <f>Gen_form!#REF!</f>
        <v>#REF!</v>
      </c>
      <c r="K37" s="1588" t="e">
        <f>Gen_form!#REF!</f>
        <v>#REF!</v>
      </c>
      <c r="L37" s="1588" t="e">
        <f>Gen_form!#REF!</f>
        <v>#REF!</v>
      </c>
      <c r="M37" s="1588" t="e">
        <f>Gen_form!#REF!</f>
        <v>#REF!</v>
      </c>
      <c r="N37" s="1588" t="e">
        <f>Gen_form!#REF!</f>
        <v>#REF!</v>
      </c>
      <c r="O37" s="1588" t="e">
        <f>Gen_form!#REF!</f>
        <v>#REF!</v>
      </c>
      <c r="P37" s="1588" t="e">
        <f>Gen_form!#REF!</f>
        <v>#REF!</v>
      </c>
      <c r="Q37" s="1588" t="e">
        <f>Gen_form!#REF!</f>
        <v>#REF!</v>
      </c>
      <c r="R37" s="1588" t="e">
        <f>Gen_form!#REF!</f>
        <v>#REF!</v>
      </c>
      <c r="S37" s="1588" t="e">
        <f>Gen_form!#REF!</f>
        <v>#REF!</v>
      </c>
      <c r="T37" s="1588" t="e">
        <f>Gen_form!#REF!</f>
        <v>#REF!</v>
      </c>
      <c r="U37" s="1588" t="e">
        <f>Gen_form!#REF!</f>
        <v>#REF!</v>
      </c>
      <c r="V37" s="1588" t="e">
        <f>Gen_form!#REF!</f>
        <v>#REF!</v>
      </c>
      <c r="W37" s="1588" t="e">
        <f>Gen_form!#REF!</f>
        <v>#REF!</v>
      </c>
      <c r="X37" s="1588" t="e">
        <f>Gen_form!#REF!</f>
        <v>#REF!</v>
      </c>
      <c r="Y37" s="1588" t="e">
        <f>Gen_form!#REF!</f>
        <v>#REF!</v>
      </c>
      <c r="Z37" s="1588" t="e">
        <f>Gen_form!#REF!</f>
        <v>#REF!</v>
      </c>
      <c r="AA37" s="1588" t="e">
        <f>Gen_form!#REF!</f>
        <v>#REF!</v>
      </c>
      <c r="AB37" s="1588" t="e">
        <f>Gen_form!#REF!</f>
        <v>#REF!</v>
      </c>
      <c r="AC37" s="1588" t="e">
        <f>Gen_form!#REF!</f>
        <v>#REF!</v>
      </c>
    </row>
    <row r="38" spans="1:29">
      <c r="B38" s="1588" t="e">
        <f>Gen_form!#REF!</f>
        <v>#REF!</v>
      </c>
      <c r="C38" s="1588" t="e">
        <f>Gen_form!#REF!</f>
        <v>#REF!</v>
      </c>
      <c r="D38" s="1588" t="e">
        <f>Gen_form!#REF!</f>
        <v>#REF!</v>
      </c>
      <c r="E38" s="1588" t="e">
        <f>Gen_form!#REF!</f>
        <v>#REF!</v>
      </c>
      <c r="F38" s="1588" t="e">
        <f>Gen_form!#REF!</f>
        <v>#REF!</v>
      </c>
      <c r="G38" s="1588" t="e">
        <f>Gen_form!#REF!</f>
        <v>#REF!</v>
      </c>
      <c r="H38" s="1588" t="e">
        <f>Gen_form!#REF!</f>
        <v>#REF!</v>
      </c>
      <c r="I38" s="1588" t="e">
        <f>Gen_form!#REF!</f>
        <v>#REF!</v>
      </c>
      <c r="J38" s="1588" t="e">
        <f>Gen_form!#REF!</f>
        <v>#REF!</v>
      </c>
      <c r="K38" s="1588" t="e">
        <f>Gen_form!#REF!</f>
        <v>#REF!</v>
      </c>
      <c r="L38" s="1588" t="e">
        <f>Gen_form!#REF!</f>
        <v>#REF!</v>
      </c>
      <c r="M38" s="1588" t="e">
        <f>Gen_form!#REF!</f>
        <v>#REF!</v>
      </c>
      <c r="N38" s="1588" t="e">
        <f>Gen_form!#REF!</f>
        <v>#REF!</v>
      </c>
      <c r="O38" s="1588" t="e">
        <f>Gen_form!#REF!</f>
        <v>#REF!</v>
      </c>
      <c r="P38" s="1588" t="e">
        <f>Gen_form!#REF!</f>
        <v>#REF!</v>
      </c>
      <c r="Q38" s="1588" t="e">
        <f>Gen_form!#REF!</f>
        <v>#REF!</v>
      </c>
      <c r="R38" s="1588" t="e">
        <f>Gen_form!#REF!</f>
        <v>#REF!</v>
      </c>
      <c r="S38" s="1588" t="e">
        <f>Gen_form!#REF!</f>
        <v>#REF!</v>
      </c>
      <c r="T38" s="1588" t="e">
        <f>Gen_form!#REF!</f>
        <v>#REF!</v>
      </c>
      <c r="U38" s="1588" t="e">
        <f>Gen_form!#REF!</f>
        <v>#REF!</v>
      </c>
      <c r="V38" s="1588" t="e">
        <f>Gen_form!#REF!</f>
        <v>#REF!</v>
      </c>
      <c r="W38" s="1588" t="e">
        <f>Gen_form!#REF!</f>
        <v>#REF!</v>
      </c>
      <c r="X38" s="1588" t="e">
        <f>Gen_form!#REF!</f>
        <v>#REF!</v>
      </c>
      <c r="Y38" s="1588" t="e">
        <f>Gen_form!#REF!</f>
        <v>#REF!</v>
      </c>
      <c r="Z38" s="1588" t="e">
        <f>Gen_form!#REF!</f>
        <v>#REF!</v>
      </c>
      <c r="AA38" s="1588" t="e">
        <f>Gen_form!#REF!</f>
        <v>#REF!</v>
      </c>
      <c r="AB38" s="1588" t="e">
        <f>Gen_form!#REF!</f>
        <v>#REF!</v>
      </c>
      <c r="AC38" s="1588" t="e">
        <f>Gen_form!#REF!</f>
        <v>#REF!</v>
      </c>
    </row>
    <row r="39" spans="1:29">
      <c r="B39" s="1588" t="e">
        <f>Gen_form!#REF!</f>
        <v>#REF!</v>
      </c>
      <c r="C39" s="1588" t="e">
        <f>Gen_form!#REF!</f>
        <v>#REF!</v>
      </c>
      <c r="D39" s="1588" t="e">
        <f>Gen_form!#REF!</f>
        <v>#REF!</v>
      </c>
      <c r="E39" s="1588" t="e">
        <f>Gen_form!#REF!</f>
        <v>#REF!</v>
      </c>
      <c r="F39" s="1588" t="e">
        <f>Gen_form!#REF!</f>
        <v>#REF!</v>
      </c>
      <c r="G39" s="1588" t="e">
        <f>Gen_form!#REF!</f>
        <v>#REF!</v>
      </c>
      <c r="H39" s="1588" t="e">
        <f>Gen_form!#REF!</f>
        <v>#REF!</v>
      </c>
      <c r="I39" s="1588" t="e">
        <f>Gen_form!#REF!</f>
        <v>#REF!</v>
      </c>
      <c r="J39" s="1588" t="e">
        <f>Gen_form!#REF!</f>
        <v>#REF!</v>
      </c>
      <c r="K39" s="1588" t="e">
        <f>Gen_form!#REF!</f>
        <v>#REF!</v>
      </c>
      <c r="L39" s="1588" t="e">
        <f>Gen_form!#REF!</f>
        <v>#REF!</v>
      </c>
      <c r="M39" s="1588" t="e">
        <f>Gen_form!#REF!</f>
        <v>#REF!</v>
      </c>
      <c r="N39" s="1588" t="e">
        <f>Gen_form!#REF!</f>
        <v>#REF!</v>
      </c>
      <c r="O39" s="1588" t="e">
        <f>Gen_form!#REF!</f>
        <v>#REF!</v>
      </c>
      <c r="P39" s="1588" t="e">
        <f>Gen_form!#REF!</f>
        <v>#REF!</v>
      </c>
      <c r="Q39" s="1588" t="e">
        <f>Gen_form!#REF!</f>
        <v>#REF!</v>
      </c>
      <c r="R39" s="1588" t="e">
        <f>Gen_form!#REF!</f>
        <v>#REF!</v>
      </c>
      <c r="S39" s="1588" t="e">
        <f>Gen_form!#REF!</f>
        <v>#REF!</v>
      </c>
      <c r="T39" s="1588" t="e">
        <f>Gen_form!#REF!</f>
        <v>#REF!</v>
      </c>
      <c r="U39" s="1588" t="e">
        <f>Gen_form!#REF!</f>
        <v>#REF!</v>
      </c>
      <c r="V39" s="1588" t="e">
        <f>Gen_form!#REF!</f>
        <v>#REF!</v>
      </c>
      <c r="W39" s="1588" t="e">
        <f>Gen_form!#REF!</f>
        <v>#REF!</v>
      </c>
      <c r="X39" s="1588" t="e">
        <f>Gen_form!#REF!</f>
        <v>#REF!</v>
      </c>
      <c r="Y39" s="1588" t="e">
        <f>Gen_form!#REF!</f>
        <v>#REF!</v>
      </c>
      <c r="Z39" s="1588" t="e">
        <f>Gen_form!#REF!</f>
        <v>#REF!</v>
      </c>
      <c r="AA39" s="1588" t="e">
        <f>Gen_form!#REF!</f>
        <v>#REF!</v>
      </c>
      <c r="AB39" s="1588" t="e">
        <f>Gen_form!#REF!</f>
        <v>#REF!</v>
      </c>
      <c r="AC39" s="1588" t="e">
        <f>Gen_form!#REF!</f>
        <v>#REF!</v>
      </c>
    </row>
    <row r="40" spans="1:29">
      <c r="B40" s="1588" t="e">
        <f>Gen_form!#REF!</f>
        <v>#REF!</v>
      </c>
      <c r="C40" s="1588" t="e">
        <f>Gen_form!#REF!</f>
        <v>#REF!</v>
      </c>
      <c r="D40" s="1588" t="e">
        <f>Gen_form!#REF!</f>
        <v>#REF!</v>
      </c>
      <c r="E40" s="1588" t="e">
        <f>Gen_form!#REF!</f>
        <v>#REF!</v>
      </c>
      <c r="F40" s="1588" t="e">
        <f>Gen_form!#REF!</f>
        <v>#REF!</v>
      </c>
      <c r="G40" s="1588" t="e">
        <f>Gen_form!#REF!</f>
        <v>#REF!</v>
      </c>
      <c r="H40" s="1588" t="e">
        <f>Gen_form!#REF!</f>
        <v>#REF!</v>
      </c>
      <c r="I40" s="1588" t="e">
        <f>Gen_form!#REF!</f>
        <v>#REF!</v>
      </c>
      <c r="J40" s="1588" t="e">
        <f>Gen_form!#REF!</f>
        <v>#REF!</v>
      </c>
      <c r="K40" s="1588" t="e">
        <f>Gen_form!#REF!</f>
        <v>#REF!</v>
      </c>
      <c r="L40" s="1588" t="e">
        <f>Gen_form!#REF!</f>
        <v>#REF!</v>
      </c>
      <c r="M40" s="1588" t="e">
        <f>Gen_form!#REF!</f>
        <v>#REF!</v>
      </c>
      <c r="N40" s="1588" t="e">
        <f>Gen_form!#REF!</f>
        <v>#REF!</v>
      </c>
      <c r="O40" s="1588" t="e">
        <f>Gen_form!#REF!</f>
        <v>#REF!</v>
      </c>
      <c r="P40" s="1588" t="e">
        <f>Gen_form!#REF!</f>
        <v>#REF!</v>
      </c>
      <c r="Q40" s="1588" t="e">
        <f>Gen_form!#REF!</f>
        <v>#REF!</v>
      </c>
      <c r="R40" s="1588" t="e">
        <f>Gen_form!#REF!</f>
        <v>#REF!</v>
      </c>
      <c r="S40" s="1588" t="e">
        <f>Gen_form!#REF!</f>
        <v>#REF!</v>
      </c>
      <c r="T40" s="1588" t="e">
        <f>Gen_form!#REF!</f>
        <v>#REF!</v>
      </c>
      <c r="U40" s="1588" t="e">
        <f>Gen_form!#REF!</f>
        <v>#REF!</v>
      </c>
      <c r="V40" s="1588" t="e">
        <f>Gen_form!#REF!</f>
        <v>#REF!</v>
      </c>
      <c r="W40" s="1588" t="e">
        <f>Gen_form!#REF!</f>
        <v>#REF!</v>
      </c>
      <c r="X40" s="1588" t="e">
        <f>Gen_form!#REF!</f>
        <v>#REF!</v>
      </c>
      <c r="Y40" s="1588" t="e">
        <f>Gen_form!#REF!</f>
        <v>#REF!</v>
      </c>
      <c r="Z40" s="1588" t="e">
        <f>Gen_form!#REF!</f>
        <v>#REF!</v>
      </c>
      <c r="AA40" s="1588" t="e">
        <f>Gen_form!#REF!</f>
        <v>#REF!</v>
      </c>
      <c r="AB40" s="1588" t="e">
        <f>Gen_form!#REF!</f>
        <v>#REF!</v>
      </c>
      <c r="AC40" s="1588" t="e">
        <f>Gen_form!#REF!</f>
        <v>#REF!</v>
      </c>
    </row>
    <row r="41" spans="1:29">
      <c r="B41" s="1588" t="e">
        <f>Gen_form!#REF!</f>
        <v>#REF!</v>
      </c>
      <c r="C41" s="1588" t="e">
        <f>Gen_form!#REF!</f>
        <v>#REF!</v>
      </c>
      <c r="D41" s="1588" t="e">
        <f>Gen_form!#REF!</f>
        <v>#REF!</v>
      </c>
      <c r="E41" s="1588" t="e">
        <f>Gen_form!#REF!</f>
        <v>#REF!</v>
      </c>
      <c r="F41" s="1588" t="e">
        <f>Gen_form!#REF!</f>
        <v>#REF!</v>
      </c>
      <c r="G41" s="1588" t="e">
        <f>Gen_form!#REF!</f>
        <v>#REF!</v>
      </c>
      <c r="H41" s="1588" t="e">
        <f>Gen_form!#REF!</f>
        <v>#REF!</v>
      </c>
      <c r="I41" s="1588" t="e">
        <f>Gen_form!#REF!</f>
        <v>#REF!</v>
      </c>
      <c r="J41" s="1588" t="e">
        <f>Gen_form!#REF!</f>
        <v>#REF!</v>
      </c>
      <c r="K41" s="1588" t="e">
        <f>Gen_form!#REF!</f>
        <v>#REF!</v>
      </c>
      <c r="L41" s="1588" t="e">
        <f>Gen_form!#REF!</f>
        <v>#REF!</v>
      </c>
      <c r="M41" s="1588" t="e">
        <f>Gen_form!#REF!</f>
        <v>#REF!</v>
      </c>
      <c r="N41" s="1588" t="e">
        <f>Gen_form!#REF!</f>
        <v>#REF!</v>
      </c>
      <c r="O41" s="1588" t="e">
        <f>Gen_form!#REF!</f>
        <v>#REF!</v>
      </c>
      <c r="P41" s="1588" t="e">
        <f>Gen_form!#REF!</f>
        <v>#REF!</v>
      </c>
      <c r="Q41" s="1588" t="e">
        <f>Gen_form!#REF!</f>
        <v>#REF!</v>
      </c>
      <c r="R41" s="1588" t="e">
        <f>Gen_form!#REF!</f>
        <v>#REF!</v>
      </c>
      <c r="S41" s="1588" t="e">
        <f>Gen_form!#REF!</f>
        <v>#REF!</v>
      </c>
      <c r="T41" s="1588" t="e">
        <f>Gen_form!#REF!</f>
        <v>#REF!</v>
      </c>
      <c r="U41" s="1588" t="e">
        <f>Gen_form!#REF!</f>
        <v>#REF!</v>
      </c>
      <c r="V41" s="1588" t="e">
        <f>Gen_form!#REF!</f>
        <v>#REF!</v>
      </c>
      <c r="W41" s="1588" t="e">
        <f>Gen_form!#REF!</f>
        <v>#REF!</v>
      </c>
      <c r="X41" s="1588" t="e">
        <f>Gen_form!#REF!</f>
        <v>#REF!</v>
      </c>
      <c r="Y41" s="1588" t="e">
        <f>Gen_form!#REF!</f>
        <v>#REF!</v>
      </c>
      <c r="Z41" s="1588" t="e">
        <f>Gen_form!#REF!</f>
        <v>#REF!</v>
      </c>
      <c r="AA41" s="1588" t="e">
        <f>Gen_form!#REF!</f>
        <v>#REF!</v>
      </c>
      <c r="AB41" s="1588" t="e">
        <f>Gen_form!#REF!</f>
        <v>#REF!</v>
      </c>
      <c r="AC41" s="1588" t="e">
        <f>Gen_form!#REF!</f>
        <v>#REF!</v>
      </c>
    </row>
    <row r="42" spans="1:29">
      <c r="B42" s="1588">
        <f>Gen_form!AA690</f>
        <v>80</v>
      </c>
      <c r="C42" s="1588">
        <f>Gen_form!AB690</f>
        <v>400</v>
      </c>
      <c r="D42" s="1588">
        <f>Gen_form!AC690</f>
        <v>0.05</v>
      </c>
      <c r="E42" s="1588">
        <f>Gen_form!AD690</f>
        <v>0</v>
      </c>
      <c r="F42" s="1588" t="str">
        <f>Gen_form!AE690</f>
        <v>70-120</v>
      </c>
      <c r="G42" s="1588">
        <f>Gen_form!AF690</f>
        <v>0</v>
      </c>
      <c r="H42" s="1588" t="str">
        <f>Gen_form!AG690</f>
        <v>none</v>
      </c>
      <c r="I42" s="1588">
        <f>Gen_form!AH690</f>
        <v>60</v>
      </c>
      <c r="J42" s="1588" t="str">
        <f>Gen_form!AI690</f>
        <v>cm</v>
      </c>
      <c r="K42" s="1588">
        <f>Gen_form!AJ690</f>
        <v>1</v>
      </c>
      <c r="L42" s="1588" t="str">
        <f>Gen_form!AK690</f>
        <v>Low</v>
      </c>
      <c r="M42" s="1588" t="str">
        <f>Gen_form!AL690</f>
        <v>Internal</v>
      </c>
      <c r="N42" s="1588">
        <f>Gen_form!AM690</f>
        <v>0</v>
      </c>
      <c r="O42" s="1588">
        <f>Gen_form!AN690</f>
        <v>0</v>
      </c>
      <c r="P42" s="1588" t="str">
        <f>Gen_form!AO690</f>
        <v>Large</v>
      </c>
      <c r="Q42" s="1588">
        <f>Gen_form!AP690</f>
        <v>0</v>
      </c>
      <c r="R42" s="1588">
        <f>Gen_form!AQ690</f>
        <v>1</v>
      </c>
      <c r="S42" s="1588">
        <f>Gen_form!AR690</f>
        <v>1</v>
      </c>
      <c r="T42" s="1588">
        <f>Gen_form!AS690</f>
        <v>0</v>
      </c>
      <c r="U42" s="1588">
        <f>Gen_form!AT690</f>
        <v>0</v>
      </c>
      <c r="V42" s="1588">
        <f>Gen_form!AU690</f>
        <v>1</v>
      </c>
      <c r="W42" s="1588">
        <f>Gen_form!AV690</f>
        <v>0</v>
      </c>
      <c r="X42" s="1588">
        <f>Gen_form!AW690</f>
        <v>0</v>
      </c>
      <c r="Y42" s="1588">
        <f>Gen_form!AX690</f>
        <v>0</v>
      </c>
      <c r="Z42" s="1588" t="str">
        <f>Gen_form!AY690</f>
        <v/>
      </c>
      <c r="AA42" s="1588" t="str">
        <f>Gen_form!AZ690</f>
        <v/>
      </c>
      <c r="AB42" s="1588" t="str">
        <f>Gen_form!BA690</f>
        <v/>
      </c>
      <c r="AC42" s="1588" t="str">
        <f>Gen_form!BB690</f>
        <v/>
      </c>
    </row>
    <row r="43" spans="1:29">
      <c r="B43" s="1588">
        <f>Gen_form!AA691</f>
        <v>80</v>
      </c>
      <c r="C43" s="1588">
        <f>Gen_form!AB691</f>
        <v>400</v>
      </c>
      <c r="D43" s="1588">
        <f>Gen_form!AC691</f>
        <v>0.05</v>
      </c>
      <c r="E43" s="1588">
        <f>Gen_form!AD691</f>
        <v>0</v>
      </c>
      <c r="F43" s="1588" t="str">
        <f>Gen_form!AE691</f>
        <v>70-120</v>
      </c>
      <c r="G43" s="1588">
        <f>Gen_form!AF691</f>
        <v>0</v>
      </c>
      <c r="H43" s="1588" t="str">
        <f>Gen_form!AG691</f>
        <v>none</v>
      </c>
      <c r="I43" s="1588">
        <f>Gen_form!AH691</f>
        <v>60</v>
      </c>
      <c r="J43" s="1588" t="str">
        <f>Gen_form!AI691</f>
        <v>cm</v>
      </c>
      <c r="K43" s="1588">
        <f>Gen_form!AJ691</f>
        <v>1</v>
      </c>
      <c r="L43" s="1588" t="str">
        <f>Gen_form!AK691</f>
        <v>Low</v>
      </c>
      <c r="M43" s="1588" t="str">
        <f>Gen_form!AL691</f>
        <v>Internal</v>
      </c>
      <c r="N43" s="1588">
        <f>Gen_form!AM691</f>
        <v>0</v>
      </c>
      <c r="O43" s="1588">
        <f>Gen_form!AN691</f>
        <v>0</v>
      </c>
      <c r="P43" s="1588" t="str">
        <f>Gen_form!AO691</f>
        <v>Large</v>
      </c>
      <c r="Q43" s="1588">
        <f>Gen_form!AP691</f>
        <v>0</v>
      </c>
      <c r="R43" s="1588">
        <f>Gen_form!AQ691</f>
        <v>0</v>
      </c>
      <c r="S43" s="1588">
        <f>Gen_form!AR691</f>
        <v>0</v>
      </c>
      <c r="T43" s="1588">
        <f>Gen_form!AS691</f>
        <v>0</v>
      </c>
      <c r="U43" s="1588">
        <f>Gen_form!AT691</f>
        <v>0</v>
      </c>
      <c r="V43" s="1588">
        <f>Gen_form!AU691</f>
        <v>1</v>
      </c>
      <c r="W43" s="1588">
        <f>Gen_form!AV691</f>
        <v>0</v>
      </c>
      <c r="X43" s="1588">
        <f>Gen_form!AW691</f>
        <v>0</v>
      </c>
      <c r="Y43" s="1588">
        <f>Gen_form!AX691</f>
        <v>0</v>
      </c>
      <c r="Z43" s="1588" t="str">
        <f>Gen_form!AY691</f>
        <v/>
      </c>
      <c r="AA43" s="1588" t="str">
        <f>Gen_form!AZ691</f>
        <v/>
      </c>
      <c r="AB43" s="1588" t="str">
        <f>Gen_form!BA691</f>
        <v/>
      </c>
      <c r="AC43" s="1588" t="str">
        <f>Gen_form!BB691</f>
        <v/>
      </c>
    </row>
    <row r="44" spans="1:29">
      <c r="B44" s="1588">
        <f>Gen_form!AA692</f>
        <v>80</v>
      </c>
      <c r="C44" s="1588">
        <f>Gen_form!AB692</f>
        <v>400</v>
      </c>
      <c r="D44" s="1588">
        <f>Gen_form!AC692</f>
        <v>0.05</v>
      </c>
      <c r="E44" s="1588">
        <f>Gen_form!AD692</f>
        <v>0</v>
      </c>
      <c r="F44" s="1588" t="str">
        <f>Gen_form!AE692</f>
        <v>70-120</v>
      </c>
      <c r="G44" s="1588">
        <f>Gen_form!AF692</f>
        <v>0</v>
      </c>
      <c r="H44" s="1588" t="str">
        <f>Gen_form!AG692</f>
        <v>none</v>
      </c>
      <c r="I44" s="1588">
        <f>Gen_form!AH692</f>
        <v>60</v>
      </c>
      <c r="J44" s="1588" t="str">
        <f>Gen_form!AI692</f>
        <v>cm</v>
      </c>
      <c r="K44" s="1588">
        <f>Gen_form!AJ692</f>
        <v>1</v>
      </c>
      <c r="L44" s="1588" t="str">
        <f>Gen_form!AK692</f>
        <v>Low</v>
      </c>
      <c r="M44" s="1588" t="str">
        <f>Gen_form!AL692</f>
        <v>Internal</v>
      </c>
      <c r="N44" s="1588">
        <f>Gen_form!AM692</f>
        <v>0</v>
      </c>
      <c r="O44" s="1588">
        <f>Gen_form!AN692</f>
        <v>1</v>
      </c>
      <c r="P44" s="1588" t="str">
        <f>Gen_form!AO692</f>
        <v>Large</v>
      </c>
      <c r="Q44" s="1588">
        <f>Gen_form!AP692</f>
        <v>0</v>
      </c>
      <c r="R44" s="1588">
        <f>Gen_form!AQ692</f>
        <v>0</v>
      </c>
      <c r="S44" s="1588">
        <f>Gen_form!AR692</f>
        <v>0</v>
      </c>
      <c r="T44" s="1588">
        <f>Gen_form!AS692</f>
        <v>0</v>
      </c>
      <c r="U44" s="1588">
        <f>Gen_form!AT692</f>
        <v>0</v>
      </c>
      <c r="V44" s="1588">
        <f>Gen_form!AU692</f>
        <v>1</v>
      </c>
      <c r="W44" s="1588">
        <f>Gen_form!AV692</f>
        <v>0</v>
      </c>
      <c r="X44" s="1588">
        <f>Gen_form!AW692</f>
        <v>0</v>
      </c>
      <c r="Y44" s="1588">
        <f>Gen_form!AX692</f>
        <v>0</v>
      </c>
      <c r="Z44" s="1588" t="str">
        <f>Gen_form!AY692</f>
        <v/>
      </c>
      <c r="AA44" s="1588" t="str">
        <f>Gen_form!AZ692</f>
        <v/>
      </c>
      <c r="AB44" s="1588" t="str">
        <f>Gen_form!BA692</f>
        <v/>
      </c>
      <c r="AC44" s="1588" t="str">
        <f>Gen_form!BB692</f>
        <v/>
      </c>
    </row>
    <row r="45" spans="1:29">
      <c r="B45" s="1588">
        <f>Gen_form!AA693</f>
        <v>80</v>
      </c>
      <c r="C45" s="1588">
        <f>Gen_form!AB693</f>
        <v>400</v>
      </c>
      <c r="D45" s="1588">
        <f>Gen_form!AC693</f>
        <v>0.05</v>
      </c>
      <c r="E45" s="1588">
        <f>Gen_form!AD693</f>
        <v>0</v>
      </c>
      <c r="F45" s="1588" t="str">
        <f>Gen_form!AE693</f>
        <v>70-120</v>
      </c>
      <c r="G45" s="1588">
        <f>Gen_form!AF693</f>
        <v>0</v>
      </c>
      <c r="H45" s="1588" t="str">
        <f>Gen_form!AG693</f>
        <v>none</v>
      </c>
      <c r="I45" s="1588">
        <f>Gen_form!AH693</f>
        <v>60</v>
      </c>
      <c r="J45" s="1588" t="str">
        <f>Gen_form!AI693</f>
        <v>cm</v>
      </c>
      <c r="K45" s="1588">
        <f>Gen_form!AJ693</f>
        <v>1</v>
      </c>
      <c r="L45" s="1588" t="str">
        <f>Gen_form!AK693</f>
        <v>Low</v>
      </c>
      <c r="M45" s="1588" t="str">
        <f>Gen_form!AL693</f>
        <v>Internal</v>
      </c>
      <c r="N45" s="1588">
        <f>Gen_form!AM693</f>
        <v>0</v>
      </c>
      <c r="O45" s="1588">
        <f>Gen_form!AN693</f>
        <v>0</v>
      </c>
      <c r="P45" s="1588" t="str">
        <f>Gen_form!AO693</f>
        <v>Large</v>
      </c>
      <c r="Q45" s="1588">
        <f>Gen_form!AP693</f>
        <v>0</v>
      </c>
      <c r="R45" s="1588">
        <f>Gen_form!AQ693</f>
        <v>0</v>
      </c>
      <c r="S45" s="1588">
        <f>Gen_form!AR693</f>
        <v>0</v>
      </c>
      <c r="T45" s="1588">
        <f>Gen_form!AS693</f>
        <v>1</v>
      </c>
      <c r="U45" s="1588">
        <f>Gen_form!AT693</f>
        <v>0</v>
      </c>
      <c r="V45" s="1588">
        <f>Gen_form!AU693</f>
        <v>1</v>
      </c>
      <c r="W45" s="1588">
        <f>Gen_form!AV693</f>
        <v>0</v>
      </c>
      <c r="X45" s="1588">
        <f>Gen_form!AW693</f>
        <v>0</v>
      </c>
      <c r="Y45" s="1588">
        <f>Gen_form!AX693</f>
        <v>0</v>
      </c>
      <c r="Z45" s="1588" t="str">
        <f>Gen_form!AY693</f>
        <v/>
      </c>
      <c r="AA45" s="1588" t="str">
        <f>Gen_form!AZ693</f>
        <v/>
      </c>
      <c r="AB45" s="1588" t="str">
        <f>Gen_form!BA693</f>
        <v/>
      </c>
      <c r="AC45" s="1588" t="str">
        <f>Gen_form!BB693</f>
        <v/>
      </c>
    </row>
    <row r="46" spans="1:29">
      <c r="B46" s="1588">
        <f>Gen_form!AA694</f>
        <v>80</v>
      </c>
      <c r="C46" s="1588">
        <f>Gen_form!AB694</f>
        <v>400</v>
      </c>
      <c r="D46" s="1588">
        <f>Gen_form!AC694</f>
        <v>0.05</v>
      </c>
      <c r="E46" s="1588">
        <f>Gen_form!AD694</f>
        <v>0</v>
      </c>
      <c r="F46" s="1588" t="str">
        <f>Gen_form!AE694</f>
        <v>70-120</v>
      </c>
      <c r="G46" s="1588">
        <f>Gen_form!AF694</f>
        <v>0</v>
      </c>
      <c r="H46" s="1588" t="str">
        <f>Gen_form!AG694</f>
        <v>none</v>
      </c>
      <c r="I46" s="1588">
        <f>Gen_form!AH694</f>
        <v>60</v>
      </c>
      <c r="J46" s="1588" t="str">
        <f>Gen_form!AI694</f>
        <v>cm</v>
      </c>
      <c r="K46" s="1588">
        <f>Gen_form!AJ694</f>
        <v>1</v>
      </c>
      <c r="L46" s="1588" t="str">
        <f>Gen_form!AK694</f>
        <v>Low</v>
      </c>
      <c r="M46" s="1588" t="str">
        <f>Gen_form!AL694</f>
        <v>Internal</v>
      </c>
      <c r="N46" s="1588">
        <f>Gen_form!AM694</f>
        <v>0</v>
      </c>
      <c r="O46" s="1588">
        <f>Gen_form!AN694</f>
        <v>0</v>
      </c>
      <c r="P46" s="1588" t="str">
        <f>Gen_form!AO694</f>
        <v>Large</v>
      </c>
      <c r="Q46" s="1588">
        <f>Gen_form!AP694</f>
        <v>0</v>
      </c>
      <c r="R46" s="1588">
        <f>Gen_form!AQ694</f>
        <v>0</v>
      </c>
      <c r="S46" s="1588">
        <f>Gen_form!AR694</f>
        <v>0</v>
      </c>
      <c r="T46" s="1588">
        <f>Gen_form!AS694</f>
        <v>1</v>
      </c>
      <c r="U46" s="1588">
        <f>Gen_form!AT694</f>
        <v>0</v>
      </c>
      <c r="V46" s="1588">
        <f>Gen_form!AU694</f>
        <v>1</v>
      </c>
      <c r="W46" s="1588">
        <f>Gen_form!AV694</f>
        <v>0</v>
      </c>
      <c r="X46" s="1588">
        <f>Gen_form!AW694</f>
        <v>0</v>
      </c>
      <c r="Y46" s="1588">
        <f>Gen_form!AX694</f>
        <v>0</v>
      </c>
      <c r="Z46" s="1588" t="str">
        <f>Gen_form!AY694</f>
        <v/>
      </c>
      <c r="AA46" s="1588" t="str">
        <f>Gen_form!AZ694</f>
        <v/>
      </c>
      <c r="AB46" s="1588" t="str">
        <f>Gen_form!BA694</f>
        <v/>
      </c>
      <c r="AC46" s="1588" t="str">
        <f>Gen_form!BB694</f>
        <v/>
      </c>
    </row>
    <row r="47" spans="1:29">
      <c r="B47" s="1588">
        <f>Gen_form!AA695</f>
        <v>80</v>
      </c>
      <c r="C47" s="1588">
        <f>Gen_form!AB695</f>
        <v>400</v>
      </c>
      <c r="D47" s="1588">
        <f>Gen_form!AC695</f>
        <v>0.05</v>
      </c>
      <c r="E47" s="1588">
        <f>Gen_form!AD695</f>
        <v>0</v>
      </c>
      <c r="F47" s="1588" t="str">
        <f>Gen_form!AE695</f>
        <v>70-120</v>
      </c>
      <c r="G47" s="1588">
        <f>Gen_form!AF695</f>
        <v>3</v>
      </c>
      <c r="H47" s="1588" t="str">
        <f>Gen_form!AG695</f>
        <v>Aluminum</v>
      </c>
      <c r="I47" s="1588">
        <f>Gen_form!AH695</f>
        <v>60</v>
      </c>
      <c r="J47" s="1588" t="str">
        <f>Gen_form!AI695</f>
        <v>cm</v>
      </c>
      <c r="K47" s="1588">
        <f>Gen_form!AJ695</f>
        <v>1</v>
      </c>
      <c r="L47" s="1588" t="str">
        <f>Gen_form!AK695</f>
        <v>Low</v>
      </c>
      <c r="M47" s="1588" t="str">
        <f>Gen_form!AL695</f>
        <v>Internal</v>
      </c>
      <c r="N47" s="1588">
        <f>Gen_form!AM695</f>
        <v>0</v>
      </c>
      <c r="O47" s="1588">
        <f>Gen_form!AN695</f>
        <v>0</v>
      </c>
      <c r="P47" s="1588" t="str">
        <f>Gen_form!AO695</f>
        <v>Large</v>
      </c>
      <c r="Q47" s="1588">
        <f>Gen_form!AP695</f>
        <v>0</v>
      </c>
      <c r="R47" s="1588">
        <f>Gen_form!AQ695</f>
        <v>0</v>
      </c>
      <c r="S47" s="1588">
        <f>Gen_form!AR695</f>
        <v>0</v>
      </c>
      <c r="T47" s="1588">
        <f>Gen_form!AS695</f>
        <v>1</v>
      </c>
      <c r="U47" s="1588">
        <f>Gen_form!AT695</f>
        <v>0</v>
      </c>
      <c r="V47" s="1588">
        <f>Gen_form!AU695</f>
        <v>0</v>
      </c>
      <c r="W47" s="1588">
        <f>Gen_form!AV695</f>
        <v>0</v>
      </c>
      <c r="X47" s="1588">
        <f>Gen_form!AW695</f>
        <v>0</v>
      </c>
      <c r="Y47" s="1588">
        <f>Gen_form!AX695</f>
        <v>0</v>
      </c>
      <c r="Z47" s="1588" t="str">
        <f>Gen_form!AY695</f>
        <v/>
      </c>
      <c r="AA47" s="1588" t="str">
        <f>Gen_form!AZ695</f>
        <v/>
      </c>
      <c r="AB47" s="1588" t="str">
        <f>Gen_form!BA695</f>
        <v/>
      </c>
      <c r="AC47" s="1588" t="str">
        <f>Gen_form!BB695</f>
        <v/>
      </c>
    </row>
    <row r="48" spans="1:29">
      <c r="B48" s="1588">
        <f>Gen_form!AA696</f>
        <v>80</v>
      </c>
      <c r="C48" s="1588">
        <f>Gen_form!AB696</f>
        <v>400</v>
      </c>
      <c r="D48" s="1588">
        <f>Gen_form!AC696</f>
        <v>0.05</v>
      </c>
      <c r="E48" s="1588">
        <f>Gen_form!AD696</f>
        <v>0</v>
      </c>
      <c r="F48" s="1588" t="str">
        <f>Gen_form!AE696</f>
        <v>70-120</v>
      </c>
      <c r="G48" s="1588">
        <f>Gen_form!AF696</f>
        <v>3</v>
      </c>
      <c r="H48" s="1588" t="str">
        <f>Gen_form!AG696</f>
        <v>Aluminum</v>
      </c>
      <c r="I48" s="1588">
        <f>Gen_form!AH696</f>
        <v>60</v>
      </c>
      <c r="J48" s="1588" t="str">
        <f>Gen_form!AI696</f>
        <v>cm</v>
      </c>
      <c r="K48" s="1588">
        <f>Gen_form!AJ696</f>
        <v>1</v>
      </c>
      <c r="L48" s="1588" t="str">
        <f>Gen_form!AK696</f>
        <v>Low</v>
      </c>
      <c r="M48" s="1588" t="str">
        <f>Gen_form!AL696</f>
        <v>Internal</v>
      </c>
      <c r="N48" s="1588">
        <f>Gen_form!AM696</f>
        <v>0</v>
      </c>
      <c r="O48" s="1588">
        <f>Gen_form!AN696</f>
        <v>0</v>
      </c>
      <c r="P48" s="1588" t="str">
        <f>Gen_form!AO696</f>
        <v>Large</v>
      </c>
      <c r="Q48" s="1588">
        <f>Gen_form!AP696</f>
        <v>0</v>
      </c>
      <c r="R48" s="1588">
        <f>Gen_form!AQ696</f>
        <v>0</v>
      </c>
      <c r="S48" s="1588">
        <f>Gen_form!AR696</f>
        <v>0</v>
      </c>
      <c r="T48" s="1588">
        <f>Gen_form!AS696</f>
        <v>1</v>
      </c>
      <c r="U48" s="1588">
        <f>Gen_form!AT696</f>
        <v>0</v>
      </c>
      <c r="V48" s="1588">
        <f>Gen_form!AU696</f>
        <v>0</v>
      </c>
      <c r="W48" s="1588">
        <f>Gen_form!AV696</f>
        <v>0</v>
      </c>
      <c r="X48" s="1588">
        <f>Gen_form!AW696</f>
        <v>0</v>
      </c>
      <c r="Y48" s="1588">
        <f>Gen_form!AX696</f>
        <v>0</v>
      </c>
      <c r="Z48" s="1588" t="str">
        <f>Gen_form!AY696</f>
        <v/>
      </c>
      <c r="AA48" s="1588" t="str">
        <f>Gen_form!AZ696</f>
        <v/>
      </c>
      <c r="AB48" s="1588" t="str">
        <f>Gen_form!BA696</f>
        <v/>
      </c>
      <c r="AC48" s="1588" t="str">
        <f>Gen_form!BB696</f>
        <v/>
      </c>
    </row>
    <row r="49" spans="2:29">
      <c r="B49" s="1588">
        <f>Gen_form!AA697</f>
        <v>80</v>
      </c>
      <c r="C49" s="1588">
        <f>Gen_form!AB697</f>
        <v>400</v>
      </c>
      <c r="D49" s="1588">
        <f>Gen_form!AC697</f>
        <v>0.05</v>
      </c>
      <c r="E49" s="1588">
        <f>Gen_form!AD697</f>
        <v>0</v>
      </c>
      <c r="F49" s="1588" t="str">
        <f>Gen_form!AE697</f>
        <v>70-120</v>
      </c>
      <c r="G49" s="1588">
        <f>Gen_form!AF697</f>
        <v>3.5</v>
      </c>
      <c r="H49" s="1588" t="str">
        <f>Gen_form!AG697</f>
        <v>Aluminum</v>
      </c>
      <c r="I49" s="1588">
        <f>Gen_form!AH697</f>
        <v>60</v>
      </c>
      <c r="J49" s="1588" t="str">
        <f>Gen_form!AI697</f>
        <v>cm</v>
      </c>
      <c r="K49" s="1588">
        <f>Gen_form!AJ697</f>
        <v>1</v>
      </c>
      <c r="L49" s="1588" t="str">
        <f>Gen_form!AK697</f>
        <v>Low</v>
      </c>
      <c r="M49" s="1588" t="str">
        <f>Gen_form!AL697</f>
        <v>Internal</v>
      </c>
      <c r="N49" s="1588">
        <f>Gen_form!AM697</f>
        <v>0</v>
      </c>
      <c r="O49" s="1588">
        <f>Gen_form!AN697</f>
        <v>0</v>
      </c>
      <c r="P49" s="1588" t="str">
        <f>Gen_form!AO697</f>
        <v>Large</v>
      </c>
      <c r="Q49" s="1588">
        <f>Gen_form!AP697</f>
        <v>0</v>
      </c>
      <c r="R49" s="1588">
        <f>Gen_form!AQ697</f>
        <v>0</v>
      </c>
      <c r="S49" s="1588">
        <f>Gen_form!AR697</f>
        <v>0</v>
      </c>
      <c r="T49" s="1588">
        <f>Gen_form!AS697</f>
        <v>1</v>
      </c>
      <c r="U49" s="1588">
        <f>Gen_form!AT697</f>
        <v>0</v>
      </c>
      <c r="V49" s="1588">
        <f>Gen_form!AU697</f>
        <v>0</v>
      </c>
      <c r="W49" s="1588">
        <f>Gen_form!AV697</f>
        <v>0</v>
      </c>
      <c r="X49" s="1588">
        <f>Gen_form!AW697</f>
        <v>0</v>
      </c>
      <c r="Y49" s="1588">
        <f>Gen_form!AX697</f>
        <v>0</v>
      </c>
      <c r="Z49" s="1588" t="str">
        <f>Gen_form!AY697</f>
        <v/>
      </c>
      <c r="AA49" s="1588" t="str">
        <f>Gen_form!AZ697</f>
        <v/>
      </c>
      <c r="AB49" s="1588" t="str">
        <f>Gen_form!BA697</f>
        <v/>
      </c>
      <c r="AC49" s="1588" t="str">
        <f>Gen_form!BB697</f>
        <v/>
      </c>
    </row>
    <row r="50" spans="2:29">
      <c r="B50" s="1588">
        <f>Gen_form!AA698</f>
        <v>80</v>
      </c>
      <c r="C50" s="1588">
        <f>Gen_form!AB698</f>
        <v>400</v>
      </c>
      <c r="D50" s="1588">
        <f>Gen_form!AC698</f>
        <v>0.05</v>
      </c>
      <c r="E50" s="1588">
        <f>Gen_form!AD698</f>
        <v>0</v>
      </c>
      <c r="F50" s="1588" t="str">
        <f>Gen_form!AE698</f>
        <v>70-120</v>
      </c>
      <c r="G50" s="1588">
        <f>Gen_form!AF698</f>
        <v>3.5</v>
      </c>
      <c r="H50" s="1588" t="str">
        <f>Gen_form!AG698</f>
        <v>Aluminum</v>
      </c>
      <c r="I50" s="1588">
        <f>Gen_form!AH698</f>
        <v>60</v>
      </c>
      <c r="J50" s="1588" t="str">
        <f>Gen_form!AI698</f>
        <v>cm</v>
      </c>
      <c r="K50" s="1588">
        <f>Gen_form!AJ698</f>
        <v>1</v>
      </c>
      <c r="L50" s="1588" t="str">
        <f>Gen_form!AK698</f>
        <v>Low</v>
      </c>
      <c r="M50" s="1588" t="str">
        <f>Gen_form!AL698</f>
        <v>Internal</v>
      </c>
      <c r="N50" s="1588">
        <f>Gen_form!AM698</f>
        <v>0</v>
      </c>
      <c r="O50" s="1588">
        <f>Gen_form!AN698</f>
        <v>0</v>
      </c>
      <c r="P50" s="1588" t="str">
        <f>Gen_form!AO698</f>
        <v>Large</v>
      </c>
      <c r="Q50" s="1588">
        <f>Gen_form!AP698</f>
        <v>0</v>
      </c>
      <c r="R50" s="1588">
        <f>Gen_form!AQ698</f>
        <v>0</v>
      </c>
      <c r="S50" s="1588">
        <f>Gen_form!AR698</f>
        <v>0</v>
      </c>
      <c r="T50" s="1588">
        <f>Gen_form!AS698</f>
        <v>1</v>
      </c>
      <c r="U50" s="1588">
        <f>Gen_form!AT698</f>
        <v>0</v>
      </c>
      <c r="V50" s="1588">
        <f>Gen_form!AU698</f>
        <v>0</v>
      </c>
      <c r="W50" s="1588">
        <f>Gen_form!AV698</f>
        <v>0</v>
      </c>
      <c r="X50" s="1588">
        <f>Gen_form!AW698</f>
        <v>0</v>
      </c>
      <c r="Y50" s="1588">
        <f>Gen_form!AX698</f>
        <v>0</v>
      </c>
      <c r="Z50" s="1588" t="str">
        <f>Gen_form!AY698</f>
        <v/>
      </c>
      <c r="AA50" s="1588" t="str">
        <f>Gen_form!AZ698</f>
        <v/>
      </c>
      <c r="AB50" s="1588" t="str">
        <f>Gen_form!BA698</f>
        <v/>
      </c>
      <c r="AC50" s="1588" t="str">
        <f>Gen_form!BB698</f>
        <v/>
      </c>
    </row>
    <row r="51" spans="2:29">
      <c r="B51" s="1588">
        <f>Gen_form!AA699</f>
        <v>80</v>
      </c>
      <c r="C51" s="1588">
        <f>Gen_form!AB699</f>
        <v>400</v>
      </c>
      <c r="D51" s="1588">
        <f>Gen_form!AC699</f>
        <v>0.05</v>
      </c>
      <c r="E51" s="1588">
        <f>Gen_form!AD699</f>
        <v>0</v>
      </c>
      <c r="F51" s="1588" t="str">
        <f>Gen_form!AE699</f>
        <v>70-120</v>
      </c>
      <c r="G51" s="1588">
        <f>Gen_form!AF699</f>
        <v>2.5</v>
      </c>
      <c r="H51" s="1588" t="str">
        <f>Gen_form!AG699</f>
        <v>Aluminum</v>
      </c>
      <c r="I51" s="1588">
        <f>Gen_form!AH699</f>
        <v>60</v>
      </c>
      <c r="J51" s="1588" t="str">
        <f>Gen_form!AI699</f>
        <v>cm</v>
      </c>
      <c r="K51" s="1588">
        <f>Gen_form!AJ699</f>
        <v>1</v>
      </c>
      <c r="L51" s="1588" t="str">
        <f>Gen_form!AK699</f>
        <v>Low</v>
      </c>
      <c r="M51" s="1588" t="str">
        <f>Gen_form!AL699</f>
        <v>Internal</v>
      </c>
      <c r="N51" s="1588">
        <f>Gen_form!AM699</f>
        <v>0</v>
      </c>
      <c r="O51" s="1588">
        <f>Gen_form!AN699</f>
        <v>0</v>
      </c>
      <c r="P51" s="1588" t="str">
        <f>Gen_form!AO699</f>
        <v>Large</v>
      </c>
      <c r="Q51" s="1588">
        <f>Gen_form!AP699</f>
        <v>0</v>
      </c>
      <c r="R51" s="1588">
        <f>Gen_form!AQ699</f>
        <v>0</v>
      </c>
      <c r="S51" s="1588">
        <f>Gen_form!AR699</f>
        <v>0</v>
      </c>
      <c r="T51" s="1588">
        <f>Gen_form!AS699</f>
        <v>1</v>
      </c>
      <c r="U51" s="1588">
        <f>Gen_form!AT699</f>
        <v>0</v>
      </c>
      <c r="V51" s="1588">
        <f>Gen_form!AU699</f>
        <v>0</v>
      </c>
      <c r="W51" s="1588">
        <f>Gen_form!AV699</f>
        <v>0</v>
      </c>
      <c r="X51" s="1588">
        <f>Gen_form!AW699</f>
        <v>0</v>
      </c>
      <c r="Y51" s="1588">
        <f>Gen_form!AX699</f>
        <v>0</v>
      </c>
      <c r="Z51" s="1588" t="str">
        <f>Gen_form!AY699</f>
        <v/>
      </c>
      <c r="AA51" s="1588" t="str">
        <f>Gen_form!AZ699</f>
        <v/>
      </c>
      <c r="AB51" s="1588" t="str">
        <f>Gen_form!BA699</f>
        <v/>
      </c>
      <c r="AC51" s="1588" t="str">
        <f>Gen_form!BB699</f>
        <v/>
      </c>
    </row>
    <row r="52" spans="2:29">
      <c r="B52" s="1588">
        <f>Gen_form!AA700</f>
        <v>80</v>
      </c>
      <c r="C52" s="1588">
        <f>Gen_form!AB700</f>
        <v>400</v>
      </c>
      <c r="D52" s="1588">
        <f>Gen_form!AC700</f>
        <v>0.05</v>
      </c>
      <c r="E52" s="1588">
        <f>Gen_form!AD700</f>
        <v>0</v>
      </c>
      <c r="F52" s="1588" t="str">
        <f>Gen_form!AE700</f>
        <v>70-120</v>
      </c>
      <c r="G52" s="1588">
        <f>Gen_form!AF700</f>
        <v>2.5</v>
      </c>
      <c r="H52" s="1588" t="str">
        <f>Gen_form!AG700</f>
        <v>Aluminum</v>
      </c>
      <c r="I52" s="1588">
        <f>Gen_form!AH700</f>
        <v>60</v>
      </c>
      <c r="J52" s="1588" t="str">
        <f>Gen_form!AI700</f>
        <v>cm</v>
      </c>
      <c r="K52" s="1588">
        <f>Gen_form!AJ700</f>
        <v>1</v>
      </c>
      <c r="L52" s="1588" t="str">
        <f>Gen_form!AK700</f>
        <v>Low</v>
      </c>
      <c r="M52" s="1588" t="str">
        <f>Gen_form!AL700</f>
        <v>Internal</v>
      </c>
      <c r="N52" s="1588">
        <f>Gen_form!AM700</f>
        <v>0</v>
      </c>
      <c r="O52" s="1588">
        <f>Gen_form!AN700</f>
        <v>0</v>
      </c>
      <c r="P52" s="1588" t="str">
        <f>Gen_form!AO700</f>
        <v>Large</v>
      </c>
      <c r="Q52" s="1588">
        <f>Gen_form!AP700</f>
        <v>0</v>
      </c>
      <c r="R52" s="1588">
        <f>Gen_form!AQ700</f>
        <v>0</v>
      </c>
      <c r="S52" s="1588">
        <f>Gen_form!AR700</f>
        <v>0</v>
      </c>
      <c r="T52" s="1588">
        <f>Gen_form!AS700</f>
        <v>1</v>
      </c>
      <c r="U52" s="1588">
        <f>Gen_form!AT700</f>
        <v>0</v>
      </c>
      <c r="V52" s="1588">
        <f>Gen_form!AU700</f>
        <v>0</v>
      </c>
      <c r="W52" s="1588">
        <f>Gen_form!AV700</f>
        <v>0</v>
      </c>
      <c r="X52" s="1588">
        <f>Gen_form!AW700</f>
        <v>0</v>
      </c>
      <c r="Y52" s="1588">
        <f>Gen_form!AX700</f>
        <v>0</v>
      </c>
      <c r="Z52" s="1588" t="str">
        <f>Gen_form!AY700</f>
        <v/>
      </c>
      <c r="AA52" s="1588" t="str">
        <f>Gen_form!AZ700</f>
        <v/>
      </c>
      <c r="AB52" s="1588" t="str">
        <f>Gen_form!BA700</f>
        <v/>
      </c>
      <c r="AC52" s="1588" t="str">
        <f>Gen_form!BB700</f>
        <v/>
      </c>
    </row>
    <row r="53" spans="2:29">
      <c r="B53" s="1588">
        <f>Gen_form!AA701</f>
        <v>80</v>
      </c>
      <c r="C53" s="1588">
        <f>Gen_form!AB701</f>
        <v>500</v>
      </c>
      <c r="D53" s="1588">
        <f>Gen_form!AC701</f>
        <v>0.05</v>
      </c>
      <c r="E53" s="1588">
        <f>Gen_form!AD701</f>
        <v>0</v>
      </c>
      <c r="F53" s="1588" t="str">
        <f>Gen_form!AE701</f>
        <v>70-120</v>
      </c>
      <c r="G53" s="1588">
        <f>Gen_form!AF701</f>
        <v>0</v>
      </c>
      <c r="H53" s="1588" t="str">
        <f>Gen_form!AG701</f>
        <v>none</v>
      </c>
      <c r="I53" s="1588">
        <f>Gen_form!AH701</f>
        <v>60</v>
      </c>
      <c r="J53" s="1588" t="str">
        <f>Gen_form!AI701</f>
        <v>cm</v>
      </c>
      <c r="K53" s="1588">
        <f>Gen_form!AJ701</f>
        <v>1</v>
      </c>
      <c r="L53" s="1588" t="str">
        <f>Gen_form!AK701</f>
        <v>Low</v>
      </c>
      <c r="M53" s="1588" t="str">
        <f>Gen_form!AL701</f>
        <v>Internal</v>
      </c>
      <c r="N53" s="1588">
        <f>Gen_form!AM701</f>
        <v>0</v>
      </c>
      <c r="O53" s="1588">
        <f>Gen_form!AN701</f>
        <v>0</v>
      </c>
      <c r="P53" s="1588" t="str">
        <f>Gen_form!AO701</f>
        <v>Large</v>
      </c>
      <c r="Q53" s="1588">
        <f>Gen_form!AP701</f>
        <v>0</v>
      </c>
      <c r="R53" s="1588">
        <f>Gen_form!AQ701</f>
        <v>1</v>
      </c>
      <c r="S53" s="1588">
        <f>Gen_form!AR701</f>
        <v>0</v>
      </c>
      <c r="T53" s="1588">
        <f>Gen_form!AS701</f>
        <v>0</v>
      </c>
      <c r="U53" s="1588">
        <f>Gen_form!AT701</f>
        <v>0</v>
      </c>
      <c r="V53" s="1588">
        <f>Gen_form!AU701</f>
        <v>0</v>
      </c>
      <c r="W53" s="1588">
        <f>Gen_form!AV701</f>
        <v>0</v>
      </c>
      <c r="X53" s="1588">
        <f>Gen_form!AW701</f>
        <v>0</v>
      </c>
      <c r="Y53" s="1588">
        <f>Gen_form!AX701</f>
        <v>0</v>
      </c>
      <c r="Z53" s="1588" t="str">
        <f>Gen_form!AY701</f>
        <v/>
      </c>
      <c r="AA53" s="1588" t="str">
        <f>Gen_form!AZ701</f>
        <v/>
      </c>
      <c r="AB53" s="1588" t="str">
        <f>Gen_form!BA701</f>
        <v/>
      </c>
      <c r="AC53" s="1588" t="str">
        <f>Gen_form!BB701</f>
        <v/>
      </c>
    </row>
    <row r="54" spans="2:29">
      <c r="B54" s="1588">
        <f>Gen_form!AA702</f>
        <v>80</v>
      </c>
      <c r="C54" s="1588">
        <f>Gen_form!AB702</f>
        <v>50</v>
      </c>
      <c r="D54" s="1588">
        <f>Gen_form!AC702</f>
        <v>0.05</v>
      </c>
      <c r="E54" s="1588">
        <f>Gen_form!AD702</f>
        <v>0</v>
      </c>
      <c r="F54" s="1588" t="str">
        <f>Gen_form!AE702</f>
        <v>70-120</v>
      </c>
      <c r="G54" s="1588">
        <f>Gen_form!AF702</f>
        <v>0</v>
      </c>
      <c r="H54" s="1588" t="str">
        <f>Gen_form!AG702</f>
        <v>none</v>
      </c>
      <c r="I54" s="1588">
        <f>Gen_form!AH702</f>
        <v>60</v>
      </c>
      <c r="J54" s="1588" t="str">
        <f>Gen_form!AI702</f>
        <v>cm</v>
      </c>
      <c r="K54" s="1588">
        <f>Gen_form!AJ702</f>
        <v>1</v>
      </c>
      <c r="L54" s="1588" t="str">
        <f>Gen_form!AK702</f>
        <v>High</v>
      </c>
      <c r="M54" s="1588" t="str">
        <f>Gen_form!AL702</f>
        <v>Internal</v>
      </c>
      <c r="N54" s="1588">
        <f>Gen_form!AM702</f>
        <v>0</v>
      </c>
      <c r="O54" s="1588">
        <f>Gen_form!AN702</f>
        <v>0</v>
      </c>
      <c r="P54" s="1588" t="str">
        <f>Gen_form!AO702</f>
        <v>Large</v>
      </c>
      <c r="Q54" s="1588">
        <f>Gen_form!AP702</f>
        <v>0</v>
      </c>
      <c r="R54" s="1588">
        <f>Gen_form!AQ702</f>
        <v>1</v>
      </c>
      <c r="S54" s="1588">
        <f>Gen_form!AR702</f>
        <v>0</v>
      </c>
      <c r="T54" s="1588">
        <f>Gen_form!AS702</f>
        <v>0</v>
      </c>
      <c r="U54" s="1588">
        <f>Gen_form!AT702</f>
        <v>0</v>
      </c>
      <c r="V54" s="1588">
        <f>Gen_form!AU702</f>
        <v>0</v>
      </c>
      <c r="W54" s="1588">
        <f>Gen_form!AV702</f>
        <v>0</v>
      </c>
      <c r="X54" s="1588">
        <f>Gen_form!AW702</f>
        <v>0</v>
      </c>
      <c r="Y54" s="1588">
        <f>Gen_form!AX702</f>
        <v>0</v>
      </c>
      <c r="Z54" s="1588" t="str">
        <f>Gen_form!AY702</f>
        <v/>
      </c>
      <c r="AA54" s="1588" t="str">
        <f>Gen_form!AZ702</f>
        <v/>
      </c>
      <c r="AB54" s="1588" t="str">
        <f>Gen_form!BA702</f>
        <v/>
      </c>
      <c r="AC54" s="1588" t="str">
        <f>Gen_form!BB702</f>
        <v/>
      </c>
    </row>
    <row r="55" spans="2:29">
      <c r="B55" s="1588">
        <f>Gen_form!AA703</f>
        <v>80</v>
      </c>
      <c r="C55" s="1588">
        <f>Gen_form!AB703</f>
        <v>800</v>
      </c>
      <c r="D55" s="1588">
        <f>Gen_form!AC703</f>
        <v>0.05</v>
      </c>
      <c r="E55" s="1588">
        <f>Gen_form!AD703</f>
        <v>0</v>
      </c>
      <c r="F55" s="1588" t="str">
        <f>Gen_form!AE703</f>
        <v>70-120</v>
      </c>
      <c r="G55" s="1588">
        <f>Gen_form!AF703</f>
        <v>0</v>
      </c>
      <c r="H55" s="1588" t="str">
        <f>Gen_form!AG703</f>
        <v>none</v>
      </c>
      <c r="I55" s="1588">
        <f>Gen_form!AH703</f>
        <v>60</v>
      </c>
      <c r="J55" s="1588" t="str">
        <f>Gen_form!AI703</f>
        <v>cm</v>
      </c>
      <c r="K55" s="1588">
        <f>Gen_form!AJ703</f>
        <v>1</v>
      </c>
      <c r="L55" s="1588" t="str">
        <f>Gen_form!AK703</f>
        <v>Low</v>
      </c>
      <c r="M55" s="1588" t="str">
        <f>Gen_form!AL703</f>
        <v>Internal</v>
      </c>
      <c r="N55" s="1588">
        <f>Gen_form!AM703</f>
        <v>0</v>
      </c>
      <c r="O55" s="1588">
        <f>Gen_form!AN703</f>
        <v>0</v>
      </c>
      <c r="P55" s="1588" t="str">
        <f>Gen_form!AO703</f>
        <v>Large</v>
      </c>
      <c r="Q55" s="1588">
        <f>Gen_form!AP703</f>
        <v>0</v>
      </c>
      <c r="R55" s="1588">
        <f>Gen_form!AQ703</f>
        <v>1</v>
      </c>
      <c r="S55" s="1588">
        <f>Gen_form!AR703</f>
        <v>0</v>
      </c>
      <c r="T55" s="1588">
        <f>Gen_form!AS703</f>
        <v>0</v>
      </c>
      <c r="U55" s="1588">
        <f>Gen_form!AT703</f>
        <v>0</v>
      </c>
      <c r="V55" s="1588">
        <f>Gen_form!AU703</f>
        <v>0</v>
      </c>
      <c r="W55" s="1588">
        <f>Gen_form!AV703</f>
        <v>0</v>
      </c>
      <c r="X55" s="1588">
        <f>Gen_form!AW703</f>
        <v>0</v>
      </c>
      <c r="Y55" s="1588">
        <f>Gen_form!AX703</f>
        <v>0</v>
      </c>
      <c r="Z55" s="1588" t="str">
        <f>Gen_form!AY703</f>
        <v/>
      </c>
      <c r="AA55" s="1588" t="str">
        <f>Gen_form!AZ703</f>
        <v/>
      </c>
      <c r="AB55" s="1588" t="str">
        <f>Gen_form!BA703</f>
        <v/>
      </c>
      <c r="AC55" s="1588" t="str">
        <f>Gen_form!BB703</f>
        <v/>
      </c>
    </row>
    <row r="56" spans="2:29">
      <c r="B56" s="1588">
        <f>Gen_form!AA704</f>
        <v>80</v>
      </c>
      <c r="C56" s="1588">
        <f>Gen_form!AB704</f>
        <v>250</v>
      </c>
      <c r="D56" s="1588">
        <f>Gen_form!AC704</f>
        <v>0.05</v>
      </c>
      <c r="E56" s="1588">
        <f>Gen_form!AD704</f>
        <v>0</v>
      </c>
      <c r="F56" s="1588" t="str">
        <f>Gen_form!AE704</f>
        <v>70-120</v>
      </c>
      <c r="G56" s="1588">
        <f>Gen_form!AF704</f>
        <v>0</v>
      </c>
      <c r="H56" s="1588" t="str">
        <f>Gen_form!AG704</f>
        <v>none</v>
      </c>
      <c r="I56" s="1588">
        <f>Gen_form!AH704</f>
        <v>60</v>
      </c>
      <c r="J56" s="1588" t="str">
        <f>Gen_form!AI704</f>
        <v>cm</v>
      </c>
      <c r="K56" s="1588">
        <f>Gen_form!AJ704</f>
        <v>1</v>
      </c>
      <c r="L56" s="1588" t="str">
        <f>Gen_form!AK704</f>
        <v>Low</v>
      </c>
      <c r="M56" s="1588" t="str">
        <f>Gen_form!AL704</f>
        <v>Internal</v>
      </c>
      <c r="N56" s="1588">
        <f>Gen_form!AM704</f>
        <v>0</v>
      </c>
      <c r="O56" s="1588">
        <f>Gen_form!AN704</f>
        <v>0</v>
      </c>
      <c r="P56" s="1588" t="str">
        <f>Gen_form!AO704</f>
        <v>Large</v>
      </c>
      <c r="Q56" s="1588">
        <f>Gen_form!AP704</f>
        <v>0</v>
      </c>
      <c r="R56" s="1588">
        <f>Gen_form!AQ704</f>
        <v>1</v>
      </c>
      <c r="S56" s="1588">
        <f>Gen_form!AR704</f>
        <v>0</v>
      </c>
      <c r="T56" s="1588">
        <f>Gen_form!AS704</f>
        <v>0</v>
      </c>
      <c r="U56" s="1588">
        <f>Gen_form!AT704</f>
        <v>0</v>
      </c>
      <c r="V56" s="1588">
        <f>Gen_form!AU704</f>
        <v>0</v>
      </c>
      <c r="W56" s="1588">
        <f>Gen_form!AV704</f>
        <v>0</v>
      </c>
      <c r="X56" s="1588">
        <f>Gen_form!AW704</f>
        <v>0</v>
      </c>
      <c r="Y56" s="1588">
        <f>Gen_form!AX704</f>
        <v>0</v>
      </c>
      <c r="Z56" s="1588" t="str">
        <f>Gen_form!AY704</f>
        <v/>
      </c>
      <c r="AA56" s="1588" t="str">
        <f>Gen_form!AZ704</f>
        <v/>
      </c>
      <c r="AB56" s="1588" t="str">
        <f>Gen_form!BA704</f>
        <v/>
      </c>
      <c r="AC56" s="1588" t="str">
        <f>Gen_form!BB704</f>
        <v/>
      </c>
    </row>
    <row r="57" spans="2:29">
      <c r="B57" s="1588">
        <f>Gen_form!AA705</f>
        <v>100</v>
      </c>
      <c r="C57" s="1588">
        <f>Gen_form!AB705</f>
        <v>400</v>
      </c>
      <c r="D57" s="1588">
        <f>Gen_form!AC705</f>
        <v>0.05</v>
      </c>
      <c r="E57" s="1588">
        <f>Gen_form!AD705</f>
        <v>0</v>
      </c>
      <c r="F57" s="1588" t="str">
        <f>Gen_form!AE705</f>
        <v>70-120</v>
      </c>
      <c r="G57" s="1588">
        <f>Gen_form!AF705</f>
        <v>0</v>
      </c>
      <c r="H57" s="1588" t="str">
        <f>Gen_form!AG705</f>
        <v>none</v>
      </c>
      <c r="I57" s="1588">
        <f>Gen_form!AH705</f>
        <v>60</v>
      </c>
      <c r="J57" s="1588" t="str">
        <f>Gen_form!AI705</f>
        <v>cm</v>
      </c>
      <c r="K57" s="1588">
        <f>Gen_form!AJ705</f>
        <v>1</v>
      </c>
      <c r="L57" s="1588" t="str">
        <f>Gen_form!AK705</f>
        <v>Low</v>
      </c>
      <c r="M57" s="1588" t="str">
        <f>Gen_form!AL705</f>
        <v>Internal</v>
      </c>
      <c r="N57" s="1588">
        <f>Gen_form!AM705</f>
        <v>0</v>
      </c>
      <c r="O57" s="1588">
        <f>Gen_form!AN705</f>
        <v>0</v>
      </c>
      <c r="P57" s="1588" t="str">
        <f>Gen_form!AO705</f>
        <v>Large</v>
      </c>
      <c r="Q57" s="1588">
        <f>Gen_form!AP705</f>
        <v>0</v>
      </c>
      <c r="R57" s="1588">
        <f>Gen_form!AQ705</f>
        <v>0</v>
      </c>
      <c r="S57" s="1588">
        <f>Gen_form!AR705</f>
        <v>1</v>
      </c>
      <c r="T57" s="1588">
        <f>Gen_form!AS705</f>
        <v>0</v>
      </c>
      <c r="U57" s="1588">
        <f>Gen_form!AT705</f>
        <v>0</v>
      </c>
      <c r="V57" s="1588">
        <f>Gen_form!AU705</f>
        <v>0</v>
      </c>
      <c r="W57" s="1588">
        <f>Gen_form!AV705</f>
        <v>0</v>
      </c>
      <c r="X57" s="1588">
        <f>Gen_form!AW705</f>
        <v>0</v>
      </c>
      <c r="Y57" s="1588">
        <f>Gen_form!AX705</f>
        <v>0</v>
      </c>
      <c r="Z57" s="1588" t="str">
        <f>Gen_form!AY705</f>
        <v/>
      </c>
      <c r="AA57" s="1588" t="str">
        <f>Gen_form!AZ705</f>
        <v/>
      </c>
      <c r="AB57" s="1588" t="str">
        <f>Gen_form!BA705</f>
        <v/>
      </c>
      <c r="AC57" s="1588" t="str">
        <f>Gen_form!BB705</f>
        <v/>
      </c>
    </row>
    <row r="58" spans="2:29">
      <c r="B58" s="1588">
        <f>Gen_form!AA706</f>
        <v>100</v>
      </c>
      <c r="C58" s="1588">
        <f>Gen_form!AB706</f>
        <v>400</v>
      </c>
      <c r="D58" s="1588">
        <f>Gen_form!AC706</f>
        <v>0.05</v>
      </c>
      <c r="E58" s="1588">
        <f>Gen_form!AD706</f>
        <v>0</v>
      </c>
      <c r="F58" s="1588" t="str">
        <f>Gen_form!AE706</f>
        <v>100-155</v>
      </c>
      <c r="G58" s="1588">
        <f>Gen_form!AF706</f>
        <v>0</v>
      </c>
      <c r="H58" s="1588" t="str">
        <f>Gen_form!AG706</f>
        <v>none</v>
      </c>
      <c r="I58" s="1588">
        <f>Gen_form!AH706</f>
        <v>60</v>
      </c>
      <c r="J58" s="1588" t="str">
        <f>Gen_form!AI706</f>
        <v>cm</v>
      </c>
      <c r="K58" s="1588">
        <f>Gen_form!AJ706</f>
        <v>1</v>
      </c>
      <c r="L58" s="1588" t="str">
        <f>Gen_form!AK706</f>
        <v>Low</v>
      </c>
      <c r="M58" s="1588" t="str">
        <f>Gen_form!AL706</f>
        <v>Internal</v>
      </c>
      <c r="N58" s="1588">
        <f>Gen_form!AM706</f>
        <v>0</v>
      </c>
      <c r="O58" s="1588">
        <f>Gen_form!AN706</f>
        <v>0</v>
      </c>
      <c r="P58" s="1588" t="str">
        <f>Gen_form!AO706</f>
        <v>Large</v>
      </c>
      <c r="Q58" s="1588">
        <f>Gen_form!AP706</f>
        <v>0</v>
      </c>
      <c r="R58" s="1588">
        <f>Gen_form!AQ706</f>
        <v>0</v>
      </c>
      <c r="S58" s="1588">
        <f>Gen_form!AR706</f>
        <v>1</v>
      </c>
      <c r="T58" s="1588">
        <f>Gen_form!AS706</f>
        <v>1</v>
      </c>
      <c r="U58" s="1588">
        <f>Gen_form!AT706</f>
        <v>0</v>
      </c>
      <c r="V58" s="1588">
        <f>Gen_form!AU706</f>
        <v>0</v>
      </c>
      <c r="W58" s="1588">
        <f>Gen_form!AV706</f>
        <v>0</v>
      </c>
      <c r="X58" s="1588">
        <f>Gen_form!AW706</f>
        <v>0</v>
      </c>
      <c r="Y58" s="1588">
        <f>Gen_form!AX706</f>
        <v>0</v>
      </c>
      <c r="Z58" s="1588" t="str">
        <f>Gen_form!AY706</f>
        <v/>
      </c>
      <c r="AA58" s="1588" t="str">
        <f>Gen_form!AZ706</f>
        <v/>
      </c>
      <c r="AB58" s="1588" t="str">
        <f>Gen_form!BA706</f>
        <v/>
      </c>
      <c r="AC58" s="1588" t="str">
        <f>Gen_form!BB706</f>
        <v/>
      </c>
    </row>
    <row r="59" spans="2:29">
      <c r="B59" s="1588" t="e">
        <f>Gen_form!#REF!</f>
        <v>#REF!</v>
      </c>
      <c r="C59" s="1588" t="e">
        <f>Gen_form!#REF!</f>
        <v>#REF!</v>
      </c>
      <c r="D59" s="1588" t="e">
        <f>Gen_form!#REF!</f>
        <v>#REF!</v>
      </c>
      <c r="E59" s="1588" t="e">
        <f>Gen_form!#REF!</f>
        <v>#REF!</v>
      </c>
      <c r="F59" s="1588" t="e">
        <f>Gen_form!#REF!</f>
        <v>#REF!</v>
      </c>
      <c r="G59" s="1588" t="e">
        <f>Gen_form!#REF!</f>
        <v>#REF!</v>
      </c>
      <c r="H59" s="1588" t="e">
        <f>Gen_form!#REF!</f>
        <v>#REF!</v>
      </c>
      <c r="I59" s="1588" t="e">
        <f>Gen_form!#REF!</f>
        <v>#REF!</v>
      </c>
      <c r="J59" s="1588" t="e">
        <f>Gen_form!#REF!</f>
        <v>#REF!</v>
      </c>
      <c r="K59" s="1588" t="e">
        <f>Gen_form!#REF!</f>
        <v>#REF!</v>
      </c>
      <c r="L59" s="1588" t="e">
        <f>Gen_form!#REF!</f>
        <v>#REF!</v>
      </c>
      <c r="M59" s="1588" t="e">
        <f>Gen_form!#REF!</f>
        <v>#REF!</v>
      </c>
      <c r="N59" s="1588" t="e">
        <f>Gen_form!#REF!</f>
        <v>#REF!</v>
      </c>
      <c r="O59" s="1588" t="e">
        <f>Gen_form!#REF!</f>
        <v>#REF!</v>
      </c>
      <c r="P59" s="1588" t="e">
        <f>Gen_form!#REF!</f>
        <v>#REF!</v>
      </c>
      <c r="Q59" s="1588" t="e">
        <f>Gen_form!#REF!</f>
        <v>#REF!</v>
      </c>
      <c r="R59" s="1588" t="e">
        <f>Gen_form!#REF!</f>
        <v>#REF!</v>
      </c>
      <c r="S59" s="1588" t="e">
        <f>Gen_form!#REF!</f>
        <v>#REF!</v>
      </c>
      <c r="T59" s="1588" t="e">
        <f>Gen_form!#REF!</f>
        <v>#REF!</v>
      </c>
      <c r="U59" s="1588" t="e">
        <f>Gen_form!#REF!</f>
        <v>#REF!</v>
      </c>
      <c r="V59" s="1588" t="e">
        <f>Gen_form!#REF!</f>
        <v>#REF!</v>
      </c>
      <c r="W59" s="1588" t="e">
        <f>Gen_form!#REF!</f>
        <v>#REF!</v>
      </c>
      <c r="X59" s="1588" t="e">
        <f>Gen_form!#REF!</f>
        <v>#REF!</v>
      </c>
      <c r="Y59" s="1588" t="e">
        <f>Gen_form!#REF!</f>
        <v>#REF!</v>
      </c>
      <c r="Z59" s="1588" t="e">
        <f>Gen_form!#REF!</f>
        <v>#REF!</v>
      </c>
      <c r="AA59" s="1588" t="e">
        <f>Gen_form!#REF!</f>
        <v>#REF!</v>
      </c>
      <c r="AB59" s="1588" t="e">
        <f>Gen_form!#REF!</f>
        <v>#REF!</v>
      </c>
      <c r="AC59" s="1588" t="e">
        <f>Gen_form!#REF!</f>
        <v>#REF!</v>
      </c>
    </row>
    <row r="60" spans="2:29">
      <c r="B60" s="1588" t="e">
        <f>Gen_form!#REF!</f>
        <v>#REF!</v>
      </c>
      <c r="C60" s="1588" t="e">
        <f>Gen_form!#REF!</f>
        <v>#REF!</v>
      </c>
      <c r="D60" s="1588" t="e">
        <f>Gen_form!#REF!</f>
        <v>#REF!</v>
      </c>
      <c r="E60" s="1588" t="e">
        <f>Gen_form!#REF!</f>
        <v>#REF!</v>
      </c>
      <c r="F60" s="1588" t="e">
        <f>Gen_form!#REF!</f>
        <v>#REF!</v>
      </c>
      <c r="G60" s="1588" t="e">
        <f>Gen_form!#REF!</f>
        <v>#REF!</v>
      </c>
      <c r="H60" s="1588" t="e">
        <f>Gen_form!#REF!</f>
        <v>#REF!</v>
      </c>
      <c r="I60" s="1588" t="e">
        <f>Gen_form!#REF!</f>
        <v>#REF!</v>
      </c>
      <c r="J60" s="1588" t="e">
        <f>Gen_form!#REF!</f>
        <v>#REF!</v>
      </c>
      <c r="K60" s="1588" t="e">
        <f>Gen_form!#REF!</f>
        <v>#REF!</v>
      </c>
      <c r="L60" s="1588" t="e">
        <f>Gen_form!#REF!</f>
        <v>#REF!</v>
      </c>
      <c r="M60" s="1588" t="e">
        <f>Gen_form!#REF!</f>
        <v>#REF!</v>
      </c>
      <c r="N60" s="1588" t="e">
        <f>Gen_form!#REF!</f>
        <v>#REF!</v>
      </c>
      <c r="O60" s="1588" t="e">
        <f>Gen_form!#REF!</f>
        <v>#REF!</v>
      </c>
      <c r="P60" s="1588" t="e">
        <f>Gen_form!#REF!</f>
        <v>#REF!</v>
      </c>
      <c r="Q60" s="1588" t="e">
        <f>Gen_form!#REF!</f>
        <v>#REF!</v>
      </c>
      <c r="R60" s="1588" t="e">
        <f>Gen_form!#REF!</f>
        <v>#REF!</v>
      </c>
      <c r="S60" s="1588" t="e">
        <f>Gen_form!#REF!</f>
        <v>#REF!</v>
      </c>
      <c r="T60" s="1588" t="e">
        <f>Gen_form!#REF!</f>
        <v>#REF!</v>
      </c>
      <c r="U60" s="1588" t="e">
        <f>Gen_form!#REF!</f>
        <v>#REF!</v>
      </c>
      <c r="V60" s="1588" t="e">
        <f>Gen_form!#REF!</f>
        <v>#REF!</v>
      </c>
      <c r="W60" s="1588" t="e">
        <f>Gen_form!#REF!</f>
        <v>#REF!</v>
      </c>
      <c r="X60" s="1588" t="e">
        <f>Gen_form!#REF!</f>
        <v>#REF!</v>
      </c>
      <c r="Y60" s="1588" t="e">
        <f>Gen_form!#REF!</f>
        <v>#REF!</v>
      </c>
      <c r="Z60" s="1588" t="e">
        <f>Gen_form!#REF!</f>
        <v>#REF!</v>
      </c>
      <c r="AA60" s="1588" t="e">
        <f>Gen_form!#REF!</f>
        <v>#REF!</v>
      </c>
      <c r="AB60" s="1588" t="e">
        <f>Gen_form!#REF!</f>
        <v>#REF!</v>
      </c>
      <c r="AC60" s="1588" t="e">
        <f>Gen_form!#REF!</f>
        <v>#REF!</v>
      </c>
    </row>
    <row r="61" spans="2:29">
      <c r="B61" s="1588" t="e">
        <f>Gen_form!#REF!</f>
        <v>#REF!</v>
      </c>
      <c r="C61" s="1588" t="e">
        <f>Gen_form!#REF!</f>
        <v>#REF!</v>
      </c>
      <c r="D61" s="1588" t="e">
        <f>Gen_form!#REF!</f>
        <v>#REF!</v>
      </c>
      <c r="E61" s="1588" t="e">
        <f>Gen_form!#REF!</f>
        <v>#REF!</v>
      </c>
      <c r="F61" s="1588" t="e">
        <f>Gen_form!#REF!</f>
        <v>#REF!</v>
      </c>
      <c r="G61" s="1588" t="e">
        <f>Gen_form!#REF!</f>
        <v>#REF!</v>
      </c>
      <c r="H61" s="1588" t="e">
        <f>Gen_form!#REF!</f>
        <v>#REF!</v>
      </c>
      <c r="I61" s="1588" t="e">
        <f>Gen_form!#REF!</f>
        <v>#REF!</v>
      </c>
      <c r="J61" s="1588" t="e">
        <f>Gen_form!#REF!</f>
        <v>#REF!</v>
      </c>
      <c r="K61" s="1588" t="e">
        <f>Gen_form!#REF!</f>
        <v>#REF!</v>
      </c>
      <c r="L61" s="1588" t="e">
        <f>Gen_form!#REF!</f>
        <v>#REF!</v>
      </c>
      <c r="M61" s="1588" t="e">
        <f>Gen_form!#REF!</f>
        <v>#REF!</v>
      </c>
      <c r="N61" s="1588" t="e">
        <f>Gen_form!#REF!</f>
        <v>#REF!</v>
      </c>
      <c r="O61" s="1588" t="e">
        <f>Gen_form!#REF!</f>
        <v>#REF!</v>
      </c>
      <c r="P61" s="1588" t="e">
        <f>Gen_form!#REF!</f>
        <v>#REF!</v>
      </c>
      <c r="Q61" s="1588" t="e">
        <f>Gen_form!#REF!</f>
        <v>#REF!</v>
      </c>
      <c r="R61" s="1588" t="e">
        <f>Gen_form!#REF!</f>
        <v>#REF!</v>
      </c>
      <c r="S61" s="1588" t="e">
        <f>Gen_form!#REF!</f>
        <v>#REF!</v>
      </c>
      <c r="T61" s="1588" t="e">
        <f>Gen_form!#REF!</f>
        <v>#REF!</v>
      </c>
      <c r="U61" s="1588" t="e">
        <f>Gen_form!#REF!</f>
        <v>#REF!</v>
      </c>
      <c r="V61" s="1588" t="e">
        <f>Gen_form!#REF!</f>
        <v>#REF!</v>
      </c>
      <c r="W61" s="1588" t="e">
        <f>Gen_form!#REF!</f>
        <v>#REF!</v>
      </c>
      <c r="X61" s="1588" t="e">
        <f>Gen_form!#REF!</f>
        <v>#REF!</v>
      </c>
      <c r="Y61" s="1588" t="e">
        <f>Gen_form!#REF!</f>
        <v>#REF!</v>
      </c>
      <c r="Z61" s="1588" t="e">
        <f>Gen_form!#REF!</f>
        <v>#REF!</v>
      </c>
      <c r="AA61" s="1588" t="e">
        <f>Gen_form!#REF!</f>
        <v>#REF!</v>
      </c>
      <c r="AB61" s="1588" t="e">
        <f>Gen_form!#REF!</f>
        <v>#REF!</v>
      </c>
      <c r="AC61" s="1588" t="e">
        <f>Gen_form!#REF!</f>
        <v>#REF!</v>
      </c>
    </row>
    <row r="62" spans="2:29">
      <c r="B62" s="1588" t="e">
        <f>Gen_form!#REF!</f>
        <v>#REF!</v>
      </c>
      <c r="C62" s="1588" t="e">
        <f>Gen_form!#REF!</f>
        <v>#REF!</v>
      </c>
      <c r="D62" s="1588" t="e">
        <f>Gen_form!#REF!</f>
        <v>#REF!</v>
      </c>
      <c r="E62" s="1588" t="e">
        <f>Gen_form!#REF!</f>
        <v>#REF!</v>
      </c>
      <c r="F62" s="1588" t="e">
        <f>Gen_form!#REF!</f>
        <v>#REF!</v>
      </c>
      <c r="G62" s="1588" t="e">
        <f>Gen_form!#REF!</f>
        <v>#REF!</v>
      </c>
      <c r="H62" s="1588" t="e">
        <f>Gen_form!#REF!</f>
        <v>#REF!</v>
      </c>
      <c r="I62" s="1588" t="e">
        <f>Gen_form!#REF!</f>
        <v>#REF!</v>
      </c>
      <c r="J62" s="1588" t="e">
        <f>Gen_form!#REF!</f>
        <v>#REF!</v>
      </c>
      <c r="K62" s="1588" t="e">
        <f>Gen_form!#REF!</f>
        <v>#REF!</v>
      </c>
      <c r="L62" s="1588" t="e">
        <f>Gen_form!#REF!</f>
        <v>#REF!</v>
      </c>
      <c r="M62" s="1588" t="e">
        <f>Gen_form!#REF!</f>
        <v>#REF!</v>
      </c>
      <c r="N62" s="1588" t="e">
        <f>Gen_form!#REF!</f>
        <v>#REF!</v>
      </c>
      <c r="O62" s="1588" t="e">
        <f>Gen_form!#REF!</f>
        <v>#REF!</v>
      </c>
      <c r="P62" s="1588" t="e">
        <f>Gen_form!#REF!</f>
        <v>#REF!</v>
      </c>
      <c r="Q62" s="1588" t="e">
        <f>Gen_form!#REF!</f>
        <v>#REF!</v>
      </c>
      <c r="R62" s="1588" t="e">
        <f>Gen_form!#REF!</f>
        <v>#REF!</v>
      </c>
      <c r="S62" s="1588" t="e">
        <f>Gen_form!#REF!</f>
        <v>#REF!</v>
      </c>
      <c r="T62" s="1588" t="e">
        <f>Gen_form!#REF!</f>
        <v>#REF!</v>
      </c>
      <c r="U62" s="1588" t="e">
        <f>Gen_form!#REF!</f>
        <v>#REF!</v>
      </c>
      <c r="V62" s="1588" t="e">
        <f>Gen_form!#REF!</f>
        <v>#REF!</v>
      </c>
      <c r="W62" s="1588" t="e">
        <f>Gen_form!#REF!</f>
        <v>#REF!</v>
      </c>
      <c r="X62" s="1588" t="e">
        <f>Gen_form!#REF!</f>
        <v>#REF!</v>
      </c>
      <c r="Y62" s="1588" t="e">
        <f>Gen_form!#REF!</f>
        <v>#REF!</v>
      </c>
      <c r="Z62" s="1588" t="e">
        <f>Gen_form!#REF!</f>
        <v>#REF!</v>
      </c>
      <c r="AA62" s="1588" t="e">
        <f>Gen_form!#REF!</f>
        <v>#REF!</v>
      </c>
      <c r="AB62" s="1588" t="e">
        <f>Gen_form!#REF!</f>
        <v>#REF!</v>
      </c>
      <c r="AC62" s="1588" t="e">
        <f>Gen_form!#REF!</f>
        <v>#REF!</v>
      </c>
    </row>
    <row r="63" spans="2:29">
      <c r="B63" s="1588" t="e">
        <f>Gen_form!#REF!</f>
        <v>#REF!</v>
      </c>
      <c r="C63" s="1588" t="e">
        <f>Gen_form!#REF!</f>
        <v>#REF!</v>
      </c>
      <c r="D63" s="1588" t="e">
        <f>Gen_form!#REF!</f>
        <v>#REF!</v>
      </c>
      <c r="E63" s="1588" t="e">
        <f>Gen_form!#REF!</f>
        <v>#REF!</v>
      </c>
      <c r="F63" s="1588" t="e">
        <f>Gen_form!#REF!</f>
        <v>#REF!</v>
      </c>
      <c r="G63" s="1588" t="e">
        <f>Gen_form!#REF!</f>
        <v>#REF!</v>
      </c>
      <c r="H63" s="1588" t="e">
        <f>Gen_form!#REF!</f>
        <v>#REF!</v>
      </c>
      <c r="I63" s="1588" t="e">
        <f>Gen_form!#REF!</f>
        <v>#REF!</v>
      </c>
      <c r="J63" s="1588" t="e">
        <f>Gen_form!#REF!</f>
        <v>#REF!</v>
      </c>
      <c r="K63" s="1588" t="e">
        <f>Gen_form!#REF!</f>
        <v>#REF!</v>
      </c>
      <c r="L63" s="1588" t="e">
        <f>Gen_form!#REF!</f>
        <v>#REF!</v>
      </c>
      <c r="M63" s="1588" t="e">
        <f>Gen_form!#REF!</f>
        <v>#REF!</v>
      </c>
      <c r="N63" s="1588" t="e">
        <f>Gen_form!#REF!</f>
        <v>#REF!</v>
      </c>
      <c r="O63" s="1588" t="e">
        <f>Gen_form!#REF!</f>
        <v>#REF!</v>
      </c>
      <c r="P63" s="1588" t="e">
        <f>Gen_form!#REF!</f>
        <v>#REF!</v>
      </c>
      <c r="Q63" s="1588" t="e">
        <f>Gen_form!#REF!</f>
        <v>#REF!</v>
      </c>
      <c r="R63" s="1588" t="e">
        <f>Gen_form!#REF!</f>
        <v>#REF!</v>
      </c>
      <c r="S63" s="1588" t="e">
        <f>Gen_form!#REF!</f>
        <v>#REF!</v>
      </c>
      <c r="T63" s="1588" t="e">
        <f>Gen_form!#REF!</f>
        <v>#REF!</v>
      </c>
      <c r="U63" s="1588" t="e">
        <f>Gen_form!#REF!</f>
        <v>#REF!</v>
      </c>
      <c r="V63" s="1588" t="e">
        <f>Gen_form!#REF!</f>
        <v>#REF!</v>
      </c>
      <c r="W63" s="1588" t="e">
        <f>Gen_form!#REF!</f>
        <v>#REF!</v>
      </c>
      <c r="X63" s="1588" t="e">
        <f>Gen_form!#REF!</f>
        <v>#REF!</v>
      </c>
      <c r="Y63" s="1588" t="e">
        <f>Gen_form!#REF!</f>
        <v>#REF!</v>
      </c>
      <c r="Z63" s="1588" t="e">
        <f>Gen_form!#REF!</f>
        <v>#REF!</v>
      </c>
      <c r="AA63" s="1588" t="e">
        <f>Gen_form!#REF!</f>
        <v>#REF!</v>
      </c>
      <c r="AB63" s="1588" t="e">
        <f>Gen_form!#REF!</f>
        <v>#REF!</v>
      </c>
      <c r="AC63" s="1588" t="e">
        <f>Gen_form!#REF!</f>
        <v>#REF!</v>
      </c>
    </row>
    <row r="64" spans="2:29">
      <c r="B64" s="1588" t="e">
        <f>Gen_form!#REF!</f>
        <v>#REF!</v>
      </c>
      <c r="C64" s="1588" t="e">
        <f>Gen_form!#REF!</f>
        <v>#REF!</v>
      </c>
      <c r="D64" s="1588" t="e">
        <f>Gen_form!#REF!</f>
        <v>#REF!</v>
      </c>
      <c r="E64" s="1588" t="e">
        <f>Gen_form!#REF!</f>
        <v>#REF!</v>
      </c>
      <c r="F64" s="1588" t="e">
        <f>Gen_form!#REF!</f>
        <v>#REF!</v>
      </c>
      <c r="G64" s="1588" t="e">
        <f>Gen_form!#REF!</f>
        <v>#REF!</v>
      </c>
      <c r="H64" s="1588" t="e">
        <f>Gen_form!#REF!</f>
        <v>#REF!</v>
      </c>
      <c r="I64" s="1588" t="e">
        <f>Gen_form!#REF!</f>
        <v>#REF!</v>
      </c>
      <c r="J64" s="1588" t="e">
        <f>Gen_form!#REF!</f>
        <v>#REF!</v>
      </c>
      <c r="K64" s="1588" t="e">
        <f>Gen_form!#REF!</f>
        <v>#REF!</v>
      </c>
      <c r="L64" s="1588" t="e">
        <f>Gen_form!#REF!</f>
        <v>#REF!</v>
      </c>
      <c r="M64" s="1588" t="e">
        <f>Gen_form!#REF!</f>
        <v>#REF!</v>
      </c>
      <c r="N64" s="1588" t="e">
        <f>Gen_form!#REF!</f>
        <v>#REF!</v>
      </c>
      <c r="O64" s="1588" t="e">
        <f>Gen_form!#REF!</f>
        <v>#REF!</v>
      </c>
      <c r="P64" s="1588" t="e">
        <f>Gen_form!#REF!</f>
        <v>#REF!</v>
      </c>
      <c r="Q64" s="1588" t="e">
        <f>Gen_form!#REF!</f>
        <v>#REF!</v>
      </c>
      <c r="R64" s="1588" t="e">
        <f>Gen_form!#REF!</f>
        <v>#REF!</v>
      </c>
      <c r="S64" s="1588" t="e">
        <f>Gen_form!#REF!</f>
        <v>#REF!</v>
      </c>
      <c r="T64" s="1588" t="e">
        <f>Gen_form!#REF!</f>
        <v>#REF!</v>
      </c>
      <c r="U64" s="1588" t="e">
        <f>Gen_form!#REF!</f>
        <v>#REF!</v>
      </c>
      <c r="V64" s="1588" t="e">
        <f>Gen_form!#REF!</f>
        <v>#REF!</v>
      </c>
      <c r="W64" s="1588" t="e">
        <f>Gen_form!#REF!</f>
        <v>#REF!</v>
      </c>
      <c r="X64" s="1588" t="e">
        <f>Gen_form!#REF!</f>
        <v>#REF!</v>
      </c>
      <c r="Y64" s="1588" t="e">
        <f>Gen_form!#REF!</f>
        <v>#REF!</v>
      </c>
      <c r="Z64" s="1588" t="e">
        <f>Gen_form!#REF!</f>
        <v>#REF!</v>
      </c>
      <c r="AA64" s="1588" t="e">
        <f>Gen_form!#REF!</f>
        <v>#REF!</v>
      </c>
      <c r="AB64" s="1588" t="e">
        <f>Gen_form!#REF!</f>
        <v>#REF!</v>
      </c>
      <c r="AC64" s="1588" t="e">
        <f>Gen_form!#REF!</f>
        <v>#REF!</v>
      </c>
    </row>
    <row r="65" spans="2:29">
      <c r="B65" s="1588">
        <f>Gen_form!AA707</f>
        <v>120</v>
      </c>
      <c r="C65" s="1588">
        <f>Gen_form!AB707</f>
        <v>400</v>
      </c>
      <c r="D65" s="1588">
        <f>Gen_form!AC707</f>
        <v>0.05</v>
      </c>
      <c r="E65" s="1588">
        <f>Gen_form!AD707</f>
        <v>0</v>
      </c>
      <c r="F65" s="1588" t="str">
        <f>Gen_form!AE707</f>
        <v>100-155</v>
      </c>
      <c r="G65" s="1588">
        <f>Gen_form!AF707</f>
        <v>0</v>
      </c>
      <c r="H65" s="1588" t="str">
        <f>Gen_form!AG707</f>
        <v>none</v>
      </c>
      <c r="I65" s="1588">
        <f>Gen_form!AH707</f>
        <v>60</v>
      </c>
      <c r="J65" s="1588" t="str">
        <f>Gen_form!AI707</f>
        <v>cm</v>
      </c>
      <c r="K65" s="1588">
        <f>Gen_form!AJ707</f>
        <v>1</v>
      </c>
      <c r="L65" s="1588" t="str">
        <f>Gen_form!AK707</f>
        <v>Low</v>
      </c>
      <c r="M65" s="1588" t="str">
        <f>Gen_form!AL707</f>
        <v>Internal</v>
      </c>
      <c r="N65" s="1588">
        <f>Gen_form!AM707</f>
        <v>0</v>
      </c>
      <c r="O65" s="1588">
        <f>Gen_form!AN707</f>
        <v>0</v>
      </c>
      <c r="P65" s="1588" t="str">
        <f>Gen_form!AO707</f>
        <v>Large</v>
      </c>
      <c r="Q65" s="1588">
        <f>Gen_form!AP707</f>
        <v>0</v>
      </c>
      <c r="R65" s="1588">
        <f>Gen_form!AQ707</f>
        <v>0</v>
      </c>
      <c r="S65" s="1588">
        <f>Gen_form!AR707</f>
        <v>1</v>
      </c>
      <c r="T65" s="1588">
        <f>Gen_form!AS707</f>
        <v>0</v>
      </c>
      <c r="U65" s="1588">
        <f>Gen_form!AT707</f>
        <v>0</v>
      </c>
      <c r="V65" s="1588">
        <f>Gen_form!AU707</f>
        <v>0</v>
      </c>
      <c r="W65" s="1588">
        <f>Gen_form!AV707</f>
        <v>0</v>
      </c>
      <c r="X65" s="1588">
        <f>Gen_form!AW707</f>
        <v>0</v>
      </c>
      <c r="Y65" s="1588">
        <f>Gen_form!AX707</f>
        <v>0</v>
      </c>
      <c r="Z65" s="1588" t="str">
        <f>Gen_form!AY707</f>
        <v/>
      </c>
      <c r="AA65" s="1588" t="str">
        <f>Gen_form!AZ707</f>
        <v/>
      </c>
      <c r="AB65" s="1588" t="str">
        <f>Gen_form!BA707</f>
        <v/>
      </c>
      <c r="AC65" s="1588" t="str">
        <f>Gen_form!BB707</f>
        <v/>
      </c>
    </row>
    <row r="66" spans="2:29">
      <c r="B66" s="1588">
        <f>Gen_form!AA708</f>
        <v>120</v>
      </c>
      <c r="C66" s="1588">
        <f>Gen_form!AB708</f>
        <v>400</v>
      </c>
      <c r="D66" s="1588">
        <f>Gen_form!AC708</f>
        <v>0.05</v>
      </c>
      <c r="E66" s="1588">
        <f>Gen_form!AD708</f>
        <v>0</v>
      </c>
      <c r="F66" s="1588" t="str">
        <f>Gen_form!AE708</f>
        <v>100-155</v>
      </c>
      <c r="G66" s="1588">
        <f>Gen_form!AF708</f>
        <v>0</v>
      </c>
      <c r="H66" s="1588" t="str">
        <f>Gen_form!AG708</f>
        <v>none</v>
      </c>
      <c r="I66" s="1588">
        <f>Gen_form!AH708</f>
        <v>60</v>
      </c>
      <c r="J66" s="1588" t="str">
        <f>Gen_form!AI708</f>
        <v>cm</v>
      </c>
      <c r="K66" s="1588">
        <f>Gen_form!AJ708</f>
        <v>1</v>
      </c>
      <c r="L66" s="1588" t="str">
        <f>Gen_form!AK708</f>
        <v>Low</v>
      </c>
      <c r="M66" s="1588" t="str">
        <f>Gen_form!AL708</f>
        <v>Internal</v>
      </c>
      <c r="N66" s="1588">
        <f>Gen_form!AM708</f>
        <v>0</v>
      </c>
      <c r="O66" s="1588">
        <f>Gen_form!AN708</f>
        <v>0</v>
      </c>
      <c r="P66" s="1588" t="str">
        <f>Gen_form!AO708</f>
        <v>Large</v>
      </c>
      <c r="Q66" s="1588">
        <f>Gen_form!AP708</f>
        <v>0</v>
      </c>
      <c r="R66" s="1588">
        <f>Gen_form!AQ708</f>
        <v>0</v>
      </c>
      <c r="S66" s="1588">
        <f>Gen_form!AR708</f>
        <v>1</v>
      </c>
      <c r="T66" s="1588">
        <f>Gen_form!AS708</f>
        <v>1</v>
      </c>
      <c r="U66" s="1588">
        <f>Gen_form!AT708</f>
        <v>0</v>
      </c>
      <c r="V66" s="1588">
        <f>Gen_form!AU708</f>
        <v>0</v>
      </c>
      <c r="W66" s="1588">
        <f>Gen_form!AV708</f>
        <v>0</v>
      </c>
      <c r="X66" s="1588">
        <f>Gen_form!AW708</f>
        <v>0</v>
      </c>
      <c r="Y66" s="1588">
        <f>Gen_form!AX708</f>
        <v>0</v>
      </c>
      <c r="Z66" s="1588" t="str">
        <f>Gen_form!AY708</f>
        <v/>
      </c>
      <c r="AA66" s="1588" t="str">
        <f>Gen_form!AZ708</f>
        <v/>
      </c>
      <c r="AB66" s="1588" t="str">
        <f>Gen_form!BA708</f>
        <v/>
      </c>
      <c r="AC66" s="1588" t="str">
        <f>Gen_form!BB708</f>
        <v/>
      </c>
    </row>
    <row r="67" spans="2:29">
      <c r="B67" s="1588" t="e">
        <f>Gen_form!#REF!</f>
        <v>#REF!</v>
      </c>
      <c r="C67" s="1588" t="e">
        <f>Gen_form!#REF!</f>
        <v>#REF!</v>
      </c>
      <c r="D67" s="1588" t="e">
        <f>Gen_form!#REF!</f>
        <v>#REF!</v>
      </c>
      <c r="E67" s="1588" t="e">
        <f>Gen_form!#REF!</f>
        <v>#REF!</v>
      </c>
      <c r="F67" s="1588" t="e">
        <f>Gen_form!#REF!</f>
        <v>#REF!</v>
      </c>
      <c r="G67" s="1588" t="e">
        <f>Gen_form!#REF!</f>
        <v>#REF!</v>
      </c>
      <c r="H67" s="1588" t="e">
        <f>Gen_form!#REF!</f>
        <v>#REF!</v>
      </c>
      <c r="I67" s="1588" t="e">
        <f>Gen_form!#REF!</f>
        <v>#REF!</v>
      </c>
      <c r="J67" s="1588" t="e">
        <f>Gen_form!#REF!</f>
        <v>#REF!</v>
      </c>
      <c r="K67" s="1588" t="e">
        <f>Gen_form!#REF!</f>
        <v>#REF!</v>
      </c>
      <c r="L67" s="1588" t="e">
        <f>Gen_form!#REF!</f>
        <v>#REF!</v>
      </c>
      <c r="M67" s="1588" t="e">
        <f>Gen_form!#REF!</f>
        <v>#REF!</v>
      </c>
      <c r="N67" s="1588" t="e">
        <f>Gen_form!#REF!</f>
        <v>#REF!</v>
      </c>
      <c r="O67" s="1588" t="e">
        <f>Gen_form!#REF!</f>
        <v>#REF!</v>
      </c>
      <c r="P67" s="1588" t="e">
        <f>Gen_form!#REF!</f>
        <v>#REF!</v>
      </c>
      <c r="Q67" s="1588" t="e">
        <f>Gen_form!#REF!</f>
        <v>#REF!</v>
      </c>
      <c r="R67" s="1588" t="e">
        <f>Gen_form!#REF!</f>
        <v>#REF!</v>
      </c>
      <c r="S67" s="1588" t="e">
        <f>Gen_form!#REF!</f>
        <v>#REF!</v>
      </c>
      <c r="T67" s="1588" t="e">
        <f>Gen_form!#REF!</f>
        <v>#REF!</v>
      </c>
      <c r="U67" s="1588" t="e">
        <f>Gen_form!#REF!</f>
        <v>#REF!</v>
      </c>
      <c r="V67" s="1588" t="e">
        <f>Gen_form!#REF!</f>
        <v>#REF!</v>
      </c>
      <c r="W67" s="1588" t="e">
        <f>Gen_form!#REF!</f>
        <v>#REF!</v>
      </c>
      <c r="X67" s="1588" t="e">
        <f>Gen_form!#REF!</f>
        <v>#REF!</v>
      </c>
      <c r="Y67" s="1588" t="e">
        <f>Gen_form!#REF!</f>
        <v>#REF!</v>
      </c>
      <c r="Z67" s="1588" t="e">
        <f>Gen_form!#REF!</f>
        <v>#REF!</v>
      </c>
      <c r="AA67" s="1588" t="e">
        <f>Gen_form!#REF!</f>
        <v>#REF!</v>
      </c>
      <c r="AB67" s="1588" t="e">
        <f>Gen_form!#REF!</f>
        <v>#REF!</v>
      </c>
      <c r="AC67" s="1588" t="e">
        <f>Gen_form!#REF!</f>
        <v>#REF!</v>
      </c>
    </row>
    <row r="68" spans="2:29">
      <c r="B68" s="1588" t="e">
        <f>Gen_form!#REF!</f>
        <v>#REF!</v>
      </c>
      <c r="C68" s="1588" t="e">
        <f>Gen_form!#REF!</f>
        <v>#REF!</v>
      </c>
      <c r="D68" s="1588" t="e">
        <f>Gen_form!#REF!</f>
        <v>#REF!</v>
      </c>
      <c r="E68" s="1588" t="e">
        <f>Gen_form!#REF!</f>
        <v>#REF!</v>
      </c>
      <c r="F68" s="1588" t="e">
        <f>Gen_form!#REF!</f>
        <v>#REF!</v>
      </c>
      <c r="G68" s="1588" t="e">
        <f>Gen_form!#REF!</f>
        <v>#REF!</v>
      </c>
      <c r="H68" s="1588" t="e">
        <f>Gen_form!#REF!</f>
        <v>#REF!</v>
      </c>
      <c r="I68" s="1588" t="e">
        <f>Gen_form!#REF!</f>
        <v>#REF!</v>
      </c>
      <c r="J68" s="1588" t="e">
        <f>Gen_form!#REF!</f>
        <v>#REF!</v>
      </c>
      <c r="K68" s="1588" t="e">
        <f>Gen_form!#REF!</f>
        <v>#REF!</v>
      </c>
      <c r="L68" s="1588" t="e">
        <f>Gen_form!#REF!</f>
        <v>#REF!</v>
      </c>
      <c r="M68" s="1588" t="e">
        <f>Gen_form!#REF!</f>
        <v>#REF!</v>
      </c>
      <c r="N68" s="1588" t="e">
        <f>Gen_form!#REF!</f>
        <v>#REF!</v>
      </c>
      <c r="O68" s="1588" t="e">
        <f>Gen_form!#REF!</f>
        <v>#REF!</v>
      </c>
      <c r="P68" s="1588" t="e">
        <f>Gen_form!#REF!</f>
        <v>#REF!</v>
      </c>
      <c r="Q68" s="1588" t="e">
        <f>Gen_form!#REF!</f>
        <v>#REF!</v>
      </c>
      <c r="R68" s="1588" t="e">
        <f>Gen_form!#REF!</f>
        <v>#REF!</v>
      </c>
      <c r="S68" s="1588" t="e">
        <f>Gen_form!#REF!</f>
        <v>#REF!</v>
      </c>
      <c r="T68" s="1588" t="e">
        <f>Gen_form!#REF!</f>
        <v>#REF!</v>
      </c>
      <c r="U68" s="1588" t="e">
        <f>Gen_form!#REF!</f>
        <v>#REF!</v>
      </c>
      <c r="V68" s="1588" t="e">
        <f>Gen_form!#REF!</f>
        <v>#REF!</v>
      </c>
      <c r="W68" s="1588" t="e">
        <f>Gen_form!#REF!</f>
        <v>#REF!</v>
      </c>
      <c r="X68" s="1588" t="e">
        <f>Gen_form!#REF!</f>
        <v>#REF!</v>
      </c>
      <c r="Y68" s="1588" t="e">
        <f>Gen_form!#REF!</f>
        <v>#REF!</v>
      </c>
      <c r="Z68" s="1588" t="e">
        <f>Gen_form!#REF!</f>
        <v>#REF!</v>
      </c>
      <c r="AA68" s="1588" t="e">
        <f>Gen_form!#REF!</f>
        <v>#REF!</v>
      </c>
      <c r="AB68" s="1588" t="e">
        <f>Gen_form!#REF!</f>
        <v>#REF!</v>
      </c>
      <c r="AC68" s="1588" t="e">
        <f>Gen_form!#REF!</f>
        <v>#REF!</v>
      </c>
    </row>
    <row r="69" spans="2:29">
      <c r="B69" s="1588" t="e">
        <f>Gen_form!#REF!</f>
        <v>#REF!</v>
      </c>
      <c r="C69" s="1588" t="e">
        <f>Gen_form!#REF!</f>
        <v>#REF!</v>
      </c>
      <c r="D69" s="1588" t="e">
        <f>Gen_form!#REF!</f>
        <v>#REF!</v>
      </c>
      <c r="E69" s="1588" t="e">
        <f>Gen_form!#REF!</f>
        <v>#REF!</v>
      </c>
      <c r="F69" s="1588" t="e">
        <f>Gen_form!#REF!</f>
        <v>#REF!</v>
      </c>
      <c r="G69" s="1588" t="e">
        <f>Gen_form!#REF!</f>
        <v>#REF!</v>
      </c>
      <c r="H69" s="1588" t="e">
        <f>Gen_form!#REF!</f>
        <v>#REF!</v>
      </c>
      <c r="I69" s="1588" t="e">
        <f>Gen_form!#REF!</f>
        <v>#REF!</v>
      </c>
      <c r="J69" s="1588" t="e">
        <f>Gen_form!#REF!</f>
        <v>#REF!</v>
      </c>
      <c r="K69" s="1588" t="e">
        <f>Gen_form!#REF!</f>
        <v>#REF!</v>
      </c>
      <c r="L69" s="1588" t="e">
        <f>Gen_form!#REF!</f>
        <v>#REF!</v>
      </c>
      <c r="M69" s="1588" t="e">
        <f>Gen_form!#REF!</f>
        <v>#REF!</v>
      </c>
      <c r="N69" s="1588" t="e">
        <f>Gen_form!#REF!</f>
        <v>#REF!</v>
      </c>
      <c r="O69" s="1588" t="e">
        <f>Gen_form!#REF!</f>
        <v>#REF!</v>
      </c>
      <c r="P69" s="1588" t="e">
        <f>Gen_form!#REF!</f>
        <v>#REF!</v>
      </c>
      <c r="Q69" s="1588" t="e">
        <f>Gen_form!#REF!</f>
        <v>#REF!</v>
      </c>
      <c r="R69" s="1588" t="e">
        <f>Gen_form!#REF!</f>
        <v>#REF!</v>
      </c>
      <c r="S69" s="1588" t="e">
        <f>Gen_form!#REF!</f>
        <v>#REF!</v>
      </c>
      <c r="T69" s="1588" t="e">
        <f>Gen_form!#REF!</f>
        <v>#REF!</v>
      </c>
      <c r="U69" s="1588" t="e">
        <f>Gen_form!#REF!</f>
        <v>#REF!</v>
      </c>
      <c r="V69" s="1588" t="e">
        <f>Gen_form!#REF!</f>
        <v>#REF!</v>
      </c>
      <c r="W69" s="1588" t="e">
        <f>Gen_form!#REF!</f>
        <v>#REF!</v>
      </c>
      <c r="X69" s="1588" t="e">
        <f>Gen_form!#REF!</f>
        <v>#REF!</v>
      </c>
      <c r="Y69" s="1588" t="e">
        <f>Gen_form!#REF!</f>
        <v>#REF!</v>
      </c>
      <c r="Z69" s="1588" t="e">
        <f>Gen_form!#REF!</f>
        <v>#REF!</v>
      </c>
      <c r="AA69" s="1588" t="e">
        <f>Gen_form!#REF!</f>
        <v>#REF!</v>
      </c>
      <c r="AB69" s="1588" t="e">
        <f>Gen_form!#REF!</f>
        <v>#REF!</v>
      </c>
      <c r="AC69" s="1588" t="e">
        <f>Gen_form!#REF!</f>
        <v>#REF!</v>
      </c>
    </row>
    <row r="70" spans="2:29">
      <c r="B70" s="1588" t="e">
        <f>Gen_form!#REF!</f>
        <v>#REF!</v>
      </c>
      <c r="C70" s="1588" t="e">
        <f>Gen_form!#REF!</f>
        <v>#REF!</v>
      </c>
      <c r="D70" s="1588" t="e">
        <f>Gen_form!#REF!</f>
        <v>#REF!</v>
      </c>
      <c r="E70" s="1588" t="e">
        <f>Gen_form!#REF!</f>
        <v>#REF!</v>
      </c>
      <c r="F70" s="1588" t="e">
        <f>Gen_form!#REF!</f>
        <v>#REF!</v>
      </c>
      <c r="G70" s="1588" t="e">
        <f>Gen_form!#REF!</f>
        <v>#REF!</v>
      </c>
      <c r="H70" s="1588" t="e">
        <f>Gen_form!#REF!</f>
        <v>#REF!</v>
      </c>
      <c r="I70" s="1588" t="e">
        <f>Gen_form!#REF!</f>
        <v>#REF!</v>
      </c>
      <c r="J70" s="1588" t="e">
        <f>Gen_form!#REF!</f>
        <v>#REF!</v>
      </c>
      <c r="K70" s="1588" t="e">
        <f>Gen_form!#REF!</f>
        <v>#REF!</v>
      </c>
      <c r="L70" s="1588" t="e">
        <f>Gen_form!#REF!</f>
        <v>#REF!</v>
      </c>
      <c r="M70" s="1588" t="e">
        <f>Gen_form!#REF!</f>
        <v>#REF!</v>
      </c>
      <c r="N70" s="1588" t="e">
        <f>Gen_form!#REF!</f>
        <v>#REF!</v>
      </c>
      <c r="O70" s="1588" t="e">
        <f>Gen_form!#REF!</f>
        <v>#REF!</v>
      </c>
      <c r="P70" s="1588" t="e">
        <f>Gen_form!#REF!</f>
        <v>#REF!</v>
      </c>
      <c r="Q70" s="1588" t="e">
        <f>Gen_form!#REF!</f>
        <v>#REF!</v>
      </c>
      <c r="R70" s="1588" t="e">
        <f>Gen_form!#REF!</f>
        <v>#REF!</v>
      </c>
      <c r="S70" s="1588" t="e">
        <f>Gen_form!#REF!</f>
        <v>#REF!</v>
      </c>
      <c r="T70" s="1588" t="e">
        <f>Gen_form!#REF!</f>
        <v>#REF!</v>
      </c>
      <c r="U70" s="1588" t="e">
        <f>Gen_form!#REF!</f>
        <v>#REF!</v>
      </c>
      <c r="V70" s="1588" t="e">
        <f>Gen_form!#REF!</f>
        <v>#REF!</v>
      </c>
      <c r="W70" s="1588" t="e">
        <f>Gen_form!#REF!</f>
        <v>#REF!</v>
      </c>
      <c r="X70" s="1588" t="e">
        <f>Gen_form!#REF!</f>
        <v>#REF!</v>
      </c>
      <c r="Y70" s="1588" t="e">
        <f>Gen_form!#REF!</f>
        <v>#REF!</v>
      </c>
      <c r="Z70" s="1588" t="e">
        <f>Gen_form!#REF!</f>
        <v>#REF!</v>
      </c>
      <c r="AA70" s="1588" t="e">
        <f>Gen_form!#REF!</f>
        <v>#REF!</v>
      </c>
      <c r="AB70" s="1588" t="e">
        <f>Gen_form!#REF!</f>
        <v>#REF!</v>
      </c>
      <c r="AC70" s="1588" t="e">
        <f>Gen_form!#REF!</f>
        <v>#REF!</v>
      </c>
    </row>
    <row r="71" spans="2:29">
      <c r="B71" s="1588" t="e">
        <f>Gen_form!#REF!</f>
        <v>#REF!</v>
      </c>
      <c r="C71" s="1588" t="e">
        <f>Gen_form!#REF!</f>
        <v>#REF!</v>
      </c>
      <c r="D71" s="1588" t="e">
        <f>Gen_form!#REF!</f>
        <v>#REF!</v>
      </c>
      <c r="E71" s="1588" t="e">
        <f>Gen_form!#REF!</f>
        <v>#REF!</v>
      </c>
      <c r="F71" s="1588" t="e">
        <f>Gen_form!#REF!</f>
        <v>#REF!</v>
      </c>
      <c r="G71" s="1588" t="e">
        <f>Gen_form!#REF!</f>
        <v>#REF!</v>
      </c>
      <c r="H71" s="1588" t="e">
        <f>Gen_form!#REF!</f>
        <v>#REF!</v>
      </c>
      <c r="I71" s="1588" t="e">
        <f>Gen_form!#REF!</f>
        <v>#REF!</v>
      </c>
      <c r="J71" s="1588" t="e">
        <f>Gen_form!#REF!</f>
        <v>#REF!</v>
      </c>
      <c r="K71" s="1588" t="e">
        <f>Gen_form!#REF!</f>
        <v>#REF!</v>
      </c>
      <c r="L71" s="1588" t="e">
        <f>Gen_form!#REF!</f>
        <v>#REF!</v>
      </c>
      <c r="M71" s="1588" t="e">
        <f>Gen_form!#REF!</f>
        <v>#REF!</v>
      </c>
      <c r="N71" s="1588" t="e">
        <f>Gen_form!#REF!</f>
        <v>#REF!</v>
      </c>
      <c r="O71" s="1588" t="e">
        <f>Gen_form!#REF!</f>
        <v>#REF!</v>
      </c>
      <c r="P71" s="1588" t="e">
        <f>Gen_form!#REF!</f>
        <v>#REF!</v>
      </c>
      <c r="Q71" s="1588" t="e">
        <f>Gen_form!#REF!</f>
        <v>#REF!</v>
      </c>
      <c r="R71" s="1588" t="e">
        <f>Gen_form!#REF!</f>
        <v>#REF!</v>
      </c>
      <c r="S71" s="1588" t="e">
        <f>Gen_form!#REF!</f>
        <v>#REF!</v>
      </c>
      <c r="T71" s="1588" t="e">
        <f>Gen_form!#REF!</f>
        <v>#REF!</v>
      </c>
      <c r="U71" s="1588" t="e">
        <f>Gen_form!#REF!</f>
        <v>#REF!</v>
      </c>
      <c r="V71" s="1588" t="e">
        <f>Gen_form!#REF!</f>
        <v>#REF!</v>
      </c>
      <c r="W71" s="1588" t="e">
        <f>Gen_form!#REF!</f>
        <v>#REF!</v>
      </c>
      <c r="X71" s="1588" t="e">
        <f>Gen_form!#REF!</f>
        <v>#REF!</v>
      </c>
      <c r="Y71" s="1588" t="e">
        <f>Gen_form!#REF!</f>
        <v>#REF!</v>
      </c>
      <c r="Z71" s="1588" t="e">
        <f>Gen_form!#REF!</f>
        <v>#REF!</v>
      </c>
      <c r="AA71" s="1588" t="e">
        <f>Gen_form!#REF!</f>
        <v>#REF!</v>
      </c>
      <c r="AB71" s="1588" t="e">
        <f>Gen_form!#REF!</f>
        <v>#REF!</v>
      </c>
      <c r="AC71" s="1588" t="e">
        <f>Gen_form!#REF!</f>
        <v>#REF!</v>
      </c>
    </row>
    <row r="72" spans="2:29">
      <c r="B72" s="1588" t="e">
        <f>Gen_form!#REF!</f>
        <v>#REF!</v>
      </c>
      <c r="C72" s="1588" t="e">
        <f>Gen_form!#REF!</f>
        <v>#REF!</v>
      </c>
      <c r="D72" s="1588" t="e">
        <f>Gen_form!#REF!</f>
        <v>#REF!</v>
      </c>
      <c r="E72" s="1588" t="e">
        <f>Gen_form!#REF!</f>
        <v>#REF!</v>
      </c>
      <c r="F72" s="1588" t="e">
        <f>Gen_form!#REF!</f>
        <v>#REF!</v>
      </c>
      <c r="G72" s="1588" t="e">
        <f>Gen_form!#REF!</f>
        <v>#REF!</v>
      </c>
      <c r="H72" s="1588" t="e">
        <f>Gen_form!#REF!</f>
        <v>#REF!</v>
      </c>
      <c r="I72" s="1588" t="e">
        <f>Gen_form!#REF!</f>
        <v>#REF!</v>
      </c>
      <c r="J72" s="1588" t="e">
        <f>Gen_form!#REF!</f>
        <v>#REF!</v>
      </c>
      <c r="K72" s="1588" t="e">
        <f>Gen_form!#REF!</f>
        <v>#REF!</v>
      </c>
      <c r="L72" s="1588" t="e">
        <f>Gen_form!#REF!</f>
        <v>#REF!</v>
      </c>
      <c r="M72" s="1588" t="e">
        <f>Gen_form!#REF!</f>
        <v>#REF!</v>
      </c>
      <c r="N72" s="1588" t="e">
        <f>Gen_form!#REF!</f>
        <v>#REF!</v>
      </c>
      <c r="O72" s="1588" t="e">
        <f>Gen_form!#REF!</f>
        <v>#REF!</v>
      </c>
      <c r="P72" s="1588" t="e">
        <f>Gen_form!#REF!</f>
        <v>#REF!</v>
      </c>
      <c r="Q72" s="1588" t="e">
        <f>Gen_form!#REF!</f>
        <v>#REF!</v>
      </c>
      <c r="R72" s="1588" t="e">
        <f>Gen_form!#REF!</f>
        <v>#REF!</v>
      </c>
      <c r="S72" s="1588" t="e">
        <f>Gen_form!#REF!</f>
        <v>#REF!</v>
      </c>
      <c r="T72" s="1588" t="e">
        <f>Gen_form!#REF!</f>
        <v>#REF!</v>
      </c>
      <c r="U72" s="1588" t="e">
        <f>Gen_form!#REF!</f>
        <v>#REF!</v>
      </c>
      <c r="V72" s="1588" t="e">
        <f>Gen_form!#REF!</f>
        <v>#REF!</v>
      </c>
      <c r="W72" s="1588" t="e">
        <f>Gen_form!#REF!</f>
        <v>#REF!</v>
      </c>
      <c r="X72" s="1588" t="e">
        <f>Gen_form!#REF!</f>
        <v>#REF!</v>
      </c>
      <c r="Y72" s="1588" t="e">
        <f>Gen_form!#REF!</f>
        <v>#REF!</v>
      </c>
      <c r="Z72" s="1588" t="e">
        <f>Gen_form!#REF!</f>
        <v>#REF!</v>
      </c>
      <c r="AA72" s="1588" t="e">
        <f>Gen_form!#REF!</f>
        <v>#REF!</v>
      </c>
      <c r="AB72" s="1588" t="e">
        <f>Gen_form!#REF!</f>
        <v>#REF!</v>
      </c>
      <c r="AC72" s="1588" t="e">
        <f>Gen_form!#REF!</f>
        <v>#REF!</v>
      </c>
    </row>
    <row r="73" spans="2:29">
      <c r="B73" s="1588">
        <f>Gen_form!AA709</f>
        <v>140</v>
      </c>
      <c r="C73" s="1588">
        <f>Gen_form!AB709</f>
        <v>400</v>
      </c>
      <c r="D73" s="1588">
        <f>Gen_form!AC709</f>
        <v>0.05</v>
      </c>
      <c r="E73" s="1588">
        <f>Gen_form!AD709</f>
        <v>0</v>
      </c>
      <c r="F73" s="1588" t="str">
        <f>Gen_form!AE709</f>
        <v>100-155</v>
      </c>
      <c r="G73" s="1588">
        <f>Gen_form!AF709</f>
        <v>0</v>
      </c>
      <c r="H73" s="1588" t="str">
        <f>Gen_form!AG709</f>
        <v>none</v>
      </c>
      <c r="I73" s="1588">
        <f>Gen_form!AH709</f>
        <v>60</v>
      </c>
      <c r="J73" s="1588" t="str">
        <f>Gen_form!AI709</f>
        <v>cm</v>
      </c>
      <c r="K73" s="1588">
        <f>Gen_form!AJ709</f>
        <v>1</v>
      </c>
      <c r="L73" s="1588" t="str">
        <f>Gen_form!AK709</f>
        <v>Low</v>
      </c>
      <c r="M73" s="1588" t="str">
        <f>Gen_form!AL709</f>
        <v>Internal</v>
      </c>
      <c r="N73" s="1588">
        <f>Gen_form!AM709</f>
        <v>0</v>
      </c>
      <c r="O73" s="1588">
        <f>Gen_form!AN709</f>
        <v>0</v>
      </c>
      <c r="P73" s="1588" t="str">
        <f>Gen_form!AO709</f>
        <v>Large</v>
      </c>
      <c r="Q73" s="1588">
        <f>Gen_form!AP709</f>
        <v>0</v>
      </c>
      <c r="R73" s="1588">
        <f>Gen_form!AQ709</f>
        <v>0</v>
      </c>
      <c r="S73" s="1588">
        <f>Gen_form!AR709</f>
        <v>1</v>
      </c>
      <c r="T73" s="1588">
        <f>Gen_form!AS709</f>
        <v>0</v>
      </c>
      <c r="U73" s="1588">
        <f>Gen_form!AT709</f>
        <v>0</v>
      </c>
      <c r="V73" s="1588">
        <f>Gen_form!AU709</f>
        <v>0</v>
      </c>
      <c r="W73" s="1588">
        <f>Gen_form!AV709</f>
        <v>0</v>
      </c>
      <c r="X73" s="1588">
        <f>Gen_form!AW709</f>
        <v>0</v>
      </c>
      <c r="Y73" s="1588">
        <f>Gen_form!AX709</f>
        <v>0</v>
      </c>
      <c r="Z73" s="1588" t="str">
        <f>Gen_form!AY709</f>
        <v/>
      </c>
      <c r="AA73" s="1588" t="str">
        <f>Gen_form!AZ709</f>
        <v/>
      </c>
      <c r="AB73" s="1588" t="str">
        <f>Gen_form!BA709</f>
        <v/>
      </c>
      <c r="AC73" s="1588" t="str">
        <f>Gen_form!BB709</f>
        <v/>
      </c>
    </row>
    <row r="74" spans="2:29">
      <c r="B74" s="1588">
        <f>Gen_form!AA710</f>
        <v>50</v>
      </c>
      <c r="C74" s="1588">
        <f>Gen_form!AB710</f>
        <v>100</v>
      </c>
      <c r="D74" s="1588">
        <f>Gen_form!AC710</f>
        <v>0.1</v>
      </c>
      <c r="E74" s="1588">
        <f>Gen_form!AD710</f>
        <v>0</v>
      </c>
      <c r="F74" s="1588" t="str">
        <f>Gen_form!AE710</f>
        <v>35-60</v>
      </c>
      <c r="G74" s="1588">
        <f>Gen_form!AF710</f>
        <v>0</v>
      </c>
      <c r="H74" s="1588" t="str">
        <f>Gen_form!AG710</f>
        <v>none</v>
      </c>
      <c r="I74" s="1588">
        <f>Gen_form!AH710</f>
        <v>60</v>
      </c>
      <c r="J74" s="1588" t="str">
        <f>Gen_form!AI710</f>
        <v>cm</v>
      </c>
      <c r="K74" s="1588">
        <f>Gen_form!AJ710</f>
        <v>1</v>
      </c>
      <c r="L74" s="1588" t="str">
        <f>Gen_form!AK710</f>
        <v>Low</v>
      </c>
      <c r="M74" s="1588" t="str">
        <f>Gen_form!AL710</f>
        <v>Internal</v>
      </c>
      <c r="N74" s="1588">
        <f>Gen_form!AM710</f>
        <v>0</v>
      </c>
      <c r="O74" s="1588">
        <f>Gen_form!AN710</f>
        <v>0</v>
      </c>
      <c r="P74" s="1588" t="str">
        <f>Gen_form!AO710</f>
        <v>Small</v>
      </c>
      <c r="Q74" s="1588">
        <f>Gen_form!AP710</f>
        <v>0</v>
      </c>
      <c r="R74" s="1588">
        <f>Gen_form!AQ710</f>
        <v>0</v>
      </c>
      <c r="S74" s="1588">
        <f>Gen_form!AR710</f>
        <v>1</v>
      </c>
      <c r="T74" s="1588">
        <f>Gen_form!AS710</f>
        <v>0</v>
      </c>
      <c r="U74" s="1588">
        <f>Gen_form!AT710</f>
        <v>0</v>
      </c>
      <c r="V74" s="1588">
        <f>Gen_form!AU710</f>
        <v>0</v>
      </c>
      <c r="W74" s="1588">
        <f>Gen_form!AV710</f>
        <v>0</v>
      </c>
      <c r="X74" s="1588">
        <f>Gen_form!AW710</f>
        <v>0</v>
      </c>
      <c r="Y74" s="1588">
        <f>Gen_form!AX710</f>
        <v>0</v>
      </c>
      <c r="Z74" s="1588" t="str">
        <f>Gen_form!AY710</f>
        <v/>
      </c>
      <c r="AA74" s="1588" t="str">
        <f>Gen_form!AZ710</f>
        <v/>
      </c>
      <c r="AB74" s="1588" t="str">
        <f>Gen_form!BA710</f>
        <v/>
      </c>
      <c r="AC74" s="1588" t="str">
        <f>Gen_form!BB710</f>
        <v/>
      </c>
    </row>
    <row r="75" spans="2:29">
      <c r="B75" s="1588">
        <f>Gen_form!AA711</f>
        <v>70</v>
      </c>
      <c r="C75" s="1588">
        <f>Gen_form!AB711</f>
        <v>100</v>
      </c>
      <c r="D75" s="1588">
        <f>Gen_form!AC711</f>
        <v>0.1</v>
      </c>
      <c r="E75" s="1588">
        <f>Gen_form!AD711</f>
        <v>0</v>
      </c>
      <c r="F75" s="1588" t="str">
        <f>Gen_form!AE711</f>
        <v>50-85</v>
      </c>
      <c r="G75" s="1588">
        <f>Gen_form!AF711</f>
        <v>0</v>
      </c>
      <c r="H75" s="1588" t="str">
        <f>Gen_form!AG711</f>
        <v>none</v>
      </c>
      <c r="I75" s="1588">
        <f>Gen_form!AH711</f>
        <v>60</v>
      </c>
      <c r="J75" s="1588" t="str">
        <f>Gen_form!AI711</f>
        <v>cm</v>
      </c>
      <c r="K75" s="1588">
        <f>Gen_form!AJ711</f>
        <v>1</v>
      </c>
      <c r="L75" s="1588" t="str">
        <f>Gen_form!AK711</f>
        <v>Low</v>
      </c>
      <c r="M75" s="1588" t="str">
        <f>Gen_form!AL711</f>
        <v>Internal</v>
      </c>
      <c r="N75" s="1588">
        <f>Gen_form!AM711</f>
        <v>0</v>
      </c>
      <c r="O75" s="1588">
        <f>Gen_form!AN711</f>
        <v>0</v>
      </c>
      <c r="P75" s="1588" t="str">
        <f>Gen_form!AO711</f>
        <v>Small</v>
      </c>
      <c r="Q75" s="1588">
        <f>Gen_form!AP711</f>
        <v>0</v>
      </c>
      <c r="R75" s="1588">
        <f>Gen_form!AQ711</f>
        <v>0</v>
      </c>
      <c r="S75" s="1588">
        <f>Gen_form!AR711</f>
        <v>1</v>
      </c>
      <c r="T75" s="1588">
        <f>Gen_form!AS711</f>
        <v>0</v>
      </c>
      <c r="U75" s="1588">
        <f>Gen_form!AT711</f>
        <v>0</v>
      </c>
      <c r="V75" s="1588">
        <f>Gen_form!AU711</f>
        <v>0</v>
      </c>
      <c r="W75" s="1588">
        <f>Gen_form!AV711</f>
        <v>0</v>
      </c>
      <c r="X75" s="1588">
        <f>Gen_form!AW711</f>
        <v>0</v>
      </c>
      <c r="Y75" s="1588">
        <f>Gen_form!AX711</f>
        <v>0</v>
      </c>
      <c r="Z75" s="1588" t="str">
        <f>Gen_form!AY711</f>
        <v/>
      </c>
      <c r="AA75" s="1588" t="str">
        <f>Gen_form!AZ711</f>
        <v/>
      </c>
      <c r="AB75" s="1588" t="str">
        <f>Gen_form!BA711</f>
        <v/>
      </c>
      <c r="AC75" s="1588" t="str">
        <f>Gen_form!BB711</f>
        <v/>
      </c>
    </row>
    <row r="76" spans="2:29">
      <c r="B76" s="1588">
        <f>Gen_form!AA712</f>
        <v>90</v>
      </c>
      <c r="C76" s="1588">
        <f>Gen_form!AB712</f>
        <v>100</v>
      </c>
      <c r="D76" s="1588">
        <f>Gen_form!AC712</f>
        <v>0.1</v>
      </c>
      <c r="E76" s="1588">
        <f>Gen_form!AD712</f>
        <v>0</v>
      </c>
      <c r="F76" s="1588" t="str">
        <f>Gen_form!AE712</f>
        <v>70-120</v>
      </c>
      <c r="G76" s="1588">
        <f>Gen_form!AF712</f>
        <v>0</v>
      </c>
      <c r="H76" s="1588" t="str">
        <f>Gen_form!AG712</f>
        <v>none</v>
      </c>
      <c r="I76" s="1588">
        <f>Gen_form!AH712</f>
        <v>60</v>
      </c>
      <c r="J76" s="1588" t="str">
        <f>Gen_form!AI712</f>
        <v>cm</v>
      </c>
      <c r="K76" s="1588">
        <f>Gen_form!AJ712</f>
        <v>1</v>
      </c>
      <c r="L76" s="1588" t="str">
        <f>Gen_form!AK712</f>
        <v>Low</v>
      </c>
      <c r="M76" s="1588" t="str">
        <f>Gen_form!AL712</f>
        <v>Internal</v>
      </c>
      <c r="N76" s="1588">
        <f>Gen_form!AM712</f>
        <v>0</v>
      </c>
      <c r="O76" s="1588">
        <f>Gen_form!AN712</f>
        <v>0</v>
      </c>
      <c r="P76" s="1588" t="str">
        <f>Gen_form!AO712</f>
        <v>Small</v>
      </c>
      <c r="Q76" s="1588">
        <f>Gen_form!AP712</f>
        <v>0</v>
      </c>
      <c r="R76" s="1588">
        <f>Gen_form!AQ712</f>
        <v>0</v>
      </c>
      <c r="S76" s="1588">
        <f>Gen_form!AR712</f>
        <v>1</v>
      </c>
      <c r="T76" s="1588">
        <f>Gen_form!AS712</f>
        <v>0</v>
      </c>
      <c r="U76" s="1588">
        <f>Gen_form!AT712</f>
        <v>0</v>
      </c>
      <c r="V76" s="1588">
        <f>Gen_form!AU712</f>
        <v>1</v>
      </c>
      <c r="W76" s="1588">
        <f>Gen_form!AV712</f>
        <v>0</v>
      </c>
      <c r="X76" s="1588">
        <f>Gen_form!AW712</f>
        <v>0</v>
      </c>
      <c r="Y76" s="1588">
        <f>Gen_form!AX712</f>
        <v>0</v>
      </c>
      <c r="Z76" s="1588" t="str">
        <f>Gen_form!AY712</f>
        <v/>
      </c>
      <c r="AA76" s="1588" t="str">
        <f>Gen_form!AZ712</f>
        <v/>
      </c>
      <c r="AB76" s="1588" t="str">
        <f>Gen_form!BA712</f>
        <v/>
      </c>
      <c r="AC76" s="1588" t="str">
        <f>Gen_form!BB712</f>
        <v/>
      </c>
    </row>
    <row r="77" spans="2:29">
      <c r="B77" s="1588">
        <f>Gen_form!AA713</f>
        <v>90</v>
      </c>
      <c r="C77" s="1588">
        <f>Gen_form!AB713</f>
        <v>100</v>
      </c>
      <c r="D77" s="1588">
        <f>Gen_form!AC713</f>
        <v>0.1</v>
      </c>
      <c r="E77" s="1588">
        <f>Gen_form!AD713</f>
        <v>0</v>
      </c>
      <c r="F77" s="1588" t="str">
        <f>Gen_form!AE713</f>
        <v>70-120</v>
      </c>
      <c r="G77" s="1588">
        <f>Gen_form!AF713</f>
        <v>0</v>
      </c>
      <c r="H77" s="1588" t="str">
        <f>Gen_form!AG713</f>
        <v>none</v>
      </c>
      <c r="I77" s="1588">
        <f>Gen_form!AH713</f>
        <v>60</v>
      </c>
      <c r="J77" s="1588" t="str">
        <f>Gen_form!AI713</f>
        <v>cm</v>
      </c>
      <c r="K77" s="1588">
        <f>Gen_form!AJ713</f>
        <v>1</v>
      </c>
      <c r="L77" s="1588" t="str">
        <f>Gen_form!AK713</f>
        <v>Low</v>
      </c>
      <c r="M77" s="1588" t="str">
        <f>Gen_form!AL713</f>
        <v>Internal</v>
      </c>
      <c r="N77" s="1588">
        <f>Gen_form!AM713</f>
        <v>0</v>
      </c>
      <c r="O77" s="1588">
        <f>Gen_form!AN713</f>
        <v>0</v>
      </c>
      <c r="P77" s="1588" t="str">
        <f>Gen_form!AO713</f>
        <v>Small</v>
      </c>
      <c r="Q77" s="1588">
        <f>Gen_form!AP713</f>
        <v>0</v>
      </c>
      <c r="R77" s="1588">
        <f>Gen_form!AQ713</f>
        <v>0</v>
      </c>
      <c r="S77" s="1588">
        <f>Gen_form!AR713</f>
        <v>0</v>
      </c>
      <c r="T77" s="1588">
        <f>Gen_form!AS713</f>
        <v>0</v>
      </c>
      <c r="U77" s="1588">
        <f>Gen_form!AT713</f>
        <v>0</v>
      </c>
      <c r="V77" s="1588">
        <f>Gen_form!AU713</f>
        <v>1</v>
      </c>
      <c r="W77" s="1588">
        <f>Gen_form!AV713</f>
        <v>0</v>
      </c>
      <c r="X77" s="1588">
        <f>Gen_form!AW713</f>
        <v>0</v>
      </c>
      <c r="Y77" s="1588">
        <f>Gen_form!AX713</f>
        <v>0</v>
      </c>
      <c r="Z77" s="1588" t="str">
        <f>Gen_form!AY713</f>
        <v/>
      </c>
      <c r="AA77" s="1588" t="str">
        <f>Gen_form!AZ713</f>
        <v/>
      </c>
      <c r="AB77" s="1588" t="str">
        <f>Gen_form!BA713</f>
        <v/>
      </c>
      <c r="AC77" s="1588" t="str">
        <f>Gen_form!BB713</f>
        <v/>
      </c>
    </row>
    <row r="78" spans="2:29">
      <c r="B78" s="1588">
        <f>Gen_form!AA714</f>
        <v>90</v>
      </c>
      <c r="C78" s="1588">
        <f>Gen_form!AB714</f>
        <v>100</v>
      </c>
      <c r="D78" s="1588">
        <f>Gen_form!AC714</f>
        <v>0.1</v>
      </c>
      <c r="E78" s="1588">
        <f>Gen_form!AD714</f>
        <v>0</v>
      </c>
      <c r="F78" s="1588" t="str">
        <f>Gen_form!AE714</f>
        <v>70-120</v>
      </c>
      <c r="G78" s="1588">
        <f>Gen_form!AF714</f>
        <v>0</v>
      </c>
      <c r="H78" s="1588" t="str">
        <f>Gen_form!AG714</f>
        <v>none</v>
      </c>
      <c r="I78" s="1588">
        <f>Gen_form!AH714</f>
        <v>60</v>
      </c>
      <c r="J78" s="1588" t="str">
        <f>Gen_form!AI714</f>
        <v>cm</v>
      </c>
      <c r="K78" s="1588">
        <f>Gen_form!AJ714</f>
        <v>1</v>
      </c>
      <c r="L78" s="1588" t="str">
        <f>Gen_form!AK714</f>
        <v>Low</v>
      </c>
      <c r="M78" s="1588" t="str">
        <f>Gen_form!AL714</f>
        <v>Internal</v>
      </c>
      <c r="N78" s="1588">
        <f>Gen_form!AM714</f>
        <v>0</v>
      </c>
      <c r="O78" s="1588">
        <f>Gen_form!AN714</f>
        <v>1</v>
      </c>
      <c r="P78" s="1588" t="str">
        <f>Gen_form!AO714</f>
        <v>Small</v>
      </c>
      <c r="Q78" s="1588">
        <f>Gen_form!AP714</f>
        <v>0</v>
      </c>
      <c r="R78" s="1588">
        <f>Gen_form!AQ714</f>
        <v>0</v>
      </c>
      <c r="S78" s="1588">
        <f>Gen_form!AR714</f>
        <v>0</v>
      </c>
      <c r="T78" s="1588">
        <f>Gen_form!AS714</f>
        <v>0</v>
      </c>
      <c r="U78" s="1588">
        <f>Gen_form!AT714</f>
        <v>0</v>
      </c>
      <c r="V78" s="1588">
        <f>Gen_form!AU714</f>
        <v>1</v>
      </c>
      <c r="W78" s="1588">
        <f>Gen_form!AV714</f>
        <v>0</v>
      </c>
      <c r="X78" s="1588">
        <f>Gen_form!AW714</f>
        <v>0</v>
      </c>
      <c r="Y78" s="1588">
        <f>Gen_form!AX714</f>
        <v>0</v>
      </c>
      <c r="Z78" s="1588" t="str">
        <f>Gen_form!AY714</f>
        <v/>
      </c>
      <c r="AA78" s="1588" t="str">
        <f>Gen_form!AZ714</f>
        <v/>
      </c>
      <c r="AB78" s="1588" t="str">
        <f>Gen_form!BA714</f>
        <v/>
      </c>
      <c r="AC78" s="1588" t="str">
        <f>Gen_form!BB714</f>
        <v/>
      </c>
    </row>
    <row r="79" spans="2:29">
      <c r="B79" s="1588">
        <f>Gen_form!AA715</f>
        <v>90</v>
      </c>
      <c r="C79" s="1588">
        <f>Gen_form!AB715</f>
        <v>100</v>
      </c>
      <c r="D79" s="1588">
        <f>Gen_form!AC715</f>
        <v>0.1</v>
      </c>
      <c r="E79" s="1588">
        <f>Gen_form!AD715</f>
        <v>0</v>
      </c>
      <c r="F79" s="1588" t="str">
        <f>Gen_form!AE715</f>
        <v>70-120</v>
      </c>
      <c r="G79" s="1588">
        <f>Gen_form!AF715</f>
        <v>0</v>
      </c>
      <c r="H79" s="1588" t="str">
        <f>Gen_form!AG715</f>
        <v>none</v>
      </c>
      <c r="I79" s="1588">
        <f>Gen_form!AH715</f>
        <v>60</v>
      </c>
      <c r="J79" s="1588" t="str">
        <f>Gen_form!AI715</f>
        <v>cm</v>
      </c>
      <c r="K79" s="1588">
        <f>Gen_form!AJ715</f>
        <v>1</v>
      </c>
      <c r="L79" s="1588" t="str">
        <f>Gen_form!AK715</f>
        <v>Low</v>
      </c>
      <c r="M79" s="1588" t="str">
        <f>Gen_form!AL715</f>
        <v>Internal</v>
      </c>
      <c r="N79" s="1588">
        <f>Gen_form!AM715</f>
        <v>0</v>
      </c>
      <c r="O79" s="1588">
        <f>Gen_form!AN715</f>
        <v>0</v>
      </c>
      <c r="P79" s="1588" t="str">
        <f>Gen_form!AO715</f>
        <v>Small</v>
      </c>
      <c r="Q79" s="1588">
        <f>Gen_form!AP715</f>
        <v>0</v>
      </c>
      <c r="R79" s="1588">
        <f>Gen_form!AQ715</f>
        <v>0</v>
      </c>
      <c r="S79" s="1588">
        <f>Gen_form!AR715</f>
        <v>0</v>
      </c>
      <c r="T79" s="1588">
        <f>Gen_form!AS715</f>
        <v>0</v>
      </c>
      <c r="U79" s="1588">
        <f>Gen_form!AT715</f>
        <v>0</v>
      </c>
      <c r="V79" s="1588">
        <f>Gen_form!AU715</f>
        <v>1</v>
      </c>
      <c r="W79" s="1588">
        <f>Gen_form!AV715</f>
        <v>0</v>
      </c>
      <c r="X79" s="1588">
        <f>Gen_form!AW715</f>
        <v>0</v>
      </c>
      <c r="Y79" s="1588">
        <f>Gen_form!AX715</f>
        <v>0</v>
      </c>
      <c r="Z79" s="1588" t="str">
        <f>Gen_form!AY715</f>
        <v/>
      </c>
      <c r="AA79" s="1588" t="str">
        <f>Gen_form!AZ715</f>
        <v/>
      </c>
      <c r="AB79" s="1588" t="str">
        <f>Gen_form!BA715</f>
        <v/>
      </c>
      <c r="AC79" s="1588" t="str">
        <f>Gen_form!BB715</f>
        <v/>
      </c>
    </row>
    <row r="80" spans="2:29">
      <c r="B80" s="1588">
        <f>Gen_form!AA716</f>
        <v>90</v>
      </c>
      <c r="C80" s="1588">
        <f>Gen_form!AB716</f>
        <v>100</v>
      </c>
      <c r="D80" s="1588">
        <f>Gen_form!AC716</f>
        <v>0.1</v>
      </c>
      <c r="E80" s="1588">
        <f>Gen_form!AD716</f>
        <v>0</v>
      </c>
      <c r="F80" s="1588" t="str">
        <f>Gen_form!AE716</f>
        <v>70-120</v>
      </c>
      <c r="G80" s="1588">
        <f>Gen_form!AF716</f>
        <v>0</v>
      </c>
      <c r="H80" s="1588" t="str">
        <f>Gen_form!AG716</f>
        <v>none</v>
      </c>
      <c r="I80" s="1588">
        <f>Gen_form!AH716</f>
        <v>60</v>
      </c>
      <c r="J80" s="1588" t="str">
        <f>Gen_form!AI716</f>
        <v>cm</v>
      </c>
      <c r="K80" s="1588">
        <f>Gen_form!AJ716</f>
        <v>1</v>
      </c>
      <c r="L80" s="1588" t="str">
        <f>Gen_form!AK716</f>
        <v>Low</v>
      </c>
      <c r="M80" s="1588" t="str">
        <f>Gen_form!AL716</f>
        <v>Internal</v>
      </c>
      <c r="N80" s="1588">
        <f>Gen_form!AM716</f>
        <v>0</v>
      </c>
      <c r="O80" s="1588">
        <f>Gen_form!AN716</f>
        <v>0</v>
      </c>
      <c r="P80" s="1588" t="str">
        <f>Gen_form!AO716</f>
        <v>Small</v>
      </c>
      <c r="Q80" s="1588">
        <f>Gen_form!AP716</f>
        <v>0</v>
      </c>
      <c r="R80" s="1588">
        <f>Gen_form!AQ716</f>
        <v>0</v>
      </c>
      <c r="S80" s="1588">
        <f>Gen_form!AR716</f>
        <v>0</v>
      </c>
      <c r="T80" s="1588">
        <f>Gen_form!AS716</f>
        <v>0</v>
      </c>
      <c r="U80" s="1588">
        <f>Gen_form!AT716</f>
        <v>0</v>
      </c>
      <c r="V80" s="1588">
        <f>Gen_form!AU716</f>
        <v>1</v>
      </c>
      <c r="W80" s="1588">
        <f>Gen_form!AV716</f>
        <v>0</v>
      </c>
      <c r="X80" s="1588">
        <f>Gen_form!AW716</f>
        <v>0</v>
      </c>
      <c r="Y80" s="1588">
        <f>Gen_form!AX716</f>
        <v>0</v>
      </c>
      <c r="Z80" s="1588" t="str">
        <f>Gen_form!AY716</f>
        <v/>
      </c>
      <c r="AA80" s="1588" t="str">
        <f>Gen_form!AZ716</f>
        <v/>
      </c>
      <c r="AB80" s="1588" t="str">
        <f>Gen_form!BA716</f>
        <v/>
      </c>
      <c r="AC80" s="1588" t="str">
        <f>Gen_form!BB716</f>
        <v/>
      </c>
    </row>
    <row r="81" spans="1:29">
      <c r="B81" s="1588">
        <f>Gen_form!AA717</f>
        <v>80</v>
      </c>
      <c r="C81" s="1588">
        <f>Gen_form!AB717</f>
        <v>100</v>
      </c>
      <c r="D81" s="1588">
        <f>Gen_form!AC717</f>
        <v>0.1</v>
      </c>
      <c r="E81" s="1588">
        <f>Gen_form!AD717</f>
        <v>0</v>
      </c>
      <c r="F81" s="1588" t="str">
        <f>Gen_form!AE717</f>
        <v>70-120</v>
      </c>
      <c r="G81" s="1588">
        <f>Gen_form!AF717</f>
        <v>0</v>
      </c>
      <c r="H81" s="1588" t="str">
        <f>Gen_form!AG717</f>
        <v>none</v>
      </c>
      <c r="I81" s="1588">
        <f>Gen_form!AH717</f>
        <v>60</v>
      </c>
      <c r="J81" s="1588" t="str">
        <f>Gen_form!AI717</f>
        <v>cm</v>
      </c>
      <c r="K81" s="1588">
        <f>Gen_form!AJ717</f>
        <v>1</v>
      </c>
      <c r="L81" s="1588" t="str">
        <f>Gen_form!AK717</f>
        <v>Low</v>
      </c>
      <c r="M81" s="1588" t="str">
        <f>Gen_form!AL717</f>
        <v>Internal</v>
      </c>
      <c r="N81" s="1588">
        <f>Gen_form!AM717</f>
        <v>0</v>
      </c>
      <c r="O81" s="1588">
        <f>Gen_form!AN717</f>
        <v>0</v>
      </c>
      <c r="P81" s="1588" t="str">
        <f>Gen_form!AO717</f>
        <v>Small</v>
      </c>
      <c r="Q81" s="1588">
        <f>Gen_form!AP717</f>
        <v>0</v>
      </c>
      <c r="R81" s="1588">
        <f>Gen_form!AQ717</f>
        <v>1</v>
      </c>
      <c r="S81" s="1588">
        <f>Gen_form!AR717</f>
        <v>0</v>
      </c>
      <c r="T81" s="1588">
        <f>Gen_form!AS717</f>
        <v>0</v>
      </c>
      <c r="U81" s="1588">
        <f>Gen_form!AT717</f>
        <v>0</v>
      </c>
      <c r="V81" s="1588">
        <f>Gen_form!AU717</f>
        <v>0</v>
      </c>
      <c r="W81" s="1588">
        <f>Gen_form!AV717</f>
        <v>0</v>
      </c>
      <c r="X81" s="1588">
        <f>Gen_form!AW717</f>
        <v>0</v>
      </c>
      <c r="Y81" s="1588">
        <f>Gen_form!AX717</f>
        <v>0</v>
      </c>
      <c r="Z81" s="1588" t="str">
        <f>Gen_form!AY717</f>
        <v/>
      </c>
      <c r="AA81" s="1588" t="str">
        <f>Gen_form!AZ717</f>
        <v/>
      </c>
      <c r="AB81" s="1588" t="str">
        <f>Gen_form!BA717</f>
        <v/>
      </c>
      <c r="AC81" s="1588" t="str">
        <f>Gen_form!BB717</f>
        <v/>
      </c>
    </row>
    <row r="82" spans="1:29">
      <c r="B82" s="1588">
        <f>Gen_form!AA718</f>
        <v>80</v>
      </c>
      <c r="C82" s="1588">
        <f>Gen_form!AB718</f>
        <v>110</v>
      </c>
      <c r="D82" s="1588">
        <f>Gen_form!AC718</f>
        <v>0.1</v>
      </c>
      <c r="E82" s="1588">
        <f>Gen_form!AD718</f>
        <v>0</v>
      </c>
      <c r="F82" s="1588" t="str">
        <f>Gen_form!AE718</f>
        <v>70-120</v>
      </c>
      <c r="G82" s="1588">
        <f>Gen_form!AF718</f>
        <v>0</v>
      </c>
      <c r="H82" s="1588" t="str">
        <f>Gen_form!AG718</f>
        <v>none</v>
      </c>
      <c r="I82" s="1588">
        <f>Gen_form!AH718</f>
        <v>60</v>
      </c>
      <c r="J82" s="1588" t="str">
        <f>Gen_form!AI718</f>
        <v>cm</v>
      </c>
      <c r="K82" s="1588">
        <f>Gen_form!AJ718</f>
        <v>1</v>
      </c>
      <c r="L82" s="1588" t="str">
        <f>Gen_form!AK718</f>
        <v>Low</v>
      </c>
      <c r="M82" s="1588" t="str">
        <f>Gen_form!AL718</f>
        <v>Internal</v>
      </c>
      <c r="N82" s="1588">
        <f>Gen_form!AM718</f>
        <v>0</v>
      </c>
      <c r="O82" s="1588">
        <f>Gen_form!AN718</f>
        <v>0</v>
      </c>
      <c r="P82" s="1588" t="str">
        <f>Gen_form!AO718</f>
        <v>Small</v>
      </c>
      <c r="Q82" s="1588">
        <f>Gen_form!AP718</f>
        <v>0</v>
      </c>
      <c r="R82" s="1588">
        <f>Gen_form!AQ718</f>
        <v>1</v>
      </c>
      <c r="S82" s="1588">
        <f>Gen_form!AR718</f>
        <v>0</v>
      </c>
      <c r="T82" s="1588">
        <f>Gen_form!AS718</f>
        <v>0</v>
      </c>
      <c r="U82" s="1588">
        <f>Gen_form!AT718</f>
        <v>0</v>
      </c>
      <c r="V82" s="1588">
        <f>Gen_form!AU718</f>
        <v>0</v>
      </c>
      <c r="W82" s="1588">
        <f>Gen_form!AV718</f>
        <v>0</v>
      </c>
      <c r="X82" s="1588">
        <f>Gen_form!AW718</f>
        <v>0</v>
      </c>
      <c r="Y82" s="1588">
        <f>Gen_form!AX718</f>
        <v>0</v>
      </c>
      <c r="Z82" s="1588" t="str">
        <f>Gen_form!AY718</f>
        <v/>
      </c>
      <c r="AA82" s="1588" t="str">
        <f>Gen_form!AZ718</f>
        <v/>
      </c>
      <c r="AB82" s="1588" t="str">
        <f>Gen_form!BA718</f>
        <v/>
      </c>
      <c r="AC82" s="1588" t="str">
        <f>Gen_form!BB718</f>
        <v/>
      </c>
    </row>
    <row r="83" spans="1:29">
      <c r="B83" s="1588">
        <f>Gen_form!AA719</f>
        <v>80</v>
      </c>
      <c r="C83" s="1588">
        <f>Gen_form!AB719</f>
        <v>250</v>
      </c>
      <c r="D83" s="1588">
        <f>Gen_form!AC719</f>
        <v>0.1</v>
      </c>
      <c r="E83" s="1588">
        <f>Gen_form!AD719</f>
        <v>0</v>
      </c>
      <c r="F83" s="1588" t="str">
        <f>Gen_form!AE719</f>
        <v>70-120</v>
      </c>
      <c r="G83" s="1588">
        <f>Gen_form!AF719</f>
        <v>0</v>
      </c>
      <c r="H83" s="1588" t="str">
        <f>Gen_form!AG719</f>
        <v>none</v>
      </c>
      <c r="I83" s="1588">
        <f>Gen_form!AH719</f>
        <v>60</v>
      </c>
      <c r="J83" s="1588" t="str">
        <f>Gen_form!AI719</f>
        <v>cm</v>
      </c>
      <c r="K83" s="1588">
        <f>Gen_form!AJ719</f>
        <v>1</v>
      </c>
      <c r="L83" s="1588" t="str">
        <f>Gen_form!AK719</f>
        <v>High</v>
      </c>
      <c r="M83" s="1588" t="str">
        <f>Gen_form!AL719</f>
        <v>Internal</v>
      </c>
      <c r="N83" s="1588">
        <f>Gen_form!AM719</f>
        <v>0</v>
      </c>
      <c r="O83" s="1588">
        <f>Gen_form!AN719</f>
        <v>0</v>
      </c>
      <c r="P83" s="1588" t="str">
        <f>Gen_form!AO719</f>
        <v>Small</v>
      </c>
      <c r="Q83" s="1588">
        <f>Gen_form!AP719</f>
        <v>0</v>
      </c>
      <c r="R83" s="1588">
        <f>Gen_form!AQ719</f>
        <v>1</v>
      </c>
      <c r="S83" s="1588">
        <f>Gen_form!AR719</f>
        <v>0</v>
      </c>
      <c r="T83" s="1588">
        <f>Gen_form!AS719</f>
        <v>0</v>
      </c>
      <c r="U83" s="1588">
        <f>Gen_form!AT719</f>
        <v>0</v>
      </c>
      <c r="V83" s="1588">
        <f>Gen_form!AU719</f>
        <v>0</v>
      </c>
      <c r="W83" s="1588">
        <f>Gen_form!AV719</f>
        <v>0</v>
      </c>
      <c r="X83" s="1588">
        <f>Gen_form!AW719</f>
        <v>0</v>
      </c>
      <c r="Y83" s="1588">
        <f>Gen_form!AX719</f>
        <v>0</v>
      </c>
      <c r="Z83" s="1588" t="str">
        <f>Gen_form!AY719</f>
        <v/>
      </c>
      <c r="AA83" s="1588" t="str">
        <f>Gen_form!AZ719</f>
        <v/>
      </c>
      <c r="AB83" s="1588" t="str">
        <f>Gen_form!BA719</f>
        <v/>
      </c>
      <c r="AC83" s="1588" t="str">
        <f>Gen_form!BB719</f>
        <v/>
      </c>
    </row>
    <row r="84" spans="1:29">
      <c r="B84" s="1588">
        <f>Gen_form!AA720</f>
        <v>80</v>
      </c>
      <c r="C84" s="1588">
        <f>Gen_form!AB720</f>
        <v>50</v>
      </c>
      <c r="D84" s="1588">
        <f>Gen_form!AC720</f>
        <v>0.1</v>
      </c>
      <c r="E84" s="1588">
        <f>Gen_form!AD720</f>
        <v>0</v>
      </c>
      <c r="F84" s="1588" t="str">
        <f>Gen_form!AE720</f>
        <v>70-120</v>
      </c>
      <c r="G84" s="1588">
        <f>Gen_form!AF720</f>
        <v>0</v>
      </c>
      <c r="H84" s="1588" t="str">
        <f>Gen_form!AG720</f>
        <v>none</v>
      </c>
      <c r="I84" s="1588">
        <f>Gen_form!AH720</f>
        <v>60</v>
      </c>
      <c r="J84" s="1588" t="str">
        <f>Gen_form!AI720</f>
        <v>cm</v>
      </c>
      <c r="K84" s="1588">
        <f>Gen_form!AJ720</f>
        <v>1</v>
      </c>
      <c r="L84" s="1588" t="str">
        <f>Gen_form!AK720</f>
        <v>High</v>
      </c>
      <c r="M84" s="1588" t="str">
        <f>Gen_form!AL720</f>
        <v>Internal</v>
      </c>
      <c r="N84" s="1588">
        <f>Gen_form!AM720</f>
        <v>0</v>
      </c>
      <c r="O84" s="1588">
        <f>Gen_form!AN720</f>
        <v>0</v>
      </c>
      <c r="P84" s="1588" t="str">
        <f>Gen_form!AO720</f>
        <v>Small</v>
      </c>
      <c r="Q84" s="1588">
        <f>Gen_form!AP720</f>
        <v>0</v>
      </c>
      <c r="R84" s="1588">
        <f>Gen_form!AQ720</f>
        <v>1</v>
      </c>
      <c r="S84" s="1588">
        <f>Gen_form!AR720</f>
        <v>0</v>
      </c>
      <c r="T84" s="1588">
        <f>Gen_form!AS720</f>
        <v>0</v>
      </c>
      <c r="U84" s="1588">
        <f>Gen_form!AT720</f>
        <v>0</v>
      </c>
      <c r="V84" s="1588">
        <f>Gen_form!AU720</f>
        <v>0</v>
      </c>
      <c r="W84" s="1588">
        <f>Gen_form!AV720</f>
        <v>0</v>
      </c>
      <c r="X84" s="1588">
        <f>Gen_form!AW720</f>
        <v>0</v>
      </c>
      <c r="Y84" s="1588">
        <f>Gen_form!AX720</f>
        <v>0</v>
      </c>
      <c r="Z84" s="1588" t="str">
        <f>Gen_form!AY720</f>
        <v/>
      </c>
      <c r="AA84" s="1588" t="str">
        <f>Gen_form!AZ720</f>
        <v/>
      </c>
      <c r="AB84" s="1588" t="str">
        <f>Gen_form!BA720</f>
        <v/>
      </c>
      <c r="AC84" s="1588" t="str">
        <f>Gen_form!BB720</f>
        <v/>
      </c>
    </row>
    <row r="85" spans="1:29">
      <c r="B85" s="1588">
        <f>Gen_form!AA721</f>
        <v>80</v>
      </c>
      <c r="C85" s="1588">
        <f>Gen_form!AB721</f>
        <v>160</v>
      </c>
      <c r="D85" s="1588">
        <f>Gen_form!AC721</f>
        <v>0.1</v>
      </c>
      <c r="E85" s="1588">
        <f>Gen_form!AD721</f>
        <v>0</v>
      </c>
      <c r="F85" s="1588" t="str">
        <f>Gen_form!AE721</f>
        <v>70-120</v>
      </c>
      <c r="G85" s="1588">
        <f>Gen_form!AF721</f>
        <v>0</v>
      </c>
      <c r="H85" s="1588" t="str">
        <f>Gen_form!AG721</f>
        <v>none</v>
      </c>
      <c r="I85" s="1588">
        <f>Gen_form!AH721</f>
        <v>60</v>
      </c>
      <c r="J85" s="1588" t="str">
        <f>Gen_form!AI721</f>
        <v>cm</v>
      </c>
      <c r="K85" s="1588">
        <f>Gen_form!AJ721</f>
        <v>1</v>
      </c>
      <c r="L85" s="1588" t="str">
        <f>Gen_form!AK721</f>
        <v>Low</v>
      </c>
      <c r="M85" s="1588" t="str">
        <f>Gen_form!AL721</f>
        <v>Internal</v>
      </c>
      <c r="N85" s="1588">
        <f>Gen_form!AM721</f>
        <v>0</v>
      </c>
      <c r="O85" s="1588">
        <f>Gen_form!AN721</f>
        <v>0</v>
      </c>
      <c r="P85" s="1588" t="str">
        <f>Gen_form!AO721</f>
        <v>Small</v>
      </c>
      <c r="Q85" s="1588">
        <f>Gen_form!AP721</f>
        <v>0</v>
      </c>
      <c r="R85" s="1588">
        <f>Gen_form!AQ721</f>
        <v>1</v>
      </c>
      <c r="S85" s="1588">
        <f>Gen_form!AR721</f>
        <v>0</v>
      </c>
      <c r="T85" s="1588">
        <f>Gen_form!AS721</f>
        <v>0</v>
      </c>
      <c r="U85" s="1588">
        <f>Gen_form!AT721</f>
        <v>0</v>
      </c>
      <c r="V85" s="1588">
        <f>Gen_form!AU721</f>
        <v>0</v>
      </c>
      <c r="W85" s="1588">
        <f>Gen_form!AV721</f>
        <v>0</v>
      </c>
      <c r="X85" s="1588">
        <f>Gen_form!AW721</f>
        <v>0</v>
      </c>
      <c r="Y85" s="1588">
        <f>Gen_form!AX721</f>
        <v>0</v>
      </c>
      <c r="Z85" s="1588" t="str">
        <f>Gen_form!AY721</f>
        <v/>
      </c>
      <c r="AA85" s="1588" t="str">
        <f>Gen_form!AZ721</f>
        <v/>
      </c>
      <c r="AB85" s="1588" t="str">
        <f>Gen_form!BA721</f>
        <v/>
      </c>
      <c r="AC85" s="1588" t="str">
        <f>Gen_form!BB721</f>
        <v/>
      </c>
    </row>
    <row r="86" spans="1:29">
      <c r="B86" s="1588">
        <f>Gen_form!AA722</f>
        <v>110</v>
      </c>
      <c r="C86" s="1588">
        <f>Gen_form!AB722</f>
        <v>100</v>
      </c>
      <c r="D86" s="1588">
        <f>Gen_form!AC722</f>
        <v>0.1</v>
      </c>
      <c r="E86" s="1588">
        <f>Gen_form!AD722</f>
        <v>0</v>
      </c>
      <c r="F86" s="1588" t="str">
        <f>Gen_form!AE722</f>
        <v>70-120</v>
      </c>
      <c r="G86" s="1588">
        <f>Gen_form!AF722</f>
        <v>0</v>
      </c>
      <c r="H86" s="1588" t="str">
        <f>Gen_form!AG722</f>
        <v>none</v>
      </c>
      <c r="I86" s="1588">
        <f>Gen_form!AH722</f>
        <v>60</v>
      </c>
      <c r="J86" s="1588" t="str">
        <f>Gen_form!AI722</f>
        <v>cm</v>
      </c>
      <c r="K86" s="1588">
        <f>Gen_form!AJ722</f>
        <v>1</v>
      </c>
      <c r="L86" s="1588" t="str">
        <f>Gen_form!AK722</f>
        <v>Low</v>
      </c>
      <c r="M86" s="1588" t="str">
        <f>Gen_form!AL722</f>
        <v>Internal</v>
      </c>
      <c r="N86" s="1588">
        <f>Gen_form!AM722</f>
        <v>0</v>
      </c>
      <c r="O86" s="1588">
        <f>Gen_form!AN722</f>
        <v>0</v>
      </c>
      <c r="P86" s="1588" t="str">
        <f>Gen_form!AO722</f>
        <v>Small</v>
      </c>
      <c r="Q86" s="1588">
        <f>Gen_form!AP722</f>
        <v>0</v>
      </c>
      <c r="R86" s="1588">
        <f>Gen_form!AQ722</f>
        <v>0</v>
      </c>
      <c r="S86" s="1588">
        <f>Gen_form!AR722</f>
        <v>1</v>
      </c>
      <c r="T86" s="1588">
        <f>Gen_form!AS722</f>
        <v>0</v>
      </c>
      <c r="U86" s="1588">
        <f>Gen_form!AT722</f>
        <v>0</v>
      </c>
      <c r="V86" s="1588">
        <f>Gen_form!AU722</f>
        <v>0</v>
      </c>
      <c r="W86" s="1588">
        <f>Gen_form!AV722</f>
        <v>0</v>
      </c>
      <c r="X86" s="1588">
        <f>Gen_form!AW722</f>
        <v>0</v>
      </c>
      <c r="Y86" s="1588">
        <f>Gen_form!AX722</f>
        <v>0</v>
      </c>
      <c r="Z86" s="1588" t="str">
        <f>Gen_form!AY722</f>
        <v/>
      </c>
      <c r="AA86" s="1588" t="str">
        <f>Gen_form!AZ722</f>
        <v/>
      </c>
      <c r="AB86" s="1588" t="str">
        <f>Gen_form!BA722</f>
        <v/>
      </c>
      <c r="AC86" s="1588" t="str">
        <f>Gen_form!BB722</f>
        <v/>
      </c>
    </row>
    <row r="87" spans="1:29">
      <c r="B87" s="1588">
        <f>Gen_form!AA723</f>
        <v>130</v>
      </c>
      <c r="C87" s="1588">
        <f>Gen_form!AB723</f>
        <v>100</v>
      </c>
      <c r="D87" s="1588">
        <f>Gen_form!AC723</f>
        <v>0.1</v>
      </c>
      <c r="E87" s="1588">
        <f>Gen_form!AD723</f>
        <v>0</v>
      </c>
      <c r="F87" s="1588" t="str">
        <f>Gen_form!AE723</f>
        <v>100-155</v>
      </c>
      <c r="G87" s="1588">
        <f>Gen_form!AF723</f>
        <v>0</v>
      </c>
      <c r="H87" s="1588" t="str">
        <f>Gen_form!AG723</f>
        <v>none</v>
      </c>
      <c r="I87" s="1588">
        <f>Gen_form!AH723</f>
        <v>60</v>
      </c>
      <c r="J87" s="1588" t="str">
        <f>Gen_form!AI723</f>
        <v>cm</v>
      </c>
      <c r="K87" s="1588">
        <f>Gen_form!AJ723</f>
        <v>1</v>
      </c>
      <c r="L87" s="1588" t="str">
        <f>Gen_form!AK723</f>
        <v>Low</v>
      </c>
      <c r="M87" s="1588" t="str">
        <f>Gen_form!AL723</f>
        <v>Internal</v>
      </c>
      <c r="N87" s="1588">
        <f>Gen_form!AM723</f>
        <v>0</v>
      </c>
      <c r="O87" s="1588">
        <f>Gen_form!AN723</f>
        <v>0</v>
      </c>
      <c r="P87" s="1588" t="str">
        <f>Gen_form!AO723</f>
        <v>Small</v>
      </c>
      <c r="Q87" s="1588">
        <f>Gen_form!AP723</f>
        <v>0</v>
      </c>
      <c r="R87" s="1588">
        <f>Gen_form!AQ723</f>
        <v>0</v>
      </c>
      <c r="S87" s="1588">
        <f>Gen_form!AR723</f>
        <v>1</v>
      </c>
      <c r="T87" s="1588">
        <f>Gen_form!AS723</f>
        <v>0</v>
      </c>
      <c r="U87" s="1588">
        <f>Gen_form!AT723</f>
        <v>0</v>
      </c>
      <c r="V87" s="1588">
        <f>Gen_form!AU723</f>
        <v>0</v>
      </c>
      <c r="W87" s="1588">
        <f>Gen_form!AV723</f>
        <v>0</v>
      </c>
      <c r="X87" s="1588">
        <f>Gen_form!AW723</f>
        <v>0</v>
      </c>
      <c r="Y87" s="1588">
        <f>Gen_form!AX723</f>
        <v>0</v>
      </c>
      <c r="Z87" s="1588" t="str">
        <f>Gen_form!AY723</f>
        <v/>
      </c>
      <c r="AA87" s="1588" t="str">
        <f>Gen_form!AZ723</f>
        <v/>
      </c>
      <c r="AB87" s="1588" t="str">
        <f>Gen_form!BA723</f>
        <v/>
      </c>
      <c r="AC87" s="1588" t="str">
        <f>Gen_form!BB723</f>
        <v/>
      </c>
    </row>
    <row r="88" spans="1:29">
      <c r="B88" s="1588">
        <f>Gen_form!AA724</f>
        <v>80</v>
      </c>
      <c r="C88" s="1588">
        <f>Gen_form!AB724</f>
        <v>200</v>
      </c>
      <c r="D88" s="1588">
        <f>Gen_form!AC724</f>
        <v>0.01</v>
      </c>
      <c r="E88" s="1588">
        <f>Gen_form!AD724</f>
        <v>0</v>
      </c>
      <c r="F88" s="1588" t="str">
        <f>Gen_form!AE724</f>
        <v>70-120</v>
      </c>
      <c r="G88" s="1588">
        <f>Gen_form!AF724</f>
        <v>0</v>
      </c>
      <c r="H88" s="1588" t="str">
        <f>Gen_form!AG724</f>
        <v>none</v>
      </c>
      <c r="I88" s="1588">
        <f>Gen_form!AH724</f>
        <v>60</v>
      </c>
      <c r="J88" s="1588" t="str">
        <f>Gen_form!AI724</f>
        <v>cm</v>
      </c>
      <c r="K88" s="1588">
        <f>Gen_form!AJ724</f>
        <v>1</v>
      </c>
      <c r="L88" s="1588" t="str">
        <f>Gen_form!AK724</f>
        <v>Low</v>
      </c>
      <c r="M88" s="1588" t="str">
        <f>Gen_form!AL724</f>
        <v>Internal</v>
      </c>
      <c r="N88" s="1588">
        <f>Gen_form!AM724</f>
        <v>0</v>
      </c>
      <c r="O88" s="1588">
        <f>Gen_form!AN724</f>
        <v>1</v>
      </c>
      <c r="P88" s="1588" t="str">
        <f>Gen_form!AO724</f>
        <v>Large</v>
      </c>
      <c r="Q88" s="1588">
        <f>Gen_form!AP724</f>
        <v>0</v>
      </c>
      <c r="R88" s="1588">
        <f>Gen_form!AQ724</f>
        <v>0</v>
      </c>
      <c r="S88" s="1588">
        <f>Gen_form!AR724</f>
        <v>1</v>
      </c>
      <c r="T88" s="1588">
        <f>Gen_form!AS724</f>
        <v>0</v>
      </c>
      <c r="U88" s="1588">
        <f>Gen_form!AT724</f>
        <v>0</v>
      </c>
      <c r="V88" s="1588">
        <f>Gen_form!AU724</f>
        <v>0</v>
      </c>
      <c r="W88" s="1588">
        <f>Gen_form!AV724</f>
        <v>0</v>
      </c>
      <c r="X88" s="1588">
        <f>Gen_form!AW724</f>
        <v>0</v>
      </c>
      <c r="Y88" s="1588">
        <f>Gen_form!AX724</f>
        <v>0</v>
      </c>
      <c r="Z88" s="1588" t="str">
        <f>Gen_form!AY724</f>
        <v/>
      </c>
      <c r="AA88" s="1588" t="str">
        <f>Gen_form!AZ724</f>
        <v/>
      </c>
      <c r="AB88" s="1588" t="str">
        <f>Gen_form!BA724</f>
        <v/>
      </c>
      <c r="AC88" s="1588" t="str">
        <f>Gen_form!BB724</f>
        <v/>
      </c>
    </row>
    <row r="89" spans="1:29">
      <c r="B89" s="1588">
        <f>Gen_form!AA725</f>
        <v>80</v>
      </c>
      <c r="C89" s="1588">
        <f>Gen_form!AB725</f>
        <v>200</v>
      </c>
      <c r="D89" s="1588">
        <f>Gen_form!AC725</f>
        <v>0.02</v>
      </c>
      <c r="E89" s="1588">
        <f>Gen_form!AD725</f>
        <v>0</v>
      </c>
      <c r="F89" s="1588" t="str">
        <f>Gen_form!AE725</f>
        <v>70-120</v>
      </c>
      <c r="G89" s="1588">
        <f>Gen_form!AF725</f>
        <v>0</v>
      </c>
      <c r="H89" s="1588" t="str">
        <f>Gen_form!AG725</f>
        <v>none</v>
      </c>
      <c r="I89" s="1588">
        <f>Gen_form!AH725</f>
        <v>60</v>
      </c>
      <c r="J89" s="1588" t="str">
        <f>Gen_form!AI725</f>
        <v>cm</v>
      </c>
      <c r="K89" s="1588">
        <f>Gen_form!AJ725</f>
        <v>1</v>
      </c>
      <c r="L89" s="1588" t="str">
        <f>Gen_form!AK725</f>
        <v>Low</v>
      </c>
      <c r="M89" s="1588" t="str">
        <f>Gen_form!AL725</f>
        <v>Internal</v>
      </c>
      <c r="N89" s="1588">
        <f>Gen_form!AM725</f>
        <v>0</v>
      </c>
      <c r="O89" s="1588">
        <f>Gen_form!AN725</f>
        <v>1</v>
      </c>
      <c r="P89" s="1588" t="str">
        <f>Gen_form!AO725</f>
        <v>Large</v>
      </c>
      <c r="Q89" s="1588">
        <f>Gen_form!AP725</f>
        <v>0</v>
      </c>
      <c r="R89" s="1588">
        <f>Gen_form!AQ725</f>
        <v>0</v>
      </c>
      <c r="S89" s="1588">
        <f>Gen_form!AR725</f>
        <v>1</v>
      </c>
      <c r="T89" s="1588">
        <f>Gen_form!AS725</f>
        <v>0</v>
      </c>
      <c r="U89" s="1588">
        <f>Gen_form!AT725</f>
        <v>0</v>
      </c>
      <c r="V89" s="1588">
        <f>Gen_form!AU725</f>
        <v>0</v>
      </c>
      <c r="W89" s="1588">
        <f>Gen_form!AV725</f>
        <v>0</v>
      </c>
      <c r="X89" s="1588">
        <f>Gen_form!AW725</f>
        <v>0</v>
      </c>
      <c r="Y89" s="1588">
        <f>Gen_form!AX725</f>
        <v>0</v>
      </c>
      <c r="Z89" s="1588" t="str">
        <f>Gen_form!AY725</f>
        <v/>
      </c>
      <c r="AA89" s="1588" t="str">
        <f>Gen_form!AZ725</f>
        <v/>
      </c>
      <c r="AB89" s="1588" t="str">
        <f>Gen_form!BA725</f>
        <v/>
      </c>
      <c r="AC89" s="1588" t="str">
        <f>Gen_form!BB725</f>
        <v/>
      </c>
    </row>
    <row r="90" spans="1:29">
      <c r="B90" s="1588">
        <f>Gen_form!AA726</f>
        <v>80</v>
      </c>
      <c r="C90" s="1588">
        <f>Gen_form!AB726</f>
        <v>200</v>
      </c>
      <c r="D90" s="1588">
        <f>Gen_form!AC726</f>
        <v>0.04</v>
      </c>
      <c r="E90" s="1588">
        <f>Gen_form!AD726</f>
        <v>0</v>
      </c>
      <c r="F90" s="1588" t="str">
        <f>Gen_form!AE726</f>
        <v>70-120</v>
      </c>
      <c r="G90" s="1588">
        <f>Gen_form!AF726</f>
        <v>0</v>
      </c>
      <c r="H90" s="1588" t="str">
        <f>Gen_form!AG726</f>
        <v>none</v>
      </c>
      <c r="I90" s="1588">
        <f>Gen_form!AH726</f>
        <v>60</v>
      </c>
      <c r="J90" s="1588" t="str">
        <f>Gen_form!AI726</f>
        <v>cm</v>
      </c>
      <c r="K90" s="1588">
        <f>Gen_form!AJ726</f>
        <v>1</v>
      </c>
      <c r="L90" s="1588" t="str">
        <f>Gen_form!AK726</f>
        <v>Low</v>
      </c>
      <c r="M90" s="1588" t="str">
        <f>Gen_form!AL726</f>
        <v>Internal</v>
      </c>
      <c r="N90" s="1588">
        <f>Gen_form!AM726</f>
        <v>0</v>
      </c>
      <c r="O90" s="1588">
        <f>Gen_form!AN726</f>
        <v>1</v>
      </c>
      <c r="P90" s="1588" t="str">
        <f>Gen_form!AO726</f>
        <v>Large</v>
      </c>
      <c r="Q90" s="1588">
        <f>Gen_form!AP726</f>
        <v>0</v>
      </c>
      <c r="R90" s="1588">
        <f>Gen_form!AQ726</f>
        <v>0</v>
      </c>
      <c r="S90" s="1588">
        <f>Gen_form!AR726</f>
        <v>1</v>
      </c>
      <c r="T90" s="1588">
        <f>Gen_form!AS726</f>
        <v>0</v>
      </c>
      <c r="U90" s="1588">
        <f>Gen_form!AT726</f>
        <v>0</v>
      </c>
      <c r="V90" s="1588">
        <f>Gen_form!AU726</f>
        <v>0</v>
      </c>
      <c r="W90" s="1588">
        <f>Gen_form!AV726</f>
        <v>0</v>
      </c>
      <c r="X90" s="1588">
        <f>Gen_form!AW726</f>
        <v>0</v>
      </c>
      <c r="Y90" s="1588">
        <f>Gen_form!AX726</f>
        <v>0</v>
      </c>
      <c r="Z90" s="1588" t="str">
        <f>Gen_form!AY726</f>
        <v/>
      </c>
      <c r="AA90" s="1588" t="str">
        <f>Gen_form!AZ726</f>
        <v/>
      </c>
      <c r="AB90" s="1588" t="str">
        <f>Gen_form!BA726</f>
        <v/>
      </c>
      <c r="AC90" s="1588" t="str">
        <f>Gen_form!BB726</f>
        <v/>
      </c>
    </row>
    <row r="91" spans="1:29">
      <c r="B91" s="1588">
        <f>Gen_form!AA727</f>
        <v>80</v>
      </c>
      <c r="C91" s="1588">
        <f>Gen_form!AB727</f>
        <v>200</v>
      </c>
      <c r="D91" s="1588">
        <f>Gen_form!AC727</f>
        <v>0.1</v>
      </c>
      <c r="E91" s="1588">
        <f>Gen_form!AD727</f>
        <v>0</v>
      </c>
      <c r="F91" s="1588" t="str">
        <f>Gen_form!AE727</f>
        <v>70-120</v>
      </c>
      <c r="G91" s="1588">
        <f>Gen_form!AF727</f>
        <v>0</v>
      </c>
      <c r="H91" s="1588" t="str">
        <f>Gen_form!AG727</f>
        <v>none</v>
      </c>
      <c r="I91" s="1588">
        <f>Gen_form!AH727</f>
        <v>60</v>
      </c>
      <c r="J91" s="1588" t="str">
        <f>Gen_form!AI727</f>
        <v>cm</v>
      </c>
      <c r="K91" s="1588">
        <f>Gen_form!AJ727</f>
        <v>1</v>
      </c>
      <c r="L91" s="1588" t="str">
        <f>Gen_form!AK727</f>
        <v>Low</v>
      </c>
      <c r="M91" s="1588" t="str">
        <f>Gen_form!AL727</f>
        <v>Internal</v>
      </c>
      <c r="N91" s="1588">
        <f>Gen_form!AM727</f>
        <v>0</v>
      </c>
      <c r="O91" s="1588">
        <f>Gen_form!AN727</f>
        <v>0</v>
      </c>
      <c r="P91" s="1588" t="str">
        <f>Gen_form!AO727</f>
        <v>Large</v>
      </c>
      <c r="Q91" s="1588">
        <f>Gen_form!AP727</f>
        <v>0</v>
      </c>
      <c r="R91" s="1588">
        <f>Gen_form!AQ727</f>
        <v>0</v>
      </c>
      <c r="S91" s="1588">
        <f>Gen_form!AR727</f>
        <v>1</v>
      </c>
      <c r="T91" s="1588">
        <f>Gen_form!AS727</f>
        <v>0</v>
      </c>
      <c r="U91" s="1588">
        <f>Gen_form!AT727</f>
        <v>0</v>
      </c>
      <c r="V91" s="1588">
        <f>Gen_form!AU727</f>
        <v>0</v>
      </c>
      <c r="W91" s="1588">
        <f>Gen_form!AV727</f>
        <v>0</v>
      </c>
      <c r="X91" s="1588">
        <f>Gen_form!AW727</f>
        <v>0</v>
      </c>
      <c r="Y91" s="1588">
        <f>Gen_form!AX727</f>
        <v>0</v>
      </c>
      <c r="Z91" s="1588" t="str">
        <f>Gen_form!AY727</f>
        <v/>
      </c>
      <c r="AA91" s="1588" t="str">
        <f>Gen_form!AZ727</f>
        <v/>
      </c>
      <c r="AB91" s="1588" t="str">
        <f>Gen_form!BA727</f>
        <v/>
      </c>
      <c r="AC91" s="1588" t="str">
        <f>Gen_form!BB727</f>
        <v/>
      </c>
    </row>
    <row r="92" spans="1:29">
      <c r="B92" s="1588">
        <f>Gen_form!AA728</f>
        <v>80</v>
      </c>
      <c r="C92" s="1588">
        <f>Gen_form!AB728</f>
        <v>200</v>
      </c>
      <c r="D92" s="1588">
        <f>Gen_form!AC728</f>
        <v>0.25</v>
      </c>
      <c r="E92" s="1588">
        <f>Gen_form!AD728</f>
        <v>0</v>
      </c>
      <c r="F92" s="1588" t="str">
        <f>Gen_form!AE728</f>
        <v>70-120</v>
      </c>
      <c r="G92" s="1588">
        <f>Gen_form!AF728</f>
        <v>0</v>
      </c>
      <c r="H92" s="1588" t="str">
        <f>Gen_form!AG728</f>
        <v>none</v>
      </c>
      <c r="I92" s="1588">
        <f>Gen_form!AH728</f>
        <v>60</v>
      </c>
      <c r="J92" s="1588" t="str">
        <f>Gen_form!AI728</f>
        <v>cm</v>
      </c>
      <c r="K92" s="1588">
        <f>Gen_form!AJ728</f>
        <v>1</v>
      </c>
      <c r="L92" s="1588" t="str">
        <f>Gen_form!AK728</f>
        <v>Low</v>
      </c>
      <c r="M92" s="1588" t="str">
        <f>Gen_form!AL728</f>
        <v>Internal</v>
      </c>
      <c r="N92" s="1588">
        <f>Gen_form!AM728</f>
        <v>0</v>
      </c>
      <c r="O92" s="1588">
        <f>Gen_form!AN728</f>
        <v>0</v>
      </c>
      <c r="P92" s="1588" t="str">
        <f>Gen_form!AO728</f>
        <v>Large</v>
      </c>
      <c r="Q92" s="1588">
        <f>Gen_form!AP728</f>
        <v>0</v>
      </c>
      <c r="R92" s="1588">
        <f>Gen_form!AQ728</f>
        <v>0</v>
      </c>
      <c r="S92" s="1588">
        <f>Gen_form!AR728</f>
        <v>1</v>
      </c>
      <c r="T92" s="1588">
        <f>Gen_form!AS728</f>
        <v>0</v>
      </c>
      <c r="U92" s="1588">
        <f>Gen_form!AT728</f>
        <v>0</v>
      </c>
      <c r="V92" s="1588">
        <f>Gen_form!AU728</f>
        <v>0</v>
      </c>
      <c r="W92" s="1588">
        <f>Gen_form!AV728</f>
        <v>0</v>
      </c>
      <c r="X92" s="1588">
        <f>Gen_form!AW728</f>
        <v>0</v>
      </c>
      <c r="Y92" s="1588">
        <f>Gen_form!AX728</f>
        <v>0</v>
      </c>
      <c r="Z92" s="1588" t="str">
        <f>Gen_form!AY728</f>
        <v/>
      </c>
      <c r="AA92" s="1588" t="str">
        <f>Gen_form!AZ728</f>
        <v/>
      </c>
      <c r="AB92" s="1588" t="str">
        <f>Gen_form!BA728</f>
        <v/>
      </c>
      <c r="AC92" s="1588" t="str">
        <f>Gen_form!BB728</f>
        <v/>
      </c>
    </row>
    <row r="93" spans="1:29">
      <c r="B93" s="1588">
        <f>Gen_form!AA729</f>
        <v>80</v>
      </c>
      <c r="C93" s="1588">
        <f>Gen_form!AB729</f>
        <v>200</v>
      </c>
      <c r="D93" s="1588">
        <f>Gen_form!AC729</f>
        <v>0.4</v>
      </c>
      <c r="E93" s="1588">
        <f>Gen_form!AD729</f>
        <v>0</v>
      </c>
      <c r="F93" s="1588" t="str">
        <f>Gen_form!AE729</f>
        <v>70-120</v>
      </c>
      <c r="G93" s="1588">
        <f>Gen_form!AF729</f>
        <v>0</v>
      </c>
      <c r="H93" s="1588" t="str">
        <f>Gen_form!AG729</f>
        <v>none</v>
      </c>
      <c r="I93" s="1588">
        <f>Gen_form!AH729</f>
        <v>60</v>
      </c>
      <c r="J93" s="1588" t="str">
        <f>Gen_form!AI729</f>
        <v>cm</v>
      </c>
      <c r="K93" s="1588">
        <f>Gen_form!AJ729</f>
        <v>1</v>
      </c>
      <c r="L93" s="1588" t="str">
        <f>Gen_form!AK729</f>
        <v>Low</v>
      </c>
      <c r="M93" s="1588" t="str">
        <f>Gen_form!AL729</f>
        <v>Internal</v>
      </c>
      <c r="N93" s="1588">
        <f>Gen_form!AM729</f>
        <v>0</v>
      </c>
      <c r="O93" s="1588">
        <f>Gen_form!AN729</f>
        <v>0</v>
      </c>
      <c r="P93" s="1588" t="str">
        <f>Gen_form!AO729</f>
        <v>Large</v>
      </c>
      <c r="Q93" s="1588">
        <f>Gen_form!AP729</f>
        <v>0</v>
      </c>
      <c r="R93" s="1588">
        <f>Gen_form!AQ729</f>
        <v>0</v>
      </c>
      <c r="S93" s="1588">
        <f>Gen_form!AR729</f>
        <v>1</v>
      </c>
      <c r="T93" s="1588">
        <f>Gen_form!AS729</f>
        <v>0</v>
      </c>
      <c r="U93" s="1588">
        <f>Gen_form!AT729</f>
        <v>0</v>
      </c>
      <c r="V93" s="1588">
        <f>Gen_form!AU729</f>
        <v>0</v>
      </c>
      <c r="W93" s="1588">
        <f>Gen_form!AV729</f>
        <v>0</v>
      </c>
      <c r="X93" s="1588">
        <f>Gen_form!AW729</f>
        <v>0</v>
      </c>
      <c r="Y93" s="1588">
        <f>Gen_form!AX729</f>
        <v>0</v>
      </c>
      <c r="Z93" s="1588" t="str">
        <f>Gen_form!AY729</f>
        <v/>
      </c>
      <c r="AA93" s="1588" t="str">
        <f>Gen_form!AZ729</f>
        <v/>
      </c>
      <c r="AB93" s="1588" t="str">
        <f>Gen_form!BA729</f>
        <v/>
      </c>
      <c r="AC93" s="1588" t="str">
        <f>Gen_form!BB729</f>
        <v/>
      </c>
    </row>
    <row r="94" spans="1:29">
      <c r="A94" t="s">
        <v>245</v>
      </c>
      <c r="B94" s="1588">
        <f>Gen_form!Y969</f>
        <v>0</v>
      </c>
      <c r="C94" s="1588">
        <f>Gen_form!Z969</f>
        <v>0</v>
      </c>
    </row>
    <row r="95" spans="1:29">
      <c r="B95" s="1588" t="e">
        <f>Gen_form!Y970</f>
        <v>#DIV/0!</v>
      </c>
      <c r="C95" s="1588" t="e">
        <f>Gen_form!Z970</f>
        <v>#DIV/0!</v>
      </c>
    </row>
    <row r="96" spans="1:29">
      <c r="B96" s="1588">
        <f>Gen_form!Y971</f>
        <v>0</v>
      </c>
      <c r="C96" s="1588">
        <f>Gen_form!Z971</f>
        <v>0</v>
      </c>
    </row>
    <row r="97" spans="2:3">
      <c r="B97" s="1588" t="e">
        <f>Gen_form!Y972</f>
        <v>#DIV/0!</v>
      </c>
      <c r="C97" s="1588" t="str">
        <f>Gen_form!Z972</f>
        <v>TBD</v>
      </c>
    </row>
    <row r="98" spans="2:3">
      <c r="B98" s="1588" t="e">
        <f>Gen_form!Y973</f>
        <v>#DIV/0!</v>
      </c>
      <c r="C98" s="1588" t="e">
        <f>Gen_form!Z973</f>
        <v>#DIV/0!</v>
      </c>
    </row>
    <row r="99" spans="2:3">
      <c r="B99" s="1588" t="e">
        <f>Gen_form!Y974</f>
        <v>#DIV/0!</v>
      </c>
      <c r="C99" s="1588" t="e">
        <f>Gen_form!Z974</f>
        <v>#DIV/0!</v>
      </c>
    </row>
    <row r="100" spans="2:3">
      <c r="B100" s="1588">
        <f>Gen_form!Y975</f>
        <v>0</v>
      </c>
      <c r="C100" s="1588">
        <f>Gen_form!Z975</f>
        <v>0</v>
      </c>
    </row>
    <row r="101" spans="2:3">
      <c r="B101" s="1588" t="e">
        <f>Gen_form!Y976</f>
        <v>#DIV/0!</v>
      </c>
      <c r="C101" s="1588" t="e">
        <f>Gen_form!Z976</f>
        <v>#DIV/0!</v>
      </c>
    </row>
    <row r="102" spans="2:3">
      <c r="B102" s="1588">
        <f>Gen_form!Y977</f>
        <v>0</v>
      </c>
      <c r="C102" s="1588">
        <f>Gen_form!Z977</f>
        <v>0</v>
      </c>
    </row>
    <row r="103" spans="2:3">
      <c r="B103" s="1588">
        <f>Gen_form!Y978</f>
        <v>0</v>
      </c>
      <c r="C103" s="1588">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2020-05-21T18:47:01Z</dcterms:modified>
</cp:coreProperties>
</file>