
<file path=[Content_Types].xml><?xml version="1.0" encoding="utf-8"?>
<Types xmlns="http://schemas.openxmlformats.org/package/2006/content-types">
  <Default Extension="rels" ContentType="application/vnd.openxmlformats-package.relationships+xml"/>
  <Default Extension="ti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35F8667C-0188-4B12-8226-64CDDBCD58C1}" xr6:coauthVersionLast="45" xr6:coauthVersionMax="45" xr10:uidLastSave="{00000000-0000-0000-0000-000000000000}"/>
  <bookViews>
    <workbookView xWindow="-120" yWindow="-120" windowWidth="20730" windowHeight="11760" tabRatio="500" activeTab="4" xr2:uid="{00000000-000D-0000-FFFF-FFFF00000000}"/>
  </bookViews>
  <sheets>
    <sheet name="Table" sheetId="1" r:id="rId1"/>
    <sheet name="RadFluoro" sheetId="2" r:id="rId2"/>
    <sheet name="Fluoro" sheetId="3" r:id="rId3"/>
    <sheet name="NM" sheetId="4" r:id="rId4"/>
    <sheet name="CT" sheetId="5" r:id="rId5"/>
    <sheet name="ShieldEvaluation" sheetId="6" r:id="rId6"/>
    <sheet name="FitParameters" sheetId="7" r:id="rId7"/>
    <sheet name="NCRP147_4.1" sheetId="8" r:id="rId8"/>
    <sheet name="NCRP147_4.2" sheetId="9" r:id="rId9"/>
    <sheet name="NCRP147_4.3" sheetId="10" r:id="rId10"/>
    <sheet name="NCRP147_4.4" sheetId="11" r:id="rId11"/>
    <sheet name="NCRP147_4.5" sheetId="12" r:id="rId12"/>
    <sheet name="NCRP147_4.7" sheetId="13" r:id="rId13"/>
    <sheet name="NCRP147_5.2" sheetId="14" r:id="rId14"/>
    <sheet name="NCRP147_A1" sheetId="15" r:id="rId15"/>
    <sheet name="NCRP147_B1" sheetId="16" r:id="rId16"/>
    <sheet name="NCRP147_C1" sheetId="17" r:id="rId17"/>
    <sheet name="W_Rh_Al_Ag" sheetId="18" r:id="rId18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DAY">NM!$B$2</definedName>
    <definedName name="Nfl" localSheetId="2">Fluoro!$B$5</definedName>
    <definedName name="Nfl">RadFluoro!$B$13</definedName>
    <definedName name="Nrad">RadFluoro!$B$14</definedName>
    <definedName name="NWEEK">NM!$B$3</definedName>
    <definedName name="PBHVL">NM!$M$18</definedName>
    <definedName name="PBMU">NM!$M$17</definedName>
    <definedName name="PBMURHO">NM!$M$15</definedName>
    <definedName name="PBRHO">NM!$M$16</definedName>
    <definedName name="_xlnm.Print_Area" localSheetId="4">CT!$A$1:$H$50</definedName>
    <definedName name="_xlnm.Print_Area" localSheetId="2">Fluoro!$A$1:$L$41</definedName>
    <definedName name="_xlnm.Print_Area" localSheetId="3">NM!$A$1:$N$73</definedName>
    <definedName name="_xlnm.Print_Area" localSheetId="1">RadFluoro!$A$1:$N$66</definedName>
    <definedName name="_xlnm.Print_Area" localSheetId="5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  <definedName name="Z_488A6099_7FEF_4C88_B110_024D46F0253F_.wvu.PrintArea" localSheetId="4">CT!$A$1:$H$50</definedName>
    <definedName name="Z_488A6099_7FEF_4C88_B110_024D46F0253F_.wvu.PrintArea" localSheetId="2">Fluoro!$A$1:$L$41</definedName>
    <definedName name="Z_488A6099_7FEF_4C88_B110_024D46F0253F_.wvu.PrintArea" localSheetId="3">NM!$A$1:$N$73</definedName>
    <definedName name="Z_488A6099_7FEF_4C88_B110_024D46F0253F_.wvu.PrintArea" localSheetId="1">RadFluoro!$A$1:$N$66</definedName>
    <definedName name="Z_488A6099_7FEF_4C88_B110_024D46F0253F_.wvu.PrintArea" localSheetId="5">ShieldEvaluation!$A$1:$H$34</definedName>
    <definedName name="Z_488A6099_7FEF_4C88_B110_024D46F0253F_.wvu.PrintArea" localSheetId="0">Table!$A$1:$N$112</definedName>
  </definedNames>
  <calcPr calcId="191029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37" i="18" l="1"/>
  <c r="AE37" i="18"/>
  <c r="AA37" i="18"/>
  <c r="Z37" i="18"/>
  <c r="V37" i="18"/>
  <c r="U37" i="18"/>
  <c r="Q37" i="18"/>
  <c r="P37" i="18"/>
  <c r="L37" i="18"/>
  <c r="K37" i="18"/>
  <c r="G37" i="18"/>
  <c r="F37" i="18"/>
  <c r="AF36" i="18"/>
  <c r="AE36" i="18"/>
  <c r="AA36" i="18"/>
  <c r="Z36" i="18"/>
  <c r="V36" i="18"/>
  <c r="U36" i="18"/>
  <c r="Q36" i="18"/>
  <c r="P36" i="18"/>
  <c r="L36" i="18"/>
  <c r="K36" i="18"/>
  <c r="G36" i="18"/>
  <c r="F36" i="18"/>
  <c r="AE29" i="18"/>
  <c r="AD29" i="18"/>
  <c r="Z29" i="18"/>
  <c r="Y29" i="18"/>
  <c r="U29" i="18"/>
  <c r="T29" i="18"/>
  <c r="P29" i="18"/>
  <c r="O29" i="18"/>
  <c r="K29" i="18"/>
  <c r="J29" i="18"/>
  <c r="F29" i="18"/>
  <c r="E29" i="18"/>
  <c r="AE28" i="18"/>
  <c r="AD28" i="18"/>
  <c r="Z28" i="18"/>
  <c r="Y28" i="18"/>
  <c r="U28" i="18"/>
  <c r="T28" i="18"/>
  <c r="P28" i="18"/>
  <c r="O28" i="18"/>
  <c r="K28" i="18"/>
  <c r="J28" i="18"/>
  <c r="F28" i="18"/>
  <c r="E28" i="18"/>
  <c r="AE27" i="18"/>
  <c r="AD27" i="18"/>
  <c r="Z27" i="18"/>
  <c r="Y27" i="18"/>
  <c r="U27" i="18"/>
  <c r="T27" i="18"/>
  <c r="P27" i="18"/>
  <c r="O27" i="18"/>
  <c r="K27" i="18"/>
  <c r="J27" i="18"/>
  <c r="F27" i="18"/>
  <c r="E27" i="18"/>
  <c r="AE26" i="18"/>
  <c r="AD26" i="18"/>
  <c r="Z26" i="18"/>
  <c r="Y26" i="18"/>
  <c r="U26" i="18"/>
  <c r="T26" i="18"/>
  <c r="P26" i="18"/>
  <c r="O26" i="18"/>
  <c r="K26" i="18"/>
  <c r="J26" i="18"/>
  <c r="F26" i="18"/>
  <c r="E26" i="18"/>
  <c r="AE19" i="18"/>
  <c r="AD19" i="18"/>
  <c r="Z19" i="18"/>
  <c r="Y19" i="18"/>
  <c r="U19" i="18"/>
  <c r="T19" i="18"/>
  <c r="P19" i="18"/>
  <c r="O19" i="18"/>
  <c r="K19" i="18"/>
  <c r="J19" i="18"/>
  <c r="F19" i="18"/>
  <c r="E19" i="18"/>
  <c r="AE18" i="18"/>
  <c r="AD18" i="18"/>
  <c r="Z18" i="18"/>
  <c r="Y18" i="18"/>
  <c r="U18" i="18"/>
  <c r="T18" i="18"/>
  <c r="P18" i="18"/>
  <c r="O18" i="18"/>
  <c r="K18" i="18"/>
  <c r="J18" i="18"/>
  <c r="F18" i="18"/>
  <c r="E18" i="18"/>
  <c r="AE17" i="18"/>
  <c r="AD17" i="18"/>
  <c r="Z17" i="18"/>
  <c r="Y17" i="18"/>
  <c r="U17" i="18"/>
  <c r="T17" i="18"/>
  <c r="P17" i="18"/>
  <c r="O17" i="18"/>
  <c r="K17" i="18"/>
  <c r="J17" i="18"/>
  <c r="F17" i="18"/>
  <c r="E17" i="18"/>
  <c r="AE16" i="18"/>
  <c r="AD16" i="18"/>
  <c r="Z16" i="18"/>
  <c r="Y16" i="18"/>
  <c r="U16" i="18"/>
  <c r="T16" i="18"/>
  <c r="P16" i="18"/>
  <c r="O16" i="18"/>
  <c r="K16" i="18"/>
  <c r="J16" i="18"/>
  <c r="F16" i="18"/>
  <c r="E16" i="18"/>
  <c r="AE15" i="18"/>
  <c r="AD15" i="18"/>
  <c r="Z15" i="18"/>
  <c r="Y15" i="18"/>
  <c r="U15" i="18"/>
  <c r="T15" i="18"/>
  <c r="P15" i="18"/>
  <c r="O15" i="18"/>
  <c r="K15" i="18"/>
  <c r="J15" i="18"/>
  <c r="F15" i="18"/>
  <c r="E15" i="18"/>
  <c r="AE14" i="18"/>
  <c r="AD14" i="18"/>
  <c r="Z14" i="18"/>
  <c r="Y14" i="18"/>
  <c r="U14" i="18"/>
  <c r="T14" i="18"/>
  <c r="P14" i="18"/>
  <c r="O14" i="18"/>
  <c r="K14" i="18"/>
  <c r="J14" i="18"/>
  <c r="F14" i="18"/>
  <c r="E14" i="18"/>
  <c r="AE7" i="18"/>
  <c r="AD7" i="18"/>
  <c r="Z7" i="18"/>
  <c r="Y7" i="18"/>
  <c r="U7" i="18"/>
  <c r="T7" i="18"/>
  <c r="P7" i="18"/>
  <c r="O7" i="18"/>
  <c r="K7" i="18"/>
  <c r="J7" i="18"/>
  <c r="F7" i="18"/>
  <c r="E7" i="18"/>
  <c r="AE6" i="18"/>
  <c r="AD6" i="18"/>
  <c r="Z6" i="18"/>
  <c r="Y6" i="18"/>
  <c r="U6" i="18"/>
  <c r="T6" i="18"/>
  <c r="P6" i="18"/>
  <c r="O6" i="18"/>
  <c r="K6" i="18"/>
  <c r="J6" i="18"/>
  <c r="F6" i="18"/>
  <c r="E6" i="18"/>
  <c r="AE5" i="18"/>
  <c r="AD5" i="18"/>
  <c r="Z5" i="18"/>
  <c r="Y5" i="18"/>
  <c r="U5" i="18"/>
  <c r="T5" i="18"/>
  <c r="P5" i="18"/>
  <c r="O5" i="18"/>
  <c r="K5" i="18"/>
  <c r="J5" i="18"/>
  <c r="F5" i="18"/>
  <c r="E5" i="18"/>
  <c r="AE4" i="18"/>
  <c r="AD4" i="18"/>
  <c r="Z4" i="18"/>
  <c r="Y4" i="18"/>
  <c r="U4" i="18"/>
  <c r="T4" i="18"/>
  <c r="P4" i="18"/>
  <c r="O4" i="18"/>
  <c r="K4" i="18"/>
  <c r="J4" i="18"/>
  <c r="F4" i="18"/>
  <c r="E4" i="18"/>
  <c r="D21" i="17"/>
  <c r="C21" i="17"/>
  <c r="B21" i="17"/>
  <c r="AE19" i="17"/>
  <c r="AD19" i="17"/>
  <c r="Z19" i="17"/>
  <c r="Y19" i="17"/>
  <c r="U19" i="17"/>
  <c r="T19" i="17"/>
  <c r="P19" i="17"/>
  <c r="O19" i="17"/>
  <c r="K19" i="17"/>
  <c r="J19" i="17"/>
  <c r="F19" i="17"/>
  <c r="E19" i="17"/>
  <c r="AE18" i="17"/>
  <c r="AD18" i="17"/>
  <c r="Z18" i="17"/>
  <c r="Y18" i="17"/>
  <c r="U18" i="17"/>
  <c r="T18" i="17"/>
  <c r="P18" i="17"/>
  <c r="O18" i="17"/>
  <c r="K18" i="17"/>
  <c r="J18" i="17"/>
  <c r="F18" i="17"/>
  <c r="E18" i="17"/>
  <c r="AE17" i="17"/>
  <c r="AD17" i="17"/>
  <c r="Z17" i="17"/>
  <c r="Y17" i="17"/>
  <c r="U17" i="17"/>
  <c r="T17" i="17"/>
  <c r="P17" i="17"/>
  <c r="O17" i="17"/>
  <c r="K17" i="17"/>
  <c r="J17" i="17"/>
  <c r="F17" i="17"/>
  <c r="E17" i="17"/>
  <c r="AE16" i="17"/>
  <c r="AD16" i="17"/>
  <c r="Z16" i="17"/>
  <c r="Y16" i="17"/>
  <c r="U16" i="17"/>
  <c r="T16" i="17"/>
  <c r="P16" i="17"/>
  <c r="O16" i="17"/>
  <c r="K16" i="17"/>
  <c r="J16" i="17"/>
  <c r="F16" i="17"/>
  <c r="E16" i="17"/>
  <c r="AE15" i="17"/>
  <c r="AD15" i="17"/>
  <c r="Z15" i="17"/>
  <c r="Y15" i="17"/>
  <c r="U15" i="17"/>
  <c r="T15" i="17"/>
  <c r="P15" i="17"/>
  <c r="O15" i="17"/>
  <c r="K15" i="17"/>
  <c r="J15" i="17"/>
  <c r="F15" i="17"/>
  <c r="E15" i="17"/>
  <c r="AE14" i="17"/>
  <c r="AD14" i="17"/>
  <c r="Z14" i="17"/>
  <c r="Y14" i="17"/>
  <c r="U14" i="17"/>
  <c r="T14" i="17"/>
  <c r="P14" i="17"/>
  <c r="O14" i="17"/>
  <c r="K14" i="17"/>
  <c r="J14" i="17"/>
  <c r="F14" i="17"/>
  <c r="E14" i="17"/>
  <c r="AE13" i="17"/>
  <c r="AD13" i="17"/>
  <c r="Z13" i="17"/>
  <c r="Y13" i="17"/>
  <c r="U13" i="17"/>
  <c r="T13" i="17"/>
  <c r="P13" i="17"/>
  <c r="O13" i="17"/>
  <c r="K13" i="17"/>
  <c r="J13" i="17"/>
  <c r="F13" i="17"/>
  <c r="E13" i="17"/>
  <c r="AE12" i="17"/>
  <c r="AD12" i="17"/>
  <c r="Z12" i="17"/>
  <c r="Y12" i="17"/>
  <c r="U12" i="17"/>
  <c r="T12" i="17"/>
  <c r="P12" i="17"/>
  <c r="O12" i="17"/>
  <c r="K12" i="17"/>
  <c r="J12" i="17"/>
  <c r="F12" i="17"/>
  <c r="E12" i="17"/>
  <c r="AE11" i="17"/>
  <c r="AD11" i="17"/>
  <c r="Z11" i="17"/>
  <c r="Y11" i="17"/>
  <c r="U11" i="17"/>
  <c r="T11" i="17"/>
  <c r="P11" i="17"/>
  <c r="O11" i="17"/>
  <c r="K11" i="17"/>
  <c r="J11" i="17"/>
  <c r="F11" i="17"/>
  <c r="E11" i="17"/>
  <c r="AE10" i="17"/>
  <c r="AD10" i="17"/>
  <c r="Z10" i="17"/>
  <c r="Y10" i="17"/>
  <c r="U10" i="17"/>
  <c r="T10" i="17"/>
  <c r="P10" i="17"/>
  <c r="O10" i="17"/>
  <c r="K10" i="17"/>
  <c r="J10" i="17"/>
  <c r="F10" i="17"/>
  <c r="E10" i="17"/>
  <c r="AE9" i="17"/>
  <c r="AD9" i="17"/>
  <c r="Z9" i="17"/>
  <c r="Y9" i="17"/>
  <c r="U9" i="17"/>
  <c r="T9" i="17"/>
  <c r="P9" i="17"/>
  <c r="O9" i="17"/>
  <c r="K9" i="17"/>
  <c r="J9" i="17"/>
  <c r="F9" i="17"/>
  <c r="E9" i="17"/>
  <c r="AE8" i="17"/>
  <c r="AD8" i="17"/>
  <c r="Z8" i="17"/>
  <c r="Y8" i="17"/>
  <c r="U8" i="17"/>
  <c r="T8" i="17"/>
  <c r="P8" i="17"/>
  <c r="O8" i="17"/>
  <c r="K8" i="17"/>
  <c r="J8" i="17"/>
  <c r="F8" i="17"/>
  <c r="E8" i="17"/>
  <c r="AE7" i="17"/>
  <c r="AD7" i="17"/>
  <c r="Z7" i="17"/>
  <c r="Y7" i="17"/>
  <c r="U7" i="17"/>
  <c r="T7" i="17"/>
  <c r="P7" i="17"/>
  <c r="O7" i="17"/>
  <c r="K7" i="17"/>
  <c r="J7" i="17"/>
  <c r="F7" i="17"/>
  <c r="E7" i="17"/>
  <c r="AE6" i="17"/>
  <c r="AD6" i="17"/>
  <c r="Z6" i="17"/>
  <c r="Y6" i="17"/>
  <c r="U6" i="17"/>
  <c r="T6" i="17"/>
  <c r="P6" i="17"/>
  <c r="O6" i="17"/>
  <c r="K6" i="17"/>
  <c r="J6" i="17"/>
  <c r="F6" i="17"/>
  <c r="E6" i="17"/>
  <c r="AE5" i="17"/>
  <c r="AD5" i="17"/>
  <c r="Z5" i="17"/>
  <c r="Y5" i="17"/>
  <c r="U5" i="17"/>
  <c r="T5" i="17"/>
  <c r="P5" i="17"/>
  <c r="O5" i="17"/>
  <c r="K5" i="17"/>
  <c r="J5" i="17"/>
  <c r="F5" i="17"/>
  <c r="E5" i="17"/>
  <c r="AE13" i="16"/>
  <c r="AD13" i="16"/>
  <c r="Z13" i="16"/>
  <c r="Y13" i="16"/>
  <c r="U13" i="16"/>
  <c r="T13" i="16"/>
  <c r="P13" i="16"/>
  <c r="O13" i="16"/>
  <c r="K13" i="16"/>
  <c r="J13" i="16"/>
  <c r="F13" i="16"/>
  <c r="E13" i="16"/>
  <c r="AE12" i="16"/>
  <c r="AD12" i="16"/>
  <c r="Z12" i="16"/>
  <c r="Y12" i="16"/>
  <c r="U12" i="16"/>
  <c r="T12" i="16"/>
  <c r="P12" i="16"/>
  <c r="O12" i="16"/>
  <c r="K12" i="16"/>
  <c r="J12" i="16"/>
  <c r="F12" i="16"/>
  <c r="E12" i="16"/>
  <c r="AE11" i="16"/>
  <c r="AD11" i="16"/>
  <c r="Z11" i="16"/>
  <c r="Y11" i="16"/>
  <c r="U11" i="16"/>
  <c r="T11" i="16"/>
  <c r="P11" i="16"/>
  <c r="O11" i="16"/>
  <c r="K11" i="16"/>
  <c r="J11" i="16"/>
  <c r="F11" i="16"/>
  <c r="E11" i="16"/>
  <c r="AE10" i="16"/>
  <c r="AD10" i="16"/>
  <c r="Z10" i="16"/>
  <c r="Y10" i="16"/>
  <c r="U10" i="16"/>
  <c r="T10" i="16"/>
  <c r="P10" i="16"/>
  <c r="O10" i="16"/>
  <c r="K10" i="16"/>
  <c r="J10" i="16"/>
  <c r="F10" i="16"/>
  <c r="E10" i="16"/>
  <c r="AE9" i="16"/>
  <c r="AD9" i="16"/>
  <c r="Z9" i="16"/>
  <c r="Y9" i="16"/>
  <c r="U9" i="16"/>
  <c r="T9" i="16"/>
  <c r="P9" i="16"/>
  <c r="O9" i="16"/>
  <c r="K9" i="16"/>
  <c r="J9" i="16"/>
  <c r="F9" i="16"/>
  <c r="E9" i="16"/>
  <c r="AE8" i="16"/>
  <c r="AD8" i="16"/>
  <c r="Z8" i="16"/>
  <c r="Y8" i="16"/>
  <c r="U8" i="16"/>
  <c r="T8" i="16"/>
  <c r="P8" i="16"/>
  <c r="O8" i="16"/>
  <c r="K8" i="16"/>
  <c r="J8" i="16"/>
  <c r="F8" i="16"/>
  <c r="E8" i="16"/>
  <c r="AE7" i="16"/>
  <c r="AD7" i="16"/>
  <c r="Z7" i="16"/>
  <c r="Y7" i="16"/>
  <c r="U7" i="16"/>
  <c r="T7" i="16"/>
  <c r="P7" i="16"/>
  <c r="O7" i="16"/>
  <c r="K7" i="16"/>
  <c r="J7" i="16"/>
  <c r="F7" i="16"/>
  <c r="E7" i="16"/>
  <c r="AE6" i="16"/>
  <c r="AD6" i="16"/>
  <c r="Z6" i="16"/>
  <c r="Y6" i="16"/>
  <c r="U6" i="16"/>
  <c r="T6" i="16"/>
  <c r="P6" i="16"/>
  <c r="O6" i="16"/>
  <c r="K6" i="16"/>
  <c r="J6" i="16"/>
  <c r="F6" i="16"/>
  <c r="E6" i="16"/>
  <c r="AE5" i="16"/>
  <c r="AD5" i="16"/>
  <c r="Z5" i="16"/>
  <c r="Y5" i="16"/>
  <c r="U5" i="16"/>
  <c r="T5" i="16"/>
  <c r="P5" i="16"/>
  <c r="O5" i="16"/>
  <c r="K5" i="16"/>
  <c r="J5" i="16"/>
  <c r="F5" i="16"/>
  <c r="E5" i="16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AO31" i="15"/>
  <c r="AN31" i="15"/>
  <c r="AH31" i="15"/>
  <c r="AG31" i="15"/>
  <c r="AA31" i="15"/>
  <c r="Z31" i="15"/>
  <c r="T31" i="15"/>
  <c r="S31" i="15"/>
  <c r="M31" i="15"/>
  <c r="L31" i="15"/>
  <c r="F31" i="15"/>
  <c r="E31" i="15"/>
  <c r="AO30" i="15"/>
  <c r="AN30" i="15"/>
  <c r="AH30" i="15"/>
  <c r="AG30" i="15"/>
  <c r="AA30" i="15"/>
  <c r="Z30" i="15"/>
  <c r="T30" i="15"/>
  <c r="S30" i="15"/>
  <c r="M30" i="15"/>
  <c r="L30" i="15"/>
  <c r="F30" i="15"/>
  <c r="E30" i="15"/>
  <c r="AO29" i="15"/>
  <c r="AN29" i="15"/>
  <c r="AH29" i="15"/>
  <c r="AG29" i="15"/>
  <c r="AA29" i="15"/>
  <c r="Z29" i="15"/>
  <c r="T29" i="15"/>
  <c r="S29" i="15"/>
  <c r="M29" i="15"/>
  <c r="L29" i="15"/>
  <c r="F29" i="15"/>
  <c r="E29" i="15"/>
  <c r="AO28" i="15"/>
  <c r="AN28" i="15"/>
  <c r="AH28" i="15"/>
  <c r="AG28" i="15"/>
  <c r="AA28" i="15"/>
  <c r="Z28" i="15"/>
  <c r="T28" i="15"/>
  <c r="S28" i="15"/>
  <c r="M28" i="15"/>
  <c r="L28" i="15"/>
  <c r="F28" i="15"/>
  <c r="E28" i="15"/>
  <c r="AO27" i="15"/>
  <c r="AN27" i="15"/>
  <c r="AH27" i="15"/>
  <c r="AG27" i="15"/>
  <c r="AA27" i="15"/>
  <c r="Z27" i="15"/>
  <c r="T27" i="15"/>
  <c r="S27" i="15"/>
  <c r="M27" i="15"/>
  <c r="L27" i="15"/>
  <c r="F27" i="15"/>
  <c r="E27" i="15"/>
  <c r="AO26" i="15"/>
  <c r="AN26" i="15"/>
  <c r="AH26" i="15"/>
  <c r="AG26" i="15"/>
  <c r="AA26" i="15"/>
  <c r="Z26" i="15"/>
  <c r="T26" i="15"/>
  <c r="S26" i="15"/>
  <c r="M26" i="15"/>
  <c r="L26" i="15"/>
  <c r="F26" i="15"/>
  <c r="E26" i="15"/>
  <c r="AO25" i="15"/>
  <c r="AN25" i="15"/>
  <c r="AH25" i="15"/>
  <c r="AG25" i="15"/>
  <c r="AA25" i="15"/>
  <c r="Z25" i="15"/>
  <c r="T25" i="15"/>
  <c r="S25" i="15"/>
  <c r="M25" i="15"/>
  <c r="L25" i="15"/>
  <c r="F25" i="15"/>
  <c r="E25" i="15"/>
  <c r="AO24" i="15"/>
  <c r="AN24" i="15"/>
  <c r="AH24" i="15"/>
  <c r="AG24" i="15"/>
  <c r="AA24" i="15"/>
  <c r="Z24" i="15"/>
  <c r="T24" i="15"/>
  <c r="S24" i="15"/>
  <c r="M24" i="15"/>
  <c r="L24" i="15"/>
  <c r="F24" i="15"/>
  <c r="E24" i="15"/>
  <c r="AO23" i="15"/>
  <c r="AN23" i="15"/>
  <c r="AH23" i="15"/>
  <c r="AG23" i="15"/>
  <c r="AA23" i="15"/>
  <c r="Z23" i="15"/>
  <c r="T23" i="15"/>
  <c r="S23" i="15"/>
  <c r="M23" i="15"/>
  <c r="L23" i="15"/>
  <c r="F23" i="15"/>
  <c r="E23" i="15"/>
  <c r="AO22" i="15"/>
  <c r="AN22" i="15"/>
  <c r="AH22" i="15"/>
  <c r="AG22" i="15"/>
  <c r="AA22" i="15"/>
  <c r="Z22" i="15"/>
  <c r="T22" i="15"/>
  <c r="S22" i="15"/>
  <c r="M22" i="15"/>
  <c r="L22" i="15"/>
  <c r="F22" i="15"/>
  <c r="E22" i="15"/>
  <c r="AO21" i="15"/>
  <c r="AN21" i="15"/>
  <c r="AH21" i="15"/>
  <c r="AG21" i="15"/>
  <c r="AA21" i="15"/>
  <c r="Z21" i="15"/>
  <c r="T21" i="15"/>
  <c r="S21" i="15"/>
  <c r="M21" i="15"/>
  <c r="L21" i="15"/>
  <c r="F21" i="15"/>
  <c r="E21" i="15"/>
  <c r="AO20" i="15"/>
  <c r="AN20" i="15"/>
  <c r="AH20" i="15"/>
  <c r="AG20" i="15"/>
  <c r="AA20" i="15"/>
  <c r="Z20" i="15"/>
  <c r="T20" i="15"/>
  <c r="S20" i="15"/>
  <c r="M20" i="15"/>
  <c r="L20" i="15"/>
  <c r="F20" i="15"/>
  <c r="E20" i="15"/>
  <c r="AO19" i="15"/>
  <c r="AN19" i="15"/>
  <c r="AH19" i="15"/>
  <c r="AG19" i="15"/>
  <c r="AA19" i="15"/>
  <c r="Z19" i="15"/>
  <c r="T19" i="15"/>
  <c r="S19" i="15"/>
  <c r="M19" i="15"/>
  <c r="L19" i="15"/>
  <c r="F19" i="15"/>
  <c r="E19" i="15"/>
  <c r="AO18" i="15"/>
  <c r="AN18" i="15"/>
  <c r="AH18" i="15"/>
  <c r="AG18" i="15"/>
  <c r="AA18" i="15"/>
  <c r="Z18" i="15"/>
  <c r="T18" i="15"/>
  <c r="S18" i="15"/>
  <c r="M18" i="15"/>
  <c r="L18" i="15"/>
  <c r="F18" i="15"/>
  <c r="E18" i="15"/>
  <c r="AO17" i="15"/>
  <c r="AN17" i="15"/>
  <c r="AH17" i="15"/>
  <c r="AG17" i="15"/>
  <c r="AA17" i="15"/>
  <c r="Z17" i="15"/>
  <c r="T17" i="15"/>
  <c r="S17" i="15"/>
  <c r="M17" i="15"/>
  <c r="L17" i="15"/>
  <c r="F17" i="15"/>
  <c r="E17" i="15"/>
  <c r="AO16" i="15"/>
  <c r="AN16" i="15"/>
  <c r="AH16" i="15"/>
  <c r="AG16" i="15"/>
  <c r="AA16" i="15"/>
  <c r="Z16" i="15"/>
  <c r="T16" i="15"/>
  <c r="S16" i="15"/>
  <c r="M16" i="15"/>
  <c r="L16" i="15"/>
  <c r="F16" i="15"/>
  <c r="E16" i="15"/>
  <c r="AO15" i="15"/>
  <c r="AN15" i="15"/>
  <c r="AH15" i="15"/>
  <c r="AG15" i="15"/>
  <c r="AA15" i="15"/>
  <c r="Z15" i="15"/>
  <c r="T15" i="15"/>
  <c r="S15" i="15"/>
  <c r="M15" i="15"/>
  <c r="L15" i="15"/>
  <c r="F15" i="15"/>
  <c r="E15" i="15"/>
  <c r="AO14" i="15"/>
  <c r="AN14" i="15"/>
  <c r="AH14" i="15"/>
  <c r="AG14" i="15"/>
  <c r="AA14" i="15"/>
  <c r="Z14" i="15"/>
  <c r="T14" i="15"/>
  <c r="S14" i="15"/>
  <c r="M14" i="15"/>
  <c r="L14" i="15"/>
  <c r="F14" i="15"/>
  <c r="E14" i="15"/>
  <c r="AO13" i="15"/>
  <c r="AN13" i="15"/>
  <c r="AH13" i="15"/>
  <c r="AG13" i="15"/>
  <c r="AA13" i="15"/>
  <c r="Z13" i="15"/>
  <c r="T13" i="15"/>
  <c r="S13" i="15"/>
  <c r="M13" i="15"/>
  <c r="L13" i="15"/>
  <c r="F13" i="15"/>
  <c r="E13" i="15"/>
  <c r="AO12" i="15"/>
  <c r="AN12" i="15"/>
  <c r="AH12" i="15"/>
  <c r="AG12" i="15"/>
  <c r="AA12" i="15"/>
  <c r="Z12" i="15"/>
  <c r="T12" i="15"/>
  <c r="S12" i="15"/>
  <c r="M12" i="15"/>
  <c r="L12" i="15"/>
  <c r="F12" i="15"/>
  <c r="E12" i="15"/>
  <c r="AO11" i="15"/>
  <c r="AN11" i="15"/>
  <c r="AH11" i="15"/>
  <c r="AG11" i="15"/>
  <c r="AA11" i="15"/>
  <c r="Z11" i="15"/>
  <c r="T11" i="15"/>
  <c r="S11" i="15"/>
  <c r="M11" i="15"/>
  <c r="L11" i="15"/>
  <c r="F11" i="15"/>
  <c r="E11" i="15"/>
  <c r="M10" i="15"/>
  <c r="L10" i="15"/>
  <c r="M9" i="15"/>
  <c r="L9" i="15"/>
  <c r="AO8" i="15"/>
  <c r="AN8" i="15"/>
  <c r="AH8" i="15"/>
  <c r="AG8" i="15"/>
  <c r="AA8" i="15"/>
  <c r="Z8" i="15"/>
  <c r="T8" i="15"/>
  <c r="S8" i="15"/>
  <c r="M8" i="15"/>
  <c r="L8" i="15"/>
  <c r="F8" i="15"/>
  <c r="E8" i="15"/>
  <c r="AO7" i="15"/>
  <c r="AN7" i="15"/>
  <c r="AH7" i="15"/>
  <c r="AG7" i="15"/>
  <c r="AA7" i="15"/>
  <c r="Z7" i="15"/>
  <c r="T7" i="15"/>
  <c r="S7" i="15"/>
  <c r="M7" i="15"/>
  <c r="L7" i="15"/>
  <c r="F7" i="15"/>
  <c r="E7" i="15"/>
  <c r="AO6" i="15"/>
  <c r="AN6" i="15"/>
  <c r="AH6" i="15"/>
  <c r="AG6" i="15"/>
  <c r="AA6" i="15"/>
  <c r="Z6" i="15"/>
  <c r="T6" i="15"/>
  <c r="S6" i="15"/>
  <c r="M6" i="15"/>
  <c r="L6" i="15"/>
  <c r="F6" i="15"/>
  <c r="E6" i="15"/>
  <c r="I16" i="13"/>
  <c r="G16" i="13"/>
  <c r="I15" i="13"/>
  <c r="G15" i="13"/>
  <c r="B15" i="13"/>
  <c r="I14" i="13"/>
  <c r="G14" i="13"/>
  <c r="I13" i="13"/>
  <c r="G13" i="13"/>
  <c r="B13" i="13"/>
  <c r="I12" i="13"/>
  <c r="G12" i="13"/>
  <c r="I11" i="13"/>
  <c r="G11" i="13"/>
  <c r="B11" i="13"/>
  <c r="I10" i="13"/>
  <c r="G10" i="13"/>
  <c r="I9" i="13"/>
  <c r="G9" i="13"/>
  <c r="B9" i="13"/>
  <c r="I8" i="13"/>
  <c r="G8" i="13"/>
  <c r="B12" i="10"/>
  <c r="B8" i="10"/>
  <c r="J29" i="9"/>
  <c r="B16" i="13" s="1"/>
  <c r="I29" i="9"/>
  <c r="B11" i="10" s="1"/>
  <c r="H29" i="9"/>
  <c r="B14" i="13" s="1"/>
  <c r="G29" i="9"/>
  <c r="B7" i="10" s="1"/>
  <c r="F29" i="9"/>
  <c r="E29" i="9"/>
  <c r="D29" i="9"/>
  <c r="B10" i="13" s="1"/>
  <c r="C29" i="9"/>
  <c r="B5" i="10" s="1"/>
  <c r="F5" i="10" s="1"/>
  <c r="B29" i="9"/>
  <c r="B8" i="13" s="1"/>
  <c r="AF30" i="7"/>
  <c r="AD30" i="7"/>
  <c r="AE30" i="7" s="1"/>
  <c r="Y30" i="7"/>
  <c r="Z30" i="7" s="1"/>
  <c r="T30" i="7"/>
  <c r="U30" i="7" s="1"/>
  <c r="O30" i="7"/>
  <c r="P30" i="7" s="1"/>
  <c r="J30" i="7"/>
  <c r="K30" i="7" s="1"/>
  <c r="E30" i="7"/>
  <c r="F30" i="7" s="1"/>
  <c r="AF29" i="7"/>
  <c r="AD29" i="7"/>
  <c r="AE29" i="7" s="1"/>
  <c r="Y29" i="7"/>
  <c r="Z29" i="7" s="1"/>
  <c r="T29" i="7"/>
  <c r="U29" i="7" s="1"/>
  <c r="O29" i="7"/>
  <c r="P29" i="7" s="1"/>
  <c r="J29" i="7"/>
  <c r="K29" i="7" s="1"/>
  <c r="E29" i="7"/>
  <c r="F29" i="7" s="1"/>
  <c r="AF28" i="7"/>
  <c r="AD28" i="7"/>
  <c r="AE28" i="7" s="1"/>
  <c r="Y28" i="7"/>
  <c r="Z28" i="7" s="1"/>
  <c r="T28" i="7"/>
  <c r="U28" i="7" s="1"/>
  <c r="O28" i="7"/>
  <c r="P28" i="7" s="1"/>
  <c r="J28" i="7"/>
  <c r="K28" i="7" s="1"/>
  <c r="E28" i="7"/>
  <c r="F28" i="7" s="1"/>
  <c r="AF27" i="7"/>
  <c r="AD27" i="7"/>
  <c r="AE27" i="7" s="1"/>
  <c r="Y27" i="7"/>
  <c r="Z27" i="7" s="1"/>
  <c r="T27" i="7"/>
  <c r="U27" i="7" s="1"/>
  <c r="O27" i="7"/>
  <c r="P27" i="7" s="1"/>
  <c r="J27" i="7"/>
  <c r="K27" i="7" s="1"/>
  <c r="E27" i="7"/>
  <c r="F27" i="7" s="1"/>
  <c r="AF26" i="7"/>
  <c r="AD26" i="7"/>
  <c r="AE26" i="7" s="1"/>
  <c r="Y26" i="7"/>
  <c r="Z26" i="7" s="1"/>
  <c r="T26" i="7"/>
  <c r="U26" i="7" s="1"/>
  <c r="O26" i="7"/>
  <c r="P26" i="7" s="1"/>
  <c r="J26" i="7"/>
  <c r="K26" i="7" s="1"/>
  <c r="E26" i="7"/>
  <c r="F26" i="7" s="1"/>
  <c r="AF25" i="7"/>
  <c r="AD25" i="7"/>
  <c r="AE25" i="7" s="1"/>
  <c r="Y25" i="7"/>
  <c r="Z25" i="7" s="1"/>
  <c r="T25" i="7"/>
  <c r="U25" i="7" s="1"/>
  <c r="O25" i="7"/>
  <c r="P25" i="7" s="1"/>
  <c r="J25" i="7"/>
  <c r="K25" i="7" s="1"/>
  <c r="E25" i="7"/>
  <c r="F25" i="7" s="1"/>
  <c r="AF24" i="7"/>
  <c r="AD24" i="7"/>
  <c r="AE24" i="7" s="1"/>
  <c r="Y24" i="7"/>
  <c r="Z24" i="7" s="1"/>
  <c r="T24" i="7"/>
  <c r="U24" i="7" s="1"/>
  <c r="O24" i="7"/>
  <c r="P24" i="7" s="1"/>
  <c r="J24" i="7"/>
  <c r="K24" i="7" s="1"/>
  <c r="E24" i="7"/>
  <c r="F24" i="7" s="1"/>
  <c r="AF23" i="7"/>
  <c r="AD23" i="7"/>
  <c r="AE23" i="7" s="1"/>
  <c r="Y23" i="7"/>
  <c r="Z23" i="7" s="1"/>
  <c r="T23" i="7"/>
  <c r="U23" i="7" s="1"/>
  <c r="O23" i="7"/>
  <c r="P23" i="7" s="1"/>
  <c r="J23" i="7"/>
  <c r="K23" i="7" s="1"/>
  <c r="E23" i="7"/>
  <c r="F23" i="7" s="1"/>
  <c r="AF22" i="7"/>
  <c r="AD22" i="7"/>
  <c r="AE22" i="7" s="1"/>
  <c r="Y22" i="7"/>
  <c r="Z22" i="7" s="1"/>
  <c r="T22" i="7"/>
  <c r="U22" i="7" s="1"/>
  <c r="O22" i="7"/>
  <c r="P22" i="7" s="1"/>
  <c r="J22" i="7"/>
  <c r="K22" i="7" s="1"/>
  <c r="E22" i="7"/>
  <c r="F22" i="7" s="1"/>
  <c r="AF21" i="7"/>
  <c r="AD21" i="7"/>
  <c r="AE21" i="7" s="1"/>
  <c r="Y21" i="7"/>
  <c r="Z21" i="7" s="1"/>
  <c r="T21" i="7"/>
  <c r="U21" i="7" s="1"/>
  <c r="O21" i="7"/>
  <c r="P21" i="7" s="1"/>
  <c r="J21" i="7"/>
  <c r="K21" i="7" s="1"/>
  <c r="E21" i="7"/>
  <c r="F21" i="7" s="1"/>
  <c r="AF20" i="7"/>
  <c r="AD20" i="7"/>
  <c r="AE20" i="7" s="1"/>
  <c r="Y20" i="7"/>
  <c r="Z20" i="7" s="1"/>
  <c r="T20" i="7"/>
  <c r="U20" i="7" s="1"/>
  <c r="O20" i="7"/>
  <c r="P20" i="7" s="1"/>
  <c r="J20" i="7"/>
  <c r="K20" i="7" s="1"/>
  <c r="E20" i="7"/>
  <c r="F20" i="7" s="1"/>
  <c r="AF19" i="7"/>
  <c r="AD19" i="7"/>
  <c r="AE19" i="7" s="1"/>
  <c r="Y19" i="7"/>
  <c r="Z19" i="7" s="1"/>
  <c r="T19" i="7"/>
  <c r="U19" i="7" s="1"/>
  <c r="O19" i="7"/>
  <c r="P19" i="7" s="1"/>
  <c r="J19" i="7"/>
  <c r="K19" i="7" s="1"/>
  <c r="E19" i="7"/>
  <c r="F19" i="7" s="1"/>
  <c r="AF18" i="7"/>
  <c r="AD18" i="7"/>
  <c r="AE18" i="7" s="1"/>
  <c r="Y18" i="7"/>
  <c r="Z18" i="7" s="1"/>
  <c r="T18" i="7"/>
  <c r="U18" i="7" s="1"/>
  <c r="O18" i="7"/>
  <c r="P18" i="7" s="1"/>
  <c r="J18" i="7"/>
  <c r="K18" i="7" s="1"/>
  <c r="E18" i="7"/>
  <c r="F18" i="7" s="1"/>
  <c r="AF17" i="7"/>
  <c r="AD17" i="7"/>
  <c r="AE17" i="7" s="1"/>
  <c r="Y17" i="7"/>
  <c r="Z17" i="7" s="1"/>
  <c r="T17" i="7"/>
  <c r="U17" i="7" s="1"/>
  <c r="O17" i="7"/>
  <c r="P17" i="7" s="1"/>
  <c r="J17" i="7"/>
  <c r="K17" i="7" s="1"/>
  <c r="E17" i="7"/>
  <c r="F17" i="7" s="1"/>
  <c r="AF16" i="7"/>
  <c r="AD16" i="7"/>
  <c r="AE16" i="7" s="1"/>
  <c r="Y16" i="7"/>
  <c r="Z16" i="7" s="1"/>
  <c r="T16" i="7"/>
  <c r="U16" i="7" s="1"/>
  <c r="O16" i="7"/>
  <c r="P16" i="7" s="1"/>
  <c r="J16" i="7"/>
  <c r="K16" i="7" s="1"/>
  <c r="E16" i="7"/>
  <c r="F16" i="7" s="1"/>
  <c r="AF15" i="7"/>
  <c r="AD15" i="7"/>
  <c r="AE15" i="7" s="1"/>
  <c r="Y15" i="7"/>
  <c r="Z15" i="7" s="1"/>
  <c r="T15" i="7"/>
  <c r="U15" i="7" s="1"/>
  <c r="O15" i="7"/>
  <c r="P15" i="7" s="1"/>
  <c r="J15" i="7"/>
  <c r="K15" i="7" s="1"/>
  <c r="E15" i="7"/>
  <c r="F15" i="7" s="1"/>
  <c r="AF14" i="7"/>
  <c r="AD14" i="7"/>
  <c r="AE14" i="7" s="1"/>
  <c r="Y14" i="7"/>
  <c r="Z14" i="7" s="1"/>
  <c r="T14" i="7"/>
  <c r="U14" i="7" s="1"/>
  <c r="O14" i="7"/>
  <c r="P14" i="7" s="1"/>
  <c r="J14" i="7"/>
  <c r="K14" i="7" s="1"/>
  <c r="E14" i="7"/>
  <c r="F14" i="7" s="1"/>
  <c r="AF13" i="7"/>
  <c r="AD13" i="7"/>
  <c r="AE13" i="7" s="1"/>
  <c r="Y13" i="7"/>
  <c r="Z13" i="7" s="1"/>
  <c r="T13" i="7"/>
  <c r="U13" i="7" s="1"/>
  <c r="O13" i="7"/>
  <c r="P13" i="7" s="1"/>
  <c r="J13" i="7"/>
  <c r="K13" i="7" s="1"/>
  <c r="E13" i="7"/>
  <c r="F13" i="7" s="1"/>
  <c r="AF12" i="7"/>
  <c r="AD12" i="7"/>
  <c r="AE12" i="7" s="1"/>
  <c r="Y12" i="7"/>
  <c r="Z12" i="7" s="1"/>
  <c r="T12" i="7"/>
  <c r="U12" i="7" s="1"/>
  <c r="O12" i="7"/>
  <c r="P12" i="7" s="1"/>
  <c r="J12" i="7"/>
  <c r="K12" i="7" s="1"/>
  <c r="E12" i="7"/>
  <c r="F12" i="7" s="1"/>
  <c r="AF11" i="7"/>
  <c r="AD11" i="7"/>
  <c r="AE11" i="7" s="1"/>
  <c r="Y11" i="7"/>
  <c r="Z11" i="7" s="1"/>
  <c r="T11" i="7"/>
  <c r="U11" i="7" s="1"/>
  <c r="O11" i="7"/>
  <c r="P11" i="7" s="1"/>
  <c r="J11" i="7"/>
  <c r="K11" i="7" s="1"/>
  <c r="E11" i="7"/>
  <c r="F11" i="7" s="1"/>
  <c r="AF10" i="7"/>
  <c r="AD10" i="7"/>
  <c r="AE10" i="7" s="1"/>
  <c r="Y10" i="7"/>
  <c r="Z10" i="7" s="1"/>
  <c r="T10" i="7"/>
  <c r="U10" i="7" s="1"/>
  <c r="O10" i="7"/>
  <c r="P10" i="7" s="1"/>
  <c r="J10" i="7"/>
  <c r="K10" i="7" s="1"/>
  <c r="E10" i="7"/>
  <c r="F10" i="7" s="1"/>
  <c r="AF9" i="7"/>
  <c r="AD9" i="7"/>
  <c r="AE9" i="7" s="1"/>
  <c r="Y9" i="7"/>
  <c r="Z9" i="7" s="1"/>
  <c r="T9" i="7"/>
  <c r="U9" i="7" s="1"/>
  <c r="O9" i="7"/>
  <c r="P9" i="7" s="1"/>
  <c r="J9" i="7"/>
  <c r="K9" i="7" s="1"/>
  <c r="E9" i="7"/>
  <c r="F9" i="7" s="1"/>
  <c r="AF8" i="7"/>
  <c r="AD8" i="7"/>
  <c r="AE8" i="7" s="1"/>
  <c r="Y8" i="7"/>
  <c r="Z8" i="7" s="1"/>
  <c r="T8" i="7"/>
  <c r="U8" i="7" s="1"/>
  <c r="O8" i="7"/>
  <c r="P8" i="7" s="1"/>
  <c r="J8" i="7"/>
  <c r="K8" i="7" s="1"/>
  <c r="E8" i="7"/>
  <c r="F8" i="7" s="1"/>
  <c r="AF7" i="7"/>
  <c r="AD7" i="7"/>
  <c r="AE7" i="7" s="1"/>
  <c r="Y7" i="7"/>
  <c r="Z7" i="7" s="1"/>
  <c r="T7" i="7"/>
  <c r="U7" i="7" s="1"/>
  <c r="O7" i="7"/>
  <c r="P7" i="7" s="1"/>
  <c r="J7" i="7"/>
  <c r="K7" i="7" s="1"/>
  <c r="E7" i="7"/>
  <c r="F7" i="7" s="1"/>
  <c r="AF6" i="7"/>
  <c r="AD6" i="7"/>
  <c r="AE6" i="7" s="1"/>
  <c r="Y6" i="7"/>
  <c r="Z6" i="7" s="1"/>
  <c r="T6" i="7"/>
  <c r="U6" i="7" s="1"/>
  <c r="O6" i="7"/>
  <c r="P6" i="7" s="1"/>
  <c r="J6" i="7"/>
  <c r="K6" i="7" s="1"/>
  <c r="E6" i="7"/>
  <c r="F6" i="7" s="1"/>
  <c r="AF5" i="7"/>
  <c r="AD5" i="7"/>
  <c r="AE5" i="7" s="1"/>
  <c r="Y5" i="7"/>
  <c r="Z5" i="7" s="1"/>
  <c r="T5" i="7"/>
  <c r="U5" i="7" s="1"/>
  <c r="O5" i="7"/>
  <c r="P5" i="7" s="1"/>
  <c r="J5" i="7"/>
  <c r="K5" i="7" s="1"/>
  <c r="E5" i="7"/>
  <c r="F5" i="7" s="1"/>
  <c r="L31" i="6"/>
  <c r="P31" i="6" s="1"/>
  <c r="L30" i="6"/>
  <c r="R30" i="6" s="1"/>
  <c r="Q18" i="6"/>
  <c r="P18" i="6"/>
  <c r="O18" i="6"/>
  <c r="N18" i="6"/>
  <c r="M18" i="6"/>
  <c r="Q17" i="6"/>
  <c r="P17" i="6"/>
  <c r="O17" i="6"/>
  <c r="N17" i="6"/>
  <c r="M17" i="6"/>
  <c r="Q16" i="6"/>
  <c r="P16" i="6"/>
  <c r="O16" i="6"/>
  <c r="N16" i="6"/>
  <c r="M16" i="6"/>
  <c r="H16" i="6"/>
  <c r="D22" i="6" s="1"/>
  <c r="F22" i="6" s="1"/>
  <c r="L23" i="6" s="1"/>
  <c r="Q15" i="6"/>
  <c r="P15" i="6"/>
  <c r="O15" i="6"/>
  <c r="N15" i="6"/>
  <c r="M15" i="6"/>
  <c r="Q14" i="6"/>
  <c r="P14" i="6"/>
  <c r="O14" i="6"/>
  <c r="N14" i="6"/>
  <c r="M14" i="6"/>
  <c r="Q13" i="6"/>
  <c r="P13" i="6"/>
  <c r="O13" i="6"/>
  <c r="N13" i="6"/>
  <c r="M13" i="6"/>
  <c r="A2" i="6"/>
  <c r="K44" i="5"/>
  <c r="J44" i="5"/>
  <c r="E44" i="5"/>
  <c r="J43" i="5"/>
  <c r="K43" i="5" s="1"/>
  <c r="E43" i="5"/>
  <c r="J42" i="5"/>
  <c r="K42" i="5" s="1"/>
  <c r="E42" i="5"/>
  <c r="J41" i="5"/>
  <c r="K41" i="5" s="1"/>
  <c r="E41" i="5"/>
  <c r="J40" i="5"/>
  <c r="K40" i="5" s="1"/>
  <c r="E40" i="5"/>
  <c r="J39" i="5"/>
  <c r="K39" i="5" s="1"/>
  <c r="E39" i="5"/>
  <c r="J38" i="5"/>
  <c r="K38" i="5" s="1"/>
  <c r="E38" i="5"/>
  <c r="J37" i="5"/>
  <c r="K37" i="5" s="1"/>
  <c r="E37" i="5"/>
  <c r="J36" i="5"/>
  <c r="K36" i="5" s="1"/>
  <c r="E36" i="5"/>
  <c r="J35" i="5"/>
  <c r="K35" i="5" s="1"/>
  <c r="E35" i="5"/>
  <c r="J34" i="5"/>
  <c r="K34" i="5" s="1"/>
  <c r="E34" i="5"/>
  <c r="K33" i="5"/>
  <c r="J33" i="5"/>
  <c r="E33" i="5"/>
  <c r="J32" i="5"/>
  <c r="K32" i="5" s="1"/>
  <c r="E32" i="5"/>
  <c r="K31" i="5"/>
  <c r="J31" i="5"/>
  <c r="E31" i="5"/>
  <c r="J30" i="5"/>
  <c r="K30" i="5" s="1"/>
  <c r="E30" i="5"/>
  <c r="J29" i="5"/>
  <c r="K29" i="5" s="1"/>
  <c r="E29" i="5"/>
  <c r="V22" i="5"/>
  <c r="U22" i="5"/>
  <c r="T22" i="5"/>
  <c r="S22" i="5"/>
  <c r="R22" i="5"/>
  <c r="Q22" i="5"/>
  <c r="F22" i="5"/>
  <c r="F19" i="5"/>
  <c r="F20" i="5" s="1"/>
  <c r="F21" i="5" s="1"/>
  <c r="B76" i="4"/>
  <c r="B75" i="4"/>
  <c r="B74" i="4"/>
  <c r="B73" i="4"/>
  <c r="B72" i="4"/>
  <c r="B71" i="4"/>
  <c r="B70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M59" i="4"/>
  <c r="L59" i="4"/>
  <c r="K59" i="4"/>
  <c r="J59" i="4"/>
  <c r="I59" i="4"/>
  <c r="H59" i="4"/>
  <c r="G59" i="4"/>
  <c r="F59" i="4"/>
  <c r="E59" i="4"/>
  <c r="D59" i="4"/>
  <c r="C59" i="4"/>
  <c r="B59" i="4"/>
  <c r="B55" i="4"/>
  <c r="B54" i="4"/>
  <c r="B53" i="4"/>
  <c r="B52" i="4"/>
  <c r="B51" i="4"/>
  <c r="B50" i="4"/>
  <c r="B49" i="4"/>
  <c r="B48" i="4"/>
  <c r="N46" i="4"/>
  <c r="M46" i="4"/>
  <c r="L46" i="4"/>
  <c r="K46" i="4"/>
  <c r="J46" i="4"/>
  <c r="I46" i="4"/>
  <c r="H46" i="4"/>
  <c r="G46" i="4"/>
  <c r="F46" i="4"/>
  <c r="E46" i="4"/>
  <c r="D46" i="4"/>
  <c r="C46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E29" i="4"/>
  <c r="F29" i="4" s="1"/>
  <c r="M61" i="4" s="1"/>
  <c r="E28" i="4"/>
  <c r="F28" i="4" s="1"/>
  <c r="L61" i="4" s="1"/>
  <c r="E27" i="4"/>
  <c r="F27" i="4" s="1"/>
  <c r="K61" i="4" s="1"/>
  <c r="E26" i="4"/>
  <c r="F26" i="4" s="1"/>
  <c r="J61" i="4" s="1"/>
  <c r="E25" i="4"/>
  <c r="F25" i="4" s="1"/>
  <c r="I61" i="4" s="1"/>
  <c r="E24" i="4"/>
  <c r="F24" i="4" s="1"/>
  <c r="H61" i="4" s="1"/>
  <c r="E23" i="4"/>
  <c r="F23" i="4" s="1"/>
  <c r="G61" i="4" s="1"/>
  <c r="E22" i="4"/>
  <c r="F22" i="4" s="1"/>
  <c r="F61" i="4" s="1"/>
  <c r="E21" i="4"/>
  <c r="F21" i="4" s="1"/>
  <c r="E61" i="4" s="1"/>
  <c r="E20" i="4"/>
  <c r="F20" i="4" s="1"/>
  <c r="D61" i="4" s="1"/>
  <c r="E19" i="4"/>
  <c r="F19" i="4" s="1"/>
  <c r="C61" i="4" s="1"/>
  <c r="E18" i="4"/>
  <c r="F18" i="4" s="1"/>
  <c r="B61" i="4" s="1"/>
  <c r="M17" i="4"/>
  <c r="M18" i="4" s="1"/>
  <c r="B7" i="4"/>
  <c r="L4" i="4"/>
  <c r="L7" i="4" s="1"/>
  <c r="L8" i="4" s="1"/>
  <c r="L11" i="4" s="1"/>
  <c r="M3" i="4"/>
  <c r="M4" i="4" s="1"/>
  <c r="B12" i="4" s="1"/>
  <c r="B3" i="4"/>
  <c r="V44" i="3"/>
  <c r="U44" i="3"/>
  <c r="V43" i="3"/>
  <c r="U43" i="3"/>
  <c r="V42" i="3"/>
  <c r="U42" i="3"/>
  <c r="V41" i="3"/>
  <c r="U41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L24" i="3"/>
  <c r="K24" i="3"/>
  <c r="H24" i="3"/>
  <c r="G24" i="3"/>
  <c r="L23" i="3"/>
  <c r="K23" i="3"/>
  <c r="H23" i="3"/>
  <c r="G23" i="3"/>
  <c r="L22" i="3"/>
  <c r="K22" i="3"/>
  <c r="H22" i="3"/>
  <c r="G22" i="3"/>
  <c r="L21" i="3"/>
  <c r="K21" i="3"/>
  <c r="H21" i="3"/>
  <c r="G21" i="3"/>
  <c r="L20" i="3"/>
  <c r="K20" i="3"/>
  <c r="H20" i="3"/>
  <c r="G20" i="3"/>
  <c r="L19" i="3"/>
  <c r="K19" i="3"/>
  <c r="H19" i="3"/>
  <c r="G19" i="3"/>
  <c r="L18" i="3"/>
  <c r="K18" i="3"/>
  <c r="H18" i="3"/>
  <c r="G18" i="3"/>
  <c r="L17" i="3"/>
  <c r="K17" i="3"/>
  <c r="H17" i="3"/>
  <c r="G17" i="3"/>
  <c r="L16" i="3"/>
  <c r="K16" i="3"/>
  <c r="H16" i="3"/>
  <c r="G16" i="3"/>
  <c r="L15" i="3"/>
  <c r="K15" i="3"/>
  <c r="H15" i="3"/>
  <c r="G15" i="3"/>
  <c r="L14" i="3"/>
  <c r="K14" i="3"/>
  <c r="H14" i="3"/>
  <c r="G14" i="3"/>
  <c r="L13" i="3"/>
  <c r="K13" i="3"/>
  <c r="H13" i="3"/>
  <c r="G13" i="3"/>
  <c r="L12" i="3"/>
  <c r="K12" i="3"/>
  <c r="H12" i="3"/>
  <c r="G12" i="3"/>
  <c r="D7" i="3"/>
  <c r="C40" i="3" s="1"/>
  <c r="D6" i="3"/>
  <c r="R3" i="3"/>
  <c r="R4" i="3" s="1"/>
  <c r="Q3" i="3"/>
  <c r="Q4" i="3" s="1"/>
  <c r="A82" i="2"/>
  <c r="A81" i="2"/>
  <c r="A80" i="2"/>
  <c r="D79" i="2"/>
  <c r="E79" i="2" s="1"/>
  <c r="F79" i="2" s="1"/>
  <c r="G79" i="2" s="1"/>
  <c r="I79" i="2" s="1"/>
  <c r="A79" i="2"/>
  <c r="D78" i="2"/>
  <c r="E78" i="2" s="1"/>
  <c r="F78" i="2" s="1"/>
  <c r="G78" i="2" s="1"/>
  <c r="I78" i="2" s="1"/>
  <c r="A78" i="2"/>
  <c r="D77" i="2"/>
  <c r="E77" i="2" s="1"/>
  <c r="F77" i="2" s="1"/>
  <c r="G77" i="2" s="1"/>
  <c r="I77" i="2" s="1"/>
  <c r="A77" i="2"/>
  <c r="E76" i="2"/>
  <c r="F76" i="2" s="1"/>
  <c r="G76" i="2" s="1"/>
  <c r="I76" i="2" s="1"/>
  <c r="D76" i="2"/>
  <c r="A76" i="2"/>
  <c r="D75" i="2"/>
  <c r="E75" i="2" s="1"/>
  <c r="F75" i="2" s="1"/>
  <c r="G75" i="2" s="1"/>
  <c r="I75" i="2" s="1"/>
  <c r="A75" i="2"/>
  <c r="D74" i="2"/>
  <c r="E74" i="2" s="1"/>
  <c r="F74" i="2" s="1"/>
  <c r="G74" i="2" s="1"/>
  <c r="I74" i="2" s="1"/>
  <c r="A74" i="2"/>
  <c r="D73" i="2"/>
  <c r="E73" i="2" s="1"/>
  <c r="F73" i="2" s="1"/>
  <c r="G73" i="2" s="1"/>
  <c r="I73" i="2" s="1"/>
  <c r="A73" i="2"/>
  <c r="E72" i="2"/>
  <c r="F72" i="2" s="1"/>
  <c r="D72" i="2"/>
  <c r="D82" i="2" s="1"/>
  <c r="E82" i="2" s="1"/>
  <c r="A72" i="2"/>
  <c r="D71" i="2"/>
  <c r="D81" i="2" s="1"/>
  <c r="E81" i="2" s="1"/>
  <c r="A71" i="2"/>
  <c r="D70" i="2"/>
  <c r="D80" i="2" s="1"/>
  <c r="E80" i="2" s="1"/>
  <c r="A70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N20" i="2"/>
  <c r="M20" i="2"/>
  <c r="N19" i="2"/>
  <c r="M19" i="2"/>
  <c r="N16" i="2"/>
  <c r="M16" i="2"/>
  <c r="N15" i="2"/>
  <c r="M15" i="2"/>
  <c r="N12" i="2"/>
  <c r="M12" i="2"/>
  <c r="N11" i="2"/>
  <c r="M11" i="2"/>
  <c r="G11" i="2"/>
  <c r="F11" i="2"/>
  <c r="E11" i="2"/>
  <c r="J32" i="2" s="1"/>
  <c r="C11" i="2"/>
  <c r="G35" i="2" s="1"/>
  <c r="H35" i="2" s="1"/>
  <c r="I35" i="2" s="1"/>
  <c r="B11" i="2"/>
  <c r="G10" i="2"/>
  <c r="F10" i="2"/>
  <c r="E10" i="2"/>
  <c r="J66" i="2" s="1"/>
  <c r="D10" i="2"/>
  <c r="B10" i="2"/>
  <c r="G9" i="2"/>
  <c r="F9" i="2"/>
  <c r="E9" i="2"/>
  <c r="J27" i="2" s="1"/>
  <c r="B9" i="2"/>
  <c r="N8" i="2"/>
  <c r="M8" i="2"/>
  <c r="G8" i="2"/>
  <c r="F8" i="2"/>
  <c r="E8" i="2"/>
  <c r="J40" i="2" s="1"/>
  <c r="C8" i="2"/>
  <c r="G41" i="2" s="1"/>
  <c r="H41" i="2" s="1"/>
  <c r="I41" i="2" s="1"/>
  <c r="B8" i="2"/>
  <c r="N7" i="2"/>
  <c r="M7" i="2"/>
  <c r="G7" i="2"/>
  <c r="F7" i="2"/>
  <c r="E7" i="2"/>
  <c r="J31" i="2" s="1"/>
  <c r="C7" i="2"/>
  <c r="G27" i="2" s="1"/>
  <c r="H27" i="2" s="1"/>
  <c r="I27" i="2" s="1"/>
  <c r="B7" i="2"/>
  <c r="E110" i="1"/>
  <c r="B109" i="1"/>
  <c r="G108" i="1"/>
  <c r="D107" i="1"/>
  <c r="F105" i="1"/>
  <c r="B105" i="1"/>
  <c r="L103" i="1"/>
  <c r="D103" i="1"/>
  <c r="F102" i="1"/>
  <c r="D102" i="1"/>
  <c r="B102" i="1"/>
  <c r="C101" i="1"/>
  <c r="F100" i="1"/>
  <c r="D100" i="1"/>
  <c r="B100" i="1"/>
  <c r="E99" i="1"/>
  <c r="J98" i="1"/>
  <c r="D98" i="1"/>
  <c r="B98" i="1"/>
  <c r="K94" i="1"/>
  <c r="G94" i="1"/>
  <c r="E94" i="1"/>
  <c r="C94" i="1"/>
  <c r="A94" i="1"/>
  <c r="A112" i="1" s="1"/>
  <c r="G92" i="1"/>
  <c r="E92" i="1"/>
  <c r="C92" i="1"/>
  <c r="A92" i="1"/>
  <c r="A110" i="1" s="1"/>
  <c r="I91" i="1"/>
  <c r="A91" i="1"/>
  <c r="A109" i="1" s="1"/>
  <c r="G90" i="1"/>
  <c r="E90" i="1"/>
  <c r="C90" i="1"/>
  <c r="A90" i="1"/>
  <c r="A108" i="1" s="1"/>
  <c r="E89" i="1"/>
  <c r="K88" i="1"/>
  <c r="C88" i="1"/>
  <c r="G86" i="1"/>
  <c r="E85" i="1"/>
  <c r="K84" i="1"/>
  <c r="C84" i="1"/>
  <c r="G82" i="1"/>
  <c r="E81" i="1"/>
  <c r="B80" i="1"/>
  <c r="M78" i="1"/>
  <c r="D78" i="1"/>
  <c r="G76" i="1"/>
  <c r="G112" i="1" s="1"/>
  <c r="F76" i="1"/>
  <c r="F112" i="1" s="1"/>
  <c r="E76" i="1"/>
  <c r="E112" i="1" s="1"/>
  <c r="D76" i="1"/>
  <c r="D112" i="1" s="1"/>
  <c r="C76" i="1"/>
  <c r="C112" i="1" s="1"/>
  <c r="B76" i="1"/>
  <c r="B112" i="1" s="1"/>
  <c r="A76" i="1"/>
  <c r="K75" i="1"/>
  <c r="K111" i="1" s="1"/>
  <c r="H75" i="1"/>
  <c r="H111" i="1" s="1"/>
  <c r="G75" i="1"/>
  <c r="G111" i="1" s="1"/>
  <c r="F75" i="1"/>
  <c r="F111" i="1" s="1"/>
  <c r="E75" i="1"/>
  <c r="E111" i="1" s="1"/>
  <c r="D75" i="1"/>
  <c r="D111" i="1" s="1"/>
  <c r="C75" i="1"/>
  <c r="C111" i="1" s="1"/>
  <c r="B75" i="1"/>
  <c r="B111" i="1" s="1"/>
  <c r="L74" i="1"/>
  <c r="L110" i="1" s="1"/>
  <c r="G74" i="1"/>
  <c r="G110" i="1" s="1"/>
  <c r="F74" i="1"/>
  <c r="F110" i="1" s="1"/>
  <c r="E74" i="1"/>
  <c r="K74" i="1" s="1"/>
  <c r="K110" i="1" s="1"/>
  <c r="D74" i="1"/>
  <c r="D110" i="1" s="1"/>
  <c r="C74" i="1"/>
  <c r="C110" i="1" s="1"/>
  <c r="B74" i="1"/>
  <c r="B110" i="1" s="1"/>
  <c r="A74" i="1"/>
  <c r="M73" i="1"/>
  <c r="M109" i="1" s="1"/>
  <c r="J73" i="1"/>
  <c r="J109" i="1" s="1"/>
  <c r="G73" i="1"/>
  <c r="G109" i="1" s="1"/>
  <c r="F73" i="1"/>
  <c r="F109" i="1" s="1"/>
  <c r="E73" i="1"/>
  <c r="E109" i="1" s="1"/>
  <c r="D73" i="1"/>
  <c r="D109" i="1" s="1"/>
  <c r="C73" i="1"/>
  <c r="C109" i="1" s="1"/>
  <c r="B73" i="1"/>
  <c r="M72" i="1"/>
  <c r="M108" i="1" s="1"/>
  <c r="G72" i="1"/>
  <c r="F72" i="1"/>
  <c r="F108" i="1" s="1"/>
  <c r="E72" i="1"/>
  <c r="E108" i="1" s="1"/>
  <c r="D72" i="1"/>
  <c r="D108" i="1" s="1"/>
  <c r="C72" i="1"/>
  <c r="C108" i="1" s="1"/>
  <c r="B72" i="1"/>
  <c r="B108" i="1" s="1"/>
  <c r="A72" i="1"/>
  <c r="AT71" i="1"/>
  <c r="AS71" i="1"/>
  <c r="AR71" i="1"/>
  <c r="AN71" i="1"/>
  <c r="AM71" i="1"/>
  <c r="AI71" i="1"/>
  <c r="AH71" i="1"/>
  <c r="AD71" i="1"/>
  <c r="AC71" i="1"/>
  <c r="Y71" i="1"/>
  <c r="X71" i="1"/>
  <c r="T71" i="1"/>
  <c r="S71" i="1"/>
  <c r="G71" i="1"/>
  <c r="G107" i="1" s="1"/>
  <c r="F71" i="1"/>
  <c r="F107" i="1" s="1"/>
  <c r="E71" i="1"/>
  <c r="E107" i="1" s="1"/>
  <c r="D71" i="1"/>
  <c r="C71" i="1"/>
  <c r="C107" i="1" s="1"/>
  <c r="B71" i="1"/>
  <c r="B107" i="1" s="1"/>
  <c r="A71" i="1"/>
  <c r="AT70" i="1"/>
  <c r="AS70" i="1"/>
  <c r="AR70" i="1"/>
  <c r="AN70" i="1"/>
  <c r="AM70" i="1"/>
  <c r="AI70" i="1"/>
  <c r="AH70" i="1"/>
  <c r="AD70" i="1"/>
  <c r="AC70" i="1"/>
  <c r="Y70" i="1"/>
  <c r="X70" i="1"/>
  <c r="T70" i="1"/>
  <c r="S70" i="1"/>
  <c r="M70" i="1"/>
  <c r="M106" i="1" s="1"/>
  <c r="I70" i="1"/>
  <c r="I106" i="1" s="1"/>
  <c r="G70" i="1"/>
  <c r="G106" i="1" s="1"/>
  <c r="F70" i="1"/>
  <c r="F106" i="1" s="1"/>
  <c r="E70" i="1"/>
  <c r="E106" i="1" s="1"/>
  <c r="D70" i="1"/>
  <c r="D106" i="1" s="1"/>
  <c r="C70" i="1"/>
  <c r="C106" i="1" s="1"/>
  <c r="B70" i="1"/>
  <c r="B106" i="1" s="1"/>
  <c r="AT69" i="1"/>
  <c r="AS69" i="1"/>
  <c r="AR69" i="1"/>
  <c r="AN69" i="1"/>
  <c r="AM69" i="1"/>
  <c r="AI69" i="1"/>
  <c r="AH69" i="1"/>
  <c r="AD69" i="1"/>
  <c r="AC69" i="1"/>
  <c r="Y69" i="1"/>
  <c r="X69" i="1"/>
  <c r="T69" i="1"/>
  <c r="S69" i="1"/>
  <c r="L69" i="1"/>
  <c r="L105" i="1" s="1"/>
  <c r="I69" i="1"/>
  <c r="I105" i="1" s="1"/>
  <c r="G69" i="1"/>
  <c r="G105" i="1" s="1"/>
  <c r="F69" i="1"/>
  <c r="E69" i="1"/>
  <c r="E105" i="1" s="1"/>
  <c r="D69" i="1"/>
  <c r="D105" i="1" s="1"/>
  <c r="C69" i="1"/>
  <c r="C105" i="1" s="1"/>
  <c r="B69" i="1"/>
  <c r="AT68" i="1"/>
  <c r="AS68" i="1"/>
  <c r="AR68" i="1"/>
  <c r="AN68" i="1"/>
  <c r="AM68" i="1"/>
  <c r="AI68" i="1"/>
  <c r="AH68" i="1"/>
  <c r="AD68" i="1"/>
  <c r="AC68" i="1"/>
  <c r="Y68" i="1"/>
  <c r="X68" i="1"/>
  <c r="T68" i="1"/>
  <c r="S68" i="1"/>
  <c r="G68" i="1"/>
  <c r="M68" i="1" s="1"/>
  <c r="M104" i="1" s="1"/>
  <c r="F68" i="1"/>
  <c r="F104" i="1" s="1"/>
  <c r="E68" i="1"/>
  <c r="E104" i="1" s="1"/>
  <c r="D68" i="1"/>
  <c r="D104" i="1" s="1"/>
  <c r="C68" i="1"/>
  <c r="C104" i="1" s="1"/>
  <c r="B68" i="1"/>
  <c r="B104" i="1" s="1"/>
  <c r="A68" i="1"/>
  <c r="AT67" i="1"/>
  <c r="AS67" i="1"/>
  <c r="AR67" i="1"/>
  <c r="AN67" i="1"/>
  <c r="AM67" i="1"/>
  <c r="AI67" i="1"/>
  <c r="AH67" i="1"/>
  <c r="AD67" i="1"/>
  <c r="AC67" i="1"/>
  <c r="Y67" i="1"/>
  <c r="X67" i="1"/>
  <c r="T67" i="1"/>
  <c r="S67" i="1"/>
  <c r="L67" i="1"/>
  <c r="G67" i="1"/>
  <c r="G103" i="1" s="1"/>
  <c r="F67" i="1"/>
  <c r="F103" i="1" s="1"/>
  <c r="E67" i="1"/>
  <c r="E103" i="1" s="1"/>
  <c r="D67" i="1"/>
  <c r="C67" i="1"/>
  <c r="C103" i="1" s="1"/>
  <c r="B67" i="1"/>
  <c r="B103" i="1" s="1"/>
  <c r="AT66" i="1"/>
  <c r="AS66" i="1"/>
  <c r="AR66" i="1"/>
  <c r="AN66" i="1"/>
  <c r="AM66" i="1"/>
  <c r="AI66" i="1"/>
  <c r="AH66" i="1"/>
  <c r="AD66" i="1"/>
  <c r="AC66" i="1"/>
  <c r="Y66" i="1"/>
  <c r="X66" i="1"/>
  <c r="T66" i="1"/>
  <c r="S66" i="1"/>
  <c r="M66" i="1"/>
  <c r="M102" i="1" s="1"/>
  <c r="G66" i="1"/>
  <c r="G102" i="1" s="1"/>
  <c r="F66" i="1"/>
  <c r="L66" i="1" s="1"/>
  <c r="L102" i="1" s="1"/>
  <c r="E66" i="1"/>
  <c r="E102" i="1" s="1"/>
  <c r="D66" i="1"/>
  <c r="C66" i="1"/>
  <c r="C102" i="1" s="1"/>
  <c r="B66" i="1"/>
  <c r="AT65" i="1"/>
  <c r="AS65" i="1"/>
  <c r="AR65" i="1"/>
  <c r="AN65" i="1"/>
  <c r="AM65" i="1"/>
  <c r="AI65" i="1"/>
  <c r="AH65" i="1"/>
  <c r="AD65" i="1"/>
  <c r="AC65" i="1"/>
  <c r="Y65" i="1"/>
  <c r="X65" i="1"/>
  <c r="T65" i="1"/>
  <c r="S65" i="1"/>
  <c r="G65" i="1"/>
  <c r="G101" i="1" s="1"/>
  <c r="F65" i="1"/>
  <c r="F101" i="1" s="1"/>
  <c r="E65" i="1"/>
  <c r="K65" i="1" s="1"/>
  <c r="K101" i="1" s="1"/>
  <c r="D65" i="1"/>
  <c r="D101" i="1" s="1"/>
  <c r="C65" i="1"/>
  <c r="B65" i="1"/>
  <c r="B101" i="1" s="1"/>
  <c r="AT64" i="1"/>
  <c r="AS64" i="1"/>
  <c r="AR64" i="1"/>
  <c r="AN64" i="1"/>
  <c r="AM64" i="1"/>
  <c r="AI64" i="1"/>
  <c r="AH64" i="1"/>
  <c r="AD64" i="1"/>
  <c r="AC64" i="1"/>
  <c r="Y64" i="1"/>
  <c r="X64" i="1"/>
  <c r="T64" i="1"/>
  <c r="S64" i="1"/>
  <c r="M64" i="1"/>
  <c r="M100" i="1" s="1"/>
  <c r="I64" i="1"/>
  <c r="I100" i="1" s="1"/>
  <c r="G64" i="1"/>
  <c r="G100" i="1" s="1"/>
  <c r="F64" i="1"/>
  <c r="L64" i="1" s="1"/>
  <c r="L100" i="1" s="1"/>
  <c r="E64" i="1"/>
  <c r="E100" i="1" s="1"/>
  <c r="D64" i="1"/>
  <c r="C64" i="1"/>
  <c r="C100" i="1" s="1"/>
  <c r="B64" i="1"/>
  <c r="AT63" i="1"/>
  <c r="AS63" i="1"/>
  <c r="AR63" i="1"/>
  <c r="AN63" i="1"/>
  <c r="AM63" i="1"/>
  <c r="AI63" i="1"/>
  <c r="AH63" i="1"/>
  <c r="AD63" i="1"/>
  <c r="AC63" i="1"/>
  <c r="Y63" i="1"/>
  <c r="X63" i="1"/>
  <c r="T63" i="1"/>
  <c r="S63" i="1"/>
  <c r="G63" i="1"/>
  <c r="M63" i="1" s="1"/>
  <c r="M99" i="1" s="1"/>
  <c r="F63" i="1"/>
  <c r="F99" i="1" s="1"/>
  <c r="E63" i="1"/>
  <c r="K63" i="1" s="1"/>
  <c r="K99" i="1" s="1"/>
  <c r="D63" i="1"/>
  <c r="D99" i="1" s="1"/>
  <c r="C63" i="1"/>
  <c r="C99" i="1" s="1"/>
  <c r="B63" i="1"/>
  <c r="B99" i="1" s="1"/>
  <c r="A63" i="1"/>
  <c r="AT62" i="1"/>
  <c r="AS62" i="1"/>
  <c r="AR62" i="1"/>
  <c r="AN62" i="1"/>
  <c r="AM62" i="1"/>
  <c r="AI62" i="1"/>
  <c r="AH62" i="1"/>
  <c r="AD62" i="1"/>
  <c r="AC62" i="1"/>
  <c r="Y62" i="1"/>
  <c r="X62" i="1"/>
  <c r="T62" i="1"/>
  <c r="S62" i="1"/>
  <c r="M62" i="1"/>
  <c r="M98" i="1" s="1"/>
  <c r="J62" i="1"/>
  <c r="G62" i="1"/>
  <c r="G98" i="1" s="1"/>
  <c r="E62" i="1"/>
  <c r="E98" i="1" s="1"/>
  <c r="D62" i="1"/>
  <c r="C62" i="1"/>
  <c r="B62" i="1"/>
  <c r="H62" i="1" s="1"/>
  <c r="H98" i="1" s="1"/>
  <c r="AT61" i="1"/>
  <c r="AR61" i="1"/>
  <c r="AS61" i="1" s="1"/>
  <c r="AM61" i="1"/>
  <c r="AN61" i="1" s="1"/>
  <c r="AH61" i="1"/>
  <c r="AI61" i="1" s="1"/>
  <c r="AC61" i="1"/>
  <c r="AD61" i="1" s="1"/>
  <c r="X61" i="1"/>
  <c r="Y61" i="1" s="1"/>
  <c r="S61" i="1"/>
  <c r="T61" i="1" s="1"/>
  <c r="AT60" i="1"/>
  <c r="AS60" i="1"/>
  <c r="AR60" i="1"/>
  <c r="AN60" i="1"/>
  <c r="AM60" i="1"/>
  <c r="AI60" i="1"/>
  <c r="AH60" i="1"/>
  <c r="AD60" i="1"/>
  <c r="AC60" i="1"/>
  <c r="Y60" i="1"/>
  <c r="X60" i="1"/>
  <c r="T60" i="1"/>
  <c r="S60" i="1"/>
  <c r="AT59" i="1"/>
  <c r="AR59" i="1"/>
  <c r="AS59" i="1" s="1"/>
  <c r="AM59" i="1"/>
  <c r="AN59" i="1" s="1"/>
  <c r="AH59" i="1"/>
  <c r="AI59" i="1" s="1"/>
  <c r="AC59" i="1"/>
  <c r="AD59" i="1" s="1"/>
  <c r="X59" i="1"/>
  <c r="Y59" i="1" s="1"/>
  <c r="S59" i="1"/>
  <c r="T59" i="1" s="1"/>
  <c r="AT58" i="1"/>
  <c r="AS58" i="1"/>
  <c r="AR58" i="1"/>
  <c r="AN58" i="1"/>
  <c r="AM58" i="1"/>
  <c r="AI58" i="1"/>
  <c r="AH58" i="1"/>
  <c r="AD58" i="1"/>
  <c r="AC58" i="1"/>
  <c r="Y58" i="1"/>
  <c r="X58" i="1"/>
  <c r="T58" i="1"/>
  <c r="S58" i="1"/>
  <c r="H58" i="1"/>
  <c r="H94" i="1" s="1"/>
  <c r="G58" i="1"/>
  <c r="M58" i="1" s="1"/>
  <c r="M94" i="1" s="1"/>
  <c r="F58" i="1"/>
  <c r="F94" i="1" s="1"/>
  <c r="E58" i="1"/>
  <c r="K58" i="1" s="1"/>
  <c r="D58" i="1"/>
  <c r="D94" i="1" s="1"/>
  <c r="C58" i="1"/>
  <c r="B58" i="1"/>
  <c r="B94" i="1" s="1"/>
  <c r="A58" i="1"/>
  <c r="AT57" i="1"/>
  <c r="AR57" i="1"/>
  <c r="AS57" i="1" s="1"/>
  <c r="AM57" i="1"/>
  <c r="AN57" i="1" s="1"/>
  <c r="AH57" i="1"/>
  <c r="AI57" i="1" s="1"/>
  <c r="AC57" i="1"/>
  <c r="AD57" i="1" s="1"/>
  <c r="X57" i="1"/>
  <c r="Y57" i="1" s="1"/>
  <c r="S57" i="1"/>
  <c r="T57" i="1" s="1"/>
  <c r="G57" i="1"/>
  <c r="G93" i="1" s="1"/>
  <c r="F57" i="1"/>
  <c r="L57" i="1" s="1"/>
  <c r="L93" i="1" s="1"/>
  <c r="E57" i="1"/>
  <c r="E93" i="1" s="1"/>
  <c r="D57" i="1"/>
  <c r="D93" i="1" s="1"/>
  <c r="C57" i="1"/>
  <c r="C93" i="1" s="1"/>
  <c r="B57" i="1"/>
  <c r="B93" i="1" s="1"/>
  <c r="A57" i="1"/>
  <c r="A75" i="1" s="1"/>
  <c r="AT56" i="1"/>
  <c r="AS56" i="1"/>
  <c r="AR56" i="1"/>
  <c r="AN56" i="1"/>
  <c r="AM56" i="1"/>
  <c r="AI56" i="1"/>
  <c r="AH56" i="1"/>
  <c r="AD56" i="1"/>
  <c r="AC56" i="1"/>
  <c r="Y56" i="1"/>
  <c r="X56" i="1"/>
  <c r="T56" i="1"/>
  <c r="S56" i="1"/>
  <c r="J56" i="1"/>
  <c r="J92" i="1" s="1"/>
  <c r="G56" i="1"/>
  <c r="M56" i="1" s="1"/>
  <c r="M92" i="1" s="1"/>
  <c r="F56" i="1"/>
  <c r="F92" i="1" s="1"/>
  <c r="E56" i="1"/>
  <c r="K56" i="1" s="1"/>
  <c r="K92" i="1" s="1"/>
  <c r="D56" i="1"/>
  <c r="D92" i="1" s="1"/>
  <c r="C56" i="1"/>
  <c r="B56" i="1"/>
  <c r="B92" i="1" s="1"/>
  <c r="A56" i="1"/>
  <c r="AT55" i="1"/>
  <c r="AR55" i="1"/>
  <c r="AS55" i="1" s="1"/>
  <c r="AM55" i="1"/>
  <c r="AN55" i="1" s="1"/>
  <c r="AH55" i="1"/>
  <c r="AI55" i="1" s="1"/>
  <c r="AC55" i="1"/>
  <c r="AD55" i="1" s="1"/>
  <c r="X55" i="1"/>
  <c r="Y55" i="1" s="1"/>
  <c r="S55" i="1"/>
  <c r="T55" i="1" s="1"/>
  <c r="M55" i="1"/>
  <c r="M91" i="1" s="1"/>
  <c r="I55" i="1"/>
  <c r="G55" i="1"/>
  <c r="G91" i="1" s="1"/>
  <c r="F55" i="1"/>
  <c r="F91" i="1" s="1"/>
  <c r="E55" i="1"/>
  <c r="K55" i="1" s="1"/>
  <c r="K91" i="1" s="1"/>
  <c r="D55" i="1"/>
  <c r="D91" i="1" s="1"/>
  <c r="C55" i="1"/>
  <c r="C91" i="1" s="1"/>
  <c r="B55" i="1"/>
  <c r="A55" i="1"/>
  <c r="A73" i="1" s="1"/>
  <c r="AT54" i="1"/>
  <c r="AS54" i="1"/>
  <c r="AR54" i="1"/>
  <c r="AN54" i="1"/>
  <c r="AM54" i="1"/>
  <c r="AI54" i="1"/>
  <c r="AH54" i="1"/>
  <c r="AD54" i="1"/>
  <c r="AC54" i="1"/>
  <c r="Y54" i="1"/>
  <c r="X54" i="1"/>
  <c r="T54" i="1"/>
  <c r="S54" i="1"/>
  <c r="H54" i="1"/>
  <c r="H90" i="1" s="1"/>
  <c r="G54" i="1"/>
  <c r="M54" i="1" s="1"/>
  <c r="M90" i="1" s="1"/>
  <c r="F54" i="1"/>
  <c r="F90" i="1" s="1"/>
  <c r="E54" i="1"/>
  <c r="K54" i="1" s="1"/>
  <c r="K90" i="1" s="1"/>
  <c r="D54" i="1"/>
  <c r="D90" i="1" s="1"/>
  <c r="C54" i="1"/>
  <c r="B54" i="1"/>
  <c r="B90" i="1" s="1"/>
  <c r="A54" i="1"/>
  <c r="AT53" i="1"/>
  <c r="AR53" i="1"/>
  <c r="AS53" i="1" s="1"/>
  <c r="AM53" i="1"/>
  <c r="AN53" i="1" s="1"/>
  <c r="AI53" i="1"/>
  <c r="AH53" i="1"/>
  <c r="AC53" i="1"/>
  <c r="AD53" i="1" s="1"/>
  <c r="X53" i="1"/>
  <c r="Y53" i="1" s="1"/>
  <c r="S53" i="1"/>
  <c r="T53" i="1" s="1"/>
  <c r="L53" i="1"/>
  <c r="L89" i="1" s="1"/>
  <c r="K53" i="1"/>
  <c r="K89" i="1" s="1"/>
  <c r="I53" i="1"/>
  <c r="I89" i="1" s="1"/>
  <c r="G53" i="1"/>
  <c r="M53" i="1" s="1"/>
  <c r="M89" i="1" s="1"/>
  <c r="F53" i="1"/>
  <c r="F89" i="1" s="1"/>
  <c r="E53" i="1"/>
  <c r="D53" i="1"/>
  <c r="D89" i="1" s="1"/>
  <c r="C53" i="1"/>
  <c r="C89" i="1" s="1"/>
  <c r="B53" i="1"/>
  <c r="B89" i="1" s="1"/>
  <c r="A53" i="1"/>
  <c r="A89" i="1" s="1"/>
  <c r="A107" i="1" s="1"/>
  <c r="AT52" i="1"/>
  <c r="AS52" i="1"/>
  <c r="AR52" i="1"/>
  <c r="AN52" i="1"/>
  <c r="AM52" i="1"/>
  <c r="AI52" i="1"/>
  <c r="AH52" i="1"/>
  <c r="AD52" i="1"/>
  <c r="AC52" i="1"/>
  <c r="Y52" i="1"/>
  <c r="X52" i="1"/>
  <c r="T52" i="1"/>
  <c r="S52" i="1"/>
  <c r="K52" i="1"/>
  <c r="J52" i="1"/>
  <c r="J88" i="1" s="1"/>
  <c r="H52" i="1"/>
  <c r="H88" i="1" s="1"/>
  <c r="G52" i="1"/>
  <c r="M52" i="1" s="1"/>
  <c r="M88" i="1" s="1"/>
  <c r="F52" i="1"/>
  <c r="F88" i="1" s="1"/>
  <c r="E52" i="1"/>
  <c r="E88" i="1" s="1"/>
  <c r="D52" i="1"/>
  <c r="D88" i="1" s="1"/>
  <c r="C52" i="1"/>
  <c r="B52" i="1"/>
  <c r="B88" i="1" s="1"/>
  <c r="A52" i="1"/>
  <c r="A88" i="1" s="1"/>
  <c r="A106" i="1" s="1"/>
  <c r="AT51" i="1"/>
  <c r="AR51" i="1"/>
  <c r="AS51" i="1" s="1"/>
  <c r="AM51" i="1"/>
  <c r="AN51" i="1" s="1"/>
  <c r="AH51" i="1"/>
  <c r="AI51" i="1" s="1"/>
  <c r="AC51" i="1"/>
  <c r="AD51" i="1" s="1"/>
  <c r="X51" i="1"/>
  <c r="Y51" i="1" s="1"/>
  <c r="S51" i="1"/>
  <c r="T51" i="1" s="1"/>
  <c r="M51" i="1"/>
  <c r="M87" i="1" s="1"/>
  <c r="I51" i="1"/>
  <c r="I87" i="1" s="1"/>
  <c r="G51" i="1"/>
  <c r="G87" i="1" s="1"/>
  <c r="F51" i="1"/>
  <c r="F87" i="1" s="1"/>
  <c r="E51" i="1"/>
  <c r="K51" i="1" s="1"/>
  <c r="K87" i="1" s="1"/>
  <c r="D51" i="1"/>
  <c r="D87" i="1" s="1"/>
  <c r="C51" i="1"/>
  <c r="C87" i="1" s="1"/>
  <c r="B51" i="1"/>
  <c r="B87" i="1" s="1"/>
  <c r="A51" i="1"/>
  <c r="A87" i="1" s="1"/>
  <c r="A105" i="1" s="1"/>
  <c r="AT50" i="1"/>
  <c r="AS50" i="1"/>
  <c r="AR50" i="1"/>
  <c r="AN50" i="1"/>
  <c r="AM50" i="1"/>
  <c r="AI50" i="1"/>
  <c r="AH50" i="1"/>
  <c r="AD50" i="1"/>
  <c r="AC50" i="1"/>
  <c r="Y50" i="1"/>
  <c r="X50" i="1"/>
  <c r="T50" i="1"/>
  <c r="S50" i="1"/>
  <c r="M50" i="1"/>
  <c r="M86" i="1" s="1"/>
  <c r="L50" i="1"/>
  <c r="L86" i="1" s="1"/>
  <c r="J50" i="1"/>
  <c r="J86" i="1" s="1"/>
  <c r="H50" i="1"/>
  <c r="H86" i="1" s="1"/>
  <c r="G50" i="1"/>
  <c r="F50" i="1"/>
  <c r="F86" i="1" s="1"/>
  <c r="E50" i="1"/>
  <c r="E86" i="1" s="1"/>
  <c r="D50" i="1"/>
  <c r="D86" i="1" s="1"/>
  <c r="C50" i="1"/>
  <c r="C86" i="1" s="1"/>
  <c r="B50" i="1"/>
  <c r="B86" i="1" s="1"/>
  <c r="A50" i="1"/>
  <c r="A86" i="1" s="1"/>
  <c r="A104" i="1" s="1"/>
  <c r="AT49" i="1"/>
  <c r="AR49" i="1"/>
  <c r="AS49" i="1" s="1"/>
  <c r="AM49" i="1"/>
  <c r="AN49" i="1" s="1"/>
  <c r="AH49" i="1"/>
  <c r="AI49" i="1" s="1"/>
  <c r="AC49" i="1"/>
  <c r="AD49" i="1" s="1"/>
  <c r="X49" i="1"/>
  <c r="Y49" i="1" s="1"/>
  <c r="S49" i="1"/>
  <c r="T49" i="1" s="1"/>
  <c r="L49" i="1"/>
  <c r="L85" i="1" s="1"/>
  <c r="K49" i="1"/>
  <c r="K85" i="1" s="1"/>
  <c r="I49" i="1"/>
  <c r="I85" i="1" s="1"/>
  <c r="G49" i="1"/>
  <c r="M49" i="1" s="1"/>
  <c r="M85" i="1" s="1"/>
  <c r="F49" i="1"/>
  <c r="F85" i="1" s="1"/>
  <c r="E49" i="1"/>
  <c r="D49" i="1"/>
  <c r="D85" i="1" s="1"/>
  <c r="C49" i="1"/>
  <c r="C85" i="1" s="1"/>
  <c r="B49" i="1"/>
  <c r="B85" i="1" s="1"/>
  <c r="A49" i="1"/>
  <c r="A85" i="1" s="1"/>
  <c r="A103" i="1" s="1"/>
  <c r="AT48" i="1"/>
  <c r="AS48" i="1"/>
  <c r="AR48" i="1"/>
  <c r="AN48" i="1"/>
  <c r="AM48" i="1"/>
  <c r="AI48" i="1"/>
  <c r="AH48" i="1"/>
  <c r="AD48" i="1"/>
  <c r="AC48" i="1"/>
  <c r="Y48" i="1"/>
  <c r="X48" i="1"/>
  <c r="T48" i="1"/>
  <c r="S48" i="1"/>
  <c r="K48" i="1"/>
  <c r="J48" i="1"/>
  <c r="J84" i="1" s="1"/>
  <c r="H48" i="1"/>
  <c r="H84" i="1" s="1"/>
  <c r="G48" i="1"/>
  <c r="M48" i="1" s="1"/>
  <c r="M84" i="1" s="1"/>
  <c r="F48" i="1"/>
  <c r="F84" i="1" s="1"/>
  <c r="E48" i="1"/>
  <c r="E84" i="1" s="1"/>
  <c r="D48" i="1"/>
  <c r="D84" i="1" s="1"/>
  <c r="C48" i="1"/>
  <c r="B48" i="1"/>
  <c r="B84" i="1" s="1"/>
  <c r="A48" i="1"/>
  <c r="A84" i="1" s="1"/>
  <c r="A102" i="1" s="1"/>
  <c r="AT47" i="1"/>
  <c r="AR47" i="1"/>
  <c r="AS47" i="1" s="1"/>
  <c r="AM47" i="1"/>
  <c r="AN47" i="1" s="1"/>
  <c r="AH47" i="1"/>
  <c r="AI47" i="1" s="1"/>
  <c r="AC47" i="1"/>
  <c r="AD47" i="1" s="1"/>
  <c r="X47" i="1"/>
  <c r="Y47" i="1" s="1"/>
  <c r="S47" i="1"/>
  <c r="T47" i="1" s="1"/>
  <c r="M47" i="1"/>
  <c r="M83" i="1" s="1"/>
  <c r="I47" i="1"/>
  <c r="I83" i="1" s="1"/>
  <c r="G47" i="1"/>
  <c r="G83" i="1" s="1"/>
  <c r="F47" i="1"/>
  <c r="F83" i="1" s="1"/>
  <c r="E47" i="1"/>
  <c r="K47" i="1" s="1"/>
  <c r="K83" i="1" s="1"/>
  <c r="D47" i="1"/>
  <c r="D83" i="1" s="1"/>
  <c r="C47" i="1"/>
  <c r="C83" i="1" s="1"/>
  <c r="B47" i="1"/>
  <c r="B83" i="1" s="1"/>
  <c r="A47" i="1"/>
  <c r="A65" i="1" s="1"/>
  <c r="AT46" i="1"/>
  <c r="AS46" i="1"/>
  <c r="AR46" i="1"/>
  <c r="AN46" i="1"/>
  <c r="AM46" i="1"/>
  <c r="AI46" i="1"/>
  <c r="AH46" i="1"/>
  <c r="AD46" i="1"/>
  <c r="AC46" i="1"/>
  <c r="Y46" i="1"/>
  <c r="X46" i="1"/>
  <c r="T46" i="1"/>
  <c r="S46" i="1"/>
  <c r="M46" i="1"/>
  <c r="M82" i="1" s="1"/>
  <c r="L46" i="1"/>
  <c r="L82" i="1" s="1"/>
  <c r="J46" i="1"/>
  <c r="J82" i="1" s="1"/>
  <c r="H46" i="1"/>
  <c r="H82" i="1" s="1"/>
  <c r="G46" i="1"/>
  <c r="F46" i="1"/>
  <c r="F82" i="1" s="1"/>
  <c r="E46" i="1"/>
  <c r="E82" i="1" s="1"/>
  <c r="D46" i="1"/>
  <c r="D82" i="1" s="1"/>
  <c r="C46" i="1"/>
  <c r="C82" i="1" s="1"/>
  <c r="B46" i="1"/>
  <c r="B82" i="1" s="1"/>
  <c r="A46" i="1"/>
  <c r="A82" i="1" s="1"/>
  <c r="A100" i="1" s="1"/>
  <c r="K45" i="1"/>
  <c r="K81" i="1" s="1"/>
  <c r="J45" i="1"/>
  <c r="J81" i="1" s="1"/>
  <c r="H45" i="1"/>
  <c r="H81" i="1" s="1"/>
  <c r="G45" i="1"/>
  <c r="M45" i="1" s="1"/>
  <c r="M81" i="1" s="1"/>
  <c r="F45" i="1"/>
  <c r="F81" i="1" s="1"/>
  <c r="E45" i="1"/>
  <c r="D45" i="1"/>
  <c r="D81" i="1" s="1"/>
  <c r="C45" i="1"/>
  <c r="C81" i="1" s="1"/>
  <c r="B45" i="1"/>
  <c r="B81" i="1" s="1"/>
  <c r="A45" i="1"/>
  <c r="A81" i="1" s="1"/>
  <c r="A99" i="1" s="1"/>
  <c r="K44" i="1"/>
  <c r="K80" i="1" s="1"/>
  <c r="H44" i="1"/>
  <c r="H80" i="1" s="1"/>
  <c r="G44" i="1"/>
  <c r="G80" i="1" s="1"/>
  <c r="E44" i="1"/>
  <c r="E80" i="1" s="1"/>
  <c r="D44" i="1"/>
  <c r="J44" i="1" s="1"/>
  <c r="C44" i="1"/>
  <c r="C80" i="1" s="1"/>
  <c r="B44" i="1"/>
  <c r="M42" i="1"/>
  <c r="D42" i="1"/>
  <c r="A41" i="1"/>
  <c r="A77" i="1" s="1"/>
  <c r="F40" i="1"/>
  <c r="Q39" i="1"/>
  <c r="J39" i="1" s="1"/>
  <c r="O39" i="1"/>
  <c r="N39" i="1"/>
  <c r="J58" i="1" s="1"/>
  <c r="J94" i="1" s="1"/>
  <c r="M39" i="1"/>
  <c r="L39" i="1"/>
  <c r="P39" i="1" s="1"/>
  <c r="K39" i="1"/>
  <c r="Q38" i="1"/>
  <c r="J38" i="1" s="1"/>
  <c r="O38" i="1"/>
  <c r="N38" i="1"/>
  <c r="J75" i="1" s="1"/>
  <c r="J111" i="1" s="1"/>
  <c r="M38" i="1"/>
  <c r="L38" i="1"/>
  <c r="P38" i="1" s="1"/>
  <c r="K38" i="1"/>
  <c r="AB37" i="1"/>
  <c r="AA37" i="1"/>
  <c r="Z37" i="1"/>
  <c r="Y37" i="1"/>
  <c r="X37" i="1"/>
  <c r="W37" i="1"/>
  <c r="Q37" i="1"/>
  <c r="J37" i="1" s="1"/>
  <c r="O37" i="1"/>
  <c r="N37" i="1"/>
  <c r="M37" i="1"/>
  <c r="L37" i="1"/>
  <c r="P37" i="1" s="1"/>
  <c r="K37" i="1"/>
  <c r="AB36" i="1"/>
  <c r="AA36" i="1"/>
  <c r="Z36" i="1"/>
  <c r="Y36" i="1"/>
  <c r="X36" i="1"/>
  <c r="W36" i="1"/>
  <c r="Q36" i="1"/>
  <c r="J36" i="1" s="1"/>
  <c r="O36" i="1"/>
  <c r="N36" i="1"/>
  <c r="M36" i="1"/>
  <c r="L36" i="1"/>
  <c r="P36" i="1" s="1"/>
  <c r="K36" i="1"/>
  <c r="AB35" i="1"/>
  <c r="AA35" i="1"/>
  <c r="Z35" i="1"/>
  <c r="Y35" i="1"/>
  <c r="X35" i="1"/>
  <c r="W35" i="1"/>
  <c r="Q35" i="1"/>
  <c r="J35" i="1" s="1"/>
  <c r="O35" i="1"/>
  <c r="N35" i="1"/>
  <c r="M35" i="1"/>
  <c r="L35" i="1"/>
  <c r="P35" i="1" s="1"/>
  <c r="K35" i="1"/>
  <c r="AB34" i="1"/>
  <c r="AA34" i="1"/>
  <c r="Z34" i="1"/>
  <c r="Y34" i="1"/>
  <c r="X34" i="1"/>
  <c r="W34" i="1"/>
  <c r="Q34" i="1"/>
  <c r="J34" i="1" s="1"/>
  <c r="O34" i="1"/>
  <c r="N34" i="1"/>
  <c r="H53" i="1" s="1"/>
  <c r="H89" i="1" s="1"/>
  <c r="M34" i="1"/>
  <c r="L34" i="1"/>
  <c r="P34" i="1" s="1"/>
  <c r="K34" i="1"/>
  <c r="Q33" i="1"/>
  <c r="J33" i="1" s="1"/>
  <c r="O33" i="1"/>
  <c r="N33" i="1"/>
  <c r="M33" i="1"/>
  <c r="L33" i="1"/>
  <c r="P33" i="1" s="1"/>
  <c r="K33" i="1"/>
  <c r="AB32" i="1"/>
  <c r="AA32" i="1"/>
  <c r="Z32" i="1"/>
  <c r="Y32" i="1"/>
  <c r="X32" i="1"/>
  <c r="W32" i="1"/>
  <c r="Q32" i="1"/>
  <c r="J32" i="1" s="1"/>
  <c r="O32" i="1"/>
  <c r="N32" i="1"/>
  <c r="M32" i="1"/>
  <c r="L32" i="1"/>
  <c r="P32" i="1" s="1"/>
  <c r="K32" i="1"/>
  <c r="AB31" i="1"/>
  <c r="AA31" i="1"/>
  <c r="Z31" i="1"/>
  <c r="Y31" i="1"/>
  <c r="X31" i="1"/>
  <c r="W31" i="1"/>
  <c r="Q31" i="1"/>
  <c r="J31" i="1" s="1"/>
  <c r="O31" i="1"/>
  <c r="N31" i="1"/>
  <c r="I68" i="1" s="1"/>
  <c r="I104" i="1" s="1"/>
  <c r="M31" i="1"/>
  <c r="L31" i="1"/>
  <c r="P31" i="1" s="1"/>
  <c r="K31" i="1"/>
  <c r="AB30" i="1"/>
  <c r="AA30" i="1"/>
  <c r="Z30" i="1"/>
  <c r="Y30" i="1"/>
  <c r="X30" i="1"/>
  <c r="W30" i="1"/>
  <c r="Q30" i="1"/>
  <c r="J30" i="1" s="1"/>
  <c r="O30" i="1"/>
  <c r="N30" i="1"/>
  <c r="M30" i="1"/>
  <c r="L30" i="1"/>
  <c r="P30" i="1" s="1"/>
  <c r="K30" i="1"/>
  <c r="AB29" i="1"/>
  <c r="AA29" i="1"/>
  <c r="Z29" i="1"/>
  <c r="Y29" i="1"/>
  <c r="X29" i="1"/>
  <c r="W29" i="1"/>
  <c r="Q29" i="1"/>
  <c r="J29" i="1" s="1"/>
  <c r="O29" i="1"/>
  <c r="N29" i="1"/>
  <c r="I66" i="1" s="1"/>
  <c r="I102" i="1" s="1"/>
  <c r="M29" i="1"/>
  <c r="L29" i="1"/>
  <c r="P29" i="1" s="1"/>
  <c r="K29" i="1"/>
  <c r="Q28" i="1"/>
  <c r="J28" i="1" s="1"/>
  <c r="O28" i="1"/>
  <c r="N28" i="1"/>
  <c r="J47" i="1" s="1"/>
  <c r="J83" i="1" s="1"/>
  <c r="M28" i="1"/>
  <c r="L28" i="1"/>
  <c r="P28" i="1" s="1"/>
  <c r="K28" i="1"/>
  <c r="AB27" i="1"/>
  <c r="AA27" i="1"/>
  <c r="Z27" i="1"/>
  <c r="Y27" i="1"/>
  <c r="X27" i="1"/>
  <c r="W27" i="1"/>
  <c r="Q27" i="1"/>
  <c r="J27" i="1" s="1"/>
  <c r="O27" i="1"/>
  <c r="N27" i="1"/>
  <c r="M27" i="1"/>
  <c r="L27" i="1"/>
  <c r="P27" i="1" s="1"/>
  <c r="K27" i="1"/>
  <c r="AB26" i="1"/>
  <c r="AA26" i="1"/>
  <c r="Z26" i="1"/>
  <c r="Y26" i="1"/>
  <c r="X26" i="1"/>
  <c r="W26" i="1"/>
  <c r="Q26" i="1"/>
  <c r="J26" i="1" s="1"/>
  <c r="O26" i="1"/>
  <c r="N26" i="1"/>
  <c r="I63" i="1" s="1"/>
  <c r="I99" i="1" s="1"/>
  <c r="M26" i="1"/>
  <c r="L26" i="1"/>
  <c r="P26" i="1" s="1"/>
  <c r="K26" i="1"/>
  <c r="AB25" i="1"/>
  <c r="AA25" i="1"/>
  <c r="Z25" i="1"/>
  <c r="Y25" i="1"/>
  <c r="X25" i="1"/>
  <c r="W25" i="1"/>
  <c r="AB24" i="1"/>
  <c r="AA24" i="1"/>
  <c r="Z24" i="1"/>
  <c r="Y24" i="1"/>
  <c r="X24" i="1"/>
  <c r="W24" i="1"/>
  <c r="AB23" i="1"/>
  <c r="AA23" i="1"/>
  <c r="Z23" i="1"/>
  <c r="Y23" i="1"/>
  <c r="X23" i="1"/>
  <c r="W23" i="1"/>
  <c r="L23" i="1"/>
  <c r="J23" i="1"/>
  <c r="G22" i="1"/>
  <c r="F22" i="1"/>
  <c r="E22" i="1"/>
  <c r="D22" i="1"/>
  <c r="C22" i="1"/>
  <c r="B22" i="1"/>
  <c r="AB21" i="1"/>
  <c r="AA21" i="1"/>
  <c r="Z21" i="1"/>
  <c r="Y21" i="1"/>
  <c r="X21" i="1"/>
  <c r="W21" i="1"/>
  <c r="L21" i="1"/>
  <c r="J21" i="1"/>
  <c r="G21" i="1"/>
  <c r="F21" i="1"/>
  <c r="E21" i="1"/>
  <c r="D21" i="1"/>
  <c r="C21" i="1"/>
  <c r="B21" i="1"/>
  <c r="AB20" i="1"/>
  <c r="AA20" i="1"/>
  <c r="Z20" i="1"/>
  <c r="Y20" i="1"/>
  <c r="X20" i="1"/>
  <c r="W20" i="1"/>
  <c r="G20" i="1"/>
  <c r="F20" i="1"/>
  <c r="E20" i="1"/>
  <c r="D20" i="1"/>
  <c r="C20" i="1"/>
  <c r="B20" i="1"/>
  <c r="AB19" i="1"/>
  <c r="AA19" i="1"/>
  <c r="Z19" i="1"/>
  <c r="Y19" i="1"/>
  <c r="X19" i="1"/>
  <c r="W19" i="1"/>
  <c r="G19" i="1"/>
  <c r="F19" i="1"/>
  <c r="E19" i="1"/>
  <c r="D19" i="1"/>
  <c r="C19" i="1"/>
  <c r="B19" i="1"/>
  <c r="L18" i="1"/>
  <c r="G18" i="1"/>
  <c r="F18" i="1"/>
  <c r="E18" i="1"/>
  <c r="D18" i="1"/>
  <c r="C18" i="1"/>
  <c r="B18" i="1"/>
  <c r="L17" i="1"/>
  <c r="G17" i="1"/>
  <c r="F17" i="1"/>
  <c r="E17" i="1"/>
  <c r="D17" i="1"/>
  <c r="C17" i="1"/>
  <c r="B17" i="1"/>
  <c r="L16" i="1"/>
  <c r="D11" i="1"/>
  <c r="N30" i="6" l="1"/>
  <c r="O31" i="6"/>
  <c r="Q31" i="6"/>
  <c r="M31" i="6"/>
  <c r="H30" i="6" s="1"/>
  <c r="L36" i="5"/>
  <c r="L32" i="5"/>
  <c r="M32" i="5"/>
  <c r="P32" i="5" s="1"/>
  <c r="D12" i="4"/>
  <c r="E12" i="4" s="1"/>
  <c r="C53" i="4" s="1"/>
  <c r="B9" i="4"/>
  <c r="D7" i="4"/>
  <c r="E7" i="4" s="1"/>
  <c r="D48" i="4" s="1"/>
  <c r="M7" i="4"/>
  <c r="B13" i="4" s="1"/>
  <c r="D13" i="4" s="1"/>
  <c r="E13" i="4" s="1"/>
  <c r="C35" i="3"/>
  <c r="C33" i="3"/>
  <c r="C41" i="3"/>
  <c r="C31" i="3"/>
  <c r="C39" i="3"/>
  <c r="C29" i="3"/>
  <c r="C37" i="3"/>
  <c r="C30" i="3"/>
  <c r="C32" i="3"/>
  <c r="C34" i="3"/>
  <c r="C36" i="3"/>
  <c r="C38" i="3"/>
  <c r="J28" i="2"/>
  <c r="J36" i="2"/>
  <c r="J29" i="2"/>
  <c r="J33" i="2"/>
  <c r="E71" i="2"/>
  <c r="F71" i="2" s="1"/>
  <c r="J24" i="2"/>
  <c r="J26" i="2"/>
  <c r="J30" i="2"/>
  <c r="J34" i="2"/>
  <c r="E70" i="2"/>
  <c r="F70" i="2" s="1"/>
  <c r="M44" i="1"/>
  <c r="M80" i="1" s="1"/>
  <c r="J80" i="1"/>
  <c r="L54" i="1"/>
  <c r="L90" i="1" s="1"/>
  <c r="M67" i="1"/>
  <c r="M103" i="1" s="1"/>
  <c r="A83" i="1"/>
  <c r="A101" i="1" s="1"/>
  <c r="M8" i="4"/>
  <c r="C74" i="4"/>
  <c r="H64" i="1"/>
  <c r="H100" i="1" s="1"/>
  <c r="J64" i="1"/>
  <c r="J100" i="1" s="1"/>
  <c r="J67" i="1"/>
  <c r="J103" i="1" s="1"/>
  <c r="H67" i="1"/>
  <c r="H103" i="1" s="1"/>
  <c r="J69" i="1"/>
  <c r="J105" i="1" s="1"/>
  <c r="H69" i="1"/>
  <c r="H105" i="1" s="1"/>
  <c r="H72" i="1"/>
  <c r="H108" i="1" s="1"/>
  <c r="I54" i="1"/>
  <c r="I90" i="1" s="1"/>
  <c r="J72" i="1"/>
  <c r="J108" i="1" s="1"/>
  <c r="J74" i="1"/>
  <c r="J110" i="1" s="1"/>
  <c r="H74" i="1"/>
  <c r="H110" i="1" s="1"/>
  <c r="I56" i="1"/>
  <c r="I92" i="1" s="1"/>
  <c r="I46" i="1"/>
  <c r="I82" i="1" s="1"/>
  <c r="H49" i="1"/>
  <c r="H85" i="1" s="1"/>
  <c r="I50" i="1"/>
  <c r="I86" i="1" s="1"/>
  <c r="J51" i="1"/>
  <c r="J87" i="1" s="1"/>
  <c r="N54" i="1"/>
  <c r="N90" i="1" s="1"/>
  <c r="L56" i="1"/>
  <c r="L92" i="1" s="1"/>
  <c r="M57" i="1"/>
  <c r="M93" i="1" s="1"/>
  <c r="C98" i="1"/>
  <c r="F62" i="1"/>
  <c r="F98" i="1" s="1"/>
  <c r="I62" i="1"/>
  <c r="A64" i="1"/>
  <c r="K64" i="1"/>
  <c r="K100" i="1" s="1"/>
  <c r="M65" i="1"/>
  <c r="M101" i="1" s="1"/>
  <c r="I67" i="1"/>
  <c r="I103" i="1" s="1"/>
  <c r="A69" i="1"/>
  <c r="K69" i="1"/>
  <c r="K105" i="1" s="1"/>
  <c r="A70" i="1"/>
  <c r="K70" i="1"/>
  <c r="K106" i="1" s="1"/>
  <c r="M71" i="1"/>
  <c r="M107" i="1" s="1"/>
  <c r="L73" i="1"/>
  <c r="L109" i="1" s="1"/>
  <c r="M74" i="1"/>
  <c r="M110" i="1" s="1"/>
  <c r="M76" i="1"/>
  <c r="M112" i="1" s="1"/>
  <c r="D80" i="1"/>
  <c r="G81" i="1"/>
  <c r="G85" i="1"/>
  <c r="G89" i="1"/>
  <c r="G99" i="1"/>
  <c r="E101" i="1"/>
  <c r="G104" i="1"/>
  <c r="G71" i="2"/>
  <c r="I71" i="2" s="1"/>
  <c r="O32" i="5"/>
  <c r="H32" i="5" s="1"/>
  <c r="N48" i="1"/>
  <c r="N84" i="1" s="1"/>
  <c r="I44" i="1"/>
  <c r="L58" i="1"/>
  <c r="L94" i="1" s="1"/>
  <c r="A67" i="1"/>
  <c r="K67" i="1"/>
  <c r="K103" i="1" s="1"/>
  <c r="K68" i="1"/>
  <c r="K104" i="1" s="1"/>
  <c r="I72" i="1"/>
  <c r="I108" i="1" s="1"/>
  <c r="I74" i="1"/>
  <c r="I110" i="1" s="1"/>
  <c r="E83" i="1"/>
  <c r="G84" i="1"/>
  <c r="E87" i="1"/>
  <c r="G88" i="1"/>
  <c r="E91" i="1"/>
  <c r="A93" i="1"/>
  <c r="A111" i="1" s="1"/>
  <c r="G70" i="2"/>
  <c r="I70" i="2" s="1"/>
  <c r="M53" i="4"/>
  <c r="I53" i="4"/>
  <c r="K53" i="4"/>
  <c r="K74" i="4" s="1"/>
  <c r="F53" i="4"/>
  <c r="F74" i="4" s="1"/>
  <c r="J53" i="4"/>
  <c r="E53" i="4"/>
  <c r="N53" i="4"/>
  <c r="H53" i="4"/>
  <c r="H74" i="4" s="1"/>
  <c r="D53" i="4"/>
  <c r="L53" i="4"/>
  <c r="G53" i="4"/>
  <c r="G74" i="4" s="1"/>
  <c r="N45" i="1"/>
  <c r="N81" i="1" s="1"/>
  <c r="N52" i="1"/>
  <c r="N88" i="1" s="1"/>
  <c r="K57" i="1"/>
  <c r="K93" i="1" s="1"/>
  <c r="K71" i="1"/>
  <c r="K107" i="1" s="1"/>
  <c r="K76" i="1"/>
  <c r="K112" i="1" s="1"/>
  <c r="G72" i="2"/>
  <c r="I72" i="2" s="1"/>
  <c r="L45" i="1"/>
  <c r="L81" i="1" s="1"/>
  <c r="N46" i="1"/>
  <c r="N82" i="1" s="1"/>
  <c r="L48" i="1"/>
  <c r="L84" i="1" s="1"/>
  <c r="N50" i="1"/>
  <c r="N86" i="1" s="1"/>
  <c r="L52" i="1"/>
  <c r="L88" i="1" s="1"/>
  <c r="J63" i="1"/>
  <c r="J99" i="1" s="1"/>
  <c r="H63" i="1"/>
  <c r="H99" i="1" s="1"/>
  <c r="J65" i="1"/>
  <c r="J101" i="1" s="1"/>
  <c r="H65" i="1"/>
  <c r="H101" i="1" s="1"/>
  <c r="H66" i="1"/>
  <c r="H102" i="1" s="1"/>
  <c r="J66" i="1"/>
  <c r="J102" i="1" s="1"/>
  <c r="H68" i="1"/>
  <c r="H104" i="1" s="1"/>
  <c r="J68" i="1"/>
  <c r="J104" i="1" s="1"/>
  <c r="H70" i="1"/>
  <c r="H106" i="1" s="1"/>
  <c r="J70" i="1"/>
  <c r="J106" i="1" s="1"/>
  <c r="J71" i="1"/>
  <c r="J107" i="1" s="1"/>
  <c r="H71" i="1"/>
  <c r="H107" i="1" s="1"/>
  <c r="J55" i="1"/>
  <c r="J91" i="1" s="1"/>
  <c r="I73" i="1"/>
  <c r="I109" i="1" s="1"/>
  <c r="H55" i="1"/>
  <c r="H91" i="1" s="1"/>
  <c r="I75" i="1"/>
  <c r="I111" i="1" s="1"/>
  <c r="H57" i="1"/>
  <c r="H93" i="1" s="1"/>
  <c r="J57" i="1"/>
  <c r="J93" i="1" s="1"/>
  <c r="H76" i="1"/>
  <c r="H112" i="1" s="1"/>
  <c r="I58" i="1"/>
  <c r="I94" i="1" s="1"/>
  <c r="J76" i="1"/>
  <c r="J112" i="1" s="1"/>
  <c r="F44" i="1"/>
  <c r="F80" i="1" s="1"/>
  <c r="I45" i="1"/>
  <c r="I81" i="1" s="1"/>
  <c r="K46" i="1"/>
  <c r="K82" i="1" s="1"/>
  <c r="H47" i="1"/>
  <c r="H83" i="1" s="1"/>
  <c r="L47" i="1"/>
  <c r="L83" i="1" s="1"/>
  <c r="I48" i="1"/>
  <c r="I84" i="1" s="1"/>
  <c r="J49" i="1"/>
  <c r="J85" i="1" s="1"/>
  <c r="N49" i="1"/>
  <c r="N85" i="1" s="1"/>
  <c r="K50" i="1"/>
  <c r="K86" i="1" s="1"/>
  <c r="H51" i="1"/>
  <c r="H87" i="1" s="1"/>
  <c r="L51" i="1"/>
  <c r="L87" i="1" s="1"/>
  <c r="I52" i="1"/>
  <c r="I88" i="1" s="1"/>
  <c r="J53" i="1"/>
  <c r="J89" i="1" s="1"/>
  <c r="N53" i="1"/>
  <c r="N89" i="1" s="1"/>
  <c r="J54" i="1"/>
  <c r="J90" i="1" s="1"/>
  <c r="H56" i="1"/>
  <c r="I57" i="1"/>
  <c r="I93" i="1" s="1"/>
  <c r="N58" i="1"/>
  <c r="N94" i="1" s="1"/>
  <c r="K62" i="1"/>
  <c r="K98" i="1" s="1"/>
  <c r="I65" i="1"/>
  <c r="I101" i="1" s="1"/>
  <c r="A66" i="1"/>
  <c r="K66" i="1"/>
  <c r="K102" i="1" s="1"/>
  <c r="M69" i="1"/>
  <c r="M105" i="1" s="1"/>
  <c r="I71" i="1"/>
  <c r="I107" i="1" s="1"/>
  <c r="K72" i="1"/>
  <c r="K108" i="1" s="1"/>
  <c r="H73" i="1"/>
  <c r="H109" i="1" s="1"/>
  <c r="L75" i="1"/>
  <c r="L111" i="1" s="1"/>
  <c r="I76" i="1"/>
  <c r="I112" i="1" s="1"/>
  <c r="B40" i="3"/>
  <c r="D40" i="3" s="1"/>
  <c r="B38" i="3"/>
  <c r="D38" i="3" s="1"/>
  <c r="B36" i="3"/>
  <c r="D36" i="3" s="1"/>
  <c r="B34" i="3"/>
  <c r="D34" i="3" s="1"/>
  <c r="B32" i="3"/>
  <c r="D32" i="3" s="1"/>
  <c r="B30" i="3"/>
  <c r="D30" i="3" s="1"/>
  <c r="B41" i="3"/>
  <c r="D41" i="3" s="1"/>
  <c r="B39" i="3"/>
  <c r="D39" i="3" s="1"/>
  <c r="B37" i="3"/>
  <c r="D37" i="3" s="1"/>
  <c r="B35" i="3"/>
  <c r="D35" i="3" s="1"/>
  <c r="B33" i="3"/>
  <c r="D33" i="3" s="1"/>
  <c r="B31" i="3"/>
  <c r="D31" i="3" s="1"/>
  <c r="B29" i="3"/>
  <c r="D29" i="3" s="1"/>
  <c r="K48" i="4"/>
  <c r="G48" i="4"/>
  <c r="G69" i="4" s="1"/>
  <c r="C48" i="4"/>
  <c r="C69" i="4" s="1"/>
  <c r="N48" i="4"/>
  <c r="J48" i="4"/>
  <c r="F48" i="4"/>
  <c r="F69" i="4" s="1"/>
  <c r="M48" i="4"/>
  <c r="I48" i="4"/>
  <c r="E48" i="4"/>
  <c r="E69" i="4" s="1"/>
  <c r="L48" i="4"/>
  <c r="L69" i="4" s="1"/>
  <c r="H48" i="4"/>
  <c r="L55" i="1"/>
  <c r="L91" i="1" s="1"/>
  <c r="N57" i="1"/>
  <c r="N93" i="1" s="1"/>
  <c r="L63" i="1"/>
  <c r="L99" i="1" s="1"/>
  <c r="L65" i="1"/>
  <c r="L101" i="1" s="1"/>
  <c r="L71" i="1"/>
  <c r="L107" i="1" s="1"/>
  <c r="B91" i="1"/>
  <c r="F93" i="1"/>
  <c r="J25" i="2"/>
  <c r="L6" i="4"/>
  <c r="D69" i="4"/>
  <c r="D74" i="4"/>
  <c r="L74" i="4"/>
  <c r="L34" i="5"/>
  <c r="L10" i="4"/>
  <c r="E74" i="4"/>
  <c r="I74" i="4"/>
  <c r="M74" i="4"/>
  <c r="H69" i="4"/>
  <c r="M69" i="4"/>
  <c r="F7" i="10"/>
  <c r="E7" i="10"/>
  <c r="E5" i="10"/>
  <c r="L68" i="1"/>
  <c r="L104" i="1" s="1"/>
  <c r="L70" i="1"/>
  <c r="L106" i="1" s="1"/>
  <c r="L72" i="1"/>
  <c r="L108" i="1" s="1"/>
  <c r="K73" i="1"/>
  <c r="K109" i="1" s="1"/>
  <c r="M75" i="1"/>
  <c r="M111" i="1" s="1"/>
  <c r="L76" i="1"/>
  <c r="L112" i="1" s="1"/>
  <c r="J50" i="2"/>
  <c r="J48" i="2"/>
  <c r="J46" i="2"/>
  <c r="J44" i="2"/>
  <c r="J42" i="2"/>
  <c r="J51" i="2"/>
  <c r="L36" i="2" s="1"/>
  <c r="M36" i="2" s="1"/>
  <c r="N36" i="2" s="1"/>
  <c r="J49" i="2"/>
  <c r="J47" i="2"/>
  <c r="J45" i="2"/>
  <c r="J43" i="2"/>
  <c r="J41" i="2"/>
  <c r="G26" i="2"/>
  <c r="H26" i="2" s="1"/>
  <c r="I26" i="2" s="1"/>
  <c r="J39" i="2"/>
  <c r="D9" i="4"/>
  <c r="E9" i="4" s="1"/>
  <c r="J69" i="4"/>
  <c r="J74" i="4"/>
  <c r="N74" i="4"/>
  <c r="J35" i="2"/>
  <c r="L35" i="2" s="1"/>
  <c r="M35" i="2" s="1"/>
  <c r="N35" i="2" s="1"/>
  <c r="J55" i="2"/>
  <c r="J57" i="2"/>
  <c r="J59" i="2"/>
  <c r="L29" i="2" s="1"/>
  <c r="M29" i="2" s="1"/>
  <c r="N29" i="2" s="1"/>
  <c r="J61" i="2"/>
  <c r="L31" i="2" s="1"/>
  <c r="M31" i="2" s="1"/>
  <c r="N31" i="2" s="1"/>
  <c r="J63" i="2"/>
  <c r="J65" i="2"/>
  <c r="B8" i="4"/>
  <c r="D8" i="4" s="1"/>
  <c r="E8" i="4" s="1"/>
  <c r="D25" i="6"/>
  <c r="F25" i="6" s="1"/>
  <c r="L26" i="6" s="1"/>
  <c r="D27" i="6"/>
  <c r="F27" i="6" s="1"/>
  <c r="L28" i="6" s="1"/>
  <c r="D23" i="6"/>
  <c r="F23" i="6" s="1"/>
  <c r="L24" i="6" s="1"/>
  <c r="D28" i="6"/>
  <c r="F28" i="6" s="1"/>
  <c r="L29" i="6" s="1"/>
  <c r="D24" i="6"/>
  <c r="F24" i="6" s="1"/>
  <c r="L25" i="6" s="1"/>
  <c r="D21" i="6"/>
  <c r="F21" i="6" s="1"/>
  <c r="L22" i="6" s="1"/>
  <c r="D26" i="6"/>
  <c r="F26" i="6" s="1"/>
  <c r="L27" i="6" s="1"/>
  <c r="E12" i="10"/>
  <c r="F12" i="10"/>
  <c r="M36" i="5"/>
  <c r="R23" i="6"/>
  <c r="N23" i="6"/>
  <c r="P23" i="6"/>
  <c r="O23" i="6"/>
  <c r="M23" i="6"/>
  <c r="F11" i="10"/>
  <c r="E11" i="10"/>
  <c r="E8" i="10"/>
  <c r="F8" i="10"/>
  <c r="J54" i="2"/>
  <c r="J56" i="2"/>
  <c r="J58" i="2"/>
  <c r="J60" i="2"/>
  <c r="J62" i="2"/>
  <c r="J64" i="2"/>
  <c r="M6" i="4"/>
  <c r="B14" i="4" s="1"/>
  <c r="D14" i="4" s="1"/>
  <c r="E14" i="4" s="1"/>
  <c r="L42" i="5"/>
  <c r="M42" i="5" s="1"/>
  <c r="L44" i="5"/>
  <c r="M44" i="5" s="1"/>
  <c r="L40" i="5"/>
  <c r="M40" i="5" s="1"/>
  <c r="L43" i="5"/>
  <c r="L35" i="5"/>
  <c r="M35" i="5" s="1"/>
  <c r="L31" i="5"/>
  <c r="M31" i="5" s="1"/>
  <c r="L39" i="5"/>
  <c r="L37" i="5"/>
  <c r="M37" i="5" s="1"/>
  <c r="L33" i="5"/>
  <c r="M33" i="5" s="1"/>
  <c r="L29" i="5"/>
  <c r="M29" i="5" s="1"/>
  <c r="L30" i="5"/>
  <c r="M30" i="5" s="1"/>
  <c r="M34" i="5"/>
  <c r="L38" i="5"/>
  <c r="M38" i="5" s="1"/>
  <c r="L41" i="5"/>
  <c r="M41" i="5" s="1"/>
  <c r="Q23" i="6"/>
  <c r="M43" i="5"/>
  <c r="O30" i="6"/>
  <c r="Q30" i="6"/>
  <c r="M30" i="6"/>
  <c r="H29" i="6" s="1"/>
  <c r="B12" i="13"/>
  <c r="D11" i="2" s="1"/>
  <c r="B9" i="10"/>
  <c r="B10" i="10"/>
  <c r="M39" i="5"/>
  <c r="P30" i="6"/>
  <c r="B6" i="10"/>
  <c r="N31" i="6"/>
  <c r="R31" i="6"/>
  <c r="N32" i="5" l="1"/>
  <c r="L28" i="2"/>
  <c r="M28" i="2" s="1"/>
  <c r="N28" i="2" s="1"/>
  <c r="L33" i="2"/>
  <c r="M33" i="2" s="1"/>
  <c r="N33" i="2" s="1"/>
  <c r="L24" i="2"/>
  <c r="M24" i="2" s="1"/>
  <c r="N24" i="2" s="1"/>
  <c r="L30" i="2"/>
  <c r="M30" i="2" s="1"/>
  <c r="N30" i="2" s="1"/>
  <c r="L27" i="2"/>
  <c r="M27" i="2" s="1"/>
  <c r="N27" i="2" s="1"/>
  <c r="L32" i="2"/>
  <c r="M32" i="2" s="1"/>
  <c r="N32" i="2" s="1"/>
  <c r="L26" i="2"/>
  <c r="M26" i="2" s="1"/>
  <c r="N26" i="2" s="1"/>
  <c r="L34" i="2"/>
  <c r="M34" i="2" s="1"/>
  <c r="N34" i="2" s="1"/>
  <c r="O38" i="5"/>
  <c r="H38" i="5" s="1"/>
  <c r="P38" i="5"/>
  <c r="N38" i="5"/>
  <c r="O41" i="5"/>
  <c r="H41" i="5" s="1"/>
  <c r="N41" i="5"/>
  <c r="P41" i="5"/>
  <c r="O34" i="5"/>
  <c r="H34" i="5" s="1"/>
  <c r="P34" i="5"/>
  <c r="N34" i="5"/>
  <c r="K55" i="4"/>
  <c r="K76" i="4" s="1"/>
  <c r="G55" i="4"/>
  <c r="G76" i="4" s="1"/>
  <c r="C55" i="4"/>
  <c r="C76" i="4" s="1"/>
  <c r="M55" i="4"/>
  <c r="M76" i="4" s="1"/>
  <c r="I55" i="4"/>
  <c r="I76" i="4" s="1"/>
  <c r="E55" i="4"/>
  <c r="E76" i="4" s="1"/>
  <c r="N55" i="4"/>
  <c r="N76" i="4" s="1"/>
  <c r="F55" i="4"/>
  <c r="F76" i="4" s="1"/>
  <c r="L55" i="4"/>
  <c r="L76" i="4" s="1"/>
  <c r="D55" i="4"/>
  <c r="D76" i="4" s="1"/>
  <c r="J55" i="4"/>
  <c r="J76" i="4" s="1"/>
  <c r="H55" i="4"/>
  <c r="H76" i="4" s="1"/>
  <c r="O36" i="5"/>
  <c r="H36" i="5" s="1"/>
  <c r="P36" i="5"/>
  <c r="N36" i="5"/>
  <c r="F29" i="3"/>
  <c r="E29" i="3"/>
  <c r="F32" i="3"/>
  <c r="E32" i="3"/>
  <c r="I80" i="1"/>
  <c r="L44" i="1"/>
  <c r="L80" i="1" s="1"/>
  <c r="M10" i="4"/>
  <c r="B10" i="4"/>
  <c r="D10" i="4" s="1"/>
  <c r="E10" i="4" s="1"/>
  <c r="B11" i="4"/>
  <c r="D11" i="4" s="1"/>
  <c r="E11" i="4" s="1"/>
  <c r="M11" i="4"/>
  <c r="O39" i="5"/>
  <c r="H39" i="5" s="1"/>
  <c r="P39" i="5"/>
  <c r="N39" i="5"/>
  <c r="N40" i="5"/>
  <c r="P40" i="5"/>
  <c r="O40" i="5"/>
  <c r="H40" i="5" s="1"/>
  <c r="P25" i="6"/>
  <c r="R25" i="6"/>
  <c r="N25" i="6"/>
  <c r="Q25" i="6"/>
  <c r="M25" i="6"/>
  <c r="O25" i="6"/>
  <c r="Q26" i="6"/>
  <c r="M26" i="6"/>
  <c r="O26" i="6"/>
  <c r="N26" i="6"/>
  <c r="R26" i="6"/>
  <c r="P26" i="6"/>
  <c r="N49" i="4"/>
  <c r="N70" i="4" s="1"/>
  <c r="J49" i="4"/>
  <c r="J70" i="4" s="1"/>
  <c r="F49" i="4"/>
  <c r="F70" i="4" s="1"/>
  <c r="M49" i="4"/>
  <c r="M70" i="4" s="1"/>
  <c r="I49" i="4"/>
  <c r="I70" i="4" s="1"/>
  <c r="E49" i="4"/>
  <c r="E70" i="4" s="1"/>
  <c r="L49" i="4"/>
  <c r="L70" i="4" s="1"/>
  <c r="H49" i="4"/>
  <c r="H70" i="4" s="1"/>
  <c r="D49" i="4"/>
  <c r="K49" i="4"/>
  <c r="K70" i="4" s="1"/>
  <c r="G49" i="4"/>
  <c r="G70" i="4" s="1"/>
  <c r="C49" i="4"/>
  <c r="C70" i="4" s="1"/>
  <c r="L25" i="2"/>
  <c r="M25" i="2" s="1"/>
  <c r="N25" i="2" s="1"/>
  <c r="F31" i="3"/>
  <c r="E31" i="3"/>
  <c r="F39" i="3"/>
  <c r="E39" i="3"/>
  <c r="F34" i="3"/>
  <c r="E34" i="3"/>
  <c r="F80" i="2"/>
  <c r="G80" i="2" s="1"/>
  <c r="I80" i="2" s="1"/>
  <c r="N55" i="1"/>
  <c r="N91" i="1" s="1"/>
  <c r="I98" i="1"/>
  <c r="L62" i="1"/>
  <c r="L98" i="1" s="1"/>
  <c r="O43" i="5"/>
  <c r="H43" i="5" s="1"/>
  <c r="P43" i="5"/>
  <c r="N43" i="5"/>
  <c r="Q22" i="6"/>
  <c r="M22" i="6"/>
  <c r="O22" i="6"/>
  <c r="R22" i="6"/>
  <c r="N22" i="6"/>
  <c r="P22" i="6"/>
  <c r="F37" i="3"/>
  <c r="E37" i="3"/>
  <c r="P31" i="5"/>
  <c r="N31" i="5"/>
  <c r="O31" i="5"/>
  <c r="H31" i="5" s="1"/>
  <c r="F41" i="3"/>
  <c r="E41" i="3"/>
  <c r="F36" i="3"/>
  <c r="E36" i="3"/>
  <c r="N37" i="5"/>
  <c r="P37" i="5"/>
  <c r="O37" i="5"/>
  <c r="H37" i="5" s="1"/>
  <c r="O28" i="6"/>
  <c r="Q28" i="6"/>
  <c r="M28" i="6"/>
  <c r="P28" i="6"/>
  <c r="R28" i="6"/>
  <c r="N28" i="6"/>
  <c r="O30" i="5"/>
  <c r="H30" i="5" s="1"/>
  <c r="P30" i="5"/>
  <c r="N30" i="5"/>
  <c r="F40" i="3"/>
  <c r="E40" i="3"/>
  <c r="E10" i="10"/>
  <c r="F10" i="10"/>
  <c r="N29" i="5"/>
  <c r="P29" i="5"/>
  <c r="O29" i="5"/>
  <c r="H29" i="5" s="1"/>
  <c r="N44" i="5"/>
  <c r="P44" i="5"/>
  <c r="O44" i="5"/>
  <c r="H44" i="5" s="1"/>
  <c r="O29" i="6"/>
  <c r="Q29" i="6"/>
  <c r="M29" i="6"/>
  <c r="P29" i="6"/>
  <c r="R29" i="6"/>
  <c r="N29" i="6"/>
  <c r="F33" i="3"/>
  <c r="E33" i="3"/>
  <c r="E6" i="10"/>
  <c r="F6" i="10"/>
  <c r="F9" i="10"/>
  <c r="E9" i="10"/>
  <c r="N33" i="5"/>
  <c r="P33" i="5"/>
  <c r="O33" i="5"/>
  <c r="H33" i="5" s="1"/>
  <c r="P35" i="5"/>
  <c r="N35" i="5"/>
  <c r="O35" i="5"/>
  <c r="H35" i="5" s="1"/>
  <c r="P42" i="5"/>
  <c r="N42" i="5"/>
  <c r="O42" i="5"/>
  <c r="H42" i="5" s="1"/>
  <c r="H22" i="6"/>
  <c r="G22" i="6"/>
  <c r="R27" i="6"/>
  <c r="N27" i="6"/>
  <c r="P27" i="6"/>
  <c r="O27" i="6"/>
  <c r="Q27" i="6"/>
  <c r="M27" i="6"/>
  <c r="O24" i="6"/>
  <c r="Q24" i="6"/>
  <c r="M24" i="6"/>
  <c r="P24" i="6"/>
  <c r="R24" i="6"/>
  <c r="N24" i="6"/>
  <c r="N69" i="4"/>
  <c r="M50" i="4"/>
  <c r="M71" i="4" s="1"/>
  <c r="I50" i="4"/>
  <c r="I71" i="4" s="1"/>
  <c r="E50" i="4"/>
  <c r="E71" i="4" s="1"/>
  <c r="L50" i="4"/>
  <c r="L71" i="4" s="1"/>
  <c r="H50" i="4"/>
  <c r="H71" i="4" s="1"/>
  <c r="D50" i="4"/>
  <c r="D71" i="4" s="1"/>
  <c r="K50" i="4"/>
  <c r="K71" i="4" s="1"/>
  <c r="G50" i="4"/>
  <c r="G71" i="4" s="1"/>
  <c r="C50" i="4"/>
  <c r="C71" i="4" s="1"/>
  <c r="N50" i="4"/>
  <c r="N71" i="4" s="1"/>
  <c r="J50" i="4"/>
  <c r="J71" i="4" s="1"/>
  <c r="F50" i="4"/>
  <c r="F71" i="4" s="1"/>
  <c r="I69" i="4"/>
  <c r="F35" i="3"/>
  <c r="E35" i="3"/>
  <c r="F30" i="3"/>
  <c r="E30" i="3"/>
  <c r="F38" i="3"/>
  <c r="E38" i="3"/>
  <c r="H92" i="1"/>
  <c r="N56" i="1"/>
  <c r="N92" i="1" s="1"/>
  <c r="F82" i="2"/>
  <c r="G82" i="2" s="1"/>
  <c r="I82" i="2" s="1"/>
  <c r="F81" i="2"/>
  <c r="G81" i="2" s="1"/>
  <c r="I81" i="2" s="1"/>
  <c r="N51" i="1"/>
  <c r="N87" i="1" s="1"/>
  <c r="N47" i="1"/>
  <c r="N83" i="1" s="1"/>
  <c r="K69" i="4"/>
  <c r="L54" i="4"/>
  <c r="L75" i="4" s="1"/>
  <c r="H54" i="4"/>
  <c r="H75" i="4" s="1"/>
  <c r="D54" i="4"/>
  <c r="D75" i="4" s="1"/>
  <c r="N54" i="4"/>
  <c r="N75" i="4" s="1"/>
  <c r="J54" i="4"/>
  <c r="J75" i="4" s="1"/>
  <c r="F54" i="4"/>
  <c r="F75" i="4" s="1"/>
  <c r="K54" i="4"/>
  <c r="K75" i="4" s="1"/>
  <c r="C54" i="4"/>
  <c r="C75" i="4" s="1"/>
  <c r="I54" i="4"/>
  <c r="I75" i="4" s="1"/>
  <c r="G54" i="4"/>
  <c r="G75" i="4" s="1"/>
  <c r="M54" i="4"/>
  <c r="M75" i="4" s="1"/>
  <c r="E54" i="4"/>
  <c r="E75" i="4" s="1"/>
  <c r="H26" i="6" l="1"/>
  <c r="G26" i="6"/>
  <c r="G25" i="6"/>
  <c r="H25" i="6"/>
  <c r="L51" i="4"/>
  <c r="L72" i="4" s="1"/>
  <c r="H51" i="4"/>
  <c r="H72" i="4" s="1"/>
  <c r="D51" i="4"/>
  <c r="D72" i="4" s="1"/>
  <c r="K51" i="4"/>
  <c r="G51" i="4"/>
  <c r="C51" i="4"/>
  <c r="C72" i="4" s="1"/>
  <c r="N51" i="4"/>
  <c r="N72" i="4" s="1"/>
  <c r="J51" i="4"/>
  <c r="F51" i="4"/>
  <c r="F72" i="4" s="1"/>
  <c r="M51" i="4"/>
  <c r="M72" i="4" s="1"/>
  <c r="I51" i="4"/>
  <c r="I72" i="4" s="1"/>
  <c r="E51" i="4"/>
  <c r="K52" i="4"/>
  <c r="K73" i="4" s="1"/>
  <c r="G52" i="4"/>
  <c r="G73" i="4" s="1"/>
  <c r="C52" i="4"/>
  <c r="C73" i="4" s="1"/>
  <c r="N52" i="4"/>
  <c r="N73" i="4" s="1"/>
  <c r="J52" i="4"/>
  <c r="J73" i="4" s="1"/>
  <c r="F52" i="4"/>
  <c r="F73" i="4" s="1"/>
  <c r="M52" i="4"/>
  <c r="M73" i="4" s="1"/>
  <c r="I52" i="4"/>
  <c r="I73" i="4" s="1"/>
  <c r="E52" i="4"/>
  <c r="E73" i="4" s="1"/>
  <c r="L52" i="4"/>
  <c r="L73" i="4" s="1"/>
  <c r="H52" i="4"/>
  <c r="H73" i="4" s="1"/>
  <c r="D52" i="4"/>
  <c r="D73" i="4" s="1"/>
  <c r="G23" i="6"/>
  <c r="H23" i="6"/>
  <c r="H28" i="6"/>
  <c r="G28" i="6"/>
  <c r="H21" i="6"/>
  <c r="G21" i="6"/>
  <c r="M47" i="4"/>
  <c r="L60" i="4" s="1"/>
  <c r="L62" i="4" s="1"/>
  <c r="L63" i="4" s="1"/>
  <c r="L64" i="4" s="1"/>
  <c r="D70" i="4"/>
  <c r="H24" i="6"/>
  <c r="G24" i="6"/>
  <c r="G27" i="6"/>
  <c r="H27" i="6"/>
  <c r="H47" i="4" l="1"/>
  <c r="G60" i="4" s="1"/>
  <c r="G62" i="4" s="1"/>
  <c r="G63" i="4" s="1"/>
  <c r="G64" i="4" s="1"/>
  <c r="N47" i="4"/>
  <c r="M60" i="4" s="1"/>
  <c r="M62" i="4" s="1"/>
  <c r="M63" i="4" s="1"/>
  <c r="M64" i="4" s="1"/>
  <c r="D47" i="4"/>
  <c r="C60" i="4" s="1"/>
  <c r="C62" i="4" s="1"/>
  <c r="C63" i="4" s="1"/>
  <c r="C64" i="4" s="1"/>
  <c r="C47" i="4"/>
  <c r="B60" i="4" s="1"/>
  <c r="B62" i="4" s="1"/>
  <c r="B63" i="4" s="1"/>
  <c r="B64" i="4" s="1"/>
  <c r="I47" i="4"/>
  <c r="H60" i="4" s="1"/>
  <c r="H62" i="4" s="1"/>
  <c r="H63" i="4" s="1"/>
  <c r="H64" i="4" s="1"/>
  <c r="G72" i="4"/>
  <c r="G47" i="4"/>
  <c r="F60" i="4" s="1"/>
  <c r="F62" i="4" s="1"/>
  <c r="F63" i="4" s="1"/>
  <c r="F64" i="4" s="1"/>
  <c r="F47" i="4"/>
  <c r="E60" i="4" s="1"/>
  <c r="E62" i="4" s="1"/>
  <c r="E63" i="4" s="1"/>
  <c r="E64" i="4" s="1"/>
  <c r="L47" i="4"/>
  <c r="K60" i="4" s="1"/>
  <c r="K62" i="4" s="1"/>
  <c r="K63" i="4" s="1"/>
  <c r="K64" i="4" s="1"/>
  <c r="E72" i="4"/>
  <c r="E47" i="4"/>
  <c r="D60" i="4" s="1"/>
  <c r="D62" i="4" s="1"/>
  <c r="D63" i="4" s="1"/>
  <c r="D64" i="4" s="1"/>
  <c r="J72" i="4"/>
  <c r="J47" i="4"/>
  <c r="I60" i="4" s="1"/>
  <c r="I62" i="4" s="1"/>
  <c r="I63" i="4" s="1"/>
  <c r="I64" i="4" s="1"/>
  <c r="K72" i="4"/>
  <c r="K47" i="4"/>
  <c r="J60" i="4" s="1"/>
  <c r="J62" i="4" s="1"/>
  <c r="J63" i="4" s="1"/>
  <c r="J6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K24" authorId="0" shapeId="0" xr:uid="{00000000-0006-0000-00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Dose limits per NCRP 116 recommendations.</t>
        </r>
      </text>
    </comment>
    <comment ref="F25" authorId="0" shapeId="0" xr:uid="{00000000-0006-0000-00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Barrier use factor.  Leave blank for secondary barriers.</t>
        </r>
      </text>
    </comment>
    <comment ref="G25" authorId="0" shapeId="0" xr:uid="{00000000-0006-0000-00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Occupancy factor</t>
        </r>
      </text>
    </comment>
    <comment ref="H25" authorId="0" shapeId="0" xr:uid="{00000000-0006-0000-00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K43" authorId="0" shapeId="0" xr:uid="{00000000-0006-0000-00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8"/>
            <color rgb="FF000000"/>
            <rFont val="Tahoma"/>
            <family val="2"/>
            <charset val="1"/>
          </rPr>
          <t>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E6" authorId="0" shapeId="0" xr:uid="{00000000-0006-0000-01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 xr:uid="{00000000-0006-0000-01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0" shapeId="0" xr:uid="{00000000-0006-0000-01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Forward/Back scatter (mGy/pt)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G10" authorId="0" shapeId="0" xr:uid="{00000000-0006-0000-02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10" authorId="0" shapeId="0" xr:uid="{00000000-0006-0000-0200-000006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C11" authorId="0" shapeId="0" xr:uid="{00000000-0006-0000-02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Dose limits per NCRP 116 recommendations.</t>
        </r>
      </text>
    </comment>
    <comment ref="D11" authorId="0" shapeId="0" xr:uid="{00000000-0006-0000-02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Occupancy factor</t>
        </r>
      </text>
    </comment>
    <comment ref="D28" authorId="0" shapeId="0" xr:uid="{00000000-0006-0000-02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E28" authorId="0" shapeId="0" xr:uid="{00000000-0006-0000-02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1" authorId="0" shapeId="0" xr:uid="{00000000-0006-0000-03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Gamma ray exposure constant from Table 22-4, Cherry, Sorenson, Phelps, Physics in Nuclear Medicine 3ed</t>
        </r>
      </text>
    </comment>
    <comment ref="N4" authorId="0" shapeId="0" xr:uid="{00000000-0006-0000-03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Assumes activity in patient is attenuated by ~1 HVL of soft tissue (about 5 cm)</t>
        </r>
      </text>
    </comment>
    <comment ref="C6" authorId="0" shapeId="0" xr:uid="{00000000-0006-0000-03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Fraction of hour @ avg. activity</t>
        </r>
      </text>
    </comment>
    <comment ref="N8" authorId="0" shapeId="0" xr:uid="{00000000-0006-0000-0300-000006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Assumes 0.15 voided activity factor</t>
        </r>
      </text>
    </comment>
    <comment ref="C17" authorId="0" shapeId="0" xr:uid="{00000000-0006-0000-03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C - Controlled
U - Uncontrolled</t>
        </r>
      </text>
    </comment>
    <comment ref="B47" authorId="0" shapeId="0" xr:uid="{00000000-0006-0000-03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Sum of the exposures from the source areas to each target area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Q18" authorId="0" shapeId="0" xr:uid="{00000000-0006-0000-0400-000007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Fit parameters from Fig A.2 NCRP 147.
Linear interpolation is used to obtain fit parameters for 130 kVp</t>
        </r>
      </text>
    </comment>
    <comment ref="Q24" authorId="0" shapeId="0" xr:uid="{00000000-0006-0000-0400-000008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Fit parameters for selected kV (C23)</t>
        </r>
      </text>
    </comment>
    <comment ref="J27" authorId="0" shapeId="0" xr:uid="{00000000-0006-0000-0400-000002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Inverse square correction from isocontour distance to barrier distance</t>
        </r>
      </text>
    </comment>
    <comment ref="K27" authorId="0" shapeId="0" xr:uid="{00000000-0006-0000-0400-000003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Isocontour exposure at barrier distance (mGy/mAs)</t>
        </r>
      </text>
    </comment>
    <comment ref="C28" authorId="0" shapeId="0" xr:uid="{00000000-0006-0000-0400-000001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Type of area
U - Uncontrolled
C - Controlled
C assumed if blank</t>
        </r>
      </text>
    </comment>
    <comment ref="L28" authorId="0" shapeId="0" xr:uid="{00000000-0006-0000-0400-000004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Annual isocontour exposure at barrier</t>
        </r>
      </text>
    </comment>
    <comment ref="M28" authorId="0" shapeId="0" xr:uid="{00000000-0006-0000-0400-000005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transmission factor (B) required to reduce barrier exposure to design limit.</t>
        </r>
      </text>
    </comment>
    <comment ref="O28" authorId="0" shapeId="0" xr:uid="{00000000-0006-0000-0400-000006000000}">
      <text>
        <r>
          <rPr>
            <sz val="10"/>
            <rFont val="Times New Roman"/>
            <family val="1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Barrier thickness from Eq A2, NCRP 147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L11" authorId="0" shapeId="0" xr:uid="{00000000-0006-0000-0500-00000B000000}">
      <text>
        <r>
          <rPr>
            <sz val="10"/>
            <rFont val="Times New Roman"/>
            <family val="1"/>
            <charset val="1"/>
          </rPr>
          <t>Fit parameters are for barrier thickness equation from Ref 8
x = ln((B^-</t>
        </r>
        <r>
          <rPr>
            <sz val="12"/>
            <color rgb="FF000000"/>
            <rFont val="Symbol"/>
            <family val="1"/>
            <charset val="2"/>
          </rPr>
          <t>g</t>
        </r>
        <r>
          <rPr>
            <sz val="12"/>
            <color rgb="FF000000"/>
            <rFont val="Tahoma"/>
            <family val="2"/>
            <charset val="1"/>
          </rPr>
          <t>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)/(1+</t>
        </r>
        <r>
          <rPr>
            <sz val="12"/>
            <color rgb="FF000000"/>
            <rFont val="Symbol"/>
            <family val="1"/>
            <charset val="2"/>
          </rPr>
          <t>b</t>
        </r>
        <r>
          <rPr>
            <sz val="12"/>
            <color rgb="FF000000"/>
            <rFont val="Tahoma"/>
            <family val="2"/>
            <charset val="1"/>
          </rPr>
          <t>/</t>
        </r>
        <r>
          <rPr>
            <sz val="12"/>
            <color rgb="FF000000"/>
            <rFont val="Symbol"/>
            <family val="1"/>
            <charset val="2"/>
          </rPr>
          <t>a</t>
        </r>
        <r>
          <rPr>
            <sz val="12"/>
            <color rgb="FF000000"/>
            <rFont val="Tahoma"/>
            <family val="2"/>
            <charset val="1"/>
          </rPr>
          <t>))/</t>
        </r>
        <r>
          <rPr>
            <sz val="12"/>
            <color rgb="FF000000"/>
            <rFont val="Symbol"/>
            <family val="1"/>
            <charset val="2"/>
          </rPr>
          <t>ag</t>
        </r>
      </text>
    </comment>
    <comment ref="F14" authorId="0" shapeId="0" xr:uid="{00000000-0006-0000-0500-000007000000}">
      <text>
        <r>
          <rPr>
            <sz val="8"/>
            <color rgb="FF000000"/>
            <rFont val="Tahoma"/>
            <family val="2"/>
            <charset val="1"/>
          </rPr>
          <t>Source to detector distance for reference exposure</t>
        </r>
      </text>
    </comment>
    <comment ref="G14" authorId="0" shapeId="0" xr:uid="{00000000-0006-0000-0500-000009000000}">
      <text>
        <r>
          <rPr>
            <sz val="8"/>
            <color rgb="FF000000"/>
            <rFont val="Tahoma"/>
            <family val="2"/>
            <charset val="1"/>
          </rPr>
          <t>Reference exposure</t>
        </r>
      </text>
    </comment>
    <comment ref="C15" authorId="0" shapeId="0" xr:uid="{00000000-0006-0000-0500-000001000000}">
      <text>
        <r>
          <rPr>
            <sz val="8"/>
            <color rgb="FF000000"/>
            <rFont val="Tahoma"/>
            <family val="2"/>
            <charset val="1"/>
          </rPr>
          <t>kVp used for reference exposure</t>
        </r>
      </text>
    </comment>
    <comment ref="D15" authorId="0" shapeId="0" xr:uid="{00000000-0006-0000-0500-000003000000}">
      <text>
        <r>
          <rPr>
            <sz val="8"/>
            <color rgb="FF000000"/>
            <rFont val="Tahoma"/>
            <family val="2"/>
            <charset val="1"/>
          </rPr>
          <t>mA used for reference exposure</t>
        </r>
      </text>
    </comment>
    <comment ref="E15" authorId="0" shapeId="0" xr:uid="{00000000-0006-0000-0500-000005000000}">
      <text>
        <r>
          <rPr>
            <sz val="8"/>
            <color rgb="FF000000"/>
            <rFont val="Tahoma"/>
            <family val="2"/>
            <charset val="1"/>
          </rPr>
          <t>mAs uesd for reference exposure</t>
        </r>
      </text>
    </comment>
    <comment ref="F18" authorId="0" shapeId="0" xr:uid="{00000000-0006-0000-0500-000008000000}">
      <text>
        <r>
          <rPr>
            <sz val="8"/>
            <color rgb="FF000000"/>
            <rFont val="Tahoma"/>
            <family val="2"/>
            <charset val="1"/>
          </rPr>
          <t>Transmission = Transmitted exposure/Incident exposure</t>
        </r>
      </text>
    </comment>
    <comment ref="C19" authorId="0" shapeId="0" xr:uid="{00000000-0006-0000-0500-000002000000}">
      <text>
        <r>
          <rPr>
            <sz val="8"/>
            <color rgb="FF000000"/>
            <rFont val="Tahoma"/>
            <family val="2"/>
            <charset val="1"/>
          </rPr>
          <t>Source to barrier distance</t>
        </r>
      </text>
    </comment>
    <comment ref="D19" authorId="0" shapeId="0" xr:uid="{00000000-0006-0000-0500-000004000000}">
      <text>
        <r>
          <rPr>
            <sz val="8"/>
            <color rgb="FF000000"/>
            <rFont val="Tahoma"/>
            <family val="2"/>
            <charset val="1"/>
          </rPr>
          <t>Incident exposure at barrier</t>
        </r>
      </text>
    </comment>
    <comment ref="E19" authorId="0" shapeId="0" xr:uid="{00000000-0006-0000-0500-000006000000}">
      <text>
        <r>
          <rPr>
            <sz val="8"/>
            <color rgb="FF000000"/>
            <rFont val="Tahoma"/>
            <family val="2"/>
            <charset val="1"/>
          </rPr>
          <t>Transmitted exposure at barrier</t>
        </r>
      </text>
    </comment>
    <comment ref="G19" authorId="0" shapeId="0" xr:uid="{00000000-0006-0000-0500-00000A000000}">
      <text>
        <r>
          <rPr>
            <sz val="8"/>
            <color rgb="FF000000"/>
            <rFont val="Tahoma"/>
            <family val="2"/>
            <charset val="1"/>
          </rPr>
          <t>Barrier lead equivalent (mm)</t>
        </r>
      </text>
    </comment>
    <comment ref="L20" authorId="0" shapeId="0" xr:uid="{00000000-0006-0000-0500-00000C000000}">
      <text>
        <r>
          <rPr>
            <sz val="8"/>
            <color rgb="FF000000"/>
            <rFont val="Tahoma"/>
            <family val="2"/>
            <charset val="1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<sst xmlns="http://schemas.openxmlformats.org/spreadsheetml/2006/main" count="1083" uniqueCount="419">
  <si>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</si>
  <si>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</si>
  <si>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</si>
  <si>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</si>
  <si>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</si>
  <si>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</si>
  <si>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</si>
  <si>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</si>
  <si>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</si>
  <si>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</si>
  <si>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</si>
  <si>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</si>
  <si>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</si>
  <si>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</si>
  <si>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</si>
  <si>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</si>
  <si>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</si>
  <si>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</si>
  <si>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</si>
  <si>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</si>
  <si>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</si>
  <si>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</si>
  <si>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</si>
  <si>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</si>
  <si>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</si>
  <si>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</si>
  <si>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</si>
  <si>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</si>
  <si>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</si>
  <si>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</si>
  <si>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</si>
  <si>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</si>
  <si>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</si>
  <si>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</si>
  <si>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</si>
  <si>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</si>
  <si>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</si>
  <si>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</si>
  <si>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</si>
  <si>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</si>
  <si>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</si>
  <si>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</si>
  <si>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</si>
  <si>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</si>
  <si>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</si>
  <si>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</si>
  <si>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</si>
  <si>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</si>
  <si>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</si>
  <si>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</si>
  <si>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</si>
  <si>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</si>
  <si>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</si>
  <si>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</si>
  <si>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</si>
  <si>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</si>
  <si>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</si>
  <si>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</si>
  <si>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</si>
  <si>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</si>
  <si>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</si>
  <si>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</si>
  <si>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</si>
  <si>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</si>
  <si>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</si>
  <si>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</si>
  <si>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</si>
  <si>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</si>
  <si>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</si>
  <si>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</si>
  <si>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</si>
  <si>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</si>
  <si>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</si>
  <si>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</si>
  <si>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</si>
  <si>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</si>
  <si>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</si>
  <si>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</si>
  <si>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</si>
  <si>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</si>
  <si>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</si>
  <si>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</si>
  <si>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</si>
  <si>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</si>
  <si>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</si>
  <si>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</si>
  <si>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</si>
  <si>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</si>
  <si>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</si>
  <si>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</si>
  <si>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</si>
  <si>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</si>
  <si>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</si>
  <si>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</si>
  <si>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</si>
  <si>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</si>
  <si>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</si>
  <si>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</si>
  <si>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</si>
  <si>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</si>
  <si>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</si>
  <si>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</si>
  <si>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Wall A/Door A</t>
  </si>
  <si>
    <t>Leakage, side scatter RF Rad</t>
  </si>
  <si>
    <t>Leakage, side scatter RF Fluoro</t>
  </si>
  <si>
    <t>Eugene Mah, Ph.D.</t>
  </si>
  <si>
    <t>Leakage, side scatter Rad Wall</t>
  </si>
  <si>
    <t>Wall B</t>
  </si>
  <si>
    <t>Primary Rad Wall</t>
  </si>
  <si>
    <t>Secondary AK (mGy/pt)</t>
  </si>
  <si>
    <t>Primary RF (rad)</t>
  </si>
  <si>
    <t>Primary RF Rad xtable</t>
  </si>
  <si>
    <t>Wnorm</t>
  </si>
  <si>
    <t>Kp</t>
  </si>
  <si>
    <t>Side Scatter</t>
  </si>
  <si>
    <t>Forward/Back</t>
  </si>
  <si>
    <t>b/a</t>
  </si>
  <si>
    <t>ag</t>
  </si>
  <si>
    <t>Table</t>
  </si>
  <si>
    <t>Wall</t>
  </si>
  <si>
    <t>Leakage, forward/back scatter RF Fluoro</t>
  </si>
  <si>
    <t>All</t>
  </si>
  <si>
    <t>Secondary RF (rad)</t>
  </si>
  <si>
    <t>Wall C</t>
  </si>
  <si>
    <t>RF Fluoro</t>
  </si>
  <si>
    <t>RF Rad</t>
  </si>
  <si>
    <t>Fl Pts/wk</t>
  </si>
  <si>
    <t>Primary RF (fluoro)</t>
  </si>
  <si>
    <t>Wall D/Door D</t>
  </si>
  <si>
    <t>Rad Pts/wk</t>
  </si>
  <si>
    <t>Mean DAP/pt</t>
  </si>
  <si>
    <t>uGy-m^2</t>
  </si>
  <si>
    <t>Leakage, forward/back scatter Rad Wall</t>
  </si>
  <si>
    <t>Secondary RF (fluoro)</t>
  </si>
  <si>
    <t>Wall E/Door E</t>
  </si>
  <si>
    <t>Control</t>
  </si>
  <si>
    <t>Dtable</t>
  </si>
  <si>
    <t>Dleak</t>
  </si>
  <si>
    <t>U</t>
  </si>
  <si>
    <t>Kp(0)</t>
  </si>
  <si>
    <t>Bpri</t>
  </si>
  <si>
    <t>x (mm)</t>
  </si>
  <si>
    <t>Ksec(0)</t>
  </si>
  <si>
    <t>Ksec(tot)</t>
  </si>
  <si>
    <t>Bsec</t>
  </si>
  <si>
    <t>Wall A</t>
  </si>
  <si>
    <t>Floor</t>
  </si>
  <si>
    <t>Primary RF Rad</t>
  </si>
  <si>
    <t>Door A</t>
  </si>
  <si>
    <t>Wall D</t>
  </si>
  <si>
    <t>Ceiling</t>
  </si>
  <si>
    <t>Leakage, forward/back scatter RF Rad</t>
  </si>
  <si>
    <t>Door D</t>
  </si>
  <si>
    <t>Wall E</t>
  </si>
  <si>
    <t>Door E1</t>
  </si>
  <si>
    <t>Door E2</t>
  </si>
  <si>
    <t>Control Wall</t>
  </si>
  <si>
    <t>Control Window</t>
  </si>
  <si>
    <t>Dwall</t>
  </si>
  <si>
    <t>Dfluoro</t>
  </si>
  <si>
    <t>Rel AK</t>
  </si>
  <si>
    <t>D (m)</t>
  </si>
  <si>
    <t>AK (uGy)</t>
  </si>
  <si>
    <t>Workload</t>
  </si>
  <si>
    <t>A</t>
  </si>
  <si>
    <t>B</t>
  </si>
  <si>
    <t>Neuro 1</t>
  </si>
  <si>
    <t>Neuro2</t>
  </si>
  <si>
    <t>Pts/wk</t>
  </si>
  <si>
    <t>A DAP/pt</t>
  </si>
  <si>
    <t>Gy·cm²</t>
  </si>
  <si>
    <t>KAP Conversion Table</t>
  </si>
  <si>
    <t>B DAP/pt</t>
  </si>
  <si>
    <t>µGy·m²</t>
  </si>
  <si>
    <t>mGy·cm²</t>
  </si>
  <si>
    <t>cGy·cm²</t>
  </si>
  <si>
    <t>A Plane Isocontour</t>
  </si>
  <si>
    <t>Inv Sq to barrier</t>
  </si>
  <si>
    <t>Isocontour @ barrier</t>
  </si>
  <si>
    <t>B Plane Isocontour</t>
  </si>
  <si>
    <t>dGy·cm²</t>
  </si>
  <si>
    <t>Distance (m)</t>
  </si>
  <si>
    <t>P (mSv/week)</t>
  </si>
  <si>
    <t>uGy/Gy-cm^2</t>
  </si>
  <si>
    <t>Dist (m)</t>
  </si>
  <si>
    <t>Peripheral Angiography</t>
  </si>
  <si>
    <t>Wall D1</t>
  </si>
  <si>
    <t>Wall D2</t>
  </si>
  <si>
    <t>Wall B Offices</t>
  </si>
  <si>
    <t>Wall C Offices</t>
  </si>
  <si>
    <t>A Plane</t>
  </si>
  <si>
    <t>B Plane</t>
  </si>
  <si>
    <t>Exp @ Barrier</t>
  </si>
  <si>
    <t>uGy/week</t>
  </si>
  <si>
    <t>Transmission</t>
  </si>
  <si>
    <t>mm Pb</t>
  </si>
  <si>
    <t>mm Concrete</t>
  </si>
  <si>
    <t>Tc-99m</t>
  </si>
  <si>
    <t>mSv-m^2/MBq-h</t>
  </si>
  <si>
    <t>Activity Calculations</t>
  </si>
  <si>
    <t>N/day</t>
  </si>
  <si>
    <t>Patients per day</t>
  </si>
  <si>
    <t>mCi</t>
  </si>
  <si>
    <t>MBq</t>
  </si>
  <si>
    <t>N/week</t>
  </si>
  <si>
    <t>Patients per week</t>
  </si>
  <si>
    <t>Administered activity</t>
  </si>
  <si>
    <t>Equivalent unshielded activity in patient</t>
  </si>
  <si>
    <t>Sources</t>
  </si>
  <si>
    <t>Uptake duration (minutes)</t>
  </si>
  <si>
    <t>Avg activity (MBq)</t>
  </si>
  <si>
    <t>Work factor</t>
  </si>
  <si>
    <t>MBq-h/wk</t>
  </si>
  <si>
    <t>mSv-m^2/wk</t>
  </si>
  <si>
    <t>Avg activity during uptake</t>
  </si>
  <si>
    <t>Hot lab</t>
  </si>
  <si>
    <t>Activity at end of uptake</t>
  </si>
  <si>
    <t>NM Hold 1</t>
  </si>
  <si>
    <t>Activity following void</t>
  </si>
  <si>
    <t>NM Hold 2</t>
  </si>
  <si>
    <t>Scan duration (minutes)</t>
  </si>
  <si>
    <t>NM Camera 1</t>
  </si>
  <si>
    <t>Avg activity during scan</t>
  </si>
  <si>
    <t>NM Camera 2</t>
  </si>
  <si>
    <t>Activty at end of scan</t>
  </si>
  <si>
    <t>Stress Lab</t>
  </si>
  <si>
    <t>Hot Toilet</t>
  </si>
  <si>
    <t>Radiology Waiting</t>
  </si>
  <si>
    <t>Lead mass attenuation coeff</t>
  </si>
  <si>
    <t>Areas</t>
  </si>
  <si>
    <t>Lead density</t>
  </si>
  <si>
    <t>Location</t>
  </si>
  <si>
    <t>Occupancy</t>
  </si>
  <si>
    <t>Dose limit (mSv/wk)</t>
  </si>
  <si>
    <t>Target limit</t>
  </si>
  <si>
    <t>Lead attenuation coeff (1/cm)</t>
  </si>
  <si>
    <t>Tech area</t>
  </si>
  <si>
    <t>Lead HVL (mm)</t>
  </si>
  <si>
    <t>CT Tech area</t>
  </si>
  <si>
    <t>C</t>
  </si>
  <si>
    <t>US 1</t>
  </si>
  <si>
    <t>US 2</t>
  </si>
  <si>
    <t>Office 2221</t>
  </si>
  <si>
    <t>Office 2302</t>
  </si>
  <si>
    <t>Consult A</t>
  </si>
  <si>
    <t>Consult B</t>
  </si>
  <si>
    <t>Lactation</t>
  </si>
  <si>
    <t>Reading Room</t>
  </si>
  <si>
    <t>Distances (m)</t>
  </si>
  <si>
    <t>Target area</t>
  </si>
  <si>
    <t>Source area</t>
  </si>
  <si>
    <t>Unshielded exposures (mSv/wk)</t>
  </si>
  <si>
    <t>Total</t>
  </si>
  <si>
    <t>Required shielding</t>
  </si>
  <si>
    <t>Unshielded Exp</t>
  </si>
  <si>
    <t>Atten factor</t>
  </si>
  <si>
    <t>HVLs</t>
  </si>
  <si>
    <t>Lead thickness (mm)</t>
  </si>
  <si>
    <t>Required shielding for each target area from each source area</t>
  </si>
  <si>
    <t>MUSC Shawn Jenkins Children's Hospital</t>
  </si>
  <si>
    <t>Design Method</t>
  </si>
  <si>
    <t>Siemens template (attached) gives the scatter air kerma (uGy) at various distances per mAs rotation.</t>
  </si>
  <si>
    <t>Charleston, SC 29425</t>
  </si>
  <si>
    <t>Using the number of roations per year one can calculate the exposure at the isodose distance.</t>
  </si>
  <si>
    <t>This value is inverse square law corrected to the barrier distance</t>
  </si>
  <si>
    <t>Barrier transmission factor (B) is determined from the design limit corrected for occupancy</t>
  </si>
  <si>
    <t>Shielding Design</t>
  </si>
  <si>
    <t>Required barrier thickness is determined using Eq A.2 from NCRP 147</t>
  </si>
  <si>
    <t>Interlocks and Warnings</t>
  </si>
  <si>
    <t>RHB 4.11.2.4 Requires door interlocks to prevent the initiation of a scan when the CT room door is open.</t>
  </si>
  <si>
    <t>Doors A will be interlocked</t>
  </si>
  <si>
    <t>Uses</t>
  </si>
  <si>
    <t>Percent Workload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</si>
  <si>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</si>
  <si>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</si>
  <si>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</si>
  <si>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</si>
  <si>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Fit Parameters</t>
  </si>
  <si>
    <t>Rotations per week</t>
  </si>
  <si>
    <t>Occupational</t>
  </si>
  <si>
    <t>mGy/year</t>
  </si>
  <si>
    <t>Lead (mm)</t>
  </si>
  <si>
    <t>Rotations per patient</t>
  </si>
  <si>
    <t>Rotations per year</t>
  </si>
  <si>
    <t>Non Occupational</t>
  </si>
  <si>
    <t>Rotation collimation (cm)</t>
  </si>
  <si>
    <t>Rotation-mAs/yr</t>
  </si>
  <si>
    <t>mAs per rotation</t>
  </si>
  <si>
    <t>Workload (mA-min/wk)</t>
  </si>
  <si>
    <t>Half Value Layer</t>
  </si>
  <si>
    <t>kV</t>
  </si>
  <si>
    <t>HVL (mm-lead)</t>
  </si>
  <si>
    <t>HVL (inches-concrete)</t>
  </si>
  <si>
    <t>Barrier Design</t>
  </si>
  <si>
    <t>Design</t>
  </si>
  <si>
    <t>Calculated</t>
  </si>
  <si>
    <t>Exposure</t>
  </si>
  <si>
    <t>Distance</t>
  </si>
  <si>
    <t>Limit</t>
  </si>
  <si>
    <t>Isocontour</t>
  </si>
  <si>
    <t>at Barrier</t>
  </si>
  <si>
    <t>Designation</t>
  </si>
  <si>
    <t>(m)</t>
  </si>
  <si>
    <t>mGy/yr</t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</si>
  <si>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1"/>
      </rPr>
      <t>Gy/mAs</t>
    </r>
  </si>
  <si>
    <t>(mm)</t>
  </si>
  <si>
    <t>mGy/mAs</t>
  </si>
  <si>
    <t>mm Conc</t>
  </si>
  <si>
    <t>Certified Radiological Physicist</t>
  </si>
  <si>
    <t>Shielding Evaluation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</si>
  <si>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</si>
  <si>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</si>
  <si>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</si>
  <si>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</si>
  <si>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</si>
  <si>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</si>
  <si>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</si>
  <si>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</si>
  <si>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</si>
  <si>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(msec)</t>
  </si>
  <si>
    <t>mA</t>
  </si>
  <si>
    <t>mAs</t>
  </si>
  <si>
    <t>(mGy)</t>
  </si>
  <si>
    <t>(mGy/mAs)</t>
  </si>
  <si>
    <t>Incident</t>
  </si>
  <si>
    <t>Transmitted</t>
  </si>
  <si>
    <t>Transmission factor</t>
  </si>
  <si>
    <r>
      <rPr>
        <sz val="12"/>
        <rFont val="Times New Roman"/>
        <family val="1"/>
        <charset val="1"/>
      </rP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  <charset val="1"/>
      </rPr>
      <t>Gy)</t>
    </r>
  </si>
  <si>
    <t>(in)</t>
  </si>
  <si>
    <t>Barrier thicknesses</t>
  </si>
  <si>
    <t>Trans</t>
  </si>
  <si>
    <t>Medical Physicist</t>
  </si>
  <si>
    <t>Suggested occupancy factors (for use as a guide in planning shielding where other occupancy data are not available)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</si>
  <si>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</si>
  <si>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</si>
  <si>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</si>
  <si>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</si>
  <si>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</si>
  <si>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</si>
  <si>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</si>
  <si>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</si>
  <si>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</si>
  <si>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</si>
  <si>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</si>
  <si>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</si>
  <si>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</si>
  <si>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</si>
  <si>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</si>
  <si>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</si>
  <si>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</si>
  <si>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</si>
  <si>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</si>
  <si>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</si>
  <si>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</si>
  <si>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</si>
  <si>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</si>
  <si>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</si>
  <si>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</si>
  <si>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</si>
  <si>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</si>
  <si>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</si>
  <si>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</si>
  <si>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</si>
  <si>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</si>
  <si>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</si>
  <si>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</si>
  <si>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</si>
  <si>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</si>
  <si>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</si>
  <si>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primary air kerma per patient [K1_p (in mGy/pt) for the indicated workload [Wnorm (mA-min/pt)] and workload distribution, normalized to primary beam distance d_p = 1m</t>
  </si>
  <si>
    <t>Workload Distribution</t>
  </si>
  <si>
    <t>Wnorm (mA-min/pt)</t>
  </si>
  <si>
    <t>K1_p (mGy/pt)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</si>
  <si>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</si>
  <si>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</si>
  <si>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</si>
  <si>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</si>
  <si>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</si>
  <si>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</si>
  <si>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</si>
  <si>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</si>
  <si>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</si>
  <si>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</si>
  <si>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</si>
  <si>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</si>
  <si>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</si>
  <si>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</si>
  <si>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</si>
  <si>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</si>
  <si>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</si>
  <si>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</si>
  <si>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</si>
  <si>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</si>
  <si>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</si>
  <si>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</si>
  <si>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</si>
  <si>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</si>
  <si>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</si>
  <si>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</si>
  <si>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</si>
  <si>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</si>
  <si>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</si>
  <si>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</si>
  <si>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</si>
  <si>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</si>
  <si>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</si>
  <si>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</si>
  <si>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Fits of transmission for broad-beam secondary transmission to Equation A.2 (thickness x is input in millimeters)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</si>
  <si>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</si>
  <si>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W/Ag</t>
  </si>
  <si>
    <t>Source:</t>
  </si>
  <si>
    <t>Li X, Zhang D, Liu B, “Workload and transmission data for the installation of a digital breast tomosynthesis system”, MedPhys 40(6) 063901-1</t>
  </si>
  <si>
    <r>
      <rPr>
        <b/>
        <sz val="10"/>
        <rFont val="Times New Roman"/>
        <family val="1"/>
        <charset val="1"/>
      </rP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</si>
  <si>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W/Al</t>
  </si>
  <si>
    <t>Li X, Zhang D, Liu B, “Transmission of broad W/Rh and W/Al (target/filter) x-ray beams operated at 25-29 kVp through common shielding materials”, MedPhys 39(7) 4132</t>
  </si>
  <si>
    <r>
      <rPr>
        <b/>
        <sz val="10"/>
        <rFont val="Times New Roman"/>
        <family val="1"/>
        <charset val="1"/>
      </rP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 in mm^-1</t>
    </r>
  </si>
  <si>
    <t>W/Rh</t>
  </si>
  <si>
    <r>
      <rPr>
        <b/>
        <sz val="10"/>
        <rFont val="Times New Roman"/>
        <family val="1"/>
        <charset val="1"/>
      </rP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  <charset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  <charset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  <charset val="1"/>
      </rPr>
      <t xml:space="preserve"> for the transmission of the primary radiation generated by the combined workload distribution [Table IV(c).</t>
    </r>
  </si>
  <si>
    <t>W/Rh, W/Ag, W/Al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</si>
</sst>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d\-mmm\-yy"/>
    <numFmt numFmtId="165" formatCode="m/d/yyyy"/>
    <numFmt numFmtId="166" formatCode="0&quot;''&quot;"/>
    <numFmt numFmtId="167" formatCode="0.000000000"/>
    <numFmt numFmtId="168" formatCode="#\ ##?/##?&quot;''&quot;"/>
    <numFmt numFmtId="169" formatCode="#\ ???/???&quot; ''&quot;"/>
    <numFmt numFmtId="170" formatCode="0.00000"/>
    <numFmt numFmtId="171" formatCode="0.000"/>
    <numFmt numFmtId="172" formatCode="0.00000000"/>
    <numFmt numFmtId="173" formatCode="0.0"/>
    <numFmt numFmtId="174" formatCode="0.000E+00"/>
    <numFmt numFmtId="175" formatCode="#\ #?/##?&quot;''&quot;"/>
    <numFmt numFmtId="176" formatCode="0.0000"/>
    <numFmt numFmtId="177" formatCode="[$-409]d/mmm/yyyy;@"/>
    <numFmt numFmtId="178" formatCode="#\ ???/???"/>
  </numFmts>
  <fonts count="20" x14ac:knownFonts="1">
    <font>
      <sz val="10"/>
      <name val="Times New Roman"/>
      <family val="1"/>
      <charset val="1"/>
    </font>
    <font>
      <sz val="10"/>
      <name val="Arial"/>
      <family val="2"/>
      <charset val="1"/>
    </font>
    <font>
      <sz val="8"/>
      <name val="Times New Roman"/>
      <family val="1"/>
      <charset val="1"/>
    </font>
    <font>
      <b/>
      <sz val="10"/>
      <name val="Times New Roman"/>
      <family val="1"/>
      <charset val="1"/>
    </font>
    <font>
      <b/>
      <u/>
      <sz val="12"/>
      <name val="Times New Roman"/>
      <family val="1"/>
      <charset val="1"/>
    </font>
    <font>
      <b/>
      <u/>
      <sz val="10"/>
      <name val="Times New Roman"/>
      <family val="1"/>
      <charset val="1"/>
    </font>
    <font>
      <u/>
      <sz val="10"/>
      <name val="Times New Roman"/>
      <family val="1"/>
      <charset val="1"/>
    </font>
    <font>
      <sz val="10"/>
      <name val="Symbol"/>
      <family val="1"/>
      <charset val="2"/>
    </font>
    <font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0"/>
      <name val="Arial"/>
      <family val="2"/>
      <charset val="1"/>
    </font>
    <font>
      <b/>
      <sz val="10"/>
      <name val="Symbol"/>
      <family val="1"/>
      <charset val="2"/>
    </font>
    <font>
      <sz val="12"/>
      <name val="Times New Roman"/>
      <family val="1"/>
      <charset val="1"/>
    </font>
    <font>
      <b/>
      <sz val="8"/>
      <name val="Times New Roman"/>
      <family val="1"/>
      <charset val="1"/>
    </font>
    <font>
      <b/>
      <sz val="12"/>
      <name val="Times New Roman"/>
      <family val="1"/>
      <charset val="1"/>
    </font>
    <font>
      <u/>
      <sz val="12"/>
      <name val="Times New Roman"/>
      <family val="1"/>
      <charset val="1"/>
    </font>
    <font>
      <sz val="12"/>
      <name val="Symbol"/>
      <family val="1"/>
      <charset val="2"/>
    </font>
    <font>
      <sz val="12"/>
      <color rgb="FF000000"/>
      <name val="Symbol"/>
      <family val="1"/>
      <charset val="2"/>
    </font>
    <font>
      <sz val="12"/>
      <color rgb="FF000000"/>
      <name val="Tahoma"/>
      <family val="2"/>
      <charset val="1"/>
    </font>
    <font>
      <sz val="1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0C0C0"/>
      </patternFill>
    </fill>
    <fill>
      <patternFill patternType="solid">
        <fgColor rgb="FFFFFF99"/>
        <bgColor rgb="FFFFFFCC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rgb="FF00330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9" fillId="0" borderId="0">
      <alignment horizontal="center"/>
    </xf>
    <xf numFmtId="0" fontId="19" fillId="0" borderId="0">
      <alignment horizontal="center"/>
    </xf>
    <xf numFmtId="0" fontId="1" fillId="0" borderId="0"/>
    <xf numFmtId="9" fontId="19" fillId="0" borderId="0" applyBorder="0" applyProtection="0">
      <alignment horizontal="center"/>
    </xf>
  </cellStyleXfs>
  <cellXfs count="351">
    <xf numFmtId="0" fontId="0" fillId="0" borderId="0" xfId="0">
      <alignment horizontal="center"/>
    </xf>
    <xf numFmtId="0" fontId="2" fillId="0" borderId="0" xfId="0" applyFo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>
      <alignment horizontal="center"/>
    </xf>
    <xf numFmtId="0" fontId="0" fillId="0" borderId="0" xfId="0" applyFont="1" applyAlignment="1">
      <alignment horizontal="right"/>
    </xf>
    <xf numFmtId="0" fontId="0" fillId="2" borderId="1" xfId="0" applyFont="1" applyFill="1" applyBorder="1" applyAlignment="1" applyProtection="1">
      <alignment horizontal="left"/>
      <protection locked="0"/>
    </xf>
    <xf numFmtId="0" fontId="0" fillId="0" borderId="1" xfId="0" applyBorder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164" fontId="0" fillId="2" borderId="1" xfId="0" applyNumberFormat="1" applyFont="1" applyFill="1" applyBorder="1" applyAlignment="1" applyProtection="1">
      <alignment horizontal="center"/>
      <protection locked="0"/>
    </xf>
    <xf numFmtId="165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right"/>
    </xf>
    <xf numFmtId="165" fontId="0" fillId="2" borderId="1" xfId="0" applyNumberFormat="1" applyFont="1" applyFill="1" applyBorder="1" applyAlignment="1" applyProtection="1">
      <alignment horizontal="left"/>
      <protection locked="0"/>
    </xf>
    <xf numFmtId="165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0" xfId="0" applyFont="1">
      <alignment horizontal="center"/>
    </xf>
    <xf numFmtId="0" fontId="0" fillId="0" borderId="2" xfId="0" applyFont="1" applyBorder="1">
      <alignment horizontal="center"/>
    </xf>
    <xf numFmtId="165" fontId="0" fillId="0" borderId="0" xfId="0" applyNumberFormat="1" applyFont="1" applyBorder="1" applyAlignment="1" applyProtection="1">
      <alignment horizontal="center"/>
    </xf>
    <xf numFmtId="165" fontId="0" fillId="0" borderId="0" xfId="0" applyNumberFormat="1" applyFont="1" applyAlignment="1" applyProtection="1">
      <alignment horizontal="left"/>
    </xf>
    <xf numFmtId="0" fontId="0" fillId="0" borderId="0" xfId="0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5" fontId="0" fillId="0" borderId="0" xfId="0" applyNumberFormat="1" applyFont="1" applyBorder="1" applyAlignment="1" applyProtection="1">
      <alignment horizontal="left"/>
    </xf>
    <xf numFmtId="165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6" fontId="0" fillId="0" borderId="0" xfId="0" applyNumberFormat="1" applyFont="1">
      <alignment horizontal="center"/>
    </xf>
    <xf numFmtId="167" fontId="0" fillId="0" borderId="0" xfId="0" applyNumberFormat="1">
      <alignment horizontal="center"/>
    </xf>
    <xf numFmtId="168" fontId="0" fillId="0" borderId="0" xfId="0" applyNumberFormat="1" applyFont="1">
      <alignment horizontal="center"/>
    </xf>
    <xf numFmtId="0" fontId="0" fillId="2" borderId="3" xfId="0" applyFill="1" applyBorder="1" applyProtection="1">
      <alignment horizontal="center"/>
      <protection locked="0"/>
    </xf>
    <xf numFmtId="169" fontId="0" fillId="0" borderId="0" xfId="0" applyNumberFormat="1">
      <alignment horizontal="center"/>
    </xf>
    <xf numFmtId="170" fontId="0" fillId="0" borderId="0" xfId="0" applyNumberFormat="1">
      <alignment horizontal="center"/>
    </xf>
    <xf numFmtId="0" fontId="19" fillId="2" borderId="1" xfId="3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3" fontId="0" fillId="3" borderId="0" xfId="0" applyNumberFormat="1" applyFill="1">
      <alignment horizontal="center"/>
    </xf>
    <xf numFmtId="3" fontId="0" fillId="0" borderId="0" xfId="0" applyNumberForma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0" fillId="0" borderId="0" xfId="0" applyBorder="1">
      <alignment horizontal="center"/>
    </xf>
    <xf numFmtId="0" fontId="0" fillId="0" borderId="4" xfId="0" applyFont="1" applyBorder="1">
      <alignment horizontal="center"/>
    </xf>
    <xf numFmtId="0" fontId="0" fillId="0" borderId="5" xfId="0" applyFont="1" applyBorder="1">
      <alignment horizontal="center"/>
    </xf>
    <xf numFmtId="0" fontId="0" fillId="0" borderId="6" xfId="0" applyFont="1" applyBorder="1">
      <alignment horizontal="center"/>
    </xf>
    <xf numFmtId="0" fontId="0" fillId="2" borderId="1" xfId="0" applyFill="1" applyBorder="1" applyProtection="1">
      <alignment horizontal="center"/>
      <protection locked="0"/>
    </xf>
    <xf numFmtId="3" fontId="0" fillId="0" borderId="0" xfId="0" applyNumberFormat="1" applyFont="1" applyAlignment="1">
      <alignment horizontal="left"/>
    </xf>
    <xf numFmtId="0" fontId="0" fillId="0" borderId="7" xfId="0" applyFont="1" applyBorder="1">
      <alignment horizontal="center"/>
    </xf>
    <xf numFmtId="0" fontId="0" fillId="0" borderId="0" xfId="0" applyFont="1" applyBorder="1">
      <alignment horizontal="center"/>
    </xf>
    <xf numFmtId="0" fontId="0" fillId="0" borderId="8" xfId="0" applyFont="1" applyBorder="1">
      <alignment horizontal="center"/>
    </xf>
    <xf numFmtId="3" fontId="0" fillId="0" borderId="0" xfId="0" applyNumberFormat="1" applyBorder="1" applyAlignment="1" applyProtection="1">
      <alignment horizontal="center"/>
    </xf>
    <xf numFmtId="0" fontId="0" fillId="0" borderId="9" xfId="0" applyFont="1" applyBorder="1">
      <alignment horizontal="center"/>
    </xf>
    <xf numFmtId="0" fontId="0" fillId="0" borderId="10" xfId="0" applyFont="1" applyBorder="1">
      <alignment horizontal="center"/>
    </xf>
    <xf numFmtId="0" fontId="0" fillId="0" borderId="11" xfId="0" applyFont="1" applyBorder="1">
      <alignment horizontal="center"/>
    </xf>
    <xf numFmtId="0" fontId="6" fillId="0" borderId="0" xfId="0" applyFont="1" applyAlignment="1">
      <alignment horizontal="left"/>
    </xf>
    <xf numFmtId="0" fontId="0" fillId="0" borderId="12" xfId="0" applyFont="1" applyBorder="1">
      <alignment horizontal="center"/>
    </xf>
    <xf numFmtId="0" fontId="0" fillId="0" borderId="13" xfId="0" applyFont="1" applyBorder="1">
      <alignment horizontal="center"/>
    </xf>
    <xf numFmtId="0" fontId="7" fillId="0" borderId="10" xfId="0" applyFont="1" applyBorder="1">
      <alignment horizontal="center"/>
    </xf>
    <xf numFmtId="17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4" xfId="0" applyFont="1" applyBorder="1">
      <alignment horizontal="center"/>
    </xf>
    <xf numFmtId="2" fontId="0" fillId="3" borderId="15" xfId="0" applyNumberFormat="1" applyFill="1" applyBorder="1" applyAlignment="1">
      <alignment horizontal="center"/>
    </xf>
    <xf numFmtId="11" fontId="0" fillId="0" borderId="12" xfId="0" applyNumberFormat="1" applyFont="1" applyBorder="1">
      <alignment horizontal="center"/>
    </xf>
    <xf numFmtId="11" fontId="0" fillId="0" borderId="13" xfId="0" applyNumberFormat="1" applyFont="1" applyBorder="1">
      <alignment horizontal="center"/>
    </xf>
    <xf numFmtId="3" fontId="0" fillId="0" borderId="14" xfId="0" applyNumberFormat="1" applyFont="1" applyBorder="1">
      <alignment horizontal="center"/>
    </xf>
    <xf numFmtId="0" fontId="3" fillId="0" borderId="0" xfId="0" applyFont="1" applyAlignment="1">
      <alignment horizontal="left"/>
    </xf>
    <xf numFmtId="11" fontId="0" fillId="3" borderId="12" xfId="0" applyNumberFormat="1" applyFont="1" applyFill="1" applyBorder="1">
      <alignment horizontal="center"/>
    </xf>
    <xf numFmtId="11" fontId="0" fillId="3" borderId="13" xfId="0" applyNumberFormat="1" applyFont="1" applyFill="1" applyBorder="1">
      <alignment horizontal="center"/>
    </xf>
    <xf numFmtId="172" fontId="0" fillId="0" borderId="0" xfId="0" applyNumberFormat="1">
      <alignment horizontal="center"/>
    </xf>
    <xf numFmtId="173" fontId="0" fillId="2" borderId="15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>
      <alignment horizontal="center"/>
    </xf>
    <xf numFmtId="174" fontId="0" fillId="0" borderId="2" xfId="0" applyNumberFormat="1" applyFont="1" applyBorder="1">
      <alignment horizontal="center"/>
    </xf>
    <xf numFmtId="174" fontId="0" fillId="0" borderId="0" xfId="0" applyNumberFormat="1">
      <alignment horizontal="center"/>
    </xf>
    <xf numFmtId="171" fontId="0" fillId="2" borderId="15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Border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0" fillId="2" borderId="14" xfId="0" applyFont="1" applyFill="1" applyBorder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3" borderId="15" xfId="0" applyFont="1" applyFill="1" applyBorder="1" applyAlignment="1">
      <alignment horizontal="center"/>
    </xf>
    <xf numFmtId="2" fontId="0" fillId="3" borderId="15" xfId="0" applyNumberFormat="1" applyFont="1" applyFill="1" applyBorder="1" applyAlignment="1" applyProtection="1">
      <alignment horizontal="center"/>
    </xf>
    <xf numFmtId="11" fontId="0" fillId="3" borderId="15" xfId="0" applyNumberFormat="1" applyFont="1" applyFill="1" applyBorder="1" applyAlignment="1">
      <alignment horizontal="center"/>
    </xf>
    <xf numFmtId="1" fontId="0" fillId="3" borderId="15" xfId="0" applyNumberFormat="1" applyFont="1" applyFill="1" applyBorder="1" applyAlignment="1">
      <alignment horizontal="center"/>
    </xf>
    <xf numFmtId="1" fontId="0" fillId="0" borderId="15" xfId="0" applyNumberFormat="1" applyFont="1" applyBorder="1" applyAlignment="1">
      <alignment horizontal="center"/>
    </xf>
    <xf numFmtId="0" fontId="0" fillId="0" borderId="15" xfId="0" applyFont="1" applyBorder="1" applyAlignment="1" applyProtection="1">
      <alignment horizontal="center"/>
      <protection hidden="1"/>
    </xf>
    <xf numFmtId="0" fontId="0" fillId="4" borderId="7" xfId="0" applyFont="1" applyFill="1" applyBorder="1">
      <alignment horizontal="center"/>
    </xf>
    <xf numFmtId="0" fontId="0" fillId="0" borderId="17" xfId="0" applyFont="1" applyBorder="1">
      <alignment horizontal="center"/>
    </xf>
    <xf numFmtId="11" fontId="0" fillId="0" borderId="18" xfId="0" applyNumberFormat="1" applyFont="1" applyBorder="1">
      <alignment horizontal="center"/>
    </xf>
    <xf numFmtId="11" fontId="0" fillId="0" borderId="19" xfId="0" applyNumberFormat="1" applyFont="1" applyBorder="1">
      <alignment horizontal="center"/>
    </xf>
    <xf numFmtId="0" fontId="0" fillId="2" borderId="10" xfId="0" applyFont="1" applyFill="1" applyBorder="1" applyAlignment="1" applyProtection="1">
      <alignment horizontal="center"/>
      <protection locked="0"/>
    </xf>
    <xf numFmtId="0" fontId="0" fillId="4" borderId="0" xfId="0" applyFill="1">
      <alignment horizontal="center"/>
    </xf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2" fontId="0" fillId="0" borderId="20" xfId="0" applyNumberFormat="1" applyBorder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Fo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0" fillId="0" borderId="10" xfId="0" applyNumberFormat="1" applyFont="1" applyBorder="1">
      <alignment horizontal="center"/>
    </xf>
    <xf numFmtId="3" fontId="0" fillId="0" borderId="11" xfId="0" applyNumberFormat="1" applyFont="1" applyBorder="1">
      <alignment horizontal="center"/>
    </xf>
    <xf numFmtId="0" fontId="0" fillId="0" borderId="14" xfId="0" applyFont="1" applyBorder="1">
      <alignment horizontal="center"/>
    </xf>
    <xf numFmtId="171" fontId="0" fillId="0" borderId="23" xfId="0" applyNumberFormat="1" applyFont="1" applyBorder="1" applyAlignment="1">
      <alignment horizontal="center"/>
    </xf>
    <xf numFmtId="171" fontId="0" fillId="0" borderId="15" xfId="0" applyNumberFormat="1" applyFont="1" applyBorder="1" applyAlignment="1">
      <alignment horizontal="center"/>
    </xf>
    <xf numFmtId="171" fontId="0" fillId="0" borderId="24" xfId="0" applyNumberFormat="1" applyFont="1" applyBorder="1" applyAlignment="1">
      <alignment horizontal="center"/>
    </xf>
    <xf numFmtId="171" fontId="0" fillId="4" borderId="15" xfId="0" applyNumberFormat="1" applyFont="1" applyFill="1" applyBorder="1" applyAlignment="1">
      <alignment horizontal="center"/>
    </xf>
    <xf numFmtId="175" fontId="0" fillId="0" borderId="23" xfId="0" applyNumberFormat="1" applyFont="1" applyBorder="1">
      <alignment horizontal="center"/>
    </xf>
    <xf numFmtId="0" fontId="7" fillId="0" borderId="9" xfId="0" applyFont="1" applyBorder="1">
      <alignment horizontal="center"/>
    </xf>
    <xf numFmtId="2" fontId="0" fillId="0" borderId="12" xfId="0" applyNumberFormat="1" applyFont="1" applyBorder="1">
      <alignment horizontal="center"/>
    </xf>
    <xf numFmtId="173" fontId="0" fillId="0" borderId="12" xfId="0" applyNumberFormat="1" applyFont="1" applyBorder="1">
      <alignment horizontal="center"/>
    </xf>
    <xf numFmtId="171" fontId="0" fillId="0" borderId="12" xfId="0" applyNumberFormat="1" applyFont="1" applyBorder="1">
      <alignment horizontal="center"/>
    </xf>
    <xf numFmtId="2" fontId="0" fillId="0" borderId="7" xfId="0" applyNumberFormat="1" applyFont="1" applyBorder="1">
      <alignment horizontal="center"/>
    </xf>
    <xf numFmtId="176" fontId="0" fillId="0" borderId="12" xfId="0" applyNumberFormat="1" applyFont="1" applyBorder="1">
      <alignment horizontal="center"/>
    </xf>
    <xf numFmtId="2" fontId="0" fillId="0" borderId="13" xfId="0" applyNumberFormat="1" applyFont="1" applyBorder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7" xfId="0" applyNumberFormat="1" applyFont="1" applyBorder="1" applyAlignment="1">
      <alignment horizontal="left"/>
    </xf>
    <xf numFmtId="171" fontId="0" fillId="0" borderId="0" xfId="0" applyNumberFormat="1" applyFont="1">
      <alignment horizontal="center"/>
    </xf>
    <xf numFmtId="171" fontId="0" fillId="0" borderId="0" xfId="0" applyNumberFormat="1" applyFont="1" applyAlignment="1">
      <alignment horizontal="center"/>
    </xf>
    <xf numFmtId="171" fontId="0" fillId="0" borderId="9" xfId="0" applyNumberFormat="1" applyFont="1" applyBorder="1">
      <alignment horizontal="center"/>
    </xf>
    <xf numFmtId="171" fontId="0" fillId="0" borderId="10" xfId="0" applyNumberFormat="1" applyFont="1" applyBorder="1">
      <alignment horizontal="center"/>
    </xf>
    <xf numFmtId="0" fontId="0" fillId="0" borderId="25" xfId="0" applyFont="1" applyBorder="1">
      <alignment horizontal="center"/>
    </xf>
    <xf numFmtId="0" fontId="0" fillId="0" borderId="26" xfId="0" applyFont="1" applyBorder="1">
      <alignment horizontal="center"/>
    </xf>
    <xf numFmtId="171" fontId="0" fillId="0" borderId="0" xfId="0" applyNumberFormat="1">
      <alignment horizontal="center"/>
    </xf>
    <xf numFmtId="0" fontId="19" fillId="0" borderId="0" xfId="2" applyAlignment="1">
      <alignment horizontal="center" vertical="center"/>
    </xf>
    <xf numFmtId="0" fontId="19" fillId="0" borderId="0" xfId="2" applyAlignment="1">
      <alignment horizontal="right" vertical="center"/>
    </xf>
    <xf numFmtId="0" fontId="19" fillId="0" borderId="0" xfId="2" applyAlignment="1">
      <alignment vertical="center"/>
    </xf>
    <xf numFmtId="0" fontId="0" fillId="0" borderId="0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19" fillId="5" borderId="28" xfId="2" applyFill="1" applyBorder="1" applyAlignment="1">
      <alignment horizontal="center" vertical="center"/>
    </xf>
    <xf numFmtId="0" fontId="19" fillId="0" borderId="28" xfId="2" applyBorder="1" applyAlignment="1">
      <alignment horizontal="center" vertical="center"/>
    </xf>
    <xf numFmtId="0" fontId="19" fillId="5" borderId="1" xfId="2" applyFill="1" applyBorder="1" applyAlignment="1">
      <alignment horizontal="center" vertical="center"/>
    </xf>
    <xf numFmtId="0" fontId="19" fillId="5" borderId="30" xfId="2" applyFill="1" applyBorder="1" applyAlignment="1">
      <alignment horizontal="center" vertical="center"/>
    </xf>
    <xf numFmtId="0" fontId="19" fillId="0" borderId="0" xfId="2" applyBorder="1" applyAlignment="1">
      <alignment horizontal="center" vertical="center"/>
    </xf>
    <xf numFmtId="0" fontId="19" fillId="0" borderId="0" xfId="2" applyBorder="1" applyAlignment="1">
      <alignment vertical="center"/>
    </xf>
    <xf numFmtId="0" fontId="0" fillId="0" borderId="10" xfId="2" applyFont="1" applyBorder="1" applyAlignment="1">
      <alignment horizontal="center" vertical="center"/>
    </xf>
    <xf numFmtId="2" fontId="19" fillId="5" borderId="28" xfId="2" applyNumberFormat="1" applyFill="1" applyBorder="1" applyAlignment="1">
      <alignment horizontal="center" vertical="center"/>
    </xf>
    <xf numFmtId="0" fontId="19" fillId="5" borderId="28" xfId="2" applyFill="1" applyBorder="1" applyAlignment="1">
      <alignment horizontal="center" vertical="center"/>
    </xf>
    <xf numFmtId="0" fontId="19" fillId="0" borderId="31" xfId="2" applyBorder="1" applyAlignment="1">
      <alignment horizontal="center" vertical="center"/>
    </xf>
    <xf numFmtId="171" fontId="19" fillId="0" borderId="28" xfId="2" applyNumberFormat="1" applyBorder="1" applyAlignment="1">
      <alignment horizontal="center" vertical="center"/>
    </xf>
    <xf numFmtId="2" fontId="19" fillId="0" borderId="32" xfId="2" applyNumberFormat="1" applyBorder="1" applyAlignment="1">
      <alignment horizontal="center" vertical="center"/>
    </xf>
    <xf numFmtId="0" fontId="19" fillId="0" borderId="12" xfId="2" applyBorder="1" applyAlignment="1">
      <alignment horizontal="center" vertical="center"/>
    </xf>
    <xf numFmtId="171" fontId="19" fillId="0" borderId="31" xfId="2" applyNumberFormat="1" applyBorder="1" applyAlignment="1">
      <alignment horizontal="center" vertical="center"/>
    </xf>
    <xf numFmtId="171" fontId="19" fillId="0" borderId="12" xfId="2" applyNumberFormat="1" applyBorder="1" applyAlignment="1">
      <alignment horizontal="center" vertical="center"/>
    </xf>
    <xf numFmtId="2" fontId="19" fillId="0" borderId="28" xfId="2" applyNumberFormat="1" applyBorder="1" applyAlignment="1">
      <alignment horizontal="center" vertical="center"/>
    </xf>
    <xf numFmtId="0" fontId="19" fillId="6" borderId="28" xfId="2" applyFill="1" applyBorder="1" applyAlignment="1">
      <alignment horizontal="center" vertical="center"/>
    </xf>
    <xf numFmtId="168" fontId="19" fillId="0" borderId="28" xfId="2" applyNumberFormat="1" applyBorder="1" applyAlignment="1">
      <alignment horizontal="center" vertical="center"/>
    </xf>
    <xf numFmtId="0" fontId="0" fillId="0" borderId="0" xfId="0" applyAlignment="1"/>
    <xf numFmtId="0" fontId="0" fillId="0" borderId="0" xfId="2" applyFont="1" applyAlignment="1">
      <alignment horizontal="center" vertical="center"/>
    </xf>
    <xf numFmtId="0" fontId="0" fillId="0" borderId="0" xfId="2" applyFont="1" applyAlignment="1">
      <alignment horizontal="right" vertical="center"/>
    </xf>
    <xf numFmtId="0" fontId="0" fillId="0" borderId="0" xfId="2" applyFont="1" applyAlignment="1">
      <alignment vertical="center"/>
    </xf>
    <xf numFmtId="0" fontId="0" fillId="5" borderId="1" xfId="2" applyFont="1" applyFill="1" applyBorder="1" applyAlignment="1">
      <alignment horizontal="center" vertical="center"/>
    </xf>
    <xf numFmtId="171" fontId="0" fillId="5" borderId="30" xfId="2" applyNumberFormat="1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30" xfId="2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2" applyFont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2" fontId="0" fillId="5" borderId="28" xfId="2" applyNumberFormat="1" applyFont="1" applyFill="1" applyBorder="1" applyAlignment="1">
      <alignment horizontal="center" vertical="center"/>
    </xf>
    <xf numFmtId="0" fontId="0" fillId="5" borderId="28" xfId="2" applyFont="1" applyFill="1" applyBorder="1" applyAlignment="1">
      <alignment horizontal="center" vertical="center"/>
    </xf>
    <xf numFmtId="171" fontId="0" fillId="0" borderId="28" xfId="2" applyNumberFormat="1" applyFont="1" applyBorder="1" applyAlignment="1">
      <alignment horizontal="center" vertical="center"/>
    </xf>
    <xf numFmtId="0" fontId="0" fillId="5" borderId="32" xfId="2" applyFont="1" applyFill="1" applyBorder="1" applyAlignment="1">
      <alignment horizontal="center" vertical="center"/>
    </xf>
    <xf numFmtId="0" fontId="7" fillId="0" borderId="0" xfId="0" applyFont="1">
      <alignment horizontal="center"/>
    </xf>
    <xf numFmtId="0" fontId="0" fillId="0" borderId="28" xfId="2" applyFont="1" applyBorder="1" applyAlignment="1">
      <alignment horizontal="center" vertical="center"/>
    </xf>
    <xf numFmtId="0" fontId="0" fillId="0" borderId="0" xfId="1" applyFont="1"/>
    <xf numFmtId="0" fontId="0" fillId="0" borderId="0" xfId="1" applyFont="1" applyAlignment="1">
      <alignment horizontal="center"/>
    </xf>
    <xf numFmtId="2" fontId="0" fillId="0" borderId="28" xfId="2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73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8" xfId="0" applyFont="1" applyBorder="1" applyAlignment="1">
      <alignment vertical="center"/>
    </xf>
    <xf numFmtId="173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28" xfId="0" applyFont="1" applyBorder="1" applyAlignment="1">
      <alignment vertical="center"/>
    </xf>
    <xf numFmtId="176" fontId="3" fillId="0" borderId="28" xfId="0" applyNumberFormat="1" applyFont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0" fontId="1" fillId="0" borderId="0" xfId="1"/>
    <xf numFmtId="0" fontId="10" fillId="0" borderId="0" xfId="1" applyFont="1"/>
    <xf numFmtId="0" fontId="10" fillId="0" borderId="33" xfId="1" applyFont="1" applyBorder="1"/>
    <xf numFmtId="0" fontId="1" fillId="0" borderId="34" xfId="1" applyBorder="1"/>
    <xf numFmtId="0" fontId="1" fillId="0" borderId="35" xfId="1" applyBorder="1"/>
    <xf numFmtId="0" fontId="1" fillId="0" borderId="36" xfId="1" applyFont="1" applyBorder="1"/>
    <xf numFmtId="0" fontId="1" fillId="0" borderId="0" xfId="1" applyBorder="1"/>
    <xf numFmtId="0" fontId="1" fillId="0" borderId="37" xfId="1" applyBorder="1"/>
    <xf numFmtId="0" fontId="1" fillId="0" borderId="38" xfId="1" applyBorder="1"/>
    <xf numFmtId="0" fontId="1" fillId="0" borderId="2" xfId="1" applyBorder="1"/>
    <xf numFmtId="0" fontId="1" fillId="0" borderId="39" xfId="1" applyBorder="1"/>
    <xf numFmtId="0" fontId="10" fillId="0" borderId="40" xfId="1" applyFont="1" applyBorder="1"/>
    <xf numFmtId="0" fontId="10" fillId="0" borderId="41" xfId="1" applyFont="1" applyBorder="1"/>
    <xf numFmtId="0" fontId="10" fillId="0" borderId="42" xfId="1" applyFont="1" applyBorder="1"/>
    <xf numFmtId="0" fontId="1" fillId="0" borderId="12" xfId="1" applyFont="1" applyBorder="1"/>
    <xf numFmtId="9" fontId="1" fillId="0" borderId="0" xfId="1" applyNumberFormat="1" applyBorder="1"/>
    <xf numFmtId="0" fontId="1" fillId="0" borderId="16" xfId="1" applyBorder="1"/>
    <xf numFmtId="0" fontId="1" fillId="0" borderId="10" xfId="1" applyBorder="1"/>
    <xf numFmtId="9" fontId="1" fillId="0" borderId="1" xfId="1" applyNumberFormat="1" applyBorder="1"/>
    <xf numFmtId="0" fontId="1" fillId="0" borderId="43" xfId="1" applyBorder="1"/>
    <xf numFmtId="0" fontId="10" fillId="0" borderId="29" xfId="1" applyFont="1" applyBorder="1"/>
    <xf numFmtId="0" fontId="1" fillId="0" borderId="44" xfId="1" applyBorder="1"/>
    <xf numFmtId="0" fontId="1" fillId="0" borderId="12" xfId="1" applyBorder="1"/>
    <xf numFmtId="0" fontId="0" fillId="0" borderId="29" xfId="0" applyFont="1" applyBorder="1">
      <alignment horizontal="center"/>
    </xf>
    <xf numFmtId="0" fontId="1" fillId="0" borderId="0" xfId="1" applyFont="1" applyBorder="1" applyAlignment="1">
      <alignment horizontal="right"/>
    </xf>
    <xf numFmtId="0" fontId="0" fillId="2" borderId="1" xfId="0" applyFill="1" applyBorder="1" applyAlignment="1" applyProtection="1">
      <alignment horizontal="center"/>
      <protection locked="0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6" xfId="1" applyFont="1" applyBorder="1"/>
    <xf numFmtId="0" fontId="1" fillId="0" borderId="0" xfId="1" applyFont="1" applyBorder="1" applyAlignment="1">
      <alignment horizontal="center"/>
    </xf>
    <xf numFmtId="0" fontId="1" fillId="0" borderId="46" xfId="1" applyBorder="1" applyAlignment="1">
      <alignment horizontal="center"/>
    </xf>
    <xf numFmtId="0" fontId="1" fillId="0" borderId="47" xfId="1" applyFont="1" applyBorder="1"/>
    <xf numFmtId="0" fontId="7" fillId="0" borderId="27" xfId="0" applyFont="1" applyBorder="1">
      <alignment horizontal="center"/>
    </xf>
    <xf numFmtId="0" fontId="1" fillId="0" borderId="28" xfId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171" fontId="1" fillId="0" borderId="28" xfId="1" applyNumberFormat="1" applyBorder="1" applyAlignment="1">
      <alignment horizontal="center"/>
    </xf>
    <xf numFmtId="176" fontId="1" fillId="0" borderId="28" xfId="1" applyNumberFormat="1" applyBorder="1" applyAlignment="1">
      <alignment horizontal="center"/>
    </xf>
    <xf numFmtId="0" fontId="1" fillId="0" borderId="1" xfId="1" applyFont="1" applyBorder="1"/>
    <xf numFmtId="0" fontId="1" fillId="0" borderId="1" xfId="1" applyBorder="1"/>
    <xf numFmtId="0" fontId="1" fillId="4" borderId="36" xfId="1" applyFont="1" applyFill="1" applyBorder="1"/>
    <xf numFmtId="0" fontId="1" fillId="4" borderId="0" xfId="1" applyFill="1" applyBorder="1"/>
    <xf numFmtId="0" fontId="1" fillId="4" borderId="37" xfId="1" applyFill="1" applyBorder="1"/>
    <xf numFmtId="0" fontId="1" fillId="4" borderId="38" xfId="1" applyFont="1" applyFill="1" applyBorder="1"/>
    <xf numFmtId="0" fontId="1" fillId="4" borderId="2" xfId="1" applyFill="1" applyBorder="1"/>
    <xf numFmtId="0" fontId="1" fillId="4" borderId="39" xfId="1" applyFill="1" applyBorder="1"/>
    <xf numFmtId="0" fontId="1" fillId="0" borderId="29" xfId="1" applyBorder="1"/>
    <xf numFmtId="0" fontId="10" fillId="0" borderId="44" xfId="1" applyFont="1" applyBorder="1"/>
    <xf numFmtId="0" fontId="10" fillId="0" borderId="45" xfId="1" applyFont="1" applyBorder="1"/>
    <xf numFmtId="0" fontId="10" fillId="0" borderId="0" xfId="1" applyFont="1" applyBorder="1"/>
    <xf numFmtId="0" fontId="0" fillId="0" borderId="16" xfId="0" applyBorder="1" applyAlignment="1">
      <alignment horizontal="center"/>
    </xf>
    <xf numFmtId="0" fontId="10" fillId="0" borderId="12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6" xfId="1" applyFont="1" applyBorder="1" applyAlignment="1">
      <alignment horizontal="center"/>
    </xf>
    <xf numFmtId="0" fontId="10" fillId="0" borderId="4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0" fillId="0" borderId="47" xfId="1" applyFont="1" applyBorder="1" applyAlignment="1">
      <alignment horizontal="center"/>
    </xf>
    <xf numFmtId="0" fontId="1" fillId="0" borderId="0" xfId="1" applyFont="1"/>
    <xf numFmtId="0" fontId="0" fillId="2" borderId="15" xfId="0" applyFont="1" applyFill="1" applyBorder="1" applyProtection="1">
      <alignment horizontal="center"/>
      <protection locked="0"/>
    </xf>
    <xf numFmtId="173" fontId="0" fillId="2" borderId="14" xfId="0" applyNumberFormat="1" applyFont="1" applyFill="1" applyBorder="1" applyProtection="1">
      <alignment horizontal="center"/>
      <protection locked="0"/>
    </xf>
    <xf numFmtId="2" fontId="0" fillId="2" borderId="14" xfId="0" applyNumberFormat="1" applyFont="1" applyFill="1" applyBorder="1" applyProtection="1">
      <alignment horizontal="center"/>
      <protection locked="0"/>
    </xf>
    <xf numFmtId="2" fontId="1" fillId="0" borderId="16" xfId="1" applyNumberFormat="1" applyBorder="1" applyAlignment="1">
      <alignment horizontal="center"/>
    </xf>
    <xf numFmtId="171" fontId="1" fillId="0" borderId="0" xfId="1" applyNumberFormat="1" applyAlignment="1">
      <alignment horizontal="center"/>
    </xf>
    <xf numFmtId="11" fontId="1" fillId="0" borderId="0" xfId="1" applyNumberFormat="1" applyAlignment="1">
      <alignment horizontal="center"/>
    </xf>
    <xf numFmtId="173" fontId="1" fillId="0" borderId="0" xfId="1" applyNumberFormat="1" applyBorder="1" applyAlignment="1">
      <alignment horizontal="center"/>
    </xf>
    <xf numFmtId="2" fontId="1" fillId="0" borderId="0" xfId="1" applyNumberFormat="1" applyAlignment="1">
      <alignment horizontal="center"/>
    </xf>
    <xf numFmtId="171" fontId="1" fillId="0" borderId="0" xfId="1" applyNumberForma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0" fillId="2" borderId="10" xfId="0" applyFont="1" applyFill="1" applyBorder="1" applyProtection="1">
      <alignment horizontal="center"/>
      <protection locked="0"/>
    </xf>
    <xf numFmtId="0" fontId="0" fillId="2" borderId="1" xfId="0" applyFont="1" applyFill="1" applyBorder="1" applyProtection="1">
      <alignment horizontal="center"/>
      <protection locked="0"/>
    </xf>
    <xf numFmtId="0" fontId="1" fillId="0" borderId="1" xfId="1" applyFont="1" applyBorder="1" applyAlignment="1">
      <alignment horizontal="center"/>
    </xf>
    <xf numFmtId="2" fontId="0" fillId="2" borderId="1" xfId="0" applyNumberFormat="1" applyFont="1" applyFill="1" applyBorder="1" applyProtection="1">
      <alignment horizontal="center"/>
      <protection locked="0"/>
    </xf>
    <xf numFmtId="2" fontId="1" fillId="0" borderId="43" xfId="1" applyNumberFormat="1" applyBorder="1" applyAlignment="1">
      <alignment horizontal="center"/>
    </xf>
    <xf numFmtId="1" fontId="1" fillId="0" borderId="0" xfId="1" applyNumberFormat="1" applyBorder="1"/>
    <xf numFmtId="2" fontId="1" fillId="0" borderId="0" xfId="1" applyNumberFormat="1" applyBorder="1" applyAlignment="1">
      <alignment horizontal="center"/>
    </xf>
    <xf numFmtId="1" fontId="1" fillId="0" borderId="0" xfId="1" applyNumberFormat="1"/>
    <xf numFmtId="0" fontId="12" fillId="0" borderId="0" xfId="4" applyFont="1"/>
    <xf numFmtId="0" fontId="4" fillId="0" borderId="0" xfId="4" applyFont="1" applyAlignment="1">
      <alignment horizontal="center"/>
    </xf>
    <xf numFmtId="0" fontId="13" fillId="0" borderId="0" xfId="4" applyFont="1" applyAlignment="1">
      <alignment horizontal="left"/>
    </xf>
    <xf numFmtId="0" fontId="12" fillId="0" borderId="0" xfId="4" applyFont="1" applyAlignment="1">
      <alignment horizontal="center"/>
    </xf>
    <xf numFmtId="0" fontId="14" fillId="0" borderId="0" xfId="4" applyFont="1"/>
    <xf numFmtId="164" fontId="12" fillId="7" borderId="1" xfId="4" applyNumberFormat="1" applyFont="1" applyFill="1" applyBorder="1"/>
    <xf numFmtId="0" fontId="12" fillId="0" borderId="0" xfId="4" applyFont="1" applyAlignment="1">
      <alignment horizontal="right"/>
    </xf>
    <xf numFmtId="0" fontId="12" fillId="7" borderId="1" xfId="4" applyFont="1" applyFill="1" applyBorder="1"/>
    <xf numFmtId="0" fontId="1" fillId="0" borderId="0" xfId="4"/>
    <xf numFmtId="0" fontId="15" fillId="0" borderId="0" xfId="4" applyFont="1" applyAlignment="1">
      <alignment horizontal="left"/>
    </xf>
    <xf numFmtId="0" fontId="12" fillId="0" borderId="2" xfId="4" applyFont="1" applyBorder="1"/>
    <xf numFmtId="0" fontId="12" fillId="0" borderId="1" xfId="4" applyFont="1" applyBorder="1" applyAlignment="1">
      <alignment horizontal="right"/>
    </xf>
    <xf numFmtId="0" fontId="16" fillId="0" borderId="10" xfId="4" applyFont="1" applyBorder="1" applyAlignment="1">
      <alignment horizontal="center"/>
    </xf>
    <xf numFmtId="0" fontId="12" fillId="0" borderId="10" xfId="4" applyFont="1" applyBorder="1" applyAlignment="1">
      <alignment horizontal="center"/>
    </xf>
    <xf numFmtId="166" fontId="12" fillId="0" borderId="0" xfId="4" applyNumberFormat="1" applyFont="1"/>
    <xf numFmtId="0" fontId="12" fillId="0" borderId="14" xfId="4" applyFont="1" applyBorder="1" applyAlignment="1">
      <alignment horizontal="right"/>
    </xf>
    <xf numFmtId="2" fontId="12" fillId="3" borderId="15" xfId="4" applyNumberFormat="1" applyFont="1" applyFill="1" applyBorder="1" applyAlignment="1">
      <alignment horizontal="center"/>
    </xf>
    <xf numFmtId="168" fontId="12" fillId="0" borderId="0" xfId="4" applyNumberFormat="1" applyFont="1"/>
    <xf numFmtId="169" fontId="12" fillId="0" borderId="0" xfId="4" applyNumberFormat="1" applyFont="1"/>
    <xf numFmtId="3" fontId="12" fillId="0" borderId="14" xfId="4" applyNumberFormat="1" applyFont="1" applyBorder="1" applyAlignment="1">
      <alignment horizontal="right"/>
    </xf>
    <xf numFmtId="0" fontId="12" fillId="7" borderId="0" xfId="4" applyFont="1" applyFill="1"/>
    <xf numFmtId="2" fontId="12" fillId="7" borderId="0" xfId="4" applyNumberFormat="1" applyFont="1" applyFill="1"/>
    <xf numFmtId="0" fontId="12" fillId="0" borderId="0" xfId="4" applyFont="1" applyBorder="1"/>
    <xf numFmtId="0" fontId="12" fillId="0" borderId="1" xfId="4" applyFont="1" applyBorder="1"/>
    <xf numFmtId="174" fontId="12" fillId="0" borderId="0" xfId="4" applyNumberFormat="1" applyFont="1"/>
    <xf numFmtId="11" fontId="12" fillId="7" borderId="0" xfId="4" applyNumberFormat="1" applyFont="1" applyFill="1"/>
    <xf numFmtId="11" fontId="12" fillId="0" borderId="0" xfId="4" applyNumberFormat="1" applyFont="1"/>
    <xf numFmtId="173" fontId="12" fillId="0" borderId="0" xfId="4" applyNumberFormat="1" applyFont="1"/>
    <xf numFmtId="178" fontId="12" fillId="0" borderId="0" xfId="4" applyNumberFormat="1" applyFont="1"/>
    <xf numFmtId="0" fontId="12" fillId="0" borderId="28" xfId="4" applyFont="1" applyBorder="1"/>
    <xf numFmtId="2" fontId="12" fillId="0" borderId="0" xfId="4" applyNumberFormat="1" applyFont="1"/>
    <xf numFmtId="171" fontId="1" fillId="0" borderId="0" xfId="4" applyNumberFormat="1"/>
    <xf numFmtId="171" fontId="6" fillId="0" borderId="7" xfId="4" applyNumberFormat="1" applyFont="1" applyBorder="1" applyAlignment="1">
      <alignment horizontal="center"/>
    </xf>
    <xf numFmtId="171" fontId="1" fillId="0" borderId="0" xfId="4" applyNumberFormat="1" applyFont="1" applyBorder="1" applyAlignment="1">
      <alignment horizontal="center"/>
    </xf>
    <xf numFmtId="171" fontId="0" fillId="0" borderId="0" xfId="4" applyNumberFormat="1" applyFont="1" applyBorder="1" applyAlignment="1">
      <alignment horizontal="center"/>
    </xf>
    <xf numFmtId="171" fontId="1" fillId="0" borderId="0" xfId="4" applyNumberFormat="1" applyFont="1"/>
    <xf numFmtId="171" fontId="1" fillId="0" borderId="0" xfId="4" applyNumberFormat="1" applyFont="1" applyBorder="1"/>
    <xf numFmtId="171" fontId="1" fillId="0" borderId="7" xfId="4" applyNumberFormat="1" applyFont="1" applyBorder="1"/>
    <xf numFmtId="171" fontId="1" fillId="0" borderId="8" xfId="4" applyNumberFormat="1" applyFont="1" applyBorder="1"/>
    <xf numFmtId="171" fontId="0" fillId="0" borderId="7" xfId="4" applyNumberFormat="1" applyFont="1" applyBorder="1"/>
    <xf numFmtId="171" fontId="0" fillId="0" borderId="0" xfId="4" applyNumberFormat="1" applyFont="1" applyBorder="1"/>
    <xf numFmtId="171" fontId="0" fillId="0" borderId="13" xfId="4" applyNumberFormat="1" applyFont="1" applyBorder="1"/>
    <xf numFmtId="171" fontId="0" fillId="0" borderId="9" xfId="4" applyNumberFormat="1" applyFont="1" applyBorder="1"/>
    <xf numFmtId="171" fontId="7" fillId="0" borderId="10" xfId="4" applyNumberFormat="1" applyFont="1" applyBorder="1"/>
    <xf numFmtId="171" fontId="0" fillId="0" borderId="10" xfId="4" applyNumberFormat="1" applyFont="1" applyBorder="1"/>
    <xf numFmtId="171" fontId="7" fillId="0" borderId="9" xfId="4" applyNumberFormat="1" applyFont="1" applyBorder="1"/>
    <xf numFmtId="171" fontId="0" fillId="0" borderId="11" xfId="4" applyNumberFormat="1" applyFont="1" applyBorder="1"/>
    <xf numFmtId="1" fontId="0" fillId="0" borderId="7" xfId="4" applyNumberFormat="1" applyFont="1" applyBorder="1"/>
    <xf numFmtId="171" fontId="0" fillId="0" borderId="12" xfId="4" applyNumberFormat="1" applyFont="1" applyBorder="1"/>
    <xf numFmtId="171" fontId="1" fillId="0" borderId="12" xfId="4" applyNumberFormat="1" applyFont="1" applyBorder="1"/>
    <xf numFmtId="171" fontId="0" fillId="0" borderId="17" xfId="4" applyNumberFormat="1" applyFont="1" applyBorder="1"/>
    <xf numFmtId="171" fontId="1" fillId="0" borderId="25" xfId="4" applyNumberFormat="1" applyFont="1" applyBorder="1"/>
    <xf numFmtId="171" fontId="0" fillId="0" borderId="25" xfId="4" applyNumberFormat="1" applyFont="1" applyBorder="1"/>
    <xf numFmtId="171" fontId="1" fillId="0" borderId="17" xfId="4" applyNumberFormat="1" applyFont="1" applyBorder="1"/>
    <xf numFmtId="171" fontId="1" fillId="0" borderId="26" xfId="4" applyNumberFormat="1" applyFont="1" applyBorder="1"/>
    <xf numFmtId="0" fontId="3" fillId="0" borderId="0" xfId="0" applyFont="1" applyAlignme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11" fontId="0" fillId="0" borderId="0" xfId="0" applyNumberForma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>
      <alignment horizontal="center"/>
    </xf>
    <xf numFmtId="0" fontId="3" fillId="0" borderId="0" xfId="0" applyFont="1">
      <alignment horizontal="center"/>
    </xf>
    <xf numFmtId="171" fontId="0" fillId="0" borderId="7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0" fillId="0" borderId="29" xfId="2" applyFont="1" applyBorder="1" applyAlignment="1">
      <alignment horizontal="center" vertical="center"/>
    </xf>
    <xf numFmtId="177" fontId="19" fillId="0" borderId="0" xfId="2" applyNumberFormat="1" applyBorder="1" applyAlignment="1">
      <alignment horizontal="left" vertical="center"/>
    </xf>
    <xf numFmtId="0" fontId="0" fillId="0" borderId="0" xfId="2" applyFont="1" applyBorder="1" applyAlignment="1">
      <alignment horizontal="center" vertical="center"/>
    </xf>
    <xf numFmtId="0" fontId="0" fillId="0" borderId="12" xfId="2" applyFont="1" applyBorder="1" applyAlignment="1">
      <alignment horizontal="center" vertical="center"/>
    </xf>
    <xf numFmtId="177" fontId="0" fillId="0" borderId="0" xfId="2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" fillId="0" borderId="45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" fillId="0" borderId="0" xfId="1" applyFont="1" applyBorder="1" applyAlignment="1">
      <alignment horizontal="center" vertical="center" wrapText="1"/>
    </xf>
    <xf numFmtId="0" fontId="12" fillId="0" borderId="1" xfId="4" applyFont="1" applyBorder="1" applyAlignment="1">
      <alignment wrapText="1"/>
    </xf>
    <xf numFmtId="0" fontId="12" fillId="0" borderId="0" xfId="4" applyFont="1" applyBorder="1" applyAlignment="1">
      <alignment horizontal="center"/>
    </xf>
    <xf numFmtId="171" fontId="6" fillId="0" borderId="4" xfId="4" applyNumberFormat="1" applyFont="1" applyBorder="1" applyAlignment="1">
      <alignment horizontal="center"/>
    </xf>
    <xf numFmtId="171" fontId="6" fillId="0" borderId="21" xfId="4" applyNumberFormat="1" applyFont="1" applyBorder="1" applyAlignment="1">
      <alignment horizontal="center"/>
    </xf>
    <xf numFmtId="171" fontId="0" fillId="0" borderId="12" xfId="4" applyNumberFormat="1" applyFont="1" applyBorder="1" applyAlignment="1">
      <alignment horizontal="center"/>
    </xf>
    <xf numFmtId="171" fontId="0" fillId="0" borderId="7" xfId="4" applyNumberFormat="1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6000000}"/>
    <cellStyle name="Normal 3" xfId="2" xr:uid="{00000000-0005-0000-0000-000007000000}"/>
    <cellStyle name="Normal_Shield_form" xfId="3" xr:uid="{00000000-0005-0000-0000-000008000000}"/>
    <cellStyle name="Normal_shieldevaluation" xfId="4" xr:uid="{00000000-0005-0000-0000-000009000000}"/>
    <cellStyle name="Percent 2" xfId="5" xr:uid="{00000000-0005-0000-0000-00000A000000}"/>
  </cellStyles>
  <dxfs count="1">
    <dxf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80" cap="rnd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F-4E7A-8342-4490EAC47F7C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80" cap="rnd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AF-4E7A-8342-4490EAC4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6936"/>
        <c:axId val="37594533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80" cap="rnd">
              <a:solidFill>
                <a:srgbClr val="9BBB59"/>
              </a:solidFill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F-4E7A-8342-4490EAC4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1994"/>
        <c:axId val="88909480"/>
      </c:scatterChart>
      <c:valAx>
        <c:axId val="89886936"/>
        <c:scaling>
          <c:orientation val="minMax"/>
          <c:max val="150"/>
          <c:min val="3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kV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594533"/>
        <c:crosses val="autoZero"/>
        <c:crossBetween val="midCat"/>
      </c:valAx>
      <c:valAx>
        <c:axId val="375945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Coefficient (a, 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886936"/>
        <c:crosses val="autoZero"/>
        <c:crossBetween val="midCat"/>
      </c:valAx>
      <c:valAx>
        <c:axId val="3110199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09480"/>
        <c:crosses val="autoZero"/>
        <c:crossBetween val="midCat"/>
      </c:valAx>
      <c:valAx>
        <c:axId val="8890948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Coefficient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101994"/>
        <c:crosses val="max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"/><Relationship Id="rId1" Type="http://schemas.openxmlformats.org/officeDocument/2006/relationships/image" Target="../media/image1.t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74</xdr:row>
      <xdr:rowOff>95400</xdr:rowOff>
    </xdr:from>
    <xdr:to>
      <xdr:col>4</xdr:col>
      <xdr:colOff>3450</xdr:colOff>
      <xdr:row>77</xdr:row>
      <xdr:rowOff>154440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68200" y="12571200"/>
          <a:ext cx="2026080" cy="561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</xdr:row>
      <xdr:rowOff>95400</xdr:rowOff>
    </xdr:from>
    <xdr:to>
      <xdr:col>1</xdr:col>
      <xdr:colOff>608325</xdr:colOff>
      <xdr:row>47</xdr:row>
      <xdr:rowOff>154440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7542000"/>
          <a:ext cx="1843200" cy="561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76320</xdr:rowOff>
    </xdr:from>
    <xdr:to>
      <xdr:col>1</xdr:col>
      <xdr:colOff>650160</xdr:colOff>
      <xdr:row>32</xdr:row>
      <xdr:rowOff>16560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54960"/>
          <a:ext cx="1769400" cy="534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619200</xdr:colOff>
      <xdr:row>22</xdr:row>
      <xdr:rowOff>9360</xdr:rowOff>
    </xdr:from>
    <xdr:to>
      <xdr:col>11</xdr:col>
      <xdr:colOff>428040</xdr:colOff>
      <xdr:row>38</xdr:row>
      <xdr:rowOff>167040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2"/>
  <sheetViews>
    <sheetView topLeftCell="A4" zoomScaleNormal="100" workbookViewId="0"/>
  </sheetViews>
  <sheetFormatPr defaultColWidth="8.6640625" defaultRowHeight="12.75" x14ac:dyDescent="0.2"/>
  <cols>
    <col min="1" max="1" width="13.83203125" customWidth="1"/>
    <col min="11" max="14" width="12.33203125" customWidth="1"/>
    <col min="16" max="29" width="9.33203125" style="1" customWidth="1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2"/>
      <c r="C1" s="2"/>
      <c r="D1" s="3"/>
      <c r="E1" s="2"/>
      <c r="F1" s="2"/>
      <c r="G1" s="4" t="s">
        <v>0</v>
      </c>
      <c r="I1" s="2"/>
      <c r="J1" s="2"/>
      <c r="K1" s="2"/>
      <c r="L1" s="2"/>
      <c r="M1" s="2"/>
      <c r="N1" s="2"/>
      <c r="O1" s="1"/>
      <c r="P1" s="5" t="s">
        <v>1</v>
      </c>
    </row>
    <row r="2" spans="1:36" x14ac:dyDescent="0.2">
      <c r="O2" s="1"/>
    </row>
    <row r="3" spans="1:36" x14ac:dyDescent="0.2">
      <c r="A3" s="6" t="s">
        <v>2</v>
      </c>
      <c r="B3" s="7"/>
      <c r="C3" s="8"/>
      <c r="D3" s="9"/>
      <c r="E3" s="9"/>
      <c r="F3" s="9"/>
      <c r="G3" s="9"/>
      <c r="H3" s="9"/>
      <c r="I3" s="9"/>
      <c r="J3" s="10"/>
      <c r="O3" s="11" t="s">
        <v>3</v>
      </c>
      <c r="P3" s="12" t="s">
        <v>4</v>
      </c>
    </row>
    <row r="4" spans="1:36" x14ac:dyDescent="0.2">
      <c r="A4" s="13"/>
      <c r="B4" s="2"/>
      <c r="C4" s="2"/>
      <c r="D4" s="2"/>
      <c r="E4" s="2"/>
      <c r="F4" s="2"/>
      <c r="G4" s="2"/>
      <c r="H4" s="2"/>
      <c r="I4" s="2"/>
      <c r="J4" s="2"/>
      <c r="O4" s="11" t="s">
        <v>5</v>
      </c>
      <c r="P4" s="12" t="s">
        <v>6</v>
      </c>
      <c r="AG4" t="s">
        <v>7</v>
      </c>
    </row>
    <row r="5" spans="1:36" x14ac:dyDescent="0.2">
      <c r="A5" s="14" t="s">
        <v>8</v>
      </c>
      <c r="B5" s="15"/>
      <c r="C5" s="15"/>
      <c r="D5" s="16"/>
      <c r="E5" s="16"/>
      <c r="G5" s="17" t="s">
        <v>9</v>
      </c>
      <c r="H5" s="18" t="s">
        <v>105</v>
      </c>
      <c r="I5" s="19"/>
      <c r="J5" s="20"/>
      <c r="K5" s="21"/>
      <c r="L5" s="21"/>
      <c r="O5" s="11" t="s">
        <v>10</v>
      </c>
      <c r="P5" s="12" t="s">
        <v>11</v>
      </c>
      <c r="AE5" s="22" t="s">
        <v>12</v>
      </c>
      <c r="AF5" s="22" t="s">
        <v>13</v>
      </c>
      <c r="AG5" s="22" t="s">
        <v>14</v>
      </c>
    </row>
    <row r="6" spans="1:36" x14ac:dyDescent="0.2">
      <c r="A6" s="14"/>
      <c r="B6" s="23"/>
      <c r="C6" s="23"/>
      <c r="D6" s="24"/>
      <c r="E6" s="24"/>
      <c r="F6" s="25"/>
      <c r="G6" s="26"/>
      <c r="H6" s="27"/>
      <c r="I6" s="28"/>
      <c r="J6" s="29"/>
      <c r="K6" s="21"/>
      <c r="L6" s="21"/>
      <c r="O6" s="11" t="s">
        <v>15</v>
      </c>
      <c r="P6" s="12" t="s">
        <v>16</v>
      </c>
      <c r="AE6">
        <v>-25.4</v>
      </c>
      <c r="AF6">
        <v>-1</v>
      </c>
      <c r="AG6" s="30" t="s">
        <v>17</v>
      </c>
    </row>
    <row r="7" spans="1:36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O7" s="11" t="s">
        <v>18</v>
      </c>
      <c r="P7" s="12" t="s">
        <v>19</v>
      </c>
      <c r="AD7" s="31"/>
      <c r="AE7">
        <v>0</v>
      </c>
      <c r="AF7">
        <v>0</v>
      </c>
      <c r="AG7" s="32" t="s">
        <v>20</v>
      </c>
      <c r="AJ7" s="31"/>
    </row>
    <row r="8" spans="1:36" x14ac:dyDescent="0.2">
      <c r="C8" s="6" t="s">
        <v>21</v>
      </c>
      <c r="D8" s="33"/>
      <c r="O8" s="11" t="s">
        <v>22</v>
      </c>
      <c r="P8" s="12" t="s">
        <v>23</v>
      </c>
      <c r="AD8" s="31"/>
      <c r="AE8" s="31">
        <v>9.9218750999999994E-2</v>
      </c>
      <c r="AF8" s="34">
        <v>3.90625E-3</v>
      </c>
      <c r="AG8" s="32">
        <v>7.8125E-3</v>
      </c>
      <c r="AH8" s="35"/>
      <c r="AI8" s="31"/>
      <c r="AJ8" s="31"/>
    </row>
    <row r="9" spans="1:36" x14ac:dyDescent="0.2">
      <c r="C9" s="6" t="s">
        <v>24</v>
      </c>
      <c r="D9" s="33"/>
      <c r="G9" s="6" t="s">
        <v>25</v>
      </c>
      <c r="H9" s="36"/>
      <c r="I9" s="37"/>
      <c r="O9" s="11" t="s">
        <v>26</v>
      </c>
      <c r="P9" s="12" t="s">
        <v>27</v>
      </c>
      <c r="AD9" s="31"/>
      <c r="AE9" s="31">
        <v>0.19843750099999999</v>
      </c>
      <c r="AF9" s="34">
        <v>7.8125E-3</v>
      </c>
      <c r="AG9" s="32">
        <v>1.5625E-2</v>
      </c>
      <c r="AH9" s="35"/>
      <c r="AI9" s="31"/>
      <c r="AJ9" s="31"/>
    </row>
    <row r="10" spans="1:36" x14ac:dyDescent="0.2">
      <c r="C10" s="6" t="s">
        <v>28</v>
      </c>
      <c r="D10" s="33"/>
      <c r="G10" s="6" t="s">
        <v>29</v>
      </c>
      <c r="H10" s="36"/>
      <c r="I10" s="37"/>
      <c r="O10" s="11" t="s">
        <v>30</v>
      </c>
      <c r="P10" s="12" t="s">
        <v>31</v>
      </c>
      <c r="AD10" s="31"/>
      <c r="AE10" s="31">
        <v>0.39687500100000001</v>
      </c>
      <c r="AF10" s="34">
        <v>1.5625E-2</v>
      </c>
      <c r="AG10" s="32">
        <v>3.125E-2</v>
      </c>
      <c r="AH10" s="35"/>
      <c r="AI10" s="31"/>
      <c r="AJ10" s="31"/>
    </row>
    <row r="11" spans="1:36" x14ac:dyDescent="0.2">
      <c r="C11" s="6" t="s">
        <v>32</v>
      </c>
      <c r="D11" s="38" t="str">
        <f>IF(AND(D8="",D9="",D10=""),"",ROUND(D8*D9*D10/60,0))</f>
        <v/>
      </c>
      <c r="AD11" s="31"/>
      <c r="AE11" s="31">
        <v>0.59531250099999999</v>
      </c>
      <c r="AF11" s="34">
        <v>2.34375E-2</v>
      </c>
      <c r="AG11" s="32">
        <v>3.125E-2</v>
      </c>
      <c r="AH11" s="35"/>
      <c r="AI11" s="31"/>
      <c r="AJ11" s="31"/>
    </row>
    <row r="12" spans="1:36" x14ac:dyDescent="0.2">
      <c r="D12" s="6"/>
      <c r="E12" s="39"/>
      <c r="F12" s="40"/>
      <c r="G12" s="41"/>
      <c r="H12" s="6"/>
      <c r="I12" s="6"/>
      <c r="J12" s="42"/>
      <c r="V12" s="43"/>
      <c r="W12" s="44"/>
      <c r="X12" s="329" t="s">
        <v>33</v>
      </c>
      <c r="Y12" s="329"/>
      <c r="Z12" s="329"/>
      <c r="AA12" s="329"/>
      <c r="AB12" s="45"/>
      <c r="AD12" s="31"/>
      <c r="AE12" s="31">
        <v>0.79375000100000004</v>
      </c>
      <c r="AF12" s="34">
        <v>3.125E-2</v>
      </c>
      <c r="AG12" s="32">
        <v>3.125E-2</v>
      </c>
      <c r="AH12" s="35"/>
      <c r="AI12" s="31"/>
      <c r="AJ12" s="31"/>
    </row>
    <row r="13" spans="1:36" x14ac:dyDescent="0.2">
      <c r="C13" s="40" t="s">
        <v>34</v>
      </c>
      <c r="D13" s="46"/>
      <c r="E13" s="47" t="s">
        <v>35</v>
      </c>
      <c r="F13" s="40"/>
      <c r="G13" s="41"/>
      <c r="H13" s="6"/>
      <c r="I13" s="6"/>
      <c r="J13" s="42"/>
      <c r="V13" s="48"/>
      <c r="W13" s="49"/>
      <c r="X13" s="330" t="s">
        <v>36</v>
      </c>
      <c r="Y13" s="330"/>
      <c r="Z13" s="330"/>
      <c r="AA13" s="330"/>
      <c r="AB13" s="50"/>
      <c r="AD13" s="31"/>
      <c r="AE13" s="31">
        <v>0.99218750099999997</v>
      </c>
      <c r="AF13" s="34">
        <v>3.90625E-2</v>
      </c>
      <c r="AG13" s="32">
        <v>6.25E-2</v>
      </c>
      <c r="AH13" s="35"/>
      <c r="AI13" s="31"/>
      <c r="AJ13" s="31"/>
    </row>
    <row r="14" spans="1:36" x14ac:dyDescent="0.2">
      <c r="C14" s="40"/>
      <c r="D14" s="51"/>
      <c r="E14" s="47"/>
      <c r="F14" s="40"/>
      <c r="G14" s="41"/>
      <c r="H14" s="6"/>
      <c r="I14" s="6"/>
      <c r="J14" s="42"/>
      <c r="V14" s="52" t="s">
        <v>37</v>
      </c>
      <c r="W14" s="53">
        <v>30</v>
      </c>
      <c r="X14" s="53">
        <v>45</v>
      </c>
      <c r="Y14" s="53">
        <v>60</v>
      </c>
      <c r="Z14" s="53">
        <v>90</v>
      </c>
      <c r="AA14" s="53">
        <v>120</v>
      </c>
      <c r="AB14" s="54">
        <v>135</v>
      </c>
      <c r="AD14" s="31"/>
      <c r="AE14" s="31">
        <v>1.1906250009999999</v>
      </c>
      <c r="AF14" s="34">
        <v>4.6875E-2</v>
      </c>
      <c r="AG14" s="32">
        <v>6.25E-2</v>
      </c>
      <c r="AH14" s="35"/>
      <c r="AI14" s="31"/>
      <c r="AJ14" s="31"/>
    </row>
    <row r="15" spans="1:36" x14ac:dyDescent="0.2">
      <c r="A15" s="55" t="s">
        <v>38</v>
      </c>
      <c r="V15" s="48"/>
      <c r="W15" s="56"/>
      <c r="X15" s="56"/>
      <c r="Y15" s="56"/>
      <c r="Z15" s="56"/>
      <c r="AA15" s="56"/>
      <c r="AB15" s="57"/>
      <c r="AD15" s="31"/>
      <c r="AE15" s="31">
        <v>1.3890625009999999</v>
      </c>
      <c r="AF15" s="34">
        <v>5.46875E-2</v>
      </c>
      <c r="AG15" s="32">
        <v>6.25E-2</v>
      </c>
      <c r="AH15" s="35"/>
      <c r="AI15" s="31"/>
      <c r="AJ15" s="31"/>
    </row>
    <row r="16" spans="1:36" x14ac:dyDescent="0.2">
      <c r="A16" s="8" t="s">
        <v>39</v>
      </c>
      <c r="B16" s="58" t="s">
        <v>40</v>
      </c>
      <c r="C16" s="58" t="s">
        <v>41</v>
      </c>
      <c r="D16" s="58" t="s">
        <v>42</v>
      </c>
      <c r="E16" s="53" t="s">
        <v>43</v>
      </c>
      <c r="F16" s="53" t="s">
        <v>44</v>
      </c>
      <c r="G16" s="53" t="s">
        <v>45</v>
      </c>
      <c r="K16" s="14" t="s">
        <v>46</v>
      </c>
      <c r="L16" s="59">
        <f>(12*2.54)/100</f>
        <v>0.30480000000000002</v>
      </c>
      <c r="M16" s="60" t="s">
        <v>47</v>
      </c>
      <c r="V16" s="48">
        <v>30</v>
      </c>
      <c r="W16" s="56"/>
      <c r="X16" s="56"/>
      <c r="Y16" s="56"/>
      <c r="Z16" s="56"/>
      <c r="AA16" s="56"/>
      <c r="AB16" s="57"/>
      <c r="AD16" s="31"/>
      <c r="AE16" s="31">
        <v>1.587500001</v>
      </c>
      <c r="AF16" s="34">
        <v>6.25E-2</v>
      </c>
      <c r="AG16" s="32">
        <v>6.25E-2</v>
      </c>
      <c r="AH16" s="35"/>
      <c r="AI16" s="31"/>
      <c r="AJ16" s="31"/>
    </row>
    <row r="17" spans="1:36" x14ac:dyDescent="0.2">
      <c r="A17" s="61" t="s">
        <v>48</v>
      </c>
      <c r="B17" s="62" t="str">
        <f>IF($D$13="","",VLOOKUP($D$13,$O$46:$AT$71,2))</f>
        <v/>
      </c>
      <c r="C17" s="62" t="str">
        <f>IF($D$13="","",VLOOKUP($D$13,$O$46:$AT$71,3))</f>
        <v/>
      </c>
      <c r="D17" s="62" t="str">
        <f>IF($D$13="","",VLOOKUP($D$13,$O$46:$AT$71,4))</f>
        <v/>
      </c>
      <c r="E17" s="62" t="str">
        <f t="shared" ref="E17:E22" si="0">IF($D$13="","",VLOOKUP($D$13,$O$46:$AT$71,32))</f>
        <v/>
      </c>
      <c r="F17" s="62" t="str">
        <f>IF($D$13="","",VLOOKUP($D$13,$O$46:$AT$71,5))</f>
        <v/>
      </c>
      <c r="G17" s="62" t="str">
        <f>IF($D$13="","",VLOOKUP($D$13,$O$46:$AT$71,6))</f>
        <v/>
      </c>
      <c r="K17" s="6" t="s">
        <v>49</v>
      </c>
      <c r="L17">
        <f>1/16</f>
        <v>6.25E-2</v>
      </c>
      <c r="V17" s="48">
        <v>35</v>
      </c>
      <c r="W17" s="56"/>
      <c r="X17" s="56"/>
      <c r="Y17" s="56"/>
      <c r="Z17" s="56"/>
      <c r="AA17" s="56"/>
      <c r="AB17" s="57"/>
      <c r="AD17" s="31"/>
      <c r="AE17" s="31">
        <v>1.785937501</v>
      </c>
      <c r="AF17" s="34">
        <v>7.03125E-2</v>
      </c>
      <c r="AG17" s="32">
        <v>9.375E-2</v>
      </c>
      <c r="AH17" s="35"/>
      <c r="AI17" s="31"/>
      <c r="AJ17" s="31"/>
    </row>
    <row r="18" spans="1:36" x14ac:dyDescent="0.2">
      <c r="A18" s="61" t="s">
        <v>50</v>
      </c>
      <c r="B18" s="62" t="str">
        <f>IF($D$13="","",VLOOKUP($D$13,$O$46:$AT$71,7))</f>
        <v/>
      </c>
      <c r="C18" s="62" t="str">
        <f>IF($D$13="","",VLOOKUP($D$13,$O$46:$AT$71,8))</f>
        <v/>
      </c>
      <c r="D18" s="62" t="str">
        <f>IF($D$13="","",VLOOKUP($D$13,$O$46:$AT$71,9))</f>
        <v/>
      </c>
      <c r="E18" s="62" t="str">
        <f t="shared" si="0"/>
        <v/>
      </c>
      <c r="F18" s="62" t="str">
        <f>IF($D$13="","",VLOOKUP($D$13,$O$46:$AT$71,10))</f>
        <v/>
      </c>
      <c r="G18" s="62" t="str">
        <f>IF($D$13="","",VLOOKUP($D$13,$O$46:$AT$71,11))</f>
        <v/>
      </c>
      <c r="K18" s="6" t="s">
        <v>51</v>
      </c>
      <c r="L18">
        <f>1/8</f>
        <v>0.125</v>
      </c>
      <c r="V18" s="48">
        <v>50</v>
      </c>
      <c r="W18" s="63">
        <v>5.0000000000000001E-4</v>
      </c>
      <c r="X18" s="63">
        <v>2.0000000000000001E-4</v>
      </c>
      <c r="Y18" s="63">
        <v>2.5000000000000001E-4</v>
      </c>
      <c r="Z18" s="63">
        <v>3.5E-4</v>
      </c>
      <c r="AA18" s="63">
        <v>8.0000000000000004E-4</v>
      </c>
      <c r="AB18" s="64">
        <v>1E-3</v>
      </c>
      <c r="AD18" s="31"/>
      <c r="AE18" s="31">
        <v>1.9843750010000001</v>
      </c>
      <c r="AF18" s="34">
        <v>7.8125E-2</v>
      </c>
      <c r="AG18" s="32">
        <v>9.375E-2</v>
      </c>
      <c r="AH18" s="35"/>
      <c r="AI18" s="31"/>
      <c r="AJ18" s="31"/>
    </row>
    <row r="19" spans="1:36" x14ac:dyDescent="0.2">
      <c r="A19" s="65" t="s">
        <v>52</v>
      </c>
      <c r="B19" s="62" t="str">
        <f>IF($D$13="","",VLOOKUP($D$13,$O$46:$AT$71,12))</f>
        <v/>
      </c>
      <c r="C19" s="62" t="str">
        <f>IF($D$13="","",VLOOKUP($D$13,$O$46:$AT$71,13))</f>
        <v/>
      </c>
      <c r="D19" s="62" t="str">
        <f>IF($D$13="","",VLOOKUP($D$13,$O$46:$AT$71,14))</f>
        <v/>
      </c>
      <c r="E19" s="62" t="str">
        <f t="shared" si="0"/>
        <v/>
      </c>
      <c r="F19" s="62" t="str">
        <f>IF($D$13="","",VLOOKUP($D$13,$O$46:$AT$71,15))</f>
        <v/>
      </c>
      <c r="G19" s="62" t="str">
        <f>IF($D$13="","",VLOOKUP($D$13,$O$46:$AT$71,16))</f>
        <v/>
      </c>
      <c r="I19" s="66" t="s">
        <v>53</v>
      </c>
      <c r="V19" s="48">
        <v>55</v>
      </c>
      <c r="W19" s="67">
        <f t="shared" ref="W19:AB21" si="1">((($V19-$V$18)/($V$22-$V$18))*(W$22-W$18))+W$18</f>
        <v>5.375E-4</v>
      </c>
      <c r="X19" s="67">
        <f t="shared" si="1"/>
        <v>2.375E-4</v>
      </c>
      <c r="Y19" s="67">
        <f t="shared" si="1"/>
        <v>2.7500000000000002E-4</v>
      </c>
      <c r="Z19" s="67">
        <f t="shared" si="1"/>
        <v>3.8749999999999999E-4</v>
      </c>
      <c r="AA19" s="67">
        <f t="shared" si="1"/>
        <v>8.5000000000000006E-4</v>
      </c>
      <c r="AB19" s="68">
        <f t="shared" si="1"/>
        <v>1.075E-3</v>
      </c>
      <c r="AD19" s="31"/>
      <c r="AE19" s="31">
        <v>2.1828125009999999</v>
      </c>
      <c r="AF19" s="34">
        <v>8.59375E-2</v>
      </c>
      <c r="AG19" s="32">
        <v>9.375E-2</v>
      </c>
      <c r="AH19" s="35"/>
      <c r="AI19" s="69"/>
      <c r="AJ19" s="31"/>
    </row>
    <row r="20" spans="1:36" x14ac:dyDescent="0.2">
      <c r="A20" s="65" t="s">
        <v>54</v>
      </c>
      <c r="B20" s="62" t="str">
        <f>IF($D$13="","",VLOOKUP($D$13,$O$46:$AT$71,17))</f>
        <v/>
      </c>
      <c r="C20" s="62" t="str">
        <f>IF($D$13="","",VLOOKUP($D$13,$O$46:$AT$71,18))</f>
        <v/>
      </c>
      <c r="D20" s="62" t="str">
        <f>IF($D$13="","",VLOOKUP($D$13,$O$46:$AT$71,19))</f>
        <v/>
      </c>
      <c r="E20" s="62" t="str">
        <f t="shared" si="0"/>
        <v/>
      </c>
      <c r="F20" s="62" t="str">
        <f>IF($D$13="","",VLOOKUP($D$13,$O$46:$AT$71,20))</f>
        <v/>
      </c>
      <c r="G20" s="62" t="str">
        <f>IF($D$13="","",VLOOKUP($D$13,$O$46:$AT$71,21))</f>
        <v/>
      </c>
      <c r="I20" s="22" t="s">
        <v>55</v>
      </c>
      <c r="J20" s="22" t="s">
        <v>56</v>
      </c>
      <c r="K20" s="22" t="s">
        <v>56</v>
      </c>
      <c r="L20" s="22" t="s">
        <v>55</v>
      </c>
      <c r="V20" s="48">
        <v>60</v>
      </c>
      <c r="W20" s="67">
        <f t="shared" si="1"/>
        <v>5.7499999999999999E-4</v>
      </c>
      <c r="X20" s="67">
        <f t="shared" si="1"/>
        <v>2.7500000000000002E-4</v>
      </c>
      <c r="Y20" s="67">
        <f t="shared" si="1"/>
        <v>3.0000000000000003E-4</v>
      </c>
      <c r="Z20" s="67">
        <f t="shared" si="1"/>
        <v>4.2500000000000003E-4</v>
      </c>
      <c r="AA20" s="67">
        <f t="shared" si="1"/>
        <v>8.9999999999999998E-4</v>
      </c>
      <c r="AB20" s="68">
        <f t="shared" si="1"/>
        <v>1.15E-3</v>
      </c>
      <c r="AD20" s="31"/>
      <c r="AE20" s="31">
        <v>2.3812500010000002</v>
      </c>
      <c r="AF20" s="34">
        <v>9.375E-2</v>
      </c>
      <c r="AG20" s="32">
        <v>9.375E-2</v>
      </c>
      <c r="AH20" s="35"/>
      <c r="AI20" s="69"/>
      <c r="AJ20" s="31"/>
    </row>
    <row r="21" spans="1:36" x14ac:dyDescent="0.2">
      <c r="A21" s="65" t="s">
        <v>57</v>
      </c>
      <c r="B21" s="62" t="str">
        <f>IF($D$13="","",VLOOKUP($D$13,$O$46:$AT$71,22))</f>
        <v/>
      </c>
      <c r="C21" s="62" t="str">
        <f>IF($D$13="","",VLOOKUP($D$13,$O$46:$AT$71,23))</f>
        <v/>
      </c>
      <c r="D21" s="62" t="str">
        <f>IF($D$13="","",VLOOKUP($D$13,$O$46:$AT$71,24))</f>
        <v/>
      </c>
      <c r="E21" s="62" t="str">
        <f t="shared" si="0"/>
        <v/>
      </c>
      <c r="F21" s="62" t="str">
        <f>IF($D$13="","",VLOOKUP($D$13,$O$46:$AT$71,25))</f>
        <v/>
      </c>
      <c r="G21" s="62" t="str">
        <f>IF($D$13="","",VLOOKUP($D$13,$O$46:$AT$71,26))</f>
        <v/>
      </c>
      <c r="I21" s="70"/>
      <c r="J21" s="71">
        <f>I21*12*0.0254</f>
        <v>0</v>
      </c>
      <c r="K21" s="70"/>
      <c r="L21" s="71">
        <f>K21*100/2.54/12</f>
        <v>0</v>
      </c>
      <c r="V21" s="48">
        <v>65</v>
      </c>
      <c r="W21" s="67">
        <f t="shared" si="1"/>
        <v>6.1249999999999998E-4</v>
      </c>
      <c r="X21" s="67">
        <f t="shared" si="1"/>
        <v>3.1250000000000001E-4</v>
      </c>
      <c r="Y21" s="67">
        <f t="shared" si="1"/>
        <v>3.2499999999999999E-4</v>
      </c>
      <c r="Z21" s="67">
        <f t="shared" si="1"/>
        <v>4.6250000000000002E-4</v>
      </c>
      <c r="AA21" s="67">
        <f t="shared" si="1"/>
        <v>9.5E-4</v>
      </c>
      <c r="AB21" s="68">
        <f t="shared" si="1"/>
        <v>1.225E-3</v>
      </c>
      <c r="AD21" s="31"/>
      <c r="AE21" s="31">
        <v>2.579687501</v>
      </c>
      <c r="AF21" s="34">
        <v>0.1015625</v>
      </c>
      <c r="AG21" s="32">
        <v>0.125</v>
      </c>
      <c r="AH21" s="35"/>
      <c r="AI21" s="69"/>
      <c r="AJ21" s="31"/>
    </row>
    <row r="22" spans="1:36" x14ac:dyDescent="0.2">
      <c r="A22" s="65" t="s">
        <v>58</v>
      </c>
      <c r="B22" s="62" t="str">
        <f>IF($D$13="","",VLOOKUP($D$13,$O$46:$AT$71,27))</f>
        <v/>
      </c>
      <c r="C22" s="62" t="str">
        <f>IF($D$13="","",VLOOKUP($D$13,$O$46:$AT$71,28))</f>
        <v/>
      </c>
      <c r="D22" s="62" t="str">
        <f>IF($D$13="","",VLOOKUP($D$13,$O$46:$AT$71,29))</f>
        <v/>
      </c>
      <c r="E22" s="62" t="str">
        <f t="shared" si="0"/>
        <v/>
      </c>
      <c r="F22" s="62" t="str">
        <f>IF($D$13="","",VLOOKUP($D$13,$O$46:$AT$71,30))</f>
        <v/>
      </c>
      <c r="G22" s="62" t="str">
        <f>IF($D$13="","",VLOOKUP($D$13,$O$46:$AT$71,31))</f>
        <v/>
      </c>
      <c r="I22" s="22" t="s">
        <v>13</v>
      </c>
      <c r="J22" s="22" t="s">
        <v>12</v>
      </c>
      <c r="K22" s="72" t="s">
        <v>12</v>
      </c>
      <c r="L22" s="72" t="s">
        <v>13</v>
      </c>
      <c r="M22" s="73"/>
      <c r="V22" s="48">
        <v>70</v>
      </c>
      <c r="W22" s="63">
        <v>6.4999999999999997E-4</v>
      </c>
      <c r="X22" s="63">
        <v>3.5E-4</v>
      </c>
      <c r="Y22" s="63">
        <v>3.5E-4</v>
      </c>
      <c r="Z22" s="63">
        <v>5.0000000000000001E-4</v>
      </c>
      <c r="AA22" s="63">
        <v>1E-3</v>
      </c>
      <c r="AB22" s="64">
        <v>1.2999999999999999E-3</v>
      </c>
      <c r="AD22" s="31"/>
      <c r="AE22" s="31">
        <v>2.7781250009999998</v>
      </c>
      <c r="AF22" s="34">
        <v>0.109375</v>
      </c>
      <c r="AG22" s="32">
        <v>0.125</v>
      </c>
      <c r="AH22" s="35"/>
      <c r="AI22" s="69"/>
      <c r="AJ22" s="31"/>
    </row>
    <row r="23" spans="1:36" x14ac:dyDescent="0.2">
      <c r="I23" s="74"/>
      <c r="J23" s="71">
        <f>I23*25.4</f>
        <v>0</v>
      </c>
      <c r="K23" s="74"/>
      <c r="L23" s="71">
        <f>K23/25.4</f>
        <v>0</v>
      </c>
      <c r="P23" s="1" t="s">
        <v>59</v>
      </c>
      <c r="V23" s="48">
        <v>75</v>
      </c>
      <c r="W23" s="67">
        <f t="shared" ref="W23:AB27" si="2">((($V23-$V$22)/($V$28-$V$22))*(W$28-W$22))+W$22</f>
        <v>7.9166666666666665E-4</v>
      </c>
      <c r="X23" s="67">
        <f t="shared" si="2"/>
        <v>4.9166666666666662E-4</v>
      </c>
      <c r="Y23" s="67">
        <f t="shared" si="2"/>
        <v>4.9166666666666662E-4</v>
      </c>
      <c r="Z23" s="67">
        <f t="shared" si="2"/>
        <v>6.333333333333333E-4</v>
      </c>
      <c r="AA23" s="67">
        <f t="shared" si="2"/>
        <v>1.1666666666666668E-3</v>
      </c>
      <c r="AB23" s="68">
        <f t="shared" si="2"/>
        <v>1.4499999999999999E-3</v>
      </c>
      <c r="AD23" s="31"/>
      <c r="AE23" s="31">
        <v>2.9765625010000001</v>
      </c>
      <c r="AF23" s="34">
        <v>0.1171875</v>
      </c>
      <c r="AG23" s="32">
        <v>0.125</v>
      </c>
      <c r="AH23" s="35"/>
      <c r="AI23" s="69"/>
      <c r="AJ23" s="31"/>
    </row>
    <row r="24" spans="1:36" x14ac:dyDescent="0.2">
      <c r="A24" s="21"/>
      <c r="B24" s="331" t="s">
        <v>60</v>
      </c>
      <c r="C24" s="331"/>
      <c r="D24" s="331"/>
      <c r="E24" s="331"/>
      <c r="F24" s="49"/>
      <c r="G24" s="49"/>
      <c r="H24" s="49"/>
      <c r="I24" s="56" t="s">
        <v>61</v>
      </c>
      <c r="J24" s="21"/>
      <c r="K24" s="56" t="s">
        <v>62</v>
      </c>
      <c r="L24" s="56" t="s">
        <v>63</v>
      </c>
      <c r="M24" s="56" t="s">
        <v>64</v>
      </c>
      <c r="N24" s="56"/>
      <c r="O24" s="56" t="s">
        <v>65</v>
      </c>
      <c r="P24" s="56" t="s">
        <v>65</v>
      </c>
      <c r="Q24" s="56" t="s">
        <v>66</v>
      </c>
      <c r="V24" s="48">
        <v>80</v>
      </c>
      <c r="W24" s="67">
        <f t="shared" si="2"/>
        <v>9.3333333333333332E-4</v>
      </c>
      <c r="X24" s="67">
        <f t="shared" si="2"/>
        <v>6.3333333333333319E-4</v>
      </c>
      <c r="Y24" s="67">
        <f t="shared" si="2"/>
        <v>6.3333333333333319E-4</v>
      </c>
      <c r="Z24" s="67">
        <f t="shared" si="2"/>
        <v>7.6666666666666658E-4</v>
      </c>
      <c r="AA24" s="67">
        <f t="shared" si="2"/>
        <v>1.3333333333333333E-3</v>
      </c>
      <c r="AB24" s="68">
        <f t="shared" si="2"/>
        <v>1.5999999999999999E-3</v>
      </c>
      <c r="AD24" s="31"/>
      <c r="AE24" s="31">
        <v>3.1750000009999999</v>
      </c>
      <c r="AF24" s="34">
        <v>0.125</v>
      </c>
      <c r="AG24" s="32">
        <v>0.125</v>
      </c>
      <c r="AH24" s="35"/>
      <c r="AI24" s="69"/>
      <c r="AJ24" s="31"/>
    </row>
    <row r="25" spans="1:36" x14ac:dyDescent="0.2">
      <c r="A25" s="75" t="s">
        <v>67</v>
      </c>
      <c r="B25" s="53" t="s">
        <v>68</v>
      </c>
      <c r="C25" s="53" t="s">
        <v>69</v>
      </c>
      <c r="D25" s="53" t="s">
        <v>70</v>
      </c>
      <c r="E25" s="53" t="s">
        <v>71</v>
      </c>
      <c r="F25" s="53" t="s">
        <v>72</v>
      </c>
      <c r="G25" s="53" t="s">
        <v>73</v>
      </c>
      <c r="H25" s="53" t="s">
        <v>74</v>
      </c>
      <c r="I25" s="53" t="s">
        <v>75</v>
      </c>
      <c r="J25" s="76" t="s">
        <v>76</v>
      </c>
      <c r="K25" s="53" t="s">
        <v>77</v>
      </c>
      <c r="L25" s="53" t="s">
        <v>78</v>
      </c>
      <c r="M25" s="53" t="s">
        <v>78</v>
      </c>
      <c r="N25" s="53" t="s">
        <v>79</v>
      </c>
      <c r="O25" s="53" t="s">
        <v>80</v>
      </c>
      <c r="P25" s="53" t="s">
        <v>81</v>
      </c>
      <c r="Q25" s="77" t="s">
        <v>82</v>
      </c>
      <c r="V25" s="48">
        <v>85</v>
      </c>
      <c r="W25" s="67">
        <f t="shared" si="2"/>
        <v>1.075E-3</v>
      </c>
      <c r="X25" s="67">
        <f t="shared" si="2"/>
        <v>7.7499999999999986E-4</v>
      </c>
      <c r="Y25" s="67">
        <f t="shared" si="2"/>
        <v>7.7499999999999986E-4</v>
      </c>
      <c r="Z25" s="67">
        <f t="shared" si="2"/>
        <v>8.9999999999999998E-4</v>
      </c>
      <c r="AA25" s="67">
        <f t="shared" si="2"/>
        <v>1.5E-3</v>
      </c>
      <c r="AB25" s="68">
        <f t="shared" si="2"/>
        <v>1.75E-3</v>
      </c>
      <c r="AD25" s="31"/>
      <c r="AE25" s="31">
        <v>3.3734375010000002</v>
      </c>
      <c r="AF25" s="34">
        <v>0.1328125</v>
      </c>
      <c r="AG25" s="32">
        <v>0.15625</v>
      </c>
      <c r="AH25" s="35"/>
      <c r="AI25" s="69"/>
      <c r="AJ25" s="31"/>
    </row>
    <row r="26" spans="1:36" x14ac:dyDescent="0.2">
      <c r="A26" s="78"/>
      <c r="B26" s="79"/>
      <c r="C26" s="79"/>
      <c r="D26" s="79"/>
      <c r="E26" s="79"/>
      <c r="F26" s="79"/>
      <c r="G26" s="79"/>
      <c r="H26" s="79"/>
      <c r="I26" s="79"/>
      <c r="J26" s="80" t="str">
        <f t="shared" ref="J26:J39" si="3">IF(Q26="","",IF($D$13&lt;40,0.00022,VLOOKUP($D$13,$V$16:$AB$38,Q26,FALSE())))</f>
        <v/>
      </c>
      <c r="K26" s="81" t="str">
        <f t="shared" ref="K26:K39" si="4">IF(C26="","",IF(H26="U",0.02,0.1))</f>
        <v/>
      </c>
      <c r="L26" s="82" t="str">
        <f t="shared" ref="L26:L39" si="5">IF(OR(B26="",F26=""),"",(K26*(B26^2))/($D$11*F26*G26))</f>
        <v/>
      </c>
      <c r="M26" s="82" t="str">
        <f t="shared" ref="M26:M39" si="6">IF(C26="","",(K26/(J26*$D$11*G26))*(D26^2)*(C26^2)*(400/$H$10))</f>
        <v/>
      </c>
      <c r="N26" s="82" t="str">
        <f t="shared" ref="N26:N39" si="7">IF(E26="","",(K26*E26^2*60*$H$9)/($D$11*G26))</f>
        <v/>
      </c>
      <c r="O26" s="83" t="str">
        <f t="shared" ref="O26:O39" si="8">IF(N26="","",IF((-LN(N26)/LN(2))&lt;0,0,-LN(N26)/LN(2)))</f>
        <v/>
      </c>
      <c r="P26" s="84" t="str">
        <f t="shared" ref="P26:P39" si="9">IF(L26="","",IF((-LN(L26)/LN(2))&lt;0,0,-LN(L26)/LN(2)))</f>
        <v/>
      </c>
      <c r="Q26" s="85" t="str">
        <f t="shared" ref="Q26:Q39" si="10">IF(I26="","",IF(I26=30,2,IF(I26=45,3,IF(I26=4,11,IF(I26=90,5,IF(I26=120,6,7))))))</f>
        <v/>
      </c>
      <c r="V26" s="48">
        <v>90</v>
      </c>
      <c r="W26" s="67">
        <f t="shared" si="2"/>
        <v>1.2166666666666667E-3</v>
      </c>
      <c r="X26" s="67">
        <f t="shared" si="2"/>
        <v>9.1666666666666654E-4</v>
      </c>
      <c r="Y26" s="67">
        <f t="shared" si="2"/>
        <v>9.1666666666666654E-4</v>
      </c>
      <c r="Z26" s="67">
        <f t="shared" si="2"/>
        <v>1.0333333333333332E-3</v>
      </c>
      <c r="AA26" s="67">
        <f t="shared" si="2"/>
        <v>1.6666666666666666E-3</v>
      </c>
      <c r="AB26" s="68">
        <f t="shared" si="2"/>
        <v>1.9E-3</v>
      </c>
      <c r="AD26" s="31"/>
      <c r="AE26" s="31">
        <v>3.571875001</v>
      </c>
      <c r="AF26" s="34">
        <v>0.140625</v>
      </c>
      <c r="AG26" s="32">
        <v>0.15625</v>
      </c>
      <c r="AH26" s="35"/>
      <c r="AI26" s="69"/>
      <c r="AJ26" s="31"/>
    </row>
    <row r="27" spans="1:36" x14ac:dyDescent="0.2">
      <c r="A27" s="78"/>
      <c r="B27" s="79"/>
      <c r="C27" s="79"/>
      <c r="D27" s="79"/>
      <c r="E27" s="79"/>
      <c r="F27" s="79"/>
      <c r="G27" s="79"/>
      <c r="H27" s="79"/>
      <c r="I27" s="79"/>
      <c r="J27" s="80" t="str">
        <f t="shared" si="3"/>
        <v/>
      </c>
      <c r="K27" s="81" t="str">
        <f t="shared" si="4"/>
        <v/>
      </c>
      <c r="L27" s="82" t="str">
        <f t="shared" si="5"/>
        <v/>
      </c>
      <c r="M27" s="82" t="str">
        <f t="shared" si="6"/>
        <v/>
      </c>
      <c r="N27" s="82" t="str">
        <f t="shared" si="7"/>
        <v/>
      </c>
      <c r="O27" s="83" t="str">
        <f t="shared" si="8"/>
        <v/>
      </c>
      <c r="P27" s="84" t="str">
        <f t="shared" si="9"/>
        <v/>
      </c>
      <c r="Q27" s="85" t="str">
        <f t="shared" si="10"/>
        <v/>
      </c>
      <c r="V27" s="48">
        <v>95</v>
      </c>
      <c r="W27" s="67">
        <f t="shared" si="2"/>
        <v>1.3583333333333334E-3</v>
      </c>
      <c r="X27" s="67">
        <f t="shared" si="2"/>
        <v>1.0583333333333332E-3</v>
      </c>
      <c r="Y27" s="67">
        <f t="shared" si="2"/>
        <v>1.0583333333333332E-3</v>
      </c>
      <c r="Z27" s="67">
        <f t="shared" si="2"/>
        <v>1.1666666666666665E-3</v>
      </c>
      <c r="AA27" s="67">
        <f t="shared" si="2"/>
        <v>1.8333333333333335E-3</v>
      </c>
      <c r="AB27" s="68">
        <f t="shared" si="2"/>
        <v>2.0500000000000002E-3</v>
      </c>
      <c r="AD27" s="31"/>
      <c r="AE27" s="31">
        <v>3.7703125009999998</v>
      </c>
      <c r="AF27" s="34">
        <v>0.1484375</v>
      </c>
      <c r="AG27" s="32">
        <v>0.15625</v>
      </c>
      <c r="AH27" s="35"/>
      <c r="AI27" s="69"/>
      <c r="AJ27" s="31"/>
    </row>
    <row r="28" spans="1:36" x14ac:dyDescent="0.2">
      <c r="A28" s="78"/>
      <c r="B28" s="79"/>
      <c r="C28" s="79"/>
      <c r="D28" s="79"/>
      <c r="E28" s="79"/>
      <c r="F28" s="79"/>
      <c r="G28" s="79"/>
      <c r="H28" s="79"/>
      <c r="I28" s="79"/>
      <c r="J28" s="80" t="str">
        <f t="shared" si="3"/>
        <v/>
      </c>
      <c r="K28" s="81" t="str">
        <f t="shared" si="4"/>
        <v/>
      </c>
      <c r="L28" s="82" t="str">
        <f t="shared" si="5"/>
        <v/>
      </c>
      <c r="M28" s="82" t="str">
        <f t="shared" si="6"/>
        <v/>
      </c>
      <c r="N28" s="82" t="str">
        <f t="shared" si="7"/>
        <v/>
      </c>
      <c r="O28" s="83" t="str">
        <f t="shared" si="8"/>
        <v/>
      </c>
      <c r="P28" s="84" t="str">
        <f t="shared" si="9"/>
        <v/>
      </c>
      <c r="Q28" s="85" t="str">
        <f t="shared" si="10"/>
        <v/>
      </c>
      <c r="V28" s="48">
        <v>100</v>
      </c>
      <c r="W28" s="63">
        <v>1.5E-3</v>
      </c>
      <c r="X28" s="63">
        <v>1.1999999999999999E-3</v>
      </c>
      <c r="Y28" s="63">
        <v>1.1999999999999999E-3</v>
      </c>
      <c r="Z28" s="63">
        <v>1.2999999999999999E-3</v>
      </c>
      <c r="AA28" s="63">
        <v>2E-3</v>
      </c>
      <c r="AB28" s="64">
        <v>2.2000000000000001E-3</v>
      </c>
      <c r="AD28" s="31"/>
      <c r="AE28" s="31">
        <v>3.9687500010000001</v>
      </c>
      <c r="AF28" s="34">
        <v>0.15625</v>
      </c>
      <c r="AG28" s="32">
        <v>0.15625</v>
      </c>
      <c r="AH28" s="35"/>
      <c r="AI28" s="69"/>
      <c r="AJ28" s="31"/>
    </row>
    <row r="29" spans="1:36" x14ac:dyDescent="0.2">
      <c r="A29" s="78"/>
      <c r="B29" s="79"/>
      <c r="C29" s="79"/>
      <c r="D29" s="79"/>
      <c r="E29" s="79"/>
      <c r="F29" s="79"/>
      <c r="G29" s="79"/>
      <c r="H29" s="79"/>
      <c r="I29" s="79"/>
      <c r="J29" s="80" t="str">
        <f t="shared" si="3"/>
        <v/>
      </c>
      <c r="K29" s="81" t="str">
        <f t="shared" si="4"/>
        <v/>
      </c>
      <c r="L29" s="82" t="str">
        <f t="shared" si="5"/>
        <v/>
      </c>
      <c r="M29" s="82" t="str">
        <f t="shared" si="6"/>
        <v/>
      </c>
      <c r="N29" s="82" t="str">
        <f t="shared" si="7"/>
        <v/>
      </c>
      <c r="O29" s="83" t="str">
        <f t="shared" si="8"/>
        <v/>
      </c>
      <c r="P29" s="84" t="str">
        <f t="shared" si="9"/>
        <v/>
      </c>
      <c r="Q29" s="85" t="str">
        <f t="shared" si="10"/>
        <v/>
      </c>
      <c r="V29" s="48">
        <v>105</v>
      </c>
      <c r="W29" s="67">
        <f t="shared" ref="W29:AB32" si="11">((($V29-$V$28)/($V$33-$V$28))*(W$33-W$28))+W$28</f>
        <v>1.56E-3</v>
      </c>
      <c r="X29" s="67">
        <f t="shared" si="11"/>
        <v>1.2599999999999998E-3</v>
      </c>
      <c r="Y29" s="67">
        <f t="shared" si="11"/>
        <v>1.2599999999999998E-3</v>
      </c>
      <c r="Z29" s="67">
        <f t="shared" si="11"/>
        <v>1.34E-3</v>
      </c>
      <c r="AA29" s="67">
        <f t="shared" si="11"/>
        <v>2.0600000000000002E-3</v>
      </c>
      <c r="AB29" s="68">
        <f t="shared" si="11"/>
        <v>2.2600000000000003E-3</v>
      </c>
      <c r="AD29" s="31"/>
      <c r="AE29" s="31">
        <v>4.1671875009999999</v>
      </c>
      <c r="AF29" s="34">
        <v>0.1640625</v>
      </c>
      <c r="AG29" s="32">
        <v>0.1875</v>
      </c>
      <c r="AH29" s="35"/>
      <c r="AI29" s="69"/>
      <c r="AJ29" s="31"/>
    </row>
    <row r="30" spans="1:36" x14ac:dyDescent="0.2">
      <c r="A30" s="78"/>
      <c r="B30" s="79"/>
      <c r="C30" s="79"/>
      <c r="D30" s="79"/>
      <c r="E30" s="79"/>
      <c r="F30" s="79"/>
      <c r="G30" s="79"/>
      <c r="H30" s="79"/>
      <c r="I30" s="79"/>
      <c r="J30" s="80" t="str">
        <f t="shared" si="3"/>
        <v/>
      </c>
      <c r="K30" s="81" t="str">
        <f t="shared" si="4"/>
        <v/>
      </c>
      <c r="L30" s="82" t="str">
        <f t="shared" si="5"/>
        <v/>
      </c>
      <c r="M30" s="82" t="str">
        <f t="shared" si="6"/>
        <v/>
      </c>
      <c r="N30" s="82" t="str">
        <f t="shared" si="7"/>
        <v/>
      </c>
      <c r="O30" s="83" t="str">
        <f t="shared" si="8"/>
        <v/>
      </c>
      <c r="P30" s="84" t="str">
        <f t="shared" si="9"/>
        <v/>
      </c>
      <c r="Q30" s="85" t="str">
        <f t="shared" si="10"/>
        <v/>
      </c>
      <c r="V30" s="48">
        <v>110</v>
      </c>
      <c r="W30" s="67">
        <f t="shared" si="11"/>
        <v>1.6199999999999999E-3</v>
      </c>
      <c r="X30" s="67">
        <f t="shared" si="11"/>
        <v>1.32E-3</v>
      </c>
      <c r="Y30" s="67">
        <f t="shared" si="11"/>
        <v>1.32E-3</v>
      </c>
      <c r="Z30" s="67">
        <f t="shared" si="11"/>
        <v>1.3799999999999999E-3</v>
      </c>
      <c r="AA30" s="67">
        <f t="shared" si="11"/>
        <v>2.1199999999999999E-3</v>
      </c>
      <c r="AB30" s="68">
        <f t="shared" si="11"/>
        <v>2.32E-3</v>
      </c>
      <c r="AD30" s="31"/>
      <c r="AE30" s="31">
        <v>4.3656250009999997</v>
      </c>
      <c r="AF30" s="34">
        <v>0.171875</v>
      </c>
      <c r="AG30" s="32">
        <v>0.1875</v>
      </c>
      <c r="AH30" s="35"/>
      <c r="AI30" s="69"/>
      <c r="AJ30" s="31"/>
    </row>
    <row r="31" spans="1:36" x14ac:dyDescent="0.2">
      <c r="A31" s="78"/>
      <c r="B31" s="79"/>
      <c r="C31" s="79"/>
      <c r="D31" s="79"/>
      <c r="E31" s="79"/>
      <c r="F31" s="79"/>
      <c r="G31" s="79"/>
      <c r="H31" s="79"/>
      <c r="I31" s="79"/>
      <c r="J31" s="80" t="str">
        <f t="shared" si="3"/>
        <v/>
      </c>
      <c r="K31" s="81" t="str">
        <f t="shared" si="4"/>
        <v/>
      </c>
      <c r="L31" s="82" t="str">
        <f t="shared" si="5"/>
        <v/>
      </c>
      <c r="M31" s="82" t="str">
        <f t="shared" si="6"/>
        <v/>
      </c>
      <c r="N31" s="82" t="str">
        <f t="shared" si="7"/>
        <v/>
      </c>
      <c r="O31" s="83" t="str">
        <f t="shared" si="8"/>
        <v/>
      </c>
      <c r="P31" s="84" t="str">
        <f t="shared" si="9"/>
        <v/>
      </c>
      <c r="Q31" s="85" t="str">
        <f t="shared" si="10"/>
        <v/>
      </c>
      <c r="V31" s="48">
        <v>115</v>
      </c>
      <c r="W31" s="67">
        <f t="shared" si="11"/>
        <v>1.6800000000000001E-3</v>
      </c>
      <c r="X31" s="67">
        <f t="shared" si="11"/>
        <v>1.3799999999999999E-3</v>
      </c>
      <c r="Y31" s="67">
        <f t="shared" si="11"/>
        <v>1.3799999999999999E-3</v>
      </c>
      <c r="Z31" s="67">
        <f t="shared" si="11"/>
        <v>1.42E-3</v>
      </c>
      <c r="AA31" s="67">
        <f t="shared" si="11"/>
        <v>2.1800000000000001E-3</v>
      </c>
      <c r="AB31" s="68">
        <f t="shared" si="11"/>
        <v>2.3800000000000002E-3</v>
      </c>
      <c r="AD31" s="31"/>
      <c r="AE31" s="31">
        <v>4.5640625010000004</v>
      </c>
      <c r="AF31" s="34">
        <v>0.1796875</v>
      </c>
      <c r="AG31" s="32">
        <v>0.1875</v>
      </c>
      <c r="AH31" s="35"/>
      <c r="AI31" s="69"/>
      <c r="AJ31" s="31"/>
    </row>
    <row r="32" spans="1:36" x14ac:dyDescent="0.2">
      <c r="A32" s="78"/>
      <c r="B32" s="79"/>
      <c r="C32" s="79"/>
      <c r="D32" s="79"/>
      <c r="E32" s="79"/>
      <c r="F32" s="79"/>
      <c r="G32" s="79"/>
      <c r="H32" s="79"/>
      <c r="I32" s="79"/>
      <c r="J32" s="80" t="str">
        <f t="shared" si="3"/>
        <v/>
      </c>
      <c r="K32" s="81" t="str">
        <f t="shared" si="4"/>
        <v/>
      </c>
      <c r="L32" s="82" t="str">
        <f t="shared" si="5"/>
        <v/>
      </c>
      <c r="M32" s="82" t="str">
        <f t="shared" si="6"/>
        <v/>
      </c>
      <c r="N32" s="82" t="str">
        <f t="shared" si="7"/>
        <v/>
      </c>
      <c r="O32" s="83" t="str">
        <f t="shared" si="8"/>
        <v/>
      </c>
      <c r="P32" s="84" t="str">
        <f t="shared" si="9"/>
        <v/>
      </c>
      <c r="Q32" s="85" t="str">
        <f t="shared" si="10"/>
        <v/>
      </c>
      <c r="V32" s="48">
        <v>120</v>
      </c>
      <c r="W32" s="67">
        <f t="shared" si="11"/>
        <v>1.74E-3</v>
      </c>
      <c r="X32" s="67">
        <f t="shared" si="11"/>
        <v>1.4400000000000001E-3</v>
      </c>
      <c r="Y32" s="67">
        <f t="shared" si="11"/>
        <v>1.4400000000000001E-3</v>
      </c>
      <c r="Z32" s="67">
        <f t="shared" si="11"/>
        <v>1.4599999999999999E-3</v>
      </c>
      <c r="AA32" s="67">
        <f t="shared" si="11"/>
        <v>2.2399999999999998E-3</v>
      </c>
      <c r="AB32" s="68">
        <f t="shared" si="11"/>
        <v>2.4399999999999999E-3</v>
      </c>
      <c r="AD32" s="31"/>
      <c r="AE32" s="31">
        <v>4.7625000010000003</v>
      </c>
      <c r="AF32" s="34">
        <v>0.1875</v>
      </c>
      <c r="AG32" s="32">
        <v>0.1875</v>
      </c>
      <c r="AH32" s="35"/>
      <c r="AI32" s="69"/>
      <c r="AJ32" s="31"/>
    </row>
    <row r="33" spans="1:46" x14ac:dyDescent="0.2">
      <c r="A33" s="78"/>
      <c r="B33" s="79"/>
      <c r="C33" s="79"/>
      <c r="D33" s="79"/>
      <c r="E33" s="79"/>
      <c r="F33" s="79"/>
      <c r="G33" s="79"/>
      <c r="H33" s="79"/>
      <c r="I33" s="79"/>
      <c r="J33" s="80" t="str">
        <f t="shared" si="3"/>
        <v/>
      </c>
      <c r="K33" s="81" t="str">
        <f t="shared" si="4"/>
        <v/>
      </c>
      <c r="L33" s="82" t="str">
        <f t="shared" si="5"/>
        <v/>
      </c>
      <c r="M33" s="82" t="str">
        <f t="shared" si="6"/>
        <v/>
      </c>
      <c r="N33" s="82" t="str">
        <f t="shared" si="7"/>
        <v/>
      </c>
      <c r="O33" s="83" t="str">
        <f t="shared" si="8"/>
        <v/>
      </c>
      <c r="P33" s="84" t="str">
        <f t="shared" si="9"/>
        <v/>
      </c>
      <c r="Q33" s="85" t="str">
        <f t="shared" si="10"/>
        <v/>
      </c>
      <c r="V33" s="48">
        <v>125</v>
      </c>
      <c r="W33" s="63">
        <v>1.8E-3</v>
      </c>
      <c r="X33" s="63">
        <v>1.5E-3</v>
      </c>
      <c r="Y33" s="63">
        <v>1.5E-3</v>
      </c>
      <c r="Z33" s="63">
        <v>1.5E-3</v>
      </c>
      <c r="AA33" s="63">
        <v>2.3E-3</v>
      </c>
      <c r="AB33" s="64">
        <v>2.5000000000000001E-3</v>
      </c>
      <c r="AD33" s="31"/>
      <c r="AE33" s="31">
        <v>4.9609375010000001</v>
      </c>
      <c r="AF33" s="34">
        <v>0.1953125</v>
      </c>
      <c r="AG33" s="32">
        <v>0.21875</v>
      </c>
      <c r="AH33" s="35"/>
      <c r="AI33" s="69"/>
      <c r="AJ33" s="31"/>
    </row>
    <row r="34" spans="1:46" x14ac:dyDescent="0.2">
      <c r="A34" s="78"/>
      <c r="B34" s="79"/>
      <c r="C34" s="79"/>
      <c r="D34" s="79"/>
      <c r="E34" s="79"/>
      <c r="F34" s="79"/>
      <c r="G34" s="79"/>
      <c r="H34" s="79"/>
      <c r="I34" s="79"/>
      <c r="J34" s="80" t="str">
        <f t="shared" si="3"/>
        <v/>
      </c>
      <c r="K34" s="81" t="str">
        <f t="shared" si="4"/>
        <v/>
      </c>
      <c r="L34" s="82" t="str">
        <f t="shared" si="5"/>
        <v/>
      </c>
      <c r="M34" s="82" t="str">
        <f t="shared" si="6"/>
        <v/>
      </c>
      <c r="N34" s="82" t="str">
        <f t="shared" si="7"/>
        <v/>
      </c>
      <c r="O34" s="83" t="str">
        <f t="shared" si="8"/>
        <v/>
      </c>
      <c r="P34" s="84" t="str">
        <f t="shared" si="9"/>
        <v/>
      </c>
      <c r="Q34" s="85" t="str">
        <f t="shared" si="10"/>
        <v/>
      </c>
      <c r="V34" s="86">
        <v>130</v>
      </c>
      <c r="W34" s="67">
        <f t="shared" ref="W34:AB37" si="12">((($V34-$V$33)/($V$38-$V$33))*(W$38-W$33))+W$33</f>
        <v>1.8400000000000001E-3</v>
      </c>
      <c r="X34" s="67">
        <f t="shared" si="12"/>
        <v>1.5200000000000001E-3</v>
      </c>
      <c r="Y34" s="67">
        <f t="shared" si="12"/>
        <v>1.5200000000000001E-3</v>
      </c>
      <c r="Z34" s="67">
        <f t="shared" si="12"/>
        <v>1.5200000000000001E-3</v>
      </c>
      <c r="AA34" s="67">
        <f t="shared" si="12"/>
        <v>2.32E-3</v>
      </c>
      <c r="AB34" s="68">
        <f t="shared" si="12"/>
        <v>2.5200000000000001E-3</v>
      </c>
      <c r="AD34" s="31"/>
      <c r="AE34" s="31">
        <v>5.1593750009999999</v>
      </c>
      <c r="AF34" s="34">
        <v>0.203125</v>
      </c>
      <c r="AG34" s="32">
        <v>0.21875</v>
      </c>
      <c r="AH34" s="35"/>
      <c r="AI34" s="69"/>
      <c r="AJ34" s="31"/>
    </row>
    <row r="35" spans="1:46" x14ac:dyDescent="0.2">
      <c r="A35" s="78"/>
      <c r="B35" s="79"/>
      <c r="C35" s="79"/>
      <c r="D35" s="79"/>
      <c r="E35" s="79"/>
      <c r="F35" s="79"/>
      <c r="G35" s="79"/>
      <c r="H35" s="79"/>
      <c r="I35" s="79"/>
      <c r="J35" s="80" t="str">
        <f t="shared" si="3"/>
        <v/>
      </c>
      <c r="K35" s="81" t="str">
        <f t="shared" si="4"/>
        <v/>
      </c>
      <c r="L35" s="82" t="str">
        <f t="shared" si="5"/>
        <v/>
      </c>
      <c r="M35" s="82" t="str">
        <f t="shared" si="6"/>
        <v/>
      </c>
      <c r="N35" s="82" t="str">
        <f t="shared" si="7"/>
        <v/>
      </c>
      <c r="O35" s="83" t="str">
        <f t="shared" si="8"/>
        <v/>
      </c>
      <c r="P35" s="84" t="str">
        <f t="shared" si="9"/>
        <v/>
      </c>
      <c r="Q35" s="85" t="str">
        <f t="shared" si="10"/>
        <v/>
      </c>
      <c r="V35" s="86">
        <v>135</v>
      </c>
      <c r="W35" s="67">
        <f t="shared" si="12"/>
        <v>1.8799999999999999E-3</v>
      </c>
      <c r="X35" s="67">
        <f t="shared" si="12"/>
        <v>1.5400000000000001E-3</v>
      </c>
      <c r="Y35" s="67">
        <f t="shared" si="12"/>
        <v>1.5400000000000001E-3</v>
      </c>
      <c r="Z35" s="67">
        <f t="shared" si="12"/>
        <v>1.5400000000000001E-3</v>
      </c>
      <c r="AA35" s="67">
        <f t="shared" si="12"/>
        <v>2.3400000000000001E-3</v>
      </c>
      <c r="AB35" s="68">
        <f t="shared" si="12"/>
        <v>2.5400000000000002E-3</v>
      </c>
      <c r="AD35" s="31"/>
      <c r="AE35" s="31">
        <v>5.3578125009999997</v>
      </c>
      <c r="AF35" s="34">
        <v>0.2109375</v>
      </c>
      <c r="AG35" s="32">
        <v>0.21875</v>
      </c>
      <c r="AH35" s="35"/>
      <c r="AI35" s="69"/>
      <c r="AJ35" s="31"/>
    </row>
    <row r="36" spans="1:46" x14ac:dyDescent="0.2">
      <c r="A36" s="78"/>
      <c r="B36" s="79"/>
      <c r="C36" s="79"/>
      <c r="D36" s="79"/>
      <c r="E36" s="79"/>
      <c r="F36" s="79"/>
      <c r="G36" s="79"/>
      <c r="H36" s="79"/>
      <c r="I36" s="79"/>
      <c r="J36" s="80" t="str">
        <f t="shared" si="3"/>
        <v/>
      </c>
      <c r="K36" s="81" t="str">
        <f t="shared" si="4"/>
        <v/>
      </c>
      <c r="L36" s="82" t="str">
        <f t="shared" si="5"/>
        <v/>
      </c>
      <c r="M36" s="82" t="str">
        <f t="shared" si="6"/>
        <v/>
      </c>
      <c r="N36" s="82" t="str">
        <f t="shared" si="7"/>
        <v/>
      </c>
      <c r="O36" s="83" t="str">
        <f t="shared" si="8"/>
        <v/>
      </c>
      <c r="P36" s="84" t="str">
        <f t="shared" si="9"/>
        <v/>
      </c>
      <c r="Q36" s="85" t="str">
        <f t="shared" si="10"/>
        <v/>
      </c>
      <c r="V36" s="86">
        <v>140</v>
      </c>
      <c r="W36" s="67">
        <f t="shared" si="12"/>
        <v>1.92E-3</v>
      </c>
      <c r="X36" s="67">
        <f t="shared" si="12"/>
        <v>1.56E-3</v>
      </c>
      <c r="Y36" s="67">
        <f t="shared" si="12"/>
        <v>1.56E-3</v>
      </c>
      <c r="Z36" s="67">
        <f t="shared" si="12"/>
        <v>1.56E-3</v>
      </c>
      <c r="AA36" s="67">
        <f t="shared" si="12"/>
        <v>2.3599999999999997E-3</v>
      </c>
      <c r="AB36" s="68">
        <f t="shared" si="12"/>
        <v>2.5599999999999998E-3</v>
      </c>
      <c r="AD36" s="31"/>
      <c r="AE36" s="31">
        <v>5.5562500010000004</v>
      </c>
      <c r="AF36" s="34">
        <v>0.21875</v>
      </c>
      <c r="AG36" s="32">
        <v>0.21875</v>
      </c>
      <c r="AH36" s="35"/>
      <c r="AI36" s="69"/>
      <c r="AJ36" s="31"/>
    </row>
    <row r="37" spans="1:46" x14ac:dyDescent="0.2">
      <c r="A37" s="78"/>
      <c r="B37" s="79"/>
      <c r="C37" s="79"/>
      <c r="D37" s="79"/>
      <c r="E37" s="79"/>
      <c r="F37" s="79"/>
      <c r="G37" s="79"/>
      <c r="H37" s="79"/>
      <c r="I37" s="79"/>
      <c r="J37" s="80" t="str">
        <f t="shared" si="3"/>
        <v/>
      </c>
      <c r="K37" s="81" t="str">
        <f t="shared" si="4"/>
        <v/>
      </c>
      <c r="L37" s="82" t="str">
        <f t="shared" si="5"/>
        <v/>
      </c>
      <c r="M37" s="82" t="str">
        <f t="shared" si="6"/>
        <v/>
      </c>
      <c r="N37" s="82" t="str">
        <f t="shared" si="7"/>
        <v/>
      </c>
      <c r="O37" s="83" t="str">
        <f t="shared" si="8"/>
        <v/>
      </c>
      <c r="P37" s="84" t="str">
        <f t="shared" si="9"/>
        <v/>
      </c>
      <c r="Q37" s="85" t="str">
        <f t="shared" si="10"/>
        <v/>
      </c>
      <c r="V37" s="86">
        <v>145</v>
      </c>
      <c r="W37" s="67">
        <f t="shared" si="12"/>
        <v>1.9599999999999999E-3</v>
      </c>
      <c r="X37" s="67">
        <f t="shared" si="12"/>
        <v>1.58E-3</v>
      </c>
      <c r="Y37" s="67">
        <f t="shared" si="12"/>
        <v>1.58E-3</v>
      </c>
      <c r="Z37" s="67">
        <f t="shared" si="12"/>
        <v>1.58E-3</v>
      </c>
      <c r="AA37" s="67">
        <f t="shared" si="12"/>
        <v>2.3799999999999997E-3</v>
      </c>
      <c r="AB37" s="68">
        <f t="shared" si="12"/>
        <v>2.5799999999999998E-3</v>
      </c>
      <c r="AD37" s="31"/>
      <c r="AE37" s="31">
        <v>5.7546875010000003</v>
      </c>
      <c r="AF37" s="34">
        <v>0.2265625</v>
      </c>
      <c r="AG37" s="32">
        <v>0.25</v>
      </c>
      <c r="AH37" s="35"/>
      <c r="AI37" s="69"/>
      <c r="AJ37" s="31"/>
    </row>
    <row r="38" spans="1:46" x14ac:dyDescent="0.2">
      <c r="A38" s="78"/>
      <c r="B38" s="79"/>
      <c r="C38" s="79"/>
      <c r="D38" s="79"/>
      <c r="E38" s="79"/>
      <c r="F38" s="79"/>
      <c r="G38" s="79"/>
      <c r="H38" s="79"/>
      <c r="I38" s="79"/>
      <c r="J38" s="80" t="str">
        <f t="shared" si="3"/>
        <v/>
      </c>
      <c r="K38" s="81" t="str">
        <f t="shared" si="4"/>
        <v/>
      </c>
      <c r="L38" s="82" t="str">
        <f t="shared" si="5"/>
        <v/>
      </c>
      <c r="M38" s="82" t="str">
        <f t="shared" si="6"/>
        <v/>
      </c>
      <c r="N38" s="82" t="str">
        <f t="shared" si="7"/>
        <v/>
      </c>
      <c r="O38" s="83" t="str">
        <f t="shared" si="8"/>
        <v/>
      </c>
      <c r="P38" s="84" t="str">
        <f t="shared" si="9"/>
        <v/>
      </c>
      <c r="Q38" s="85" t="str">
        <f t="shared" si="10"/>
        <v/>
      </c>
      <c r="V38" s="87">
        <v>150</v>
      </c>
      <c r="W38" s="88">
        <v>2E-3</v>
      </c>
      <c r="X38" s="88">
        <v>1.6000000000000001E-3</v>
      </c>
      <c r="Y38" s="88">
        <v>1.6000000000000001E-3</v>
      </c>
      <c r="Z38" s="88">
        <v>1.6000000000000001E-3</v>
      </c>
      <c r="AA38" s="88">
        <v>2.3999999999999998E-3</v>
      </c>
      <c r="AB38" s="89">
        <v>2.5999999999999999E-3</v>
      </c>
      <c r="AD38" s="31"/>
      <c r="AE38" s="31">
        <v>5.9531250010000001</v>
      </c>
      <c r="AF38" s="34">
        <v>0.234375</v>
      </c>
      <c r="AG38" s="32">
        <v>0.25</v>
      </c>
      <c r="AH38" s="35"/>
      <c r="AI38" s="69"/>
      <c r="AJ38" s="31"/>
    </row>
    <row r="39" spans="1:46" x14ac:dyDescent="0.2">
      <c r="A39" s="78"/>
      <c r="B39" s="79"/>
      <c r="C39" s="79"/>
      <c r="D39" s="79"/>
      <c r="E39" s="79"/>
      <c r="F39" s="90"/>
      <c r="G39" s="79"/>
      <c r="H39" s="79"/>
      <c r="I39" s="79"/>
      <c r="J39" s="80" t="str">
        <f t="shared" si="3"/>
        <v/>
      </c>
      <c r="K39" s="81" t="str">
        <f t="shared" si="4"/>
        <v/>
      </c>
      <c r="L39" s="82" t="str">
        <f t="shared" si="5"/>
        <v/>
      </c>
      <c r="M39" s="82" t="str">
        <f t="shared" si="6"/>
        <v/>
      </c>
      <c r="N39" s="82" t="str">
        <f t="shared" si="7"/>
        <v/>
      </c>
      <c r="O39" s="83" t="str">
        <f t="shared" si="8"/>
        <v/>
      </c>
      <c r="P39" s="84" t="str">
        <f t="shared" si="9"/>
        <v/>
      </c>
      <c r="Q39" s="85" t="str">
        <f t="shared" si="10"/>
        <v/>
      </c>
      <c r="W39" s="91"/>
      <c r="X39" s="92" t="s">
        <v>83</v>
      </c>
      <c r="AD39" s="31"/>
      <c r="AE39" s="31">
        <v>6.1515625009999999</v>
      </c>
      <c r="AF39" s="34">
        <v>0.2421875</v>
      </c>
      <c r="AG39" s="32">
        <v>0.25</v>
      </c>
      <c r="AH39" s="35"/>
      <c r="AI39" s="69"/>
      <c r="AJ39" s="31"/>
    </row>
    <row r="40" spans="1:46" x14ac:dyDescent="0.2">
      <c r="A40" s="93" t="s">
        <v>84</v>
      </c>
      <c r="E40" s="6" t="s">
        <v>85</v>
      </c>
      <c r="F40" s="94" t="str">
        <f>IF(A26="","",SUM(F26:F38))</f>
        <v/>
      </c>
      <c r="AD40" s="31"/>
      <c r="AE40">
        <v>6.3500000009999997</v>
      </c>
      <c r="AF40" s="34">
        <v>0.25</v>
      </c>
      <c r="AG40" s="32" t="s">
        <v>86</v>
      </c>
      <c r="AH40" s="35"/>
      <c r="AI40" s="69"/>
    </row>
    <row r="41" spans="1:46" ht="12.75" customHeight="1" x14ac:dyDescent="0.2">
      <c r="A41" s="95" t="str">
        <f>IF(D8="","",B3&amp;"        Workload ="&amp;D11&amp;"   mA * min /wk"&amp;" @ "&amp;D13&amp;" kVp")</f>
        <v/>
      </c>
      <c r="AD41" s="31"/>
      <c r="AE41" s="31">
        <v>25.400000000999999</v>
      </c>
    </row>
    <row r="42" spans="1:46" ht="12.75" customHeight="1" x14ac:dyDescent="0.2">
      <c r="A42" s="12" t="s">
        <v>87</v>
      </c>
      <c r="B42" s="21"/>
      <c r="C42" s="21"/>
      <c r="D42" s="12" t="str">
        <f>IF($B$3="","",$B$3)</f>
        <v/>
      </c>
      <c r="E42" s="21"/>
      <c r="F42" s="21"/>
      <c r="G42" s="21"/>
      <c r="H42" s="21"/>
      <c r="I42" s="21"/>
      <c r="J42" s="21"/>
      <c r="K42" s="21"/>
      <c r="L42" s="21"/>
      <c r="M42" s="96" t="str">
        <f>IF($B$5="","",$B$5)</f>
        <v/>
      </c>
      <c r="N42" s="48" t="s">
        <v>88</v>
      </c>
      <c r="O42" s="332" t="s">
        <v>89</v>
      </c>
      <c r="P42" s="332"/>
      <c r="Q42" s="332"/>
      <c r="R42" s="332"/>
      <c r="S42" s="332"/>
      <c r="T42" s="332"/>
      <c r="U42" s="332"/>
      <c r="V42" s="332"/>
      <c r="W42" s="332"/>
      <c r="X42" s="332"/>
      <c r="Y42" s="332"/>
      <c r="Z42" s="332"/>
      <c r="AA42" s="332"/>
      <c r="AB42" s="332"/>
      <c r="AC42" s="332"/>
      <c r="AD42" s="332"/>
      <c r="AE42" s="333" t="s">
        <v>89</v>
      </c>
      <c r="AF42" s="333"/>
      <c r="AG42" s="333"/>
      <c r="AH42" s="333"/>
      <c r="AI42" s="333"/>
      <c r="AJ42" s="333"/>
      <c r="AK42" s="333"/>
      <c r="AL42" s="333"/>
      <c r="AM42" s="333"/>
      <c r="AN42" s="333"/>
      <c r="AO42" s="333"/>
      <c r="AP42" s="333"/>
      <c r="AQ42" s="333"/>
      <c r="AR42" s="333"/>
      <c r="AS42" s="333"/>
      <c r="AT42" s="333"/>
    </row>
    <row r="43" spans="1:46" x14ac:dyDescent="0.2">
      <c r="A43" s="12"/>
      <c r="B43" s="327" t="s">
        <v>59</v>
      </c>
      <c r="C43" s="327"/>
      <c r="D43" s="327"/>
      <c r="E43" s="328" t="s">
        <v>61</v>
      </c>
      <c r="F43" s="328"/>
      <c r="G43" s="328"/>
      <c r="H43" s="327" t="s">
        <v>90</v>
      </c>
      <c r="I43" s="327"/>
      <c r="J43" s="327"/>
      <c r="K43" s="97" t="s">
        <v>91</v>
      </c>
      <c r="L43" s="21"/>
      <c r="M43" s="98"/>
      <c r="N43" s="48" t="s">
        <v>92</v>
      </c>
      <c r="O43" s="99"/>
      <c r="P43" s="29"/>
      <c r="Q43" s="29"/>
      <c r="R43" s="29"/>
      <c r="S43" s="21"/>
      <c r="T43" s="49"/>
      <c r="U43" s="29"/>
      <c r="V43" s="29"/>
      <c r="W43" s="29"/>
      <c r="X43" s="21"/>
      <c r="Y43" s="49"/>
      <c r="Z43" s="21"/>
      <c r="AA43" s="21"/>
      <c r="AB43" s="21"/>
      <c r="AC43" s="21"/>
      <c r="AD43" s="49"/>
      <c r="AE43" s="48"/>
      <c r="AF43" s="21"/>
      <c r="AG43" s="21"/>
      <c r="AH43" s="21"/>
      <c r="AI43" s="49"/>
      <c r="AJ43" s="21"/>
      <c r="AK43" s="21"/>
      <c r="AL43" s="21"/>
      <c r="AM43" s="21"/>
      <c r="AN43" s="49"/>
      <c r="AO43" s="21"/>
      <c r="AP43" s="21"/>
      <c r="AQ43" s="21"/>
      <c r="AR43" s="21"/>
      <c r="AS43" s="49"/>
      <c r="AT43" s="50"/>
    </row>
    <row r="44" spans="1:46" x14ac:dyDescent="0.2">
      <c r="A44" s="75" t="s">
        <v>67</v>
      </c>
      <c r="B44" s="52" t="str">
        <f>$A$17</f>
        <v>Lead</v>
      </c>
      <c r="C44" s="53" t="str">
        <f>$A$18</f>
        <v>Concrete</v>
      </c>
      <c r="D44" s="100" t="str">
        <f>$A$19</f>
        <v>Gypsum</v>
      </c>
      <c r="E44" s="52" t="str">
        <f>B44</f>
        <v>Lead</v>
      </c>
      <c r="F44" s="53" t="str">
        <f>C44</f>
        <v>Concrete</v>
      </c>
      <c r="G44" s="101" t="str">
        <f>D44</f>
        <v>Gypsum</v>
      </c>
      <c r="H44" s="52" t="str">
        <f>B44</f>
        <v>Lead</v>
      </c>
      <c r="I44" s="53" t="str">
        <f>C44</f>
        <v>Concrete</v>
      </c>
      <c r="J44" s="100" t="str">
        <f>D44</f>
        <v>Gypsum</v>
      </c>
      <c r="K44" s="52" t="str">
        <f>H44</f>
        <v>Lead</v>
      </c>
      <c r="L44" s="53" t="str">
        <f>I44</f>
        <v>Concrete</v>
      </c>
      <c r="M44" s="100" t="str">
        <f>J44</f>
        <v>Gypsum</v>
      </c>
      <c r="N44" s="52" t="s">
        <v>93</v>
      </c>
      <c r="O44" s="48"/>
      <c r="P44" s="326" t="s">
        <v>94</v>
      </c>
      <c r="Q44" s="326"/>
      <c r="R44" s="326"/>
      <c r="S44" s="49"/>
      <c r="T44" s="49"/>
      <c r="U44" s="326" t="s">
        <v>95</v>
      </c>
      <c r="V44" s="326"/>
      <c r="W44" s="326"/>
      <c r="X44" s="49"/>
      <c r="Y44" s="49"/>
      <c r="Z44" s="326" t="s">
        <v>52</v>
      </c>
      <c r="AA44" s="326"/>
      <c r="AB44" s="326"/>
      <c r="AC44" s="49"/>
      <c r="AD44" s="49"/>
      <c r="AE44" s="327" t="s">
        <v>54</v>
      </c>
      <c r="AF44" s="327"/>
      <c r="AG44" s="327"/>
      <c r="AH44" s="49"/>
      <c r="AI44" s="49"/>
      <c r="AJ44" s="326" t="s">
        <v>96</v>
      </c>
      <c r="AK44" s="326"/>
      <c r="AL44" s="326"/>
      <c r="AM44" s="49"/>
      <c r="AN44" s="49"/>
      <c r="AO44" s="326" t="s">
        <v>58</v>
      </c>
      <c r="AP44" s="326"/>
      <c r="AQ44" s="326"/>
      <c r="AR44" s="49"/>
      <c r="AS44" s="49"/>
      <c r="AT44" s="57"/>
    </row>
    <row r="45" spans="1:46" x14ac:dyDescent="0.2">
      <c r="A45" s="102" t="str">
        <f t="shared" ref="A45:A58" si="13">IF($A26="","",$A26)</f>
        <v/>
      </c>
      <c r="B45" s="103" t="str">
        <f t="shared" ref="B45:B58" si="14">IF(OR($B26=0,$F26=""),"",(1/($B$17*$D$17))*LN(((($L26/$E$17)^-$D$17)+($C$17/$B$17))/(1+($C$17/$B$17))))</f>
        <v/>
      </c>
      <c r="C45" s="104" t="str">
        <f t="shared" ref="C45:C58" si="15">IF(OR($B26=0,$F26=""),"",(1/($B$18*$D$18))*LN(((($L26/$E$18)^-$D$18)+($C$18/$B$18))/(1+($C$18/$B$18))))</f>
        <v/>
      </c>
      <c r="D45" s="104" t="str">
        <f t="shared" ref="D45:D58" si="16">IF(OR($B26=0,$F26=""),"",(1/($B$19*$D$19))*LN(((($L26/$E$19)^-$D$19)+($C$19/$B$19))/(1+($C$19/$B$19))))</f>
        <v/>
      </c>
      <c r="E45" s="103" t="str">
        <f t="shared" ref="E45:E58" si="17">IF($C26="","",IF((1/($B$17*$D$17))*LN(((($M26/$E$17)^-$D$17)+($C$17/$B$17))/(1+($C$17/$B$17)))&lt;0,0,(1/($B$17*$D$17))*LN(((($M26/$E$17)^-$D$17)+($C$17/$B$17))/(1+($C$17/$B$17)))))</f>
        <v/>
      </c>
      <c r="F45" s="104" t="str">
        <f t="shared" ref="F45:F58" si="18">IF($C26="","",IF((1/($B$18*$D$18))*LN(((($M26/$E$18)^-$D$18)+($C$18/$B$18))/(1+($C$18/$B$18)))&lt;0,0,(1/($B$18*$D$18))*LN(((($M26/$E$18)^-$D$18)+($C$18/$B$18))/(1+($C$18/$B$18)))))</f>
        <v/>
      </c>
      <c r="G45" s="105" t="str">
        <f t="shared" ref="G45:G58" si="19">IF($C26="","",IF((1/($B$19*$D$19))*LN(((($M26/$E$19)^-$D$19)+($C$19/$B$19))/(1+($C$19/$B$19)))&lt;0,0,(1/($B$19*$D$19))*LN(((($M26/$E$19)^-$D$19)+($C$19/$B$19))/(1+($C$19/$B$19)))))</f>
        <v/>
      </c>
      <c r="H45" s="106" t="str">
        <f t="shared" ref="H45:H58" si="20">IF($N26="","",IF(-LN($N26)*$F$17/LN(2)&lt;0,0,-LN($N26)*$F$17/LN(2)))</f>
        <v/>
      </c>
      <c r="I45" s="106" t="str">
        <f t="shared" ref="I45:I58" si="21">IF($N26="","",IF(-LN($N26)*$F$18/LN(2)&lt;0,0,-LN($N26)*$F$18/LN(2)))</f>
        <v/>
      </c>
      <c r="J45" s="106" t="str">
        <f t="shared" ref="J45:J58" si="22">IF($N26="","",IF(-LN($N26)*$F$19/LN(2)&lt;0,0,-LN($N26)*$F$19/LN(2)))</f>
        <v/>
      </c>
      <c r="K45" s="103" t="str">
        <f t="shared" ref="K45:K58" si="23">IF($E45="","",IF(AND($E45=0,$H45=0),0,IF(OR($E45=0,$H45=0),MAX($E45,$H45),IF(ABS($E45-$H45)&gt;$G$17,MAX($E45,$H45),(MAX($E45,$H45)+$F$17)))))</f>
        <v/>
      </c>
      <c r="L45" s="104" t="str">
        <f t="shared" ref="L45:L58" si="24">IF($F45="","",IF(AND($F45=0,$I45=0),0,IF(OR($F45=0,$I45=0),MAX($F45,$I45),IF(ABS($F45-$I45)&gt;$G$18,MAX($F45,$I45),(MAX($F45,$I45)+$F$18)))))</f>
        <v/>
      </c>
      <c r="M45" s="104" t="str">
        <f t="shared" ref="M45:M58" si="25">IF($G45="","",IF(AND($G45=0,$J45=0),0,IF(OR($G45=0,$J45=0),MAX($G45,$J45),IF(ABS($G45-$J45)&gt;$G$19,MAX($G45,$J45),(MAX($G45,$J45)+$F$19)))))</f>
        <v/>
      </c>
      <c r="N45" s="107" t="str">
        <f t="shared" ref="N45:N58" si="26">IF(AND(B45="",E45="",H45=""),"",IF(B45="",LOOKUP(K45,mm_value,minimum_Pb),LOOKUP(B45,mm_value,minimum_Pb)))</f>
        <v/>
      </c>
      <c r="O45" s="52" t="s">
        <v>37</v>
      </c>
      <c r="P45" s="58" t="s">
        <v>40</v>
      </c>
      <c r="Q45" s="58" t="s">
        <v>41</v>
      </c>
      <c r="R45" s="58" t="s">
        <v>42</v>
      </c>
      <c r="S45" s="53" t="s">
        <v>44</v>
      </c>
      <c r="T45" s="53" t="s">
        <v>45</v>
      </c>
      <c r="U45" s="58" t="s">
        <v>40</v>
      </c>
      <c r="V45" s="58" t="s">
        <v>41</v>
      </c>
      <c r="W45" s="58" t="s">
        <v>42</v>
      </c>
      <c r="X45" s="53" t="s">
        <v>44</v>
      </c>
      <c r="Y45" s="53" t="s">
        <v>45</v>
      </c>
      <c r="Z45" s="58" t="s">
        <v>40</v>
      </c>
      <c r="AA45" s="58" t="s">
        <v>41</v>
      </c>
      <c r="AB45" s="58" t="s">
        <v>42</v>
      </c>
      <c r="AC45" s="53" t="s">
        <v>44</v>
      </c>
      <c r="AD45" s="53" t="s">
        <v>45</v>
      </c>
      <c r="AE45" s="108" t="s">
        <v>40</v>
      </c>
      <c r="AF45" s="58" t="s">
        <v>41</v>
      </c>
      <c r="AG45" s="58" t="s">
        <v>42</v>
      </c>
      <c r="AH45" s="53" t="s">
        <v>44</v>
      </c>
      <c r="AI45" s="53" t="s">
        <v>45</v>
      </c>
      <c r="AJ45" s="58" t="s">
        <v>40</v>
      </c>
      <c r="AK45" s="58" t="s">
        <v>41</v>
      </c>
      <c r="AL45" s="58" t="s">
        <v>42</v>
      </c>
      <c r="AM45" s="53" t="s">
        <v>44</v>
      </c>
      <c r="AN45" s="53" t="s">
        <v>45</v>
      </c>
      <c r="AO45" s="58" t="s">
        <v>40</v>
      </c>
      <c r="AP45" s="58" t="s">
        <v>41</v>
      </c>
      <c r="AQ45" s="58" t="s">
        <v>42</v>
      </c>
      <c r="AR45" s="53" t="s">
        <v>44</v>
      </c>
      <c r="AS45" s="53" t="s">
        <v>45</v>
      </c>
      <c r="AT45" s="54" t="s">
        <v>97</v>
      </c>
    </row>
    <row r="46" spans="1:46" x14ac:dyDescent="0.2">
      <c r="A46" s="102" t="str">
        <f t="shared" si="13"/>
        <v/>
      </c>
      <c r="B46" s="103" t="str">
        <f t="shared" si="14"/>
        <v/>
      </c>
      <c r="C46" s="104" t="str">
        <f t="shared" si="15"/>
        <v/>
      </c>
      <c r="D46" s="104" t="str">
        <f t="shared" si="16"/>
        <v/>
      </c>
      <c r="E46" s="103" t="str">
        <f t="shared" si="17"/>
        <v/>
      </c>
      <c r="F46" s="104" t="str">
        <f t="shared" si="18"/>
        <v/>
      </c>
      <c r="G46" s="105" t="str">
        <f t="shared" si="19"/>
        <v/>
      </c>
      <c r="H46" s="106" t="str">
        <f t="shared" si="20"/>
        <v/>
      </c>
      <c r="I46" s="106" t="str">
        <f t="shared" si="21"/>
        <v/>
      </c>
      <c r="J46" s="106" t="str">
        <f t="shared" si="22"/>
        <v/>
      </c>
      <c r="K46" s="103" t="str">
        <f t="shared" si="23"/>
        <v/>
      </c>
      <c r="L46" s="104" t="str">
        <f t="shared" si="24"/>
        <v/>
      </c>
      <c r="M46" s="104" t="str">
        <f t="shared" si="25"/>
        <v/>
      </c>
      <c r="N46" s="107" t="str">
        <f t="shared" si="26"/>
        <v/>
      </c>
      <c r="O46" s="48">
        <v>25</v>
      </c>
      <c r="P46" s="109">
        <v>49.52</v>
      </c>
      <c r="Q46" s="110">
        <v>194</v>
      </c>
      <c r="R46" s="109">
        <v>0.30370000000000003</v>
      </c>
      <c r="S46" s="111">
        <f t="shared" ref="S46:S71" si="27">IF(P46="","",LN(2)/P46)</f>
        <v>1.3997317862680639E-2</v>
      </c>
      <c r="T46" s="111">
        <f t="shared" ref="T46:T71" si="28">IF(S46="","",(LN(10)/LN(2))*S46)</f>
        <v>4.6498083461107544E-2</v>
      </c>
      <c r="U46" s="109">
        <v>0.39040000000000002</v>
      </c>
      <c r="V46" s="109">
        <v>1.645</v>
      </c>
      <c r="W46" s="109">
        <v>0.2757</v>
      </c>
      <c r="X46" s="111">
        <f t="shared" ref="X46:X71" si="29">IF(U46="","",LN(2)/U46)</f>
        <v>1.775479458401499</v>
      </c>
      <c r="Y46" s="111">
        <f t="shared" ref="Y46:Y71" si="30">IF(X46="","",(LN(10)/LN(2))*X46)</f>
        <v>5.8980150947593382</v>
      </c>
      <c r="Z46" s="109">
        <v>0.15759999999999999</v>
      </c>
      <c r="AA46" s="109">
        <v>0.71750000000000003</v>
      </c>
      <c r="AB46" s="109">
        <v>0.30480000000000002</v>
      </c>
      <c r="AC46" s="111">
        <f t="shared" ref="AC46:AC71" si="31">IF(Z46="","",LN(2)/Z46)</f>
        <v>4.3981420086290948</v>
      </c>
      <c r="AD46" s="111">
        <f t="shared" ref="AD46:AD71" si="32">IF(AC46="","",(LN(10)/LN(2))*AC46)</f>
        <v>14.610311503769328</v>
      </c>
      <c r="AE46" s="112">
        <v>9.3640000000000008</v>
      </c>
      <c r="AF46" s="109">
        <v>41.25</v>
      </c>
      <c r="AG46" s="109">
        <v>0.32019999999999998</v>
      </c>
      <c r="AH46" s="111">
        <f t="shared" ref="AH46:AH71" si="33">IF(AE46="","",LN(2)/AE46)</f>
        <v>7.4022552387862581E-2</v>
      </c>
      <c r="AI46" s="111">
        <f t="shared" ref="AI46:AI71" si="34">IF(AH46="","",(LN(10)/LN(2))*AH46)</f>
        <v>0.24589759643251233</v>
      </c>
      <c r="AJ46" s="109">
        <v>0.38040000000000002</v>
      </c>
      <c r="AK46" s="109">
        <v>1.5429999999999999</v>
      </c>
      <c r="AL46" s="109">
        <v>0.28689999999999999</v>
      </c>
      <c r="AM46" s="111">
        <f t="shared" ref="AM46:AM71" si="35">IF(AJ46="","",LN(2)/AJ46)</f>
        <v>1.8221534715035363</v>
      </c>
      <c r="AN46" s="111">
        <f t="shared" ref="AN46:AN71" si="36">IF(AM46="","",(LN(10)/LN(2))*AM46)</f>
        <v>6.0530628101841364</v>
      </c>
      <c r="AO46" s="113">
        <v>2.23E-2</v>
      </c>
      <c r="AP46" s="111">
        <v>4.3400000000000001E-2</v>
      </c>
      <c r="AQ46" s="109">
        <v>0.19370000000000001</v>
      </c>
      <c r="AR46" s="111">
        <f t="shared" ref="AR46:AR71" si="37">IF(AO46="","",LN(2)/AO46)</f>
        <v>31.082833208966157</v>
      </c>
      <c r="AS46" s="111">
        <f t="shared" ref="AS46:AS71" si="38">IF(AR46="","",(LN(10)/LN(2))*AR46)</f>
        <v>103.2549369055626</v>
      </c>
      <c r="AT46" s="114">
        <f>0.1965*O46-3.429</f>
        <v>1.4835000000000007</v>
      </c>
    </row>
    <row r="47" spans="1:46" x14ac:dyDescent="0.2">
      <c r="A47" s="102" t="str">
        <f t="shared" si="13"/>
        <v/>
      </c>
      <c r="B47" s="103" t="str">
        <f t="shared" si="14"/>
        <v/>
      </c>
      <c r="C47" s="104" t="str">
        <f t="shared" si="15"/>
        <v/>
      </c>
      <c r="D47" s="104" t="str">
        <f t="shared" si="16"/>
        <v/>
      </c>
      <c r="E47" s="103" t="str">
        <f t="shared" si="17"/>
        <v/>
      </c>
      <c r="F47" s="104" t="str">
        <f t="shared" si="18"/>
        <v/>
      </c>
      <c r="G47" s="105" t="str">
        <f t="shared" si="19"/>
        <v/>
      </c>
      <c r="H47" s="106" t="str">
        <f t="shared" si="20"/>
        <v/>
      </c>
      <c r="I47" s="106" t="str">
        <f t="shared" si="21"/>
        <v/>
      </c>
      <c r="J47" s="106" t="str">
        <f t="shared" si="22"/>
        <v/>
      </c>
      <c r="K47" s="103" t="str">
        <f t="shared" si="23"/>
        <v/>
      </c>
      <c r="L47" s="104" t="str">
        <f t="shared" si="24"/>
        <v/>
      </c>
      <c r="M47" s="104" t="str">
        <f t="shared" si="25"/>
        <v/>
      </c>
      <c r="N47" s="107" t="str">
        <f t="shared" si="26"/>
        <v/>
      </c>
      <c r="O47" s="48">
        <v>30</v>
      </c>
      <c r="P47" s="109">
        <v>38.799999999999997</v>
      </c>
      <c r="Q47" s="110">
        <v>178</v>
      </c>
      <c r="R47" s="109">
        <v>0.3473</v>
      </c>
      <c r="S47" s="111">
        <f t="shared" si="27"/>
        <v>1.7864618055668694E-2</v>
      </c>
      <c r="T47" s="111">
        <f t="shared" si="28"/>
        <v>5.9344976623557887E-2</v>
      </c>
      <c r="U47" s="109">
        <v>0.31730000000000003</v>
      </c>
      <c r="V47" s="109">
        <v>1.698</v>
      </c>
      <c r="W47" s="109">
        <v>0.35930000000000001</v>
      </c>
      <c r="X47" s="111">
        <f t="shared" si="29"/>
        <v>2.1845167997477</v>
      </c>
      <c r="Y47" s="111">
        <f t="shared" si="30"/>
        <v>7.2568077308353152</v>
      </c>
      <c r="Z47" s="109">
        <v>0.1208</v>
      </c>
      <c r="AA47" s="109">
        <v>0.70430000000000004</v>
      </c>
      <c r="AB47" s="109">
        <v>0.36130000000000001</v>
      </c>
      <c r="AC47" s="111">
        <f t="shared" si="31"/>
        <v>5.7379733490061691</v>
      </c>
      <c r="AD47" s="111">
        <f t="shared" si="32"/>
        <v>19.061134875778524</v>
      </c>
      <c r="AE47" s="112">
        <v>7.4059999999999997</v>
      </c>
      <c r="AF47" s="109">
        <v>41.93</v>
      </c>
      <c r="AG47" s="109">
        <v>0.39589999999999997</v>
      </c>
      <c r="AH47" s="111">
        <f t="shared" si="33"/>
        <v>9.3592651979468713E-2</v>
      </c>
      <c r="AI47" s="111">
        <f t="shared" si="34"/>
        <v>0.31090806008561245</v>
      </c>
      <c r="AJ47" s="109">
        <v>0.30609999999999998</v>
      </c>
      <c r="AK47" s="109">
        <v>1.599</v>
      </c>
      <c r="AL47" s="109">
        <v>0.36930000000000002</v>
      </c>
      <c r="AM47" s="111">
        <f t="shared" si="35"/>
        <v>2.2644468492647674</v>
      </c>
      <c r="AN47" s="111">
        <f t="shared" si="36"/>
        <v>7.5223296079517992</v>
      </c>
      <c r="AO47" s="113">
        <v>2.1659999999999999E-2</v>
      </c>
      <c r="AP47" s="111">
        <v>3.9660000000000001E-2</v>
      </c>
      <c r="AQ47" s="109">
        <v>0.2843</v>
      </c>
      <c r="AR47" s="111">
        <f t="shared" si="37"/>
        <v>32.001254873497011</v>
      </c>
      <c r="AS47" s="111">
        <f t="shared" si="38"/>
        <v>106.30586763592085</v>
      </c>
      <c r="AT47" s="114">
        <f>0.1965*O47-3.429</f>
        <v>2.4660000000000006</v>
      </c>
    </row>
    <row r="48" spans="1:46" x14ac:dyDescent="0.2">
      <c r="A48" s="102" t="str">
        <f t="shared" si="13"/>
        <v/>
      </c>
      <c r="B48" s="103" t="str">
        <f t="shared" si="14"/>
        <v/>
      </c>
      <c r="C48" s="104" t="str">
        <f t="shared" si="15"/>
        <v/>
      </c>
      <c r="D48" s="104" t="str">
        <f t="shared" si="16"/>
        <v/>
      </c>
      <c r="E48" s="103" t="str">
        <f t="shared" si="17"/>
        <v/>
      </c>
      <c r="F48" s="104" t="str">
        <f t="shared" si="18"/>
        <v/>
      </c>
      <c r="G48" s="105" t="str">
        <f t="shared" si="19"/>
        <v/>
      </c>
      <c r="H48" s="106" t="str">
        <f t="shared" si="20"/>
        <v/>
      </c>
      <c r="I48" s="106" t="str">
        <f t="shared" si="21"/>
        <v/>
      </c>
      <c r="J48" s="106" t="str">
        <f t="shared" si="22"/>
        <v/>
      </c>
      <c r="K48" s="103" t="str">
        <f t="shared" si="23"/>
        <v/>
      </c>
      <c r="L48" s="104" t="str">
        <f t="shared" si="24"/>
        <v/>
      </c>
      <c r="M48" s="104" t="str">
        <f t="shared" si="25"/>
        <v/>
      </c>
      <c r="N48" s="107" t="str">
        <f t="shared" si="26"/>
        <v/>
      </c>
      <c r="O48" s="48">
        <v>35</v>
      </c>
      <c r="P48" s="109">
        <v>29.55</v>
      </c>
      <c r="Q48" s="110">
        <v>164.7</v>
      </c>
      <c r="R48" s="109">
        <v>0.39479999999999998</v>
      </c>
      <c r="S48" s="111">
        <f t="shared" si="27"/>
        <v>2.345675737935517E-2</v>
      </c>
      <c r="T48" s="111">
        <f t="shared" si="28"/>
        <v>7.7921661353436408E-2</v>
      </c>
      <c r="U48" s="109">
        <v>0.25280000000000002</v>
      </c>
      <c r="V48" s="109">
        <v>1.8069999999999999</v>
      </c>
      <c r="W48" s="109">
        <v>0.46479999999999999</v>
      </c>
      <c r="X48" s="111">
        <f t="shared" si="29"/>
        <v>2.741879669936492</v>
      </c>
      <c r="Y48" s="111">
        <f t="shared" si="30"/>
        <v>9.1083271083625217</v>
      </c>
      <c r="Z48" s="109">
        <v>8.8779999999999998E-2</v>
      </c>
      <c r="AA48" s="109">
        <v>0.69879999999999998</v>
      </c>
      <c r="AB48" s="109">
        <v>0.42449999999999999</v>
      </c>
      <c r="AC48" s="111">
        <f t="shared" si="31"/>
        <v>7.8074699319660432</v>
      </c>
      <c r="AD48" s="111">
        <f t="shared" si="32"/>
        <v>25.935853716986326</v>
      </c>
      <c r="AE48" s="112">
        <v>5.7160000000000002</v>
      </c>
      <c r="AF48" s="109">
        <v>43.41</v>
      </c>
      <c r="AG48" s="109">
        <v>0.48570000000000002</v>
      </c>
      <c r="AH48" s="111">
        <f t="shared" si="33"/>
        <v>0.12126437728480498</v>
      </c>
      <c r="AI48" s="111">
        <f t="shared" si="34"/>
        <v>0.40283154181141456</v>
      </c>
      <c r="AJ48" s="109">
        <v>0.23960000000000001</v>
      </c>
      <c r="AK48" s="109">
        <v>1.694</v>
      </c>
      <c r="AL48" s="109">
        <v>0.46829999999999999</v>
      </c>
      <c r="AM48" s="111">
        <f t="shared" si="35"/>
        <v>2.892934810350356</v>
      </c>
      <c r="AN48" s="111">
        <f t="shared" si="36"/>
        <v>9.6101214231804928</v>
      </c>
      <c r="AO48" s="113">
        <v>1.9009999999999999E-2</v>
      </c>
      <c r="AP48" s="111">
        <v>3.8730000000000001E-2</v>
      </c>
      <c r="AQ48" s="109">
        <v>0.37319999999999998</v>
      </c>
      <c r="AR48" s="111">
        <f t="shared" si="37"/>
        <v>36.462239903205962</v>
      </c>
      <c r="AS48" s="111">
        <f t="shared" si="38"/>
        <v>121.12493913698296</v>
      </c>
      <c r="AT48" s="114">
        <f>0.1965*O48-3.429</f>
        <v>3.4485000000000006</v>
      </c>
    </row>
    <row r="49" spans="1:46" x14ac:dyDescent="0.2">
      <c r="A49" s="102" t="str">
        <f t="shared" si="13"/>
        <v/>
      </c>
      <c r="B49" s="103" t="str">
        <f t="shared" si="14"/>
        <v/>
      </c>
      <c r="C49" s="104" t="str">
        <f t="shared" si="15"/>
        <v/>
      </c>
      <c r="D49" s="104" t="str">
        <f t="shared" si="16"/>
        <v/>
      </c>
      <c r="E49" s="103" t="str">
        <f t="shared" si="17"/>
        <v/>
      </c>
      <c r="F49" s="104" t="str">
        <f t="shared" si="18"/>
        <v/>
      </c>
      <c r="G49" s="105" t="str">
        <f t="shared" si="19"/>
        <v/>
      </c>
      <c r="H49" s="106" t="str">
        <f t="shared" si="20"/>
        <v/>
      </c>
      <c r="I49" s="106" t="str">
        <f t="shared" si="21"/>
        <v/>
      </c>
      <c r="J49" s="106" t="str">
        <f t="shared" si="22"/>
        <v/>
      </c>
      <c r="K49" s="103" t="str">
        <f t="shared" si="23"/>
        <v/>
      </c>
      <c r="L49" s="104" t="str">
        <f t="shared" si="24"/>
        <v/>
      </c>
      <c r="M49" s="104" t="str">
        <f t="shared" si="25"/>
        <v/>
      </c>
      <c r="N49" s="107" t="str">
        <f t="shared" si="26"/>
        <v/>
      </c>
      <c r="O49" s="48">
        <v>40</v>
      </c>
      <c r="P49" s="109"/>
      <c r="Q49" s="110"/>
      <c r="R49" s="109"/>
      <c r="S49" s="111" t="str">
        <f t="shared" si="27"/>
        <v/>
      </c>
      <c r="T49" s="111" t="str">
        <f t="shared" si="28"/>
        <v/>
      </c>
      <c r="U49" s="109">
        <v>0.12970000000000001</v>
      </c>
      <c r="V49" s="109">
        <v>0.17799999999999999</v>
      </c>
      <c r="W49" s="109">
        <v>0.21890000000000001</v>
      </c>
      <c r="X49" s="111">
        <f t="shared" si="29"/>
        <v>5.3442342371622606</v>
      </c>
      <c r="Y49" s="111">
        <f t="shared" si="30"/>
        <v>17.753161858088248</v>
      </c>
      <c r="Z49" s="109"/>
      <c r="AA49" s="109"/>
      <c r="AB49" s="109"/>
      <c r="AC49" s="111" t="str">
        <f t="shared" si="31"/>
        <v/>
      </c>
      <c r="AD49" s="111" t="str">
        <f t="shared" si="32"/>
        <v/>
      </c>
      <c r="AE49" s="112"/>
      <c r="AF49" s="109"/>
      <c r="AG49" s="109"/>
      <c r="AH49" s="111" t="str">
        <f t="shared" si="33"/>
        <v/>
      </c>
      <c r="AI49" s="111" t="str">
        <f t="shared" si="34"/>
        <v/>
      </c>
      <c r="AJ49" s="109"/>
      <c r="AK49" s="109"/>
      <c r="AL49" s="109"/>
      <c r="AM49" s="111" t="str">
        <f t="shared" si="35"/>
        <v/>
      </c>
      <c r="AN49" s="111" t="str">
        <f t="shared" si="36"/>
        <v/>
      </c>
      <c r="AO49" s="113"/>
      <c r="AP49" s="111"/>
      <c r="AQ49" s="109"/>
      <c r="AR49" s="111" t="str">
        <f t="shared" si="37"/>
        <v/>
      </c>
      <c r="AS49" s="111" t="str">
        <f t="shared" si="38"/>
        <v/>
      </c>
      <c r="AT49" s="114">
        <f t="shared" ref="AT49:AT71" si="39">1.222-0.05664*O49+0.001227*O49^2-0.000003136*O49^3</f>
        <v>0.71889599999999998</v>
      </c>
    </row>
    <row r="50" spans="1:46" x14ac:dyDescent="0.2">
      <c r="A50" s="102" t="str">
        <f t="shared" si="13"/>
        <v/>
      </c>
      <c r="B50" s="103" t="str">
        <f t="shared" si="14"/>
        <v/>
      </c>
      <c r="C50" s="104" t="str">
        <f t="shared" si="15"/>
        <v/>
      </c>
      <c r="D50" s="104" t="str">
        <f t="shared" si="16"/>
        <v/>
      </c>
      <c r="E50" s="103" t="str">
        <f t="shared" si="17"/>
        <v/>
      </c>
      <c r="F50" s="104" t="str">
        <f t="shared" si="18"/>
        <v/>
      </c>
      <c r="G50" s="105" t="str">
        <f t="shared" si="19"/>
        <v/>
      </c>
      <c r="H50" s="106" t="str">
        <f t="shared" si="20"/>
        <v/>
      </c>
      <c r="I50" s="106" t="str">
        <f t="shared" si="21"/>
        <v/>
      </c>
      <c r="J50" s="106" t="str">
        <f t="shared" si="22"/>
        <v/>
      </c>
      <c r="K50" s="103" t="str">
        <f t="shared" si="23"/>
        <v/>
      </c>
      <c r="L50" s="104" t="str">
        <f t="shared" si="24"/>
        <v/>
      </c>
      <c r="M50" s="104" t="str">
        <f t="shared" si="25"/>
        <v/>
      </c>
      <c r="N50" s="107" t="str">
        <f t="shared" si="26"/>
        <v/>
      </c>
      <c r="O50" s="48">
        <v>45</v>
      </c>
      <c r="P50" s="109"/>
      <c r="Q50" s="110"/>
      <c r="R50" s="109"/>
      <c r="S50" s="111" t="str">
        <f t="shared" si="27"/>
        <v/>
      </c>
      <c r="T50" s="111" t="str">
        <f t="shared" si="28"/>
        <v/>
      </c>
      <c r="U50" s="109">
        <v>0.1095</v>
      </c>
      <c r="V50" s="109">
        <v>0.1741</v>
      </c>
      <c r="W50" s="109">
        <v>0.22689999999999999</v>
      </c>
      <c r="X50" s="111">
        <f t="shared" si="29"/>
        <v>6.3301112379903683</v>
      </c>
      <c r="Y50" s="111">
        <f t="shared" si="30"/>
        <v>21.028174365242428</v>
      </c>
      <c r="Z50" s="109"/>
      <c r="AA50" s="109"/>
      <c r="AB50" s="109"/>
      <c r="AC50" s="111" t="str">
        <f t="shared" si="31"/>
        <v/>
      </c>
      <c r="AD50" s="111" t="str">
        <f t="shared" si="32"/>
        <v/>
      </c>
      <c r="AE50" s="112"/>
      <c r="AF50" s="109"/>
      <c r="AG50" s="109"/>
      <c r="AH50" s="111" t="str">
        <f t="shared" si="33"/>
        <v/>
      </c>
      <c r="AI50" s="111" t="str">
        <f t="shared" si="34"/>
        <v/>
      </c>
      <c r="AJ50" s="109"/>
      <c r="AK50" s="109"/>
      <c r="AL50" s="109"/>
      <c r="AM50" s="111" t="str">
        <f t="shared" si="35"/>
        <v/>
      </c>
      <c r="AN50" s="111" t="str">
        <f t="shared" si="36"/>
        <v/>
      </c>
      <c r="AO50" s="113"/>
      <c r="AP50" s="111"/>
      <c r="AQ50" s="109"/>
      <c r="AR50" s="111" t="str">
        <f t="shared" si="37"/>
        <v/>
      </c>
      <c r="AS50" s="111" t="str">
        <f t="shared" si="38"/>
        <v/>
      </c>
      <c r="AT50" s="114">
        <f t="shared" si="39"/>
        <v>0.87210700000000019</v>
      </c>
    </row>
    <row r="51" spans="1:46" x14ac:dyDescent="0.2">
      <c r="A51" s="102" t="str">
        <f t="shared" si="13"/>
        <v/>
      </c>
      <c r="B51" s="103" t="str">
        <f t="shared" si="14"/>
        <v/>
      </c>
      <c r="C51" s="104" t="str">
        <f t="shared" si="15"/>
        <v/>
      </c>
      <c r="D51" s="104" t="str">
        <f t="shared" si="16"/>
        <v/>
      </c>
      <c r="E51" s="103" t="str">
        <f t="shared" si="17"/>
        <v/>
      </c>
      <c r="F51" s="104" t="str">
        <f t="shared" si="18"/>
        <v/>
      </c>
      <c r="G51" s="105" t="str">
        <f t="shared" si="19"/>
        <v/>
      </c>
      <c r="H51" s="106" t="str">
        <f t="shared" si="20"/>
        <v/>
      </c>
      <c r="I51" s="106" t="str">
        <f t="shared" si="21"/>
        <v/>
      </c>
      <c r="J51" s="106" t="str">
        <f t="shared" si="22"/>
        <v/>
      </c>
      <c r="K51" s="103" t="str">
        <f t="shared" si="23"/>
        <v/>
      </c>
      <c r="L51" s="104" t="str">
        <f t="shared" si="24"/>
        <v/>
      </c>
      <c r="M51" s="104" t="str">
        <f t="shared" si="25"/>
        <v/>
      </c>
      <c r="N51" s="107" t="str">
        <f t="shared" si="26"/>
        <v/>
      </c>
      <c r="O51" s="48">
        <v>50</v>
      </c>
      <c r="P51" s="109">
        <v>8.8010000000000002</v>
      </c>
      <c r="Q51" s="110">
        <v>27.28</v>
      </c>
      <c r="R51" s="109">
        <v>0.29570000000000002</v>
      </c>
      <c r="S51" s="111">
        <f t="shared" si="27"/>
        <v>7.8757775316435089E-2</v>
      </c>
      <c r="T51" s="111">
        <f t="shared" si="28"/>
        <v>0.26162766651449215</v>
      </c>
      <c r="U51" s="109">
        <v>9.3200000000000005E-2</v>
      </c>
      <c r="V51" s="109">
        <v>0.17119999999999999</v>
      </c>
      <c r="W51" s="109">
        <v>0.2324</v>
      </c>
      <c r="X51" s="111">
        <f t="shared" si="29"/>
        <v>7.4372015081539189</v>
      </c>
      <c r="Y51" s="111">
        <f t="shared" si="30"/>
        <v>24.705848637275167</v>
      </c>
      <c r="Z51" s="109">
        <v>3.8830000000000003E-2</v>
      </c>
      <c r="AA51" s="109">
        <v>8.7300000000000003E-2</v>
      </c>
      <c r="AB51" s="109">
        <v>0.51049999999999995</v>
      </c>
      <c r="AC51" s="111">
        <f t="shared" si="31"/>
        <v>17.85081587844309</v>
      </c>
      <c r="AD51" s="111">
        <f t="shared" si="32"/>
        <v>59.299126783261535</v>
      </c>
      <c r="AE51" s="112">
        <v>1.8169999999999999</v>
      </c>
      <c r="AF51" s="109">
        <v>4.84</v>
      </c>
      <c r="AG51" s="109">
        <v>0.40210000000000001</v>
      </c>
      <c r="AH51" s="111">
        <f t="shared" si="33"/>
        <v>0.38147891059985983</v>
      </c>
      <c r="AI51" s="111">
        <f t="shared" si="34"/>
        <v>1.2672455107286988</v>
      </c>
      <c r="AJ51" s="109">
        <v>9.7210000000000005E-2</v>
      </c>
      <c r="AK51" s="109">
        <v>0.1799</v>
      </c>
      <c r="AL51" s="109">
        <v>0.49120000000000003</v>
      </c>
      <c r="AM51" s="111">
        <f t="shared" si="35"/>
        <v>7.1304102516196401</v>
      </c>
      <c r="AN51" s="111">
        <f t="shared" si="36"/>
        <v>23.686710142928153</v>
      </c>
      <c r="AO51" s="113">
        <v>1.076E-2</v>
      </c>
      <c r="AP51" s="111">
        <v>1.8619999999999999E-3</v>
      </c>
      <c r="AQ51" s="109">
        <v>1.17</v>
      </c>
      <c r="AR51" s="111">
        <f t="shared" si="37"/>
        <v>64.418882951667769</v>
      </c>
      <c r="AS51" s="111">
        <f t="shared" si="38"/>
        <v>213.9948971184057</v>
      </c>
      <c r="AT51" s="114">
        <f t="shared" si="39"/>
        <v>1.0654999999999997</v>
      </c>
    </row>
    <row r="52" spans="1:46" x14ac:dyDescent="0.2">
      <c r="A52" s="102" t="str">
        <f t="shared" si="13"/>
        <v/>
      </c>
      <c r="B52" s="103" t="str">
        <f t="shared" si="14"/>
        <v/>
      </c>
      <c r="C52" s="104" t="str">
        <f t="shared" si="15"/>
        <v/>
      </c>
      <c r="D52" s="104" t="str">
        <f t="shared" si="16"/>
        <v/>
      </c>
      <c r="E52" s="103" t="str">
        <f t="shared" si="17"/>
        <v/>
      </c>
      <c r="F52" s="104" t="str">
        <f t="shared" si="18"/>
        <v/>
      </c>
      <c r="G52" s="105" t="str">
        <f t="shared" si="19"/>
        <v/>
      </c>
      <c r="H52" s="106" t="str">
        <f t="shared" si="20"/>
        <v/>
      </c>
      <c r="I52" s="106" t="str">
        <f t="shared" si="21"/>
        <v/>
      </c>
      <c r="J52" s="106" t="str">
        <f t="shared" si="22"/>
        <v/>
      </c>
      <c r="K52" s="103" t="str">
        <f t="shared" si="23"/>
        <v/>
      </c>
      <c r="L52" s="104" t="str">
        <f t="shared" si="24"/>
        <v/>
      </c>
      <c r="M52" s="104" t="str">
        <f t="shared" si="25"/>
        <v/>
      </c>
      <c r="N52" s="107" t="str">
        <f t="shared" si="26"/>
        <v/>
      </c>
      <c r="O52" s="48">
        <v>55</v>
      </c>
      <c r="P52" s="109">
        <v>7.8390000000000004</v>
      </c>
      <c r="Q52" s="110">
        <v>25.92</v>
      </c>
      <c r="R52" s="109">
        <v>0.34989999999999999</v>
      </c>
      <c r="S52" s="111">
        <f t="shared" si="27"/>
        <v>8.8422908605682513E-2</v>
      </c>
      <c r="T52" s="111">
        <f t="shared" si="28"/>
        <v>0.2937345443288743</v>
      </c>
      <c r="U52" s="109">
        <v>7.4219999999999994E-2</v>
      </c>
      <c r="V52" s="109">
        <v>0.16969999999999999</v>
      </c>
      <c r="W52" s="109">
        <v>0.24540000000000001</v>
      </c>
      <c r="X52" s="111">
        <f t="shared" si="29"/>
        <v>9.3390889323625075</v>
      </c>
      <c r="Y52" s="111">
        <f t="shared" si="30"/>
        <v>31.023781905066638</v>
      </c>
      <c r="Z52" s="109">
        <v>3.4189999999999998E-2</v>
      </c>
      <c r="AA52" s="109">
        <v>8.3150000000000002E-2</v>
      </c>
      <c r="AB52" s="109">
        <v>0.56059999999999999</v>
      </c>
      <c r="AC52" s="111">
        <f t="shared" si="31"/>
        <v>20.273389311492991</v>
      </c>
      <c r="AD52" s="111">
        <f t="shared" si="32"/>
        <v>67.346741532437733</v>
      </c>
      <c r="AE52" s="112">
        <v>1.4930000000000001</v>
      </c>
      <c r="AF52" s="109">
        <v>4.5149999999999997</v>
      </c>
      <c r="AG52" s="109">
        <v>0.42930000000000001</v>
      </c>
      <c r="AH52" s="111">
        <f t="shared" si="33"/>
        <v>0.46426468892159761</v>
      </c>
      <c r="AI52" s="111">
        <f t="shared" si="34"/>
        <v>1.5422539135927968</v>
      </c>
      <c r="AJ52" s="109">
        <v>8.5519999999999999E-2</v>
      </c>
      <c r="AK52" s="109">
        <v>0.1661</v>
      </c>
      <c r="AL52" s="109">
        <v>0.51119999999999999</v>
      </c>
      <c r="AM52" s="111">
        <f t="shared" si="35"/>
        <v>8.1050886407851408</v>
      </c>
      <c r="AN52" s="111">
        <f t="shared" si="36"/>
        <v>26.924521667376585</v>
      </c>
      <c r="AO52" s="113">
        <v>1.0120000000000001E-2</v>
      </c>
      <c r="AP52" s="111">
        <v>1.4040000000000001E-3</v>
      </c>
      <c r="AQ52" s="109">
        <v>1.2689999999999999</v>
      </c>
      <c r="AR52" s="111">
        <f t="shared" si="37"/>
        <v>68.49280440315664</v>
      </c>
      <c r="AS52" s="111">
        <f t="shared" si="38"/>
        <v>227.52817124447091</v>
      </c>
      <c r="AT52" s="114">
        <f t="shared" si="39"/>
        <v>1.2967229999999998</v>
      </c>
    </row>
    <row r="53" spans="1:46" x14ac:dyDescent="0.2">
      <c r="A53" s="102" t="str">
        <f t="shared" si="13"/>
        <v/>
      </c>
      <c r="B53" s="103" t="str">
        <f t="shared" si="14"/>
        <v/>
      </c>
      <c r="C53" s="104" t="str">
        <f t="shared" si="15"/>
        <v/>
      </c>
      <c r="D53" s="104" t="str">
        <f t="shared" si="16"/>
        <v/>
      </c>
      <c r="E53" s="103" t="str">
        <f t="shared" si="17"/>
        <v/>
      </c>
      <c r="F53" s="104" t="str">
        <f t="shared" si="18"/>
        <v/>
      </c>
      <c r="G53" s="105" t="str">
        <f t="shared" si="19"/>
        <v/>
      </c>
      <c r="H53" s="106" t="str">
        <f t="shared" si="20"/>
        <v/>
      </c>
      <c r="I53" s="106" t="str">
        <f t="shared" si="21"/>
        <v/>
      </c>
      <c r="J53" s="106" t="str">
        <f t="shared" si="22"/>
        <v/>
      </c>
      <c r="K53" s="103" t="str">
        <f t="shared" si="23"/>
        <v/>
      </c>
      <c r="L53" s="104" t="str">
        <f t="shared" si="24"/>
        <v/>
      </c>
      <c r="M53" s="104" t="str">
        <f t="shared" si="25"/>
        <v/>
      </c>
      <c r="N53" s="107" t="str">
        <f t="shared" si="26"/>
        <v/>
      </c>
      <c r="O53" s="48">
        <v>60</v>
      </c>
      <c r="P53" s="109">
        <v>6.9509999999999996</v>
      </c>
      <c r="Q53" s="110">
        <v>24.89</v>
      </c>
      <c r="R53" s="109">
        <v>0.41980000000000001</v>
      </c>
      <c r="S53" s="111">
        <f t="shared" si="27"/>
        <v>9.971905920873908E-2</v>
      </c>
      <c r="T53" s="111">
        <f t="shared" si="28"/>
        <v>0.33125954438124672</v>
      </c>
      <c r="U53" s="109">
        <v>6.2509999999999996E-2</v>
      </c>
      <c r="V53" s="109">
        <v>0.16919999999999999</v>
      </c>
      <c r="W53" s="109">
        <v>0.27329999999999999</v>
      </c>
      <c r="X53" s="111">
        <f t="shared" si="29"/>
        <v>11.088580716044557</v>
      </c>
      <c r="Y53" s="111">
        <f t="shared" si="30"/>
        <v>36.835467813054642</v>
      </c>
      <c r="Z53" s="109">
        <v>2.9850000000000002E-2</v>
      </c>
      <c r="AA53" s="109">
        <v>7.961E-2</v>
      </c>
      <c r="AB53" s="109">
        <v>0.6169</v>
      </c>
      <c r="AC53" s="111">
        <f t="shared" si="31"/>
        <v>23.221011074035015</v>
      </c>
      <c r="AD53" s="111">
        <f t="shared" si="32"/>
        <v>77.138529078527483</v>
      </c>
      <c r="AE53" s="112">
        <v>1.1830000000000001</v>
      </c>
      <c r="AF53" s="109">
        <v>4.2190000000000003</v>
      </c>
      <c r="AG53" s="109">
        <v>0.45710000000000001</v>
      </c>
      <c r="AH53" s="111">
        <f t="shared" si="33"/>
        <v>0.58592322955194021</v>
      </c>
      <c r="AI53" s="111">
        <f t="shared" si="34"/>
        <v>1.9463948376957276</v>
      </c>
      <c r="AJ53" s="109">
        <v>7.4520000000000003E-2</v>
      </c>
      <c r="AK53" s="109">
        <v>0.15390000000000001</v>
      </c>
      <c r="AL53" s="109">
        <v>0.53039999999999998</v>
      </c>
      <c r="AM53" s="111">
        <f t="shared" si="35"/>
        <v>9.3014919559842362</v>
      </c>
      <c r="AN53" s="111">
        <f t="shared" si="36"/>
        <v>30.898887452952842</v>
      </c>
      <c r="AO53" s="113">
        <v>9.5119999999999996E-3</v>
      </c>
      <c r="AP53" s="111">
        <v>9.6719999999999998E-4</v>
      </c>
      <c r="AQ53" s="109">
        <v>1.333</v>
      </c>
      <c r="AR53" s="111">
        <f t="shared" si="37"/>
        <v>72.870813767866409</v>
      </c>
      <c r="AS53" s="111">
        <f t="shared" si="38"/>
        <v>242.07160355278026</v>
      </c>
      <c r="AT53" s="114">
        <f t="shared" si="39"/>
        <v>1.5634240000000001</v>
      </c>
    </row>
    <row r="54" spans="1:46" x14ac:dyDescent="0.2">
      <c r="A54" s="102" t="str">
        <f t="shared" si="13"/>
        <v/>
      </c>
      <c r="B54" s="103" t="str">
        <f t="shared" si="14"/>
        <v/>
      </c>
      <c r="C54" s="104" t="str">
        <f t="shared" si="15"/>
        <v/>
      </c>
      <c r="D54" s="104" t="str">
        <f t="shared" si="16"/>
        <v/>
      </c>
      <c r="E54" s="103" t="str">
        <f t="shared" si="17"/>
        <v/>
      </c>
      <c r="F54" s="104" t="str">
        <f t="shared" si="18"/>
        <v/>
      </c>
      <c r="G54" s="105" t="str">
        <f t="shared" si="19"/>
        <v/>
      </c>
      <c r="H54" s="106" t="str">
        <f t="shared" si="20"/>
        <v/>
      </c>
      <c r="I54" s="106" t="str">
        <f t="shared" si="21"/>
        <v/>
      </c>
      <c r="J54" s="106" t="str">
        <f t="shared" si="22"/>
        <v/>
      </c>
      <c r="K54" s="103" t="str">
        <f t="shared" si="23"/>
        <v/>
      </c>
      <c r="L54" s="104" t="str">
        <f t="shared" si="24"/>
        <v/>
      </c>
      <c r="M54" s="104" t="str">
        <f t="shared" si="25"/>
        <v/>
      </c>
      <c r="N54" s="107" t="str">
        <f t="shared" si="26"/>
        <v/>
      </c>
      <c r="O54" s="48">
        <v>65</v>
      </c>
      <c r="P54" s="109">
        <v>6.13</v>
      </c>
      <c r="Q54" s="110">
        <v>24.09</v>
      </c>
      <c r="R54" s="109">
        <v>0.50190000000000001</v>
      </c>
      <c r="S54" s="111">
        <f t="shared" si="27"/>
        <v>0.1130745808417529</v>
      </c>
      <c r="T54" s="111">
        <f t="shared" si="28"/>
        <v>0.37562562691583129</v>
      </c>
      <c r="U54" s="109">
        <v>5.5280000000000003E-2</v>
      </c>
      <c r="V54" s="109">
        <v>0.1696</v>
      </c>
      <c r="W54" s="109">
        <v>0.32169999999999999</v>
      </c>
      <c r="X54" s="111">
        <f t="shared" si="29"/>
        <v>12.53884190593244</v>
      </c>
      <c r="Y54" s="111">
        <f t="shared" si="30"/>
        <v>41.653131204667979</v>
      </c>
      <c r="Z54" s="109">
        <v>2.6089999999999999E-2</v>
      </c>
      <c r="AA54" s="109">
        <v>7.5969999999999996E-2</v>
      </c>
      <c r="AB54" s="109">
        <v>0.67559999999999998</v>
      </c>
      <c r="AC54" s="111">
        <f t="shared" si="31"/>
        <v>26.56754237485417</v>
      </c>
      <c r="AD54" s="111">
        <f t="shared" si="32"/>
        <v>88.255465427138589</v>
      </c>
      <c r="AE54" s="112">
        <v>0.91720000000000002</v>
      </c>
      <c r="AF54" s="109">
        <v>3.9820000000000002</v>
      </c>
      <c r="AG54" s="109">
        <v>0.49220000000000003</v>
      </c>
      <c r="AH54" s="111">
        <f t="shared" si="33"/>
        <v>0.75572086846919462</v>
      </c>
      <c r="AI54" s="111">
        <f t="shared" si="34"/>
        <v>2.5104503848604947</v>
      </c>
      <c r="AJ54" s="109">
        <v>6.5140000000000003E-2</v>
      </c>
      <c r="AK54" s="109">
        <v>0.14430000000000001</v>
      </c>
      <c r="AL54" s="109">
        <v>0.55820000000000003</v>
      </c>
      <c r="AM54" s="111">
        <f t="shared" si="35"/>
        <v>10.640883950874198</v>
      </c>
      <c r="AN54" s="111">
        <f t="shared" si="36"/>
        <v>35.348251350845032</v>
      </c>
      <c r="AO54" s="113">
        <v>8.9899999999999997E-3</v>
      </c>
      <c r="AP54" s="111">
        <v>6.4700000000000001E-4</v>
      </c>
      <c r="AQ54" s="109">
        <v>1.353</v>
      </c>
      <c r="AR54" s="111">
        <f t="shared" si="37"/>
        <v>77.102022309226399</v>
      </c>
      <c r="AS54" s="111">
        <f t="shared" si="38"/>
        <v>256.1273740816514</v>
      </c>
      <c r="AT54" s="114">
        <f t="shared" si="39"/>
        <v>1.863251</v>
      </c>
    </row>
    <row r="55" spans="1:46" x14ac:dyDescent="0.2">
      <c r="A55" s="102" t="str">
        <f t="shared" si="13"/>
        <v/>
      </c>
      <c r="B55" s="103" t="str">
        <f t="shared" si="14"/>
        <v/>
      </c>
      <c r="C55" s="104" t="str">
        <f t="shared" si="15"/>
        <v/>
      </c>
      <c r="D55" s="104" t="str">
        <f t="shared" si="16"/>
        <v/>
      </c>
      <c r="E55" s="103" t="str">
        <f t="shared" si="17"/>
        <v/>
      </c>
      <c r="F55" s="104" t="str">
        <f t="shared" si="18"/>
        <v/>
      </c>
      <c r="G55" s="105" t="str">
        <f t="shared" si="19"/>
        <v/>
      </c>
      <c r="H55" s="106" t="str">
        <f t="shared" si="20"/>
        <v/>
      </c>
      <c r="I55" s="106" t="str">
        <f t="shared" si="21"/>
        <v/>
      </c>
      <c r="J55" s="106" t="str">
        <f t="shared" si="22"/>
        <v/>
      </c>
      <c r="K55" s="103" t="str">
        <f t="shared" si="23"/>
        <v/>
      </c>
      <c r="L55" s="104" t="str">
        <f t="shared" si="24"/>
        <v/>
      </c>
      <c r="M55" s="104" t="str">
        <f t="shared" si="25"/>
        <v/>
      </c>
      <c r="N55" s="107" t="str">
        <f t="shared" si="26"/>
        <v/>
      </c>
      <c r="O55" s="48">
        <v>70</v>
      </c>
      <c r="P55" s="109">
        <v>5.3689999999999998</v>
      </c>
      <c r="Q55" s="110">
        <v>23.49</v>
      </c>
      <c r="R55" s="109">
        <v>0.58809999999999996</v>
      </c>
      <c r="S55" s="111">
        <f t="shared" si="27"/>
        <v>0.12910172854534277</v>
      </c>
      <c r="T55" s="111">
        <f t="shared" si="28"/>
        <v>0.42886665915329597</v>
      </c>
      <c r="U55" s="109">
        <v>5.0869999999999999E-2</v>
      </c>
      <c r="V55" s="109">
        <v>0.1696</v>
      </c>
      <c r="W55" s="109">
        <v>0.38469999999999999</v>
      </c>
      <c r="X55" s="111">
        <f t="shared" si="29"/>
        <v>13.625853755847166</v>
      </c>
      <c r="Y55" s="111">
        <f t="shared" si="30"/>
        <v>45.264106408375191</v>
      </c>
      <c r="Z55" s="109">
        <v>2.3019999999999999E-2</v>
      </c>
      <c r="AA55" s="109">
        <v>7.1629999999999999E-2</v>
      </c>
      <c r="AB55" s="109">
        <v>0.72989999999999999</v>
      </c>
      <c r="AC55" s="111">
        <f t="shared" si="31"/>
        <v>30.110650762812568</v>
      </c>
      <c r="AD55" s="111">
        <f t="shared" si="32"/>
        <v>100.02541672432866</v>
      </c>
      <c r="AE55" s="112">
        <v>0.71489999999999998</v>
      </c>
      <c r="AF55" s="109">
        <v>3.798</v>
      </c>
      <c r="AG55" s="109">
        <v>0.53779999999999994</v>
      </c>
      <c r="AH55" s="111">
        <f t="shared" si="33"/>
        <v>0.96957222067414361</v>
      </c>
      <c r="AI55" s="111">
        <f t="shared" si="34"/>
        <v>3.2208491998797673</v>
      </c>
      <c r="AJ55" s="109">
        <v>5.7910000000000003E-2</v>
      </c>
      <c r="AK55" s="109">
        <v>0.13569999999999999</v>
      </c>
      <c r="AL55" s="109">
        <v>0.59670000000000001</v>
      </c>
      <c r="AM55" s="111">
        <f t="shared" si="35"/>
        <v>11.969386644101974</v>
      </c>
      <c r="AN55" s="111">
        <f t="shared" si="36"/>
        <v>39.761441771611914</v>
      </c>
      <c r="AO55" s="113">
        <v>8.5500000000000003E-3</v>
      </c>
      <c r="AP55" s="111">
        <v>5.3899999999999998E-4</v>
      </c>
      <c r="AQ55" s="109">
        <v>1.194</v>
      </c>
      <c r="AR55" s="111">
        <f t="shared" si="37"/>
        <v>81.069845679525756</v>
      </c>
      <c r="AS55" s="111">
        <f t="shared" si="38"/>
        <v>269.30819801099949</v>
      </c>
      <c r="AT55" s="114">
        <f t="shared" si="39"/>
        <v>2.1938519999999997</v>
      </c>
    </row>
    <row r="56" spans="1:46" x14ac:dyDescent="0.2">
      <c r="A56" s="102" t="str">
        <f t="shared" si="13"/>
        <v/>
      </c>
      <c r="B56" s="103" t="str">
        <f t="shared" si="14"/>
        <v/>
      </c>
      <c r="C56" s="104" t="str">
        <f t="shared" si="15"/>
        <v/>
      </c>
      <c r="D56" s="104" t="str">
        <f t="shared" si="16"/>
        <v/>
      </c>
      <c r="E56" s="103" t="str">
        <f t="shared" si="17"/>
        <v/>
      </c>
      <c r="F56" s="104" t="str">
        <f t="shared" si="18"/>
        <v/>
      </c>
      <c r="G56" s="105" t="str">
        <f t="shared" si="19"/>
        <v/>
      </c>
      <c r="H56" s="106" t="str">
        <f t="shared" si="20"/>
        <v/>
      </c>
      <c r="I56" s="106" t="str">
        <f t="shared" si="21"/>
        <v/>
      </c>
      <c r="J56" s="106" t="str">
        <f t="shared" si="22"/>
        <v/>
      </c>
      <c r="K56" s="103" t="str">
        <f t="shared" si="23"/>
        <v/>
      </c>
      <c r="L56" s="104" t="str">
        <f t="shared" si="24"/>
        <v/>
      </c>
      <c r="M56" s="104" t="str">
        <f t="shared" si="25"/>
        <v/>
      </c>
      <c r="N56" s="107" t="str">
        <f t="shared" si="26"/>
        <v/>
      </c>
      <c r="O56" s="48">
        <v>75</v>
      </c>
      <c r="P56" s="109">
        <v>4.6660000000000004</v>
      </c>
      <c r="Q56" s="110">
        <v>22.69</v>
      </c>
      <c r="R56" s="109">
        <v>0.66180000000000005</v>
      </c>
      <c r="S56" s="111">
        <f t="shared" si="27"/>
        <v>0.14855276051434746</v>
      </c>
      <c r="T56" s="111">
        <f t="shared" si="28"/>
        <v>0.49348158872568487</v>
      </c>
      <c r="U56" s="109">
        <v>4.7969999999999999E-2</v>
      </c>
      <c r="V56" s="109">
        <v>0.1663</v>
      </c>
      <c r="W56" s="109">
        <v>0.44919999999999999</v>
      </c>
      <c r="X56" s="111">
        <f t="shared" si="29"/>
        <v>14.449597259952998</v>
      </c>
      <c r="Y56" s="111">
        <f t="shared" si="30"/>
        <v>48.000523097645321</v>
      </c>
      <c r="Z56" s="109">
        <v>2.0660000000000001E-2</v>
      </c>
      <c r="AA56" s="109">
        <v>6.6489999999999994E-2</v>
      </c>
      <c r="AB56" s="109">
        <v>0.77500000000000002</v>
      </c>
      <c r="AC56" s="111">
        <f t="shared" si="31"/>
        <v>33.550202350432976</v>
      </c>
      <c r="AD56" s="111">
        <f t="shared" si="32"/>
        <v>111.45135977705932</v>
      </c>
      <c r="AE56" s="112">
        <v>0.57930000000000004</v>
      </c>
      <c r="AF56" s="109">
        <v>3.629</v>
      </c>
      <c r="AG56" s="109">
        <v>0.59079999999999999</v>
      </c>
      <c r="AH56" s="111">
        <f t="shared" si="33"/>
        <v>1.1965254282063615</v>
      </c>
      <c r="AI56" s="111">
        <f t="shared" si="34"/>
        <v>3.9747714362058444</v>
      </c>
      <c r="AJ56" s="109">
        <v>5.2909999999999999E-2</v>
      </c>
      <c r="AK56" s="109">
        <v>0.128</v>
      </c>
      <c r="AL56" s="109">
        <v>0.64780000000000004</v>
      </c>
      <c r="AM56" s="111">
        <f t="shared" si="35"/>
        <v>13.100494813077779</v>
      </c>
      <c r="AN56" s="111">
        <f t="shared" si="36"/>
        <v>43.518901776489244</v>
      </c>
      <c r="AO56" s="113">
        <v>5.2030000000000002E-3</v>
      </c>
      <c r="AP56" s="111">
        <v>6.4210000000000005E-4</v>
      </c>
      <c r="AQ56" s="109">
        <v>1.0620000000000001</v>
      </c>
      <c r="AR56" s="111">
        <f t="shared" si="37"/>
        <v>133.22067664038926</v>
      </c>
      <c r="AS56" s="111">
        <f t="shared" si="38"/>
        <v>442.54950855161366</v>
      </c>
      <c r="AT56" s="114">
        <f t="shared" si="39"/>
        <v>2.5528750000000002</v>
      </c>
    </row>
    <row r="57" spans="1:46" x14ac:dyDescent="0.2">
      <c r="A57" s="102" t="str">
        <f t="shared" si="13"/>
        <v/>
      </c>
      <c r="B57" s="103" t="str">
        <f t="shared" si="14"/>
        <v/>
      </c>
      <c r="C57" s="104" t="str">
        <f t="shared" si="15"/>
        <v/>
      </c>
      <c r="D57" s="104" t="str">
        <f t="shared" si="16"/>
        <v/>
      </c>
      <c r="E57" s="103" t="str">
        <f t="shared" si="17"/>
        <v/>
      </c>
      <c r="F57" s="104" t="str">
        <f t="shared" si="18"/>
        <v/>
      </c>
      <c r="G57" s="105" t="str">
        <f t="shared" si="19"/>
        <v/>
      </c>
      <c r="H57" s="106" t="str">
        <f t="shared" si="20"/>
        <v/>
      </c>
      <c r="I57" s="106" t="str">
        <f t="shared" si="21"/>
        <v/>
      </c>
      <c r="J57" s="106" t="str">
        <f t="shared" si="22"/>
        <v/>
      </c>
      <c r="K57" s="103" t="str">
        <f t="shared" si="23"/>
        <v/>
      </c>
      <c r="L57" s="104" t="str">
        <f t="shared" si="24"/>
        <v/>
      </c>
      <c r="M57" s="104" t="str">
        <f t="shared" si="25"/>
        <v/>
      </c>
      <c r="N57" s="107" t="str">
        <f t="shared" si="26"/>
        <v/>
      </c>
      <c r="O57" s="48">
        <v>80</v>
      </c>
      <c r="P57" s="109">
        <v>4.04</v>
      </c>
      <c r="Q57" s="110">
        <v>21.69</v>
      </c>
      <c r="R57" s="109">
        <v>0.71870000000000001</v>
      </c>
      <c r="S57" s="111">
        <f t="shared" si="27"/>
        <v>0.17157108429701615</v>
      </c>
      <c r="T57" s="111">
        <f t="shared" si="28"/>
        <v>0.56994680519654595</v>
      </c>
      <c r="U57" s="109">
        <v>4.5830000000000003E-2</v>
      </c>
      <c r="V57" s="109">
        <v>0.15490000000000001</v>
      </c>
      <c r="W57" s="109">
        <v>0.49259999999999998</v>
      </c>
      <c r="X57" s="111">
        <f t="shared" si="29"/>
        <v>15.124311162119687</v>
      </c>
      <c r="Y57" s="111">
        <f t="shared" si="30"/>
        <v>50.241874165263923</v>
      </c>
      <c r="Z57" s="109">
        <v>1.8859999999999998E-2</v>
      </c>
      <c r="AA57" s="109">
        <v>6.0929999999999998E-2</v>
      </c>
      <c r="AB57" s="109">
        <v>0.81030000000000002</v>
      </c>
      <c r="AC57" s="111">
        <f t="shared" si="31"/>
        <v>36.752236509010885</v>
      </c>
      <c r="AD57" s="111">
        <f t="shared" si="32"/>
        <v>122.08828700922831</v>
      </c>
      <c r="AE57" s="112">
        <v>0.49209999999999998</v>
      </c>
      <c r="AF57" s="109">
        <v>3.4279999999999999</v>
      </c>
      <c r="AG57" s="109">
        <v>0.64270000000000005</v>
      </c>
      <c r="AH57" s="111">
        <f t="shared" si="33"/>
        <v>1.4085494423083627</v>
      </c>
      <c r="AI57" s="111">
        <f t="shared" si="34"/>
        <v>4.6790999654420764</v>
      </c>
      <c r="AJ57" s="109">
        <v>4.9549999999999997E-2</v>
      </c>
      <c r="AK57" s="109">
        <v>0.1208</v>
      </c>
      <c r="AL57" s="109">
        <v>0.7097</v>
      </c>
      <c r="AM57" s="111">
        <f t="shared" si="35"/>
        <v>13.988843199998897</v>
      </c>
      <c r="AN57" s="111">
        <f t="shared" si="36"/>
        <v>46.469931241050375</v>
      </c>
      <c r="AO57" s="113">
        <v>7.9030000000000003E-3</v>
      </c>
      <c r="AP57" s="111">
        <v>8.6399999999999997E-4</v>
      </c>
      <c r="AQ57" s="109">
        <v>0.97030000000000005</v>
      </c>
      <c r="AR57" s="111">
        <f t="shared" si="37"/>
        <v>87.706843041875899</v>
      </c>
      <c r="AS57" s="111">
        <f t="shared" si="38"/>
        <v>291.35582601468377</v>
      </c>
      <c r="AT57" s="114">
        <f t="shared" si="39"/>
        <v>2.9379679999999997</v>
      </c>
    </row>
    <row r="58" spans="1:46" x14ac:dyDescent="0.2">
      <c r="A58" s="102" t="str">
        <f t="shared" si="13"/>
        <v/>
      </c>
      <c r="B58" s="103" t="str">
        <f t="shared" si="14"/>
        <v/>
      </c>
      <c r="C58" s="104" t="str">
        <f t="shared" si="15"/>
        <v/>
      </c>
      <c r="D58" s="104" t="str">
        <f t="shared" si="16"/>
        <v/>
      </c>
      <c r="E58" s="103" t="str">
        <f t="shared" si="17"/>
        <v/>
      </c>
      <c r="F58" s="104" t="str">
        <f t="shared" si="18"/>
        <v/>
      </c>
      <c r="G58" s="105" t="str">
        <f t="shared" si="19"/>
        <v/>
      </c>
      <c r="H58" s="106" t="str">
        <f t="shared" si="20"/>
        <v/>
      </c>
      <c r="I58" s="106" t="str">
        <f t="shared" si="21"/>
        <v/>
      </c>
      <c r="J58" s="106" t="str">
        <f t="shared" si="22"/>
        <v/>
      </c>
      <c r="K58" s="103" t="str">
        <f t="shared" si="23"/>
        <v/>
      </c>
      <c r="L58" s="104" t="str">
        <f t="shared" si="24"/>
        <v/>
      </c>
      <c r="M58" s="104" t="str">
        <f t="shared" si="25"/>
        <v/>
      </c>
      <c r="N58" s="107" t="str">
        <f t="shared" si="26"/>
        <v/>
      </c>
      <c r="O58" s="48">
        <v>85</v>
      </c>
      <c r="P58" s="109">
        <v>3.504</v>
      </c>
      <c r="Q58" s="110">
        <v>20.37</v>
      </c>
      <c r="R58" s="109">
        <v>0.755</v>
      </c>
      <c r="S58" s="111">
        <f t="shared" si="27"/>
        <v>0.19781597618719901</v>
      </c>
      <c r="T58" s="111">
        <f t="shared" si="28"/>
        <v>0.65713044891382588</v>
      </c>
      <c r="U58" s="109">
        <v>4.3979999999999998E-2</v>
      </c>
      <c r="V58" s="109">
        <v>0.1348</v>
      </c>
      <c r="W58" s="109">
        <v>0.49430000000000002</v>
      </c>
      <c r="X58" s="111">
        <f t="shared" si="29"/>
        <v>15.760508880398939</v>
      </c>
      <c r="Y58" s="111">
        <f t="shared" si="30"/>
        <v>52.355277239519012</v>
      </c>
      <c r="Z58" s="109">
        <v>1.746E-2</v>
      </c>
      <c r="AA58" s="109">
        <v>5.5579999999999997E-2</v>
      </c>
      <c r="AB58" s="109">
        <v>0.83919999999999995</v>
      </c>
      <c r="AC58" s="111">
        <f t="shared" si="31"/>
        <v>39.699151234819318</v>
      </c>
      <c r="AD58" s="111">
        <f t="shared" si="32"/>
        <v>131.87772583012864</v>
      </c>
      <c r="AE58" s="112">
        <v>0.4355</v>
      </c>
      <c r="AF58" s="109">
        <v>3.1779999999999999</v>
      </c>
      <c r="AG58" s="109">
        <v>0.68610000000000004</v>
      </c>
      <c r="AH58" s="111">
        <f t="shared" si="33"/>
        <v>1.5916123549022854</v>
      </c>
      <c r="AI58" s="111">
        <f t="shared" si="34"/>
        <v>5.287221797919738</v>
      </c>
      <c r="AJ58" s="109">
        <v>4.7210000000000002E-2</v>
      </c>
      <c r="AK58" s="109">
        <v>0.114</v>
      </c>
      <c r="AL58" s="109">
        <v>0.77859999999999996</v>
      </c>
      <c r="AM58" s="111">
        <f t="shared" si="35"/>
        <v>14.682210984112375</v>
      </c>
      <c r="AN58" s="111">
        <f t="shared" si="36"/>
        <v>48.773249163186733</v>
      </c>
      <c r="AO58" s="113">
        <v>7.6860000000000001E-3</v>
      </c>
      <c r="AP58" s="111">
        <v>1.0560000000000001E-3</v>
      </c>
      <c r="AQ58" s="109">
        <v>1.0149999999999999</v>
      </c>
      <c r="AR58" s="111">
        <f t="shared" si="37"/>
        <v>90.183083601345984</v>
      </c>
      <c r="AS58" s="111">
        <f t="shared" si="38"/>
        <v>299.58171909888699</v>
      </c>
      <c r="AT58" s="114">
        <f t="shared" si="39"/>
        <v>3.3467790000000015</v>
      </c>
    </row>
    <row r="59" spans="1:46" x14ac:dyDescent="0.2">
      <c r="A59" s="42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O59" s="48">
        <v>90</v>
      </c>
      <c r="P59" s="109">
        <v>3.0670000000000002</v>
      </c>
      <c r="Q59" s="110">
        <v>18.829999999999998</v>
      </c>
      <c r="R59" s="109">
        <v>0.77259999999999995</v>
      </c>
      <c r="S59" s="111">
        <f t="shared" si="27"/>
        <v>0.22600168912942459</v>
      </c>
      <c r="T59" s="111">
        <f t="shared" si="28"/>
        <v>0.75076136061103538</v>
      </c>
      <c r="U59" s="109">
        <v>4.2279999999999998E-2</v>
      </c>
      <c r="V59" s="109">
        <v>0.1137</v>
      </c>
      <c r="W59" s="109">
        <v>0.46899999999999997</v>
      </c>
      <c r="X59" s="111">
        <f t="shared" si="29"/>
        <v>16.394209568589055</v>
      </c>
      <c r="Y59" s="111">
        <f t="shared" si="30"/>
        <v>54.460385359367208</v>
      </c>
      <c r="Z59" s="109">
        <v>1.6629999999999999E-2</v>
      </c>
      <c r="AA59" s="109">
        <v>5.0389999999999997E-2</v>
      </c>
      <c r="AB59" s="109">
        <v>0.85850000000000004</v>
      </c>
      <c r="AC59" s="111">
        <f t="shared" si="31"/>
        <v>41.680527995186132</v>
      </c>
      <c r="AD59" s="111">
        <f t="shared" si="32"/>
        <v>138.45971695694806</v>
      </c>
      <c r="AE59" s="112">
        <v>0.39710000000000001</v>
      </c>
      <c r="AF59" s="109">
        <v>2.9129999999999998</v>
      </c>
      <c r="AG59" s="109">
        <v>0.72040000000000004</v>
      </c>
      <c r="AH59" s="111">
        <f t="shared" si="33"/>
        <v>1.7455229930998371</v>
      </c>
      <c r="AI59" s="111">
        <f t="shared" si="34"/>
        <v>5.7985018710502283</v>
      </c>
      <c r="AJ59" s="109">
        <v>4.5499999999999999E-2</v>
      </c>
      <c r="AK59" s="109">
        <v>0.1077</v>
      </c>
      <c r="AL59" s="109">
        <v>0.85219999999999996</v>
      </c>
      <c r="AM59" s="111">
        <f t="shared" si="35"/>
        <v>15.234003968350446</v>
      </c>
      <c r="AN59" s="111">
        <f t="shared" si="36"/>
        <v>50.606265780088918</v>
      </c>
      <c r="AO59" s="113">
        <v>7.5110000000000003E-3</v>
      </c>
      <c r="AP59" s="111">
        <v>1.1590000000000001E-3</v>
      </c>
      <c r="AQ59" s="109">
        <v>1.081</v>
      </c>
      <c r="AR59" s="111">
        <f t="shared" si="37"/>
        <v>92.284273806409971</v>
      </c>
      <c r="AS59" s="111">
        <f t="shared" si="38"/>
        <v>306.56172187379121</v>
      </c>
      <c r="AT59" s="114">
        <f t="shared" si="39"/>
        <v>3.7769560000000002</v>
      </c>
    </row>
    <row r="60" spans="1:46" x14ac:dyDescent="0.2">
      <c r="A60" s="42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O60" s="48">
        <v>95</v>
      </c>
      <c r="P60" s="109">
        <v>2.7309999999999999</v>
      </c>
      <c r="Q60" s="110">
        <v>17.07</v>
      </c>
      <c r="R60" s="109">
        <v>0.77139999999999997</v>
      </c>
      <c r="S60" s="111">
        <f t="shared" si="27"/>
        <v>0.25380709650675404</v>
      </c>
      <c r="T60" s="111">
        <f t="shared" si="28"/>
        <v>0.84312892456757438</v>
      </c>
      <c r="U60" s="109">
        <v>4.0680000000000001E-2</v>
      </c>
      <c r="V60" s="109">
        <v>9.7049999999999997E-2</v>
      </c>
      <c r="W60" s="109">
        <v>0.44059999999999999</v>
      </c>
      <c r="X60" s="111">
        <f t="shared" si="29"/>
        <v>17.039016237953422</v>
      </c>
      <c r="Y60" s="111">
        <f t="shared" si="30"/>
        <v>56.602386750099448</v>
      </c>
      <c r="Z60" s="109">
        <v>1.5429999999999999E-2</v>
      </c>
      <c r="AA60" s="109">
        <v>4.5710000000000001E-2</v>
      </c>
      <c r="AB60" s="109">
        <v>0.87629999999999997</v>
      </c>
      <c r="AC60" s="111">
        <f t="shared" si="31"/>
        <v>44.922046698635469</v>
      </c>
      <c r="AD60" s="111">
        <f t="shared" si="32"/>
        <v>149.22780900803926</v>
      </c>
      <c r="AE60" s="112">
        <v>0.36809999999999998</v>
      </c>
      <c r="AF60" s="109">
        <v>2.6539999999999999</v>
      </c>
      <c r="AG60" s="109">
        <v>0.74609999999999999</v>
      </c>
      <c r="AH60" s="111">
        <f t="shared" si="33"/>
        <v>1.8830404253190582</v>
      </c>
      <c r="AI60" s="111">
        <f t="shared" si="34"/>
        <v>6.2553248926760281</v>
      </c>
      <c r="AJ60" s="109">
        <v>4.41E-2</v>
      </c>
      <c r="AK60" s="109">
        <v>0.1013</v>
      </c>
      <c r="AL60" s="109">
        <v>0.92220000000000002</v>
      </c>
      <c r="AM60" s="111">
        <f t="shared" si="35"/>
        <v>15.717623141948872</v>
      </c>
      <c r="AN60" s="111">
        <f t="shared" si="36"/>
        <v>52.212813900091739</v>
      </c>
      <c r="AO60" s="113">
        <v>7.345E-3</v>
      </c>
      <c r="AP60" s="111">
        <v>1.1329999999999999E-3</v>
      </c>
      <c r="AQ60" s="109">
        <v>1.1160000000000001</v>
      </c>
      <c r="AR60" s="111">
        <f t="shared" si="37"/>
        <v>94.369936087126661</v>
      </c>
      <c r="AS60" s="111">
        <f t="shared" si="38"/>
        <v>313.49014200055086</v>
      </c>
      <c r="AT60" s="114">
        <f t="shared" si="39"/>
        <v>4.2261469999999983</v>
      </c>
    </row>
    <row r="61" spans="1:46" x14ac:dyDescent="0.2">
      <c r="A61" s="12"/>
      <c r="B61" s="325" t="s">
        <v>59</v>
      </c>
      <c r="C61" s="325"/>
      <c r="D61" s="325"/>
      <c r="E61" s="325" t="s">
        <v>61</v>
      </c>
      <c r="F61" s="325"/>
      <c r="G61" s="325"/>
      <c r="H61" s="325" t="s">
        <v>90</v>
      </c>
      <c r="I61" s="325"/>
      <c r="J61" s="325"/>
      <c r="K61" s="116" t="s">
        <v>91</v>
      </c>
      <c r="L61" s="117"/>
      <c r="M61" s="118"/>
      <c r="O61" s="48">
        <v>100</v>
      </c>
      <c r="P61" s="109">
        <v>2.5</v>
      </c>
      <c r="Q61" s="110">
        <v>15.28</v>
      </c>
      <c r="R61" s="109">
        <v>0.75570000000000004</v>
      </c>
      <c r="S61" s="111">
        <f t="shared" si="27"/>
        <v>0.2772588722239781</v>
      </c>
      <c r="T61" s="111">
        <f t="shared" si="28"/>
        <v>0.92103403719761834</v>
      </c>
      <c r="U61" s="109">
        <v>3.925E-2</v>
      </c>
      <c r="V61" s="109">
        <v>8.5669999999999996E-2</v>
      </c>
      <c r="W61" s="109">
        <v>0.42730000000000001</v>
      </c>
      <c r="X61" s="111">
        <f t="shared" si="29"/>
        <v>17.659800778597333</v>
      </c>
      <c r="Y61" s="111">
        <f t="shared" si="30"/>
        <v>58.6645883565362</v>
      </c>
      <c r="Z61" s="109">
        <v>1.4659999999999999E-2</v>
      </c>
      <c r="AA61" s="109">
        <v>4.1709999999999997E-2</v>
      </c>
      <c r="AB61" s="109">
        <v>0.89390000000000003</v>
      </c>
      <c r="AC61" s="111">
        <f t="shared" si="31"/>
        <v>47.281526641196812</v>
      </c>
      <c r="AD61" s="111">
        <f t="shared" si="32"/>
        <v>157.06583171855701</v>
      </c>
      <c r="AE61" s="112">
        <v>0.34150000000000003</v>
      </c>
      <c r="AF61" s="109">
        <v>2.42</v>
      </c>
      <c r="AG61" s="109">
        <v>0.76449999999999996</v>
      </c>
      <c r="AH61" s="111">
        <f t="shared" si="33"/>
        <v>2.0297135594727531</v>
      </c>
      <c r="AI61" s="111">
        <f t="shared" si="34"/>
        <v>6.7425624977863707</v>
      </c>
      <c r="AJ61" s="109">
        <v>4.2779999999999999E-2</v>
      </c>
      <c r="AK61" s="109">
        <v>9.4659999999999994E-2</v>
      </c>
      <c r="AL61" s="109">
        <v>0.97909999999999997</v>
      </c>
      <c r="AM61" s="111">
        <f t="shared" si="35"/>
        <v>16.202598891069314</v>
      </c>
      <c r="AN61" s="111">
        <f t="shared" si="36"/>
        <v>53.823868466433979</v>
      </c>
      <c r="AO61" s="113">
        <v>7.2300000000000003E-3</v>
      </c>
      <c r="AP61" s="111">
        <v>9.343E-4</v>
      </c>
      <c r="AQ61" s="109">
        <v>1.3089999999999999</v>
      </c>
      <c r="AR61" s="111">
        <f t="shared" si="37"/>
        <v>95.870979330559507</v>
      </c>
      <c r="AS61" s="111">
        <f t="shared" si="38"/>
        <v>318.47649972255124</v>
      </c>
      <c r="AT61" s="114">
        <f t="shared" si="39"/>
        <v>4.6919999999999993</v>
      </c>
    </row>
    <row r="62" spans="1:46" x14ac:dyDescent="0.2">
      <c r="A62" s="75" t="s">
        <v>67</v>
      </c>
      <c r="B62" s="119" t="str">
        <f>$A$20</f>
        <v>Steel</v>
      </c>
      <c r="C62" s="120" t="str">
        <f>$A$21</f>
        <v>Glass</v>
      </c>
      <c r="D62" s="120" t="str">
        <f>$A$22</f>
        <v>Wood</v>
      </c>
      <c r="E62" s="119" t="str">
        <f>B62</f>
        <v>Steel</v>
      </c>
      <c r="F62" s="120" t="str">
        <f>C62</f>
        <v>Glass</v>
      </c>
      <c r="G62" s="120" t="str">
        <f>$A$22</f>
        <v>Wood</v>
      </c>
      <c r="H62" s="119" t="str">
        <f>B62</f>
        <v>Steel</v>
      </c>
      <c r="I62" s="120" t="str">
        <f>C62</f>
        <v>Glass</v>
      </c>
      <c r="J62" s="120" t="str">
        <f>$A$22</f>
        <v>Wood</v>
      </c>
      <c r="K62" s="119" t="str">
        <f>H62</f>
        <v>Steel</v>
      </c>
      <c r="L62" s="120" t="str">
        <f>I62</f>
        <v>Glass</v>
      </c>
      <c r="M62" s="120" t="str">
        <f>$A$22</f>
        <v>Wood</v>
      </c>
      <c r="O62" s="48">
        <v>105</v>
      </c>
      <c r="P62" s="109">
        <v>2.3639999999999999</v>
      </c>
      <c r="Q62" s="110">
        <v>13.41</v>
      </c>
      <c r="R62" s="109">
        <v>0.72389999999999999</v>
      </c>
      <c r="S62" s="111">
        <f t="shared" si="27"/>
        <v>0.29320946724193964</v>
      </c>
      <c r="T62" s="111">
        <f t="shared" si="28"/>
        <v>0.97402076691795514</v>
      </c>
      <c r="U62" s="109">
        <v>3.8080000000000003E-2</v>
      </c>
      <c r="V62" s="109">
        <v>7.8619999999999995E-2</v>
      </c>
      <c r="W62" s="109">
        <v>0.43940000000000001</v>
      </c>
      <c r="X62" s="111">
        <f t="shared" si="29"/>
        <v>18.202394447477552</v>
      </c>
      <c r="Y62" s="111">
        <f t="shared" si="30"/>
        <v>60.467045509297414</v>
      </c>
      <c r="Z62" s="109">
        <v>1.397E-2</v>
      </c>
      <c r="AA62" s="109">
        <v>3.8150000000000003E-2</v>
      </c>
      <c r="AB62" s="109">
        <v>0.90800000000000003</v>
      </c>
      <c r="AC62" s="111">
        <f t="shared" si="31"/>
        <v>49.616834685751272</v>
      </c>
      <c r="AD62" s="111">
        <f t="shared" si="32"/>
        <v>164.82355712197892</v>
      </c>
      <c r="AE62" s="112">
        <v>0.3135</v>
      </c>
      <c r="AF62" s="109">
        <v>2.2269999999999999</v>
      </c>
      <c r="AG62" s="109">
        <v>0.77880000000000005</v>
      </c>
      <c r="AH62" s="111">
        <f t="shared" si="33"/>
        <v>2.2109957912597937</v>
      </c>
      <c r="AI62" s="111">
        <f t="shared" si="34"/>
        <v>7.3447690366636236</v>
      </c>
      <c r="AJ62" s="109">
        <v>4.1430000000000002E-2</v>
      </c>
      <c r="AK62" s="109">
        <v>8.7510000000000004E-2</v>
      </c>
      <c r="AL62" s="109">
        <v>1.014</v>
      </c>
      <c r="AM62" s="111">
        <f t="shared" si="35"/>
        <v>16.730561925173674</v>
      </c>
      <c r="AN62" s="111">
        <f t="shared" si="36"/>
        <v>55.577723702487233</v>
      </c>
      <c r="AO62" s="113">
        <v>7.0499999999999998E-3</v>
      </c>
      <c r="AP62" s="111">
        <v>6.1990000000000005E-4</v>
      </c>
      <c r="AQ62" s="109">
        <v>1.365</v>
      </c>
      <c r="AR62" s="111">
        <f t="shared" si="37"/>
        <v>98.318749015595074</v>
      </c>
      <c r="AS62" s="111">
        <f t="shared" si="38"/>
        <v>326.60781460908453</v>
      </c>
      <c r="AT62" s="114">
        <f t="shared" si="39"/>
        <v>5.1721629999999994</v>
      </c>
    </row>
    <row r="63" spans="1:46" x14ac:dyDescent="0.2">
      <c r="A63" s="102" t="str">
        <f t="shared" ref="A63:A76" si="40">IF($A45="","",$A45)</f>
        <v/>
      </c>
      <c r="B63" s="103" t="str">
        <f t="shared" ref="B63:B76" si="41">IF(OR($B26=0,$F26=""),"",(1/($B$20*$D$20))*LN((((L26/$E$20)^-$D$20)+($C$20/$B$20))/(1+($C$20/$B$20))))</f>
        <v/>
      </c>
      <c r="C63" s="104" t="str">
        <f t="shared" ref="C63:C76" si="42">IF(OR($B26=0,$F26=""),"",(1/($B$21*$D$21))*LN(((($L26/$E$21)^-$D$21)+($C$21/$B$21))/(1+($C$21/$B$21))))</f>
        <v/>
      </c>
      <c r="D63" s="84" t="str">
        <f t="shared" ref="D63:D76" si="43">IF(OR($B26=0,$F26=""),"",(1/($B$22*$D$22))*LN(((($L26/$E$22)^-$D$22)+($C$22/$B$22))/(1+($C$22/$B$22))))</f>
        <v/>
      </c>
      <c r="E63" s="103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104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105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106" t="str">
        <f t="shared" ref="H63:H76" si="47">IF($N26="","",IF(-LN($N26)*$F$20/LN(2)&lt;0,0,-LN($N26)*$F$20/LN(2)))</f>
        <v/>
      </c>
      <c r="I63" s="106" t="str">
        <f t="shared" ref="I63:I76" si="48">IF($N26="","",IF(-LN($N26)*$F$21/LN(2)&lt;0,0,-LN($N26)*$F$21/LN(2)))</f>
        <v/>
      </c>
      <c r="J63" s="106" t="str">
        <f t="shared" ref="J63:J76" si="49">IF($N26="","",IF(-LN($N26)*$F$22/LN(2)&lt;0,0,-LN($N26)*$F$22/LN(2)))</f>
        <v/>
      </c>
      <c r="K63" s="103" t="str">
        <f t="shared" ref="K63:K76" si="50">IF($E63="","",IF(AND($E63=0,$H63=0),0,IF(OR($E63=0,$H63=0),MAX($E63,$H63),IF(ABS($E63-$H63)&gt;$G$20,MAX($E63,$H63),(MAX($E63,$H63)+$F$20)))))</f>
        <v/>
      </c>
      <c r="L63" s="104" t="str">
        <f t="shared" ref="L63:L76" si="51">IF($F63="","",IF(AND($F63=0,$I63=0),0,IF(OR($F63=0,$I63=0),MAX($F63,$I63),IF(ABS($F63-$I63)&gt;$G$21,MAX($F63,$I63),(MAX($F63,$I63)+$F$21)))))</f>
        <v/>
      </c>
      <c r="M63" s="104" t="str">
        <f t="shared" ref="M63:M76" si="52">IF($G63="","",IF(AND($G63=0,$J63=0),0,IF(OR($G63=0,$J63=0),MAX($G63,$J63),IF(ABS($G63-$J63)&gt;$G$22,MAX($G63,$J63),(MAX($G63,$J63)+$F$22)))))</f>
        <v/>
      </c>
      <c r="O63" s="48">
        <v>110</v>
      </c>
      <c r="P63" s="109">
        <v>2.2959999999999998</v>
      </c>
      <c r="Q63" s="110">
        <v>11.7</v>
      </c>
      <c r="R63" s="109">
        <v>0.68269999999999997</v>
      </c>
      <c r="S63" s="111">
        <f t="shared" si="27"/>
        <v>0.301893371324018</v>
      </c>
      <c r="T63" s="111">
        <f t="shared" si="28"/>
        <v>1.0028680718615182</v>
      </c>
      <c r="U63" s="109">
        <v>3.7150000000000002E-2</v>
      </c>
      <c r="V63" s="109">
        <v>7.4359999999999996E-2</v>
      </c>
      <c r="W63" s="109">
        <v>0.47520000000000001</v>
      </c>
      <c r="X63" s="111">
        <f t="shared" si="29"/>
        <v>18.658066771465553</v>
      </c>
      <c r="Y63" s="111">
        <f t="shared" si="30"/>
        <v>61.980756204415769</v>
      </c>
      <c r="Z63" s="109">
        <v>1.336E-2</v>
      </c>
      <c r="AA63" s="109">
        <v>3.5209999999999998E-2</v>
      </c>
      <c r="AB63" s="109">
        <v>0.9244</v>
      </c>
      <c r="AC63" s="111">
        <f t="shared" si="31"/>
        <v>51.882273994007882</v>
      </c>
      <c r="AD63" s="111">
        <f t="shared" si="32"/>
        <v>172.34918360733877</v>
      </c>
      <c r="AE63" s="112">
        <v>0.28489999999999999</v>
      </c>
      <c r="AF63" s="109">
        <v>2.0609999999999999</v>
      </c>
      <c r="AG63" s="109">
        <v>0.78969999999999996</v>
      </c>
      <c r="AH63" s="111">
        <f t="shared" si="33"/>
        <v>2.4329490367144446</v>
      </c>
      <c r="AI63" s="111">
        <f t="shared" si="34"/>
        <v>8.08208175849086</v>
      </c>
      <c r="AJ63" s="109">
        <v>4.0079999999999998E-2</v>
      </c>
      <c r="AK63" s="109">
        <v>8.047E-2</v>
      </c>
      <c r="AL63" s="109">
        <v>1.03</v>
      </c>
      <c r="AM63" s="111">
        <f t="shared" si="35"/>
        <v>17.294091331335963</v>
      </c>
      <c r="AN63" s="111">
        <f t="shared" si="36"/>
        <v>57.449727869112927</v>
      </c>
      <c r="AO63" s="113">
        <v>6.9210000000000001E-3</v>
      </c>
      <c r="AP63" s="111">
        <v>1.9760000000000001E-4</v>
      </c>
      <c r="AQ63" s="109">
        <v>3.3090000000000002</v>
      </c>
      <c r="AR63" s="111">
        <f t="shared" si="37"/>
        <v>100.15130480565601</v>
      </c>
      <c r="AS63" s="111">
        <f t="shared" si="38"/>
        <v>332.69543317353646</v>
      </c>
      <c r="AT63" s="114">
        <f t="shared" si="39"/>
        <v>5.6642840000000003</v>
      </c>
    </row>
    <row r="64" spans="1:46" x14ac:dyDescent="0.2">
      <c r="A64" s="102" t="str">
        <f t="shared" si="40"/>
        <v/>
      </c>
      <c r="B64" s="103" t="str">
        <f t="shared" si="41"/>
        <v/>
      </c>
      <c r="C64" s="104" t="str">
        <f t="shared" si="42"/>
        <v/>
      </c>
      <c r="D64" s="84" t="str">
        <f t="shared" si="43"/>
        <v/>
      </c>
      <c r="E64" s="103" t="str">
        <f t="shared" si="44"/>
        <v/>
      </c>
      <c r="F64" s="104" t="str">
        <f t="shared" si="45"/>
        <v/>
      </c>
      <c r="G64" s="105" t="str">
        <f t="shared" si="46"/>
        <v/>
      </c>
      <c r="H64" s="106" t="str">
        <f t="shared" si="47"/>
        <v/>
      </c>
      <c r="I64" s="106" t="str">
        <f t="shared" si="48"/>
        <v/>
      </c>
      <c r="J64" s="106" t="str">
        <f t="shared" si="49"/>
        <v/>
      </c>
      <c r="K64" s="103" t="str">
        <f t="shared" si="50"/>
        <v/>
      </c>
      <c r="L64" s="104" t="str">
        <f t="shared" si="51"/>
        <v/>
      </c>
      <c r="M64" s="104" t="str">
        <f t="shared" si="52"/>
        <v/>
      </c>
      <c r="O64" s="48">
        <v>115</v>
      </c>
      <c r="P64" s="109">
        <v>2.2650000000000001</v>
      </c>
      <c r="Q64" s="110">
        <v>10.210000000000001</v>
      </c>
      <c r="R64" s="109">
        <v>0.63629999999999998</v>
      </c>
      <c r="S64" s="111">
        <f t="shared" si="27"/>
        <v>0.30602524528032904</v>
      </c>
      <c r="T64" s="111">
        <f t="shared" si="28"/>
        <v>1.0165938600415214</v>
      </c>
      <c r="U64" s="109">
        <v>3.6360000000000003E-2</v>
      </c>
      <c r="V64" s="109">
        <v>7.2010000000000005E-2</v>
      </c>
      <c r="W64" s="109">
        <v>0.53190000000000004</v>
      </c>
      <c r="X64" s="111">
        <f t="shared" si="29"/>
        <v>19.063453810779571</v>
      </c>
      <c r="Y64" s="111">
        <f t="shared" si="30"/>
        <v>63.327422799616215</v>
      </c>
      <c r="Z64" s="109">
        <v>1.2829999999999999E-2</v>
      </c>
      <c r="AA64" s="109">
        <v>6.2710000000000002E-2</v>
      </c>
      <c r="AB64" s="109">
        <v>0.94230000000000003</v>
      </c>
      <c r="AC64" s="111">
        <f t="shared" si="31"/>
        <v>54.025501212778281</v>
      </c>
      <c r="AD64" s="111">
        <f t="shared" si="32"/>
        <v>179.46883031909945</v>
      </c>
      <c r="AE64" s="112">
        <v>0.25790000000000002</v>
      </c>
      <c r="AF64" s="109">
        <v>1.9219999999999999</v>
      </c>
      <c r="AG64" s="109">
        <v>0.80079999999999996</v>
      </c>
      <c r="AH64" s="111">
        <f t="shared" si="33"/>
        <v>2.6876587070955611</v>
      </c>
      <c r="AI64" s="111">
        <f t="shared" si="34"/>
        <v>8.9282089685693897</v>
      </c>
      <c r="AJ64" s="109">
        <v>3.8780000000000002E-2</v>
      </c>
      <c r="AK64" s="109">
        <v>7.3940000000000006E-2</v>
      </c>
      <c r="AL64" s="109">
        <v>1.0329999999999999</v>
      </c>
      <c r="AM64" s="111">
        <f t="shared" si="35"/>
        <v>17.873831370808283</v>
      </c>
      <c r="AN64" s="111">
        <f t="shared" si="36"/>
        <v>59.375582593967138</v>
      </c>
      <c r="AO64" s="113">
        <v>6.8640000000000003E-3</v>
      </c>
      <c r="AP64" s="111">
        <v>-3.9080000000000001E-4</v>
      </c>
      <c r="AQ64" s="109">
        <v>0.64690000000000003</v>
      </c>
      <c r="AR64" s="111">
        <f t="shared" si="37"/>
        <v>100.98298085080788</v>
      </c>
      <c r="AS64" s="111">
        <f t="shared" si="38"/>
        <v>335.45820119377123</v>
      </c>
      <c r="AT64" s="114">
        <f t="shared" si="39"/>
        <v>6.1660109999999984</v>
      </c>
    </row>
    <row r="65" spans="1:46" x14ac:dyDescent="0.2">
      <c r="A65" s="102" t="str">
        <f t="shared" si="40"/>
        <v/>
      </c>
      <c r="B65" s="103" t="str">
        <f t="shared" si="41"/>
        <v/>
      </c>
      <c r="C65" s="104" t="str">
        <f t="shared" si="42"/>
        <v/>
      </c>
      <c r="D65" s="84" t="str">
        <f t="shared" si="43"/>
        <v/>
      </c>
      <c r="E65" s="103" t="str">
        <f t="shared" si="44"/>
        <v/>
      </c>
      <c r="F65" s="104" t="str">
        <f t="shared" si="45"/>
        <v/>
      </c>
      <c r="G65" s="105" t="str">
        <f t="shared" si="46"/>
        <v/>
      </c>
      <c r="H65" s="106" t="str">
        <f t="shared" si="47"/>
        <v/>
      </c>
      <c r="I65" s="106" t="str">
        <f t="shared" si="48"/>
        <v/>
      </c>
      <c r="J65" s="106" t="str">
        <f t="shared" si="49"/>
        <v/>
      </c>
      <c r="K65" s="103" t="str">
        <f t="shared" si="50"/>
        <v/>
      </c>
      <c r="L65" s="104" t="str">
        <f t="shared" si="51"/>
        <v/>
      </c>
      <c r="M65" s="104" t="str">
        <f t="shared" si="52"/>
        <v/>
      </c>
      <c r="O65" s="48">
        <v>120</v>
      </c>
      <c r="P65" s="109">
        <v>2.246</v>
      </c>
      <c r="Q65" s="110">
        <v>8.9499999999999993</v>
      </c>
      <c r="R65" s="109">
        <v>0.58730000000000004</v>
      </c>
      <c r="S65" s="111">
        <f t="shared" si="27"/>
        <v>0.30861406080140041</v>
      </c>
      <c r="T65" s="111">
        <f t="shared" si="28"/>
        <v>1.0251937190534488</v>
      </c>
      <c r="U65" s="109">
        <v>3.5659999999999997E-2</v>
      </c>
      <c r="V65" s="109">
        <v>7.109E-2</v>
      </c>
      <c r="W65" s="109">
        <v>0.60729999999999995</v>
      </c>
      <c r="X65" s="111">
        <f t="shared" si="29"/>
        <v>19.437666308467339</v>
      </c>
      <c r="Y65" s="111">
        <f t="shared" si="30"/>
        <v>64.570529809143181</v>
      </c>
      <c r="Z65" s="109">
        <v>1.235E-2</v>
      </c>
      <c r="AA65" s="109">
        <v>3.0470000000000001E-2</v>
      </c>
      <c r="AB65" s="109">
        <v>0.95660000000000001</v>
      </c>
      <c r="AC65" s="111">
        <f t="shared" si="31"/>
        <v>56.125277778133224</v>
      </c>
      <c r="AD65" s="111">
        <f t="shared" si="32"/>
        <v>186.44413708453814</v>
      </c>
      <c r="AE65" s="112">
        <v>0.2336</v>
      </c>
      <c r="AF65" s="109">
        <v>1.7969999999999999</v>
      </c>
      <c r="AG65" s="109">
        <v>0.81159999999999999</v>
      </c>
      <c r="AH65" s="111">
        <f t="shared" si="33"/>
        <v>2.9672396428079848</v>
      </c>
      <c r="AI65" s="111">
        <f t="shared" si="34"/>
        <v>9.8569567337073867</v>
      </c>
      <c r="AJ65" s="109">
        <v>3.7580000000000002E-2</v>
      </c>
      <c r="AK65" s="109">
        <v>6.8080000000000002E-2</v>
      </c>
      <c r="AL65" s="109">
        <v>1.0309999999999999</v>
      </c>
      <c r="AM65" s="111">
        <f t="shared" si="35"/>
        <v>18.44457638530988</v>
      </c>
      <c r="AN65" s="111">
        <f t="shared" si="36"/>
        <v>61.271556492656885</v>
      </c>
      <c r="AO65" s="113">
        <v>6.7260000000000002E-3</v>
      </c>
      <c r="AP65" s="111">
        <v>-8.3080000000000003E-4</v>
      </c>
      <c r="AQ65" s="109">
        <v>1.006</v>
      </c>
      <c r="AR65" s="111">
        <f t="shared" si="37"/>
        <v>103.05488857566834</v>
      </c>
      <c r="AS65" s="111">
        <f t="shared" si="38"/>
        <v>342.34092967499936</v>
      </c>
      <c r="AT65" s="114">
        <f t="shared" si="39"/>
        <v>6.6749920000000014</v>
      </c>
    </row>
    <row r="66" spans="1:46" x14ac:dyDescent="0.2">
      <c r="A66" s="102" t="str">
        <f t="shared" si="40"/>
        <v/>
      </c>
      <c r="B66" s="103" t="str">
        <f t="shared" si="41"/>
        <v/>
      </c>
      <c r="C66" s="104" t="str">
        <f t="shared" si="42"/>
        <v/>
      </c>
      <c r="D66" s="84" t="str">
        <f t="shared" si="43"/>
        <v/>
      </c>
      <c r="E66" s="103" t="str">
        <f t="shared" si="44"/>
        <v/>
      </c>
      <c r="F66" s="104" t="str">
        <f t="shared" si="45"/>
        <v/>
      </c>
      <c r="G66" s="105" t="str">
        <f t="shared" si="46"/>
        <v/>
      </c>
      <c r="H66" s="106" t="str">
        <f t="shared" si="47"/>
        <v/>
      </c>
      <c r="I66" s="106" t="str">
        <f t="shared" si="48"/>
        <v/>
      </c>
      <c r="J66" s="106" t="str">
        <f t="shared" si="49"/>
        <v/>
      </c>
      <c r="K66" s="103" t="str">
        <f t="shared" si="50"/>
        <v/>
      </c>
      <c r="L66" s="104" t="str">
        <f t="shared" si="51"/>
        <v/>
      </c>
      <c r="M66" s="104" t="str">
        <f t="shared" si="52"/>
        <v/>
      </c>
      <c r="O66" s="48">
        <v>125</v>
      </c>
      <c r="P66" s="109">
        <v>2.2189999999999999</v>
      </c>
      <c r="Q66" s="110">
        <v>7.923</v>
      </c>
      <c r="R66" s="109">
        <v>0.53859999999999997</v>
      </c>
      <c r="S66" s="111">
        <f t="shared" si="27"/>
        <v>0.31236916654346342</v>
      </c>
      <c r="T66" s="111">
        <f t="shared" si="28"/>
        <v>1.0376679103172808</v>
      </c>
      <c r="U66" s="109">
        <v>3.5020000000000003E-2</v>
      </c>
      <c r="V66" s="109">
        <v>7.1129999999999999E-2</v>
      </c>
      <c r="W66" s="109">
        <v>0.69740000000000002</v>
      </c>
      <c r="X66" s="111">
        <f t="shared" si="29"/>
        <v>19.792894933179475</v>
      </c>
      <c r="Y66" s="111">
        <f t="shared" si="30"/>
        <v>65.750573757682631</v>
      </c>
      <c r="Z66" s="109">
        <v>1.192E-2</v>
      </c>
      <c r="AA66" s="109">
        <v>2.8629999999999999E-2</v>
      </c>
      <c r="AB66" s="109">
        <v>0.96840000000000004</v>
      </c>
      <c r="AC66" s="111">
        <f t="shared" si="31"/>
        <v>58.149931255028967</v>
      </c>
      <c r="AD66" s="111">
        <f t="shared" si="32"/>
        <v>193.16989035184949</v>
      </c>
      <c r="AE66" s="112">
        <v>0.21299999999999999</v>
      </c>
      <c r="AF66" s="109">
        <v>1.677</v>
      </c>
      <c r="AG66" s="109">
        <v>0.82169999999999999</v>
      </c>
      <c r="AH66" s="111">
        <f t="shared" si="33"/>
        <v>3.2542121153049077</v>
      </c>
      <c r="AI66" s="111">
        <f t="shared" si="34"/>
        <v>10.810258652554207</v>
      </c>
      <c r="AJ66" s="109">
        <v>3.6519999999999997E-2</v>
      </c>
      <c r="AK66" s="109">
        <v>6.3039999999999999E-2</v>
      </c>
      <c r="AL66" s="109">
        <v>1.0309999999999999</v>
      </c>
      <c r="AM66" s="111">
        <f t="shared" si="35"/>
        <v>18.979933750272327</v>
      </c>
      <c r="AN66" s="111">
        <f t="shared" si="36"/>
        <v>63.049975164130508</v>
      </c>
      <c r="AO66" s="113">
        <v>6.5839999999999996E-3</v>
      </c>
      <c r="AP66" s="111">
        <v>-1.214E-3</v>
      </c>
      <c r="AQ66" s="109">
        <v>1.1919999999999999</v>
      </c>
      <c r="AR66" s="111">
        <f t="shared" si="37"/>
        <v>105.27751831104881</v>
      </c>
      <c r="AS66" s="111">
        <f t="shared" si="38"/>
        <v>349.7243458374918</v>
      </c>
      <c r="AT66" s="114">
        <f t="shared" si="39"/>
        <v>7.1888749999999995</v>
      </c>
    </row>
    <row r="67" spans="1:46" x14ac:dyDescent="0.2">
      <c r="A67" s="102" t="str">
        <f t="shared" si="40"/>
        <v/>
      </c>
      <c r="B67" s="103" t="str">
        <f t="shared" si="41"/>
        <v/>
      </c>
      <c r="C67" s="104" t="str">
        <f t="shared" si="42"/>
        <v/>
      </c>
      <c r="D67" s="84" t="str">
        <f t="shared" si="43"/>
        <v/>
      </c>
      <c r="E67" s="103" t="str">
        <f t="shared" si="44"/>
        <v/>
      </c>
      <c r="F67" s="104" t="str">
        <f t="shared" si="45"/>
        <v/>
      </c>
      <c r="G67" s="105" t="str">
        <f t="shared" si="46"/>
        <v/>
      </c>
      <c r="H67" s="106" t="str">
        <f t="shared" si="47"/>
        <v/>
      </c>
      <c r="I67" s="106" t="str">
        <f t="shared" si="48"/>
        <v/>
      </c>
      <c r="J67" s="106" t="str">
        <f t="shared" si="49"/>
        <v/>
      </c>
      <c r="K67" s="103" t="str">
        <f t="shared" si="50"/>
        <v/>
      </c>
      <c r="L67" s="104" t="str">
        <f t="shared" si="51"/>
        <v/>
      </c>
      <c r="M67" s="104" t="str">
        <f t="shared" si="52"/>
        <v/>
      </c>
      <c r="O67" s="48">
        <v>130</v>
      </c>
      <c r="P67" s="109">
        <v>2.17</v>
      </c>
      <c r="Q67" s="110">
        <v>7.0940000000000003</v>
      </c>
      <c r="R67" s="109">
        <v>0.4909</v>
      </c>
      <c r="S67" s="111">
        <f t="shared" si="27"/>
        <v>0.31942266385250934</v>
      </c>
      <c r="T67" s="111">
        <f t="shared" si="28"/>
        <v>1.0610991211954128</v>
      </c>
      <c r="U67" s="109">
        <v>3.4450000000000001E-2</v>
      </c>
      <c r="V67" s="109">
        <v>7.1599999999999997E-2</v>
      </c>
      <c r="W67" s="109">
        <v>0.79690000000000005</v>
      </c>
      <c r="X67" s="111">
        <f t="shared" si="29"/>
        <v>20.120382599708137</v>
      </c>
      <c r="Y67" s="111">
        <f t="shared" si="30"/>
        <v>66.838464237853287</v>
      </c>
      <c r="Z67" s="109">
        <v>1.155E-2</v>
      </c>
      <c r="AA67" s="109">
        <v>2.7019999999999999E-2</v>
      </c>
      <c r="AB67" s="109">
        <v>0.98019999999999996</v>
      </c>
      <c r="AC67" s="111">
        <f t="shared" si="31"/>
        <v>60.012742905622972</v>
      </c>
      <c r="AD67" s="111">
        <f t="shared" si="32"/>
        <v>199.35801670944122</v>
      </c>
      <c r="AE67" s="112">
        <v>0.19689999999999999</v>
      </c>
      <c r="AF67" s="109">
        <v>1.5569999999999999</v>
      </c>
      <c r="AG67" s="109">
        <v>0.83089999999999997</v>
      </c>
      <c r="AH67" s="111">
        <f t="shared" si="33"/>
        <v>3.5203005615030234</v>
      </c>
      <c r="AI67" s="111">
        <f t="shared" si="34"/>
        <v>11.694185337704651</v>
      </c>
      <c r="AJ67" s="109">
        <v>3.5610000000000003E-2</v>
      </c>
      <c r="AK67" s="109">
        <v>5.8740000000000001E-2</v>
      </c>
      <c r="AL67" s="109">
        <v>1.0369999999999999</v>
      </c>
      <c r="AM67" s="111">
        <f t="shared" si="35"/>
        <v>19.464958735185206</v>
      </c>
      <c r="AN67" s="111">
        <f t="shared" si="36"/>
        <v>64.661193288234927</v>
      </c>
      <c r="AO67" s="113">
        <v>6.4720000000000003E-3</v>
      </c>
      <c r="AP67" s="111">
        <v>-1.539E-3</v>
      </c>
      <c r="AQ67" s="109">
        <v>1.2849999999999999</v>
      </c>
      <c r="AR67" s="111">
        <f t="shared" si="37"/>
        <v>107.09937894931169</v>
      </c>
      <c r="AS67" s="111">
        <f t="shared" si="38"/>
        <v>355.77643587670667</v>
      </c>
      <c r="AT67" s="114">
        <f t="shared" si="39"/>
        <v>7.7053080000000005</v>
      </c>
    </row>
    <row r="68" spans="1:46" x14ac:dyDescent="0.2">
      <c r="A68" s="102" t="str">
        <f t="shared" si="40"/>
        <v/>
      </c>
      <c r="B68" s="103" t="str">
        <f t="shared" si="41"/>
        <v/>
      </c>
      <c r="C68" s="104" t="str">
        <f t="shared" si="42"/>
        <v/>
      </c>
      <c r="D68" s="84" t="str">
        <f t="shared" si="43"/>
        <v/>
      </c>
      <c r="E68" s="103" t="str">
        <f t="shared" si="44"/>
        <v/>
      </c>
      <c r="F68" s="104" t="str">
        <f t="shared" si="45"/>
        <v/>
      </c>
      <c r="G68" s="105" t="str">
        <f t="shared" si="46"/>
        <v/>
      </c>
      <c r="H68" s="106" t="str">
        <f t="shared" si="47"/>
        <v/>
      </c>
      <c r="I68" s="106" t="str">
        <f t="shared" si="48"/>
        <v/>
      </c>
      <c r="J68" s="106" t="str">
        <f t="shared" si="49"/>
        <v/>
      </c>
      <c r="K68" s="103" t="str">
        <f t="shared" si="50"/>
        <v/>
      </c>
      <c r="L68" s="104" t="str">
        <f t="shared" si="51"/>
        <v/>
      </c>
      <c r="M68" s="104" t="str">
        <f t="shared" si="52"/>
        <v/>
      </c>
      <c r="O68" s="48">
        <v>135</v>
      </c>
      <c r="P68" s="109">
        <v>2.1019999999999999</v>
      </c>
      <c r="Q68" s="110">
        <v>6.45</v>
      </c>
      <c r="R68" s="109">
        <v>0.44690000000000002</v>
      </c>
      <c r="S68" s="111">
        <f t="shared" si="27"/>
        <v>0.32975603261652964</v>
      </c>
      <c r="T68" s="111">
        <f t="shared" si="28"/>
        <v>1.0954258292074432</v>
      </c>
      <c r="U68" s="109">
        <v>3.3939999999999998E-2</v>
      </c>
      <c r="V68" s="109">
        <v>7.263E-2</v>
      </c>
      <c r="W68" s="109">
        <v>0.90990000000000004</v>
      </c>
      <c r="X68" s="111">
        <f t="shared" si="29"/>
        <v>20.4227218786077</v>
      </c>
      <c r="Y68" s="111">
        <f t="shared" si="30"/>
        <v>67.842813582617737</v>
      </c>
      <c r="Z68" s="109">
        <v>1.1220000000000001E-2</v>
      </c>
      <c r="AA68" s="109">
        <v>2.5610000000000001E-2</v>
      </c>
      <c r="AB68" s="109">
        <v>0.99009999999999998</v>
      </c>
      <c r="AC68" s="111">
        <f t="shared" si="31"/>
        <v>61.777823579317754</v>
      </c>
      <c r="AD68" s="111">
        <f t="shared" si="32"/>
        <v>205.22148778913061</v>
      </c>
      <c r="AE68" s="112">
        <v>0.18379999999999999</v>
      </c>
      <c r="AF68" s="109">
        <v>1.44</v>
      </c>
      <c r="AG68" s="109">
        <v>0.83909999999999996</v>
      </c>
      <c r="AH68" s="111">
        <f t="shared" si="33"/>
        <v>3.7712033762782662</v>
      </c>
      <c r="AI68" s="111">
        <f t="shared" si="34"/>
        <v>12.52766644719285</v>
      </c>
      <c r="AJ68" s="109">
        <v>3.4810000000000001E-2</v>
      </c>
      <c r="AK68" s="109">
        <v>5.5190000000000003E-2</v>
      </c>
      <c r="AL68" s="109">
        <v>1.0489999999999999</v>
      </c>
      <c r="AM68" s="111">
        <f t="shared" si="35"/>
        <v>19.912300504451171</v>
      </c>
      <c r="AN68" s="111">
        <f t="shared" si="36"/>
        <v>66.147230479576152</v>
      </c>
      <c r="AO68" s="113">
        <v>6.306E-3</v>
      </c>
      <c r="AP68" s="111">
        <v>-1.7309999999999999E-3</v>
      </c>
      <c r="AQ68" s="109">
        <v>1.4650000000000001</v>
      </c>
      <c r="AR68" s="111">
        <f t="shared" si="37"/>
        <v>109.91867753884321</v>
      </c>
      <c r="AS68" s="111">
        <f t="shared" si="38"/>
        <v>365.14194306914777</v>
      </c>
      <c r="AT68" s="114">
        <f t="shared" si="39"/>
        <v>8.221938999999999</v>
      </c>
    </row>
    <row r="69" spans="1:46" x14ac:dyDescent="0.2">
      <c r="A69" s="102" t="str">
        <f t="shared" si="40"/>
        <v/>
      </c>
      <c r="B69" s="103" t="str">
        <f t="shared" si="41"/>
        <v/>
      </c>
      <c r="C69" s="104" t="str">
        <f t="shared" si="42"/>
        <v/>
      </c>
      <c r="D69" s="84" t="str">
        <f t="shared" si="43"/>
        <v/>
      </c>
      <c r="E69" s="103" t="str">
        <f t="shared" si="44"/>
        <v/>
      </c>
      <c r="F69" s="104" t="str">
        <f t="shared" si="45"/>
        <v/>
      </c>
      <c r="G69" s="105" t="str">
        <f t="shared" si="46"/>
        <v/>
      </c>
      <c r="H69" s="106" t="str">
        <f t="shared" si="47"/>
        <v/>
      </c>
      <c r="I69" s="106" t="str">
        <f t="shared" si="48"/>
        <v/>
      </c>
      <c r="J69" s="106" t="str">
        <f t="shared" si="49"/>
        <v/>
      </c>
      <c r="K69" s="103" t="str">
        <f t="shared" si="50"/>
        <v/>
      </c>
      <c r="L69" s="104" t="str">
        <f t="shared" si="51"/>
        <v/>
      </c>
      <c r="M69" s="104" t="str">
        <f t="shared" si="52"/>
        <v/>
      </c>
      <c r="O69" s="48">
        <v>140</v>
      </c>
      <c r="P69" s="109">
        <v>2.0089999999999999</v>
      </c>
      <c r="Q69" s="110">
        <v>5.9160000000000004</v>
      </c>
      <c r="R69" s="109">
        <v>0.40179999999999999</v>
      </c>
      <c r="S69" s="111">
        <f t="shared" si="27"/>
        <v>0.34502099579887774</v>
      </c>
      <c r="T69" s="111">
        <f t="shared" si="28"/>
        <v>1.1461349392703066</v>
      </c>
      <c r="U69" s="109">
        <v>3.3450000000000001E-2</v>
      </c>
      <c r="V69" s="109">
        <v>7.4759999999999993E-2</v>
      </c>
      <c r="W69" s="109">
        <v>1.0469999999999999</v>
      </c>
      <c r="X69" s="111">
        <f t="shared" si="29"/>
        <v>20.721888805977436</v>
      </c>
      <c r="Y69" s="111">
        <f t="shared" si="30"/>
        <v>68.836624603708387</v>
      </c>
      <c r="Z69" s="109">
        <v>1.0880000000000001E-2</v>
      </c>
      <c r="AA69" s="109">
        <v>2.436E-2</v>
      </c>
      <c r="AB69" s="109">
        <v>0.99639999999999995</v>
      </c>
      <c r="AC69" s="111">
        <f t="shared" si="31"/>
        <v>63.708380566171435</v>
      </c>
      <c r="AD69" s="111">
        <f t="shared" si="32"/>
        <v>211.63465928254095</v>
      </c>
      <c r="AE69" s="112">
        <v>0.1724</v>
      </c>
      <c r="AF69" s="109">
        <v>1.3280000000000001</v>
      </c>
      <c r="AG69" s="109">
        <v>0.8458</v>
      </c>
      <c r="AH69" s="111">
        <f t="shared" si="33"/>
        <v>4.0205752932711443</v>
      </c>
      <c r="AI69" s="111">
        <f t="shared" si="34"/>
        <v>13.356062024327411</v>
      </c>
      <c r="AJ69" s="109">
        <v>3.4070000000000003E-2</v>
      </c>
      <c r="AK69" s="109">
        <v>5.1450000000000003E-2</v>
      </c>
      <c r="AL69" s="109">
        <v>1.0569999999999999</v>
      </c>
      <c r="AM69" s="111">
        <f t="shared" si="35"/>
        <v>20.344795437626804</v>
      </c>
      <c r="AN69" s="111">
        <f t="shared" si="36"/>
        <v>67.583947548988718</v>
      </c>
      <c r="AO69" s="113">
        <v>6.1910000000000003E-3</v>
      </c>
      <c r="AP69" s="111">
        <v>-1.8489999999999999E-3</v>
      </c>
      <c r="AQ69" s="109">
        <v>1.53</v>
      </c>
      <c r="AR69" s="111">
        <f t="shared" si="37"/>
        <v>111.96045559036428</v>
      </c>
      <c r="AS69" s="111">
        <f t="shared" si="38"/>
        <v>371.92458294201998</v>
      </c>
      <c r="AT69" s="114">
        <f t="shared" si="39"/>
        <v>8.7364160000000002</v>
      </c>
    </row>
    <row r="70" spans="1:46" x14ac:dyDescent="0.2">
      <c r="A70" s="102" t="str">
        <f t="shared" si="40"/>
        <v/>
      </c>
      <c r="B70" s="103" t="str">
        <f t="shared" si="41"/>
        <v/>
      </c>
      <c r="C70" s="104" t="str">
        <f t="shared" si="42"/>
        <v/>
      </c>
      <c r="D70" s="84" t="str">
        <f t="shared" si="43"/>
        <v/>
      </c>
      <c r="E70" s="103" t="str">
        <f t="shared" si="44"/>
        <v/>
      </c>
      <c r="F70" s="104" t="str">
        <f t="shared" si="45"/>
        <v/>
      </c>
      <c r="G70" s="105" t="str">
        <f t="shared" si="46"/>
        <v/>
      </c>
      <c r="H70" s="106" t="str">
        <f t="shared" si="47"/>
        <v/>
      </c>
      <c r="I70" s="106" t="str">
        <f t="shared" si="48"/>
        <v/>
      </c>
      <c r="J70" s="106" t="str">
        <f t="shared" si="49"/>
        <v/>
      </c>
      <c r="K70" s="103" t="str">
        <f t="shared" si="50"/>
        <v/>
      </c>
      <c r="L70" s="104" t="str">
        <f t="shared" si="51"/>
        <v/>
      </c>
      <c r="M70" s="104" t="str">
        <f t="shared" si="52"/>
        <v/>
      </c>
      <c r="O70" s="48">
        <v>145</v>
      </c>
      <c r="P70" s="109">
        <v>1.895</v>
      </c>
      <c r="Q70" s="110">
        <v>5.4980000000000002</v>
      </c>
      <c r="R70" s="109">
        <v>0.35799999999999998</v>
      </c>
      <c r="S70" s="111">
        <f t="shared" si="27"/>
        <v>0.36577687628493155</v>
      </c>
      <c r="T70" s="111">
        <f t="shared" si="28"/>
        <v>1.2150844817910531</v>
      </c>
      <c r="U70" s="109">
        <v>3.2960000000000003E-2</v>
      </c>
      <c r="V70" s="109">
        <v>7.8750000000000001E-2</v>
      </c>
      <c r="W70" s="109">
        <v>1.224</v>
      </c>
      <c r="X70" s="111">
        <f t="shared" si="29"/>
        <v>21.029950866503192</v>
      </c>
      <c r="Y70" s="111">
        <f t="shared" si="30"/>
        <v>69.859984617537791</v>
      </c>
      <c r="Z70" s="109">
        <v>1.056E-2</v>
      </c>
      <c r="AA70" s="109">
        <v>2.3130000000000001E-2</v>
      </c>
      <c r="AB70" s="109">
        <v>0.99870000000000003</v>
      </c>
      <c r="AC70" s="111">
        <f t="shared" si="31"/>
        <v>65.638937553025116</v>
      </c>
      <c r="AD70" s="111">
        <f t="shared" si="32"/>
        <v>218.0478307759513</v>
      </c>
      <c r="AE70" s="112">
        <v>0.16159999999999999</v>
      </c>
      <c r="AF70" s="109">
        <v>1.2250000000000001</v>
      </c>
      <c r="AG70" s="109">
        <v>0.85189999999999999</v>
      </c>
      <c r="AH70" s="111">
        <f t="shared" si="33"/>
        <v>4.2892771074254039</v>
      </c>
      <c r="AI70" s="111">
        <f t="shared" si="34"/>
        <v>14.24867012991365</v>
      </c>
      <c r="AJ70" s="109">
        <v>3.3360000000000001E-2</v>
      </c>
      <c r="AK70" s="109">
        <v>4.795E-2</v>
      </c>
      <c r="AL70" s="109">
        <v>1.0629999999999999</v>
      </c>
      <c r="AM70" s="111">
        <f t="shared" si="35"/>
        <v>20.777793182252555</v>
      </c>
      <c r="AN70" s="111">
        <f t="shared" si="36"/>
        <v>69.022334921883868</v>
      </c>
      <c r="AO70" s="113">
        <v>6.1149999999999998E-3</v>
      </c>
      <c r="AP70" s="111">
        <v>-1.869E-3</v>
      </c>
      <c r="AQ70" s="109">
        <v>1.498</v>
      </c>
      <c r="AR70" s="111">
        <f t="shared" si="37"/>
        <v>113.35195103187985</v>
      </c>
      <c r="AS70" s="111">
        <f t="shared" si="38"/>
        <v>376.54703074309822</v>
      </c>
      <c r="AT70" s="114">
        <f t="shared" si="39"/>
        <v>9.2463870000000004</v>
      </c>
    </row>
    <row r="71" spans="1:46" x14ac:dyDescent="0.2">
      <c r="A71" s="102" t="str">
        <f t="shared" si="40"/>
        <v/>
      </c>
      <c r="B71" s="103" t="str">
        <f t="shared" si="41"/>
        <v/>
      </c>
      <c r="C71" s="104" t="str">
        <f t="shared" si="42"/>
        <v/>
      </c>
      <c r="D71" s="84" t="str">
        <f t="shared" si="43"/>
        <v/>
      </c>
      <c r="E71" s="103" t="str">
        <f t="shared" si="44"/>
        <v/>
      </c>
      <c r="F71" s="104" t="str">
        <f t="shared" si="45"/>
        <v/>
      </c>
      <c r="G71" s="105" t="str">
        <f t="shared" si="46"/>
        <v/>
      </c>
      <c r="H71" s="106" t="str">
        <f t="shared" si="47"/>
        <v/>
      </c>
      <c r="I71" s="106" t="str">
        <f t="shared" si="48"/>
        <v/>
      </c>
      <c r="J71" s="106" t="str">
        <f t="shared" si="49"/>
        <v/>
      </c>
      <c r="K71" s="103" t="str">
        <f t="shared" si="50"/>
        <v/>
      </c>
      <c r="L71" s="104" t="str">
        <f t="shared" si="51"/>
        <v/>
      </c>
      <c r="M71" s="104" t="str">
        <f t="shared" si="52"/>
        <v/>
      </c>
      <c r="O71" s="48">
        <v>150</v>
      </c>
      <c r="P71" s="109">
        <v>1.7569999999999999</v>
      </c>
      <c r="Q71" s="110">
        <v>5.1769999999999996</v>
      </c>
      <c r="R71" s="109">
        <v>0.31559999999999999</v>
      </c>
      <c r="S71" s="111">
        <f t="shared" si="27"/>
        <v>0.39450607886166494</v>
      </c>
      <c r="T71" s="111">
        <f t="shared" si="28"/>
        <v>1.3105208269744142</v>
      </c>
      <c r="U71" s="109">
        <v>3.243E-2</v>
      </c>
      <c r="V71" s="109">
        <v>8.5989999999999997E-2</v>
      </c>
      <c r="W71" s="109">
        <v>1.4670000000000001</v>
      </c>
      <c r="X71" s="111">
        <f t="shared" si="29"/>
        <v>21.373641090346755</v>
      </c>
      <c r="Y71" s="111">
        <f t="shared" si="30"/>
        <v>71.001698828061848</v>
      </c>
      <c r="Z71" s="109">
        <v>1.03E-2</v>
      </c>
      <c r="AA71" s="109">
        <v>2.198E-2</v>
      </c>
      <c r="AB71" s="109">
        <v>1.0129999999999999</v>
      </c>
      <c r="AC71" s="111">
        <f t="shared" si="31"/>
        <v>67.295842772810218</v>
      </c>
      <c r="AD71" s="111">
        <f t="shared" si="32"/>
        <v>223.55195077612095</v>
      </c>
      <c r="AE71" s="112">
        <v>0.15010000000000001</v>
      </c>
      <c r="AF71" s="109">
        <v>1.1319999999999999</v>
      </c>
      <c r="AG71" s="109">
        <v>0.85660000000000003</v>
      </c>
      <c r="AH71" s="111">
        <f t="shared" si="33"/>
        <v>4.6179026019983027</v>
      </c>
      <c r="AI71" s="111">
        <f t="shared" si="34"/>
        <v>15.340340393031617</v>
      </c>
      <c r="AJ71" s="109">
        <v>3.2660000000000002E-2</v>
      </c>
      <c r="AK71" s="109">
        <v>4.4909999999999999E-2</v>
      </c>
      <c r="AL71" s="109">
        <v>1.073</v>
      </c>
      <c r="AM71" s="111">
        <f t="shared" si="35"/>
        <v>21.223122491118961</v>
      </c>
      <c r="AN71" s="111">
        <f t="shared" si="36"/>
        <v>70.501686864483943</v>
      </c>
      <c r="AO71" s="113">
        <v>6.0200000000000002E-3</v>
      </c>
      <c r="AP71" s="111">
        <v>-1.7520000000000001E-3</v>
      </c>
      <c r="AQ71" s="109">
        <v>1.4830000000000001</v>
      </c>
      <c r="AR71" s="111">
        <f t="shared" si="37"/>
        <v>115.14072766776499</v>
      </c>
      <c r="AS71" s="111">
        <f t="shared" si="38"/>
        <v>382.48921810532318</v>
      </c>
      <c r="AT71" s="114">
        <f t="shared" si="39"/>
        <v>9.7495000000000012</v>
      </c>
    </row>
    <row r="72" spans="1:46" x14ac:dyDescent="0.2">
      <c r="A72" s="102" t="str">
        <f t="shared" si="40"/>
        <v/>
      </c>
      <c r="B72" s="103" t="str">
        <f t="shared" si="41"/>
        <v/>
      </c>
      <c r="C72" s="104" t="str">
        <f t="shared" si="42"/>
        <v/>
      </c>
      <c r="D72" s="84" t="str">
        <f t="shared" si="43"/>
        <v/>
      </c>
      <c r="E72" s="103" t="str">
        <f t="shared" si="44"/>
        <v/>
      </c>
      <c r="F72" s="104" t="str">
        <f t="shared" si="45"/>
        <v/>
      </c>
      <c r="G72" s="105" t="str">
        <f t="shared" si="46"/>
        <v/>
      </c>
      <c r="H72" s="106" t="str">
        <f t="shared" si="47"/>
        <v/>
      </c>
      <c r="I72" s="106" t="str">
        <f t="shared" si="48"/>
        <v/>
      </c>
      <c r="J72" s="106" t="str">
        <f t="shared" si="49"/>
        <v/>
      </c>
      <c r="K72" s="103" t="str">
        <f t="shared" si="50"/>
        <v/>
      </c>
      <c r="L72" s="104" t="str">
        <f t="shared" si="51"/>
        <v/>
      </c>
      <c r="M72" s="104" t="str">
        <f t="shared" si="52"/>
        <v/>
      </c>
      <c r="O72" s="87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87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2"/>
    </row>
    <row r="73" spans="1:46" x14ac:dyDescent="0.2">
      <c r="A73" s="102" t="str">
        <f t="shared" si="40"/>
        <v/>
      </c>
      <c r="B73" s="103" t="str">
        <f t="shared" si="41"/>
        <v/>
      </c>
      <c r="C73" s="104" t="str">
        <f t="shared" si="42"/>
        <v/>
      </c>
      <c r="D73" s="84" t="str">
        <f t="shared" si="43"/>
        <v/>
      </c>
      <c r="E73" s="103" t="str">
        <f t="shared" si="44"/>
        <v/>
      </c>
      <c r="F73" s="104" t="str">
        <f t="shared" si="45"/>
        <v/>
      </c>
      <c r="G73" s="105" t="str">
        <f t="shared" si="46"/>
        <v/>
      </c>
      <c r="H73" s="106" t="str">
        <f t="shared" si="47"/>
        <v/>
      </c>
      <c r="I73" s="106" t="str">
        <f t="shared" si="48"/>
        <v/>
      </c>
      <c r="J73" s="106" t="str">
        <f t="shared" si="49"/>
        <v/>
      </c>
      <c r="K73" s="103" t="str">
        <f t="shared" si="50"/>
        <v/>
      </c>
      <c r="L73" s="104" t="str">
        <f t="shared" si="51"/>
        <v/>
      </c>
      <c r="M73" s="104" t="str">
        <f t="shared" si="52"/>
        <v/>
      </c>
      <c r="O73" s="95" t="s">
        <v>98</v>
      </c>
      <c r="AM73" s="1"/>
      <c r="AN73" s="1"/>
      <c r="AO73" s="1"/>
    </row>
    <row r="74" spans="1:46" x14ac:dyDescent="0.2">
      <c r="A74" s="102" t="str">
        <f t="shared" si="40"/>
        <v/>
      </c>
      <c r="B74" s="103" t="str">
        <f t="shared" si="41"/>
        <v/>
      </c>
      <c r="C74" s="104" t="str">
        <f t="shared" si="42"/>
        <v/>
      </c>
      <c r="D74" s="84" t="str">
        <f t="shared" si="43"/>
        <v/>
      </c>
      <c r="E74" s="103" t="str">
        <f t="shared" si="44"/>
        <v/>
      </c>
      <c r="F74" s="104" t="str">
        <f t="shared" si="45"/>
        <v/>
      </c>
      <c r="G74" s="105" t="str">
        <f t="shared" si="46"/>
        <v/>
      </c>
      <c r="H74" s="106" t="str">
        <f t="shared" si="47"/>
        <v/>
      </c>
      <c r="I74" s="106" t="str">
        <f t="shared" si="48"/>
        <v/>
      </c>
      <c r="J74" s="106" t="str">
        <f t="shared" si="49"/>
        <v/>
      </c>
      <c r="K74" s="103" t="str">
        <f t="shared" si="50"/>
        <v/>
      </c>
      <c r="L74" s="104" t="str">
        <f t="shared" si="51"/>
        <v/>
      </c>
      <c r="M74" s="104" t="str">
        <f t="shared" si="52"/>
        <v/>
      </c>
      <c r="O74" s="95" t="s">
        <v>99</v>
      </c>
      <c r="AK74" s="1"/>
      <c r="AL74" s="1"/>
    </row>
    <row r="75" spans="1:46" x14ac:dyDescent="0.2">
      <c r="A75" s="102" t="str">
        <f t="shared" si="40"/>
        <v/>
      </c>
      <c r="B75" s="103" t="str">
        <f t="shared" si="41"/>
        <v/>
      </c>
      <c r="C75" s="104" t="str">
        <f t="shared" si="42"/>
        <v/>
      </c>
      <c r="D75" s="84" t="str">
        <f t="shared" si="43"/>
        <v/>
      </c>
      <c r="E75" s="103" t="str">
        <f t="shared" si="44"/>
        <v/>
      </c>
      <c r="F75" s="104" t="str">
        <f t="shared" si="45"/>
        <v/>
      </c>
      <c r="G75" s="105" t="str">
        <f t="shared" si="46"/>
        <v/>
      </c>
      <c r="H75" s="106" t="str">
        <f t="shared" si="47"/>
        <v/>
      </c>
      <c r="I75" s="106" t="str">
        <f t="shared" si="48"/>
        <v/>
      </c>
      <c r="J75" s="106" t="str">
        <f t="shared" si="49"/>
        <v/>
      </c>
      <c r="K75" s="103" t="str">
        <f t="shared" si="50"/>
        <v/>
      </c>
      <c r="L75" s="104" t="str">
        <f t="shared" si="51"/>
        <v/>
      </c>
      <c r="M75" s="104" t="str">
        <f t="shared" si="52"/>
        <v/>
      </c>
      <c r="P75" s="93" t="s">
        <v>100</v>
      </c>
    </row>
    <row r="76" spans="1:46" x14ac:dyDescent="0.2">
      <c r="A76" s="102" t="str">
        <f t="shared" si="40"/>
        <v/>
      </c>
      <c r="B76" s="103" t="str">
        <f t="shared" si="41"/>
        <v/>
      </c>
      <c r="C76" s="104" t="str">
        <f t="shared" si="42"/>
        <v/>
      </c>
      <c r="D76" s="84" t="str">
        <f t="shared" si="43"/>
        <v/>
      </c>
      <c r="E76" s="103" t="str">
        <f t="shared" si="44"/>
        <v/>
      </c>
      <c r="F76" s="104" t="str">
        <f t="shared" si="45"/>
        <v/>
      </c>
      <c r="G76" s="105" t="str">
        <f t="shared" si="46"/>
        <v/>
      </c>
      <c r="H76" s="106" t="str">
        <f t="shared" si="47"/>
        <v/>
      </c>
      <c r="I76" s="106" t="str">
        <f t="shared" si="48"/>
        <v/>
      </c>
      <c r="J76" s="106" t="str">
        <f t="shared" si="49"/>
        <v/>
      </c>
      <c r="K76" s="103" t="str">
        <f t="shared" si="50"/>
        <v/>
      </c>
      <c r="L76" s="104" t="str">
        <f t="shared" si="51"/>
        <v/>
      </c>
      <c r="M76" s="104" t="str">
        <f t="shared" si="52"/>
        <v/>
      </c>
    </row>
    <row r="77" spans="1:46" x14ac:dyDescent="0.2">
      <c r="A77" s="95" t="str">
        <f>A41</f>
        <v/>
      </c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</row>
    <row r="78" spans="1:46" x14ac:dyDescent="0.2">
      <c r="A78" s="12" t="s">
        <v>101</v>
      </c>
      <c r="B78" s="117"/>
      <c r="C78" s="117"/>
      <c r="D78" s="12" t="str">
        <f>IF($B$3="","",$B$3)</f>
        <v/>
      </c>
      <c r="E78" s="21"/>
      <c r="F78" s="21"/>
      <c r="G78" s="21"/>
      <c r="H78" s="21"/>
      <c r="I78" s="21"/>
      <c r="J78" s="21"/>
      <c r="K78" s="21"/>
      <c r="L78" s="21"/>
      <c r="M78" s="96" t="str">
        <f>IF($B$5="","",$B$5)</f>
        <v/>
      </c>
      <c r="N78" s="48" t="s">
        <v>88</v>
      </c>
    </row>
    <row r="79" spans="1:46" x14ac:dyDescent="0.2">
      <c r="A79" s="12"/>
      <c r="B79" s="325" t="s">
        <v>59</v>
      </c>
      <c r="C79" s="325"/>
      <c r="D79" s="325"/>
      <c r="E79" s="325" t="s">
        <v>61</v>
      </c>
      <c r="F79" s="325"/>
      <c r="G79" s="325"/>
      <c r="H79" s="325" t="s">
        <v>90</v>
      </c>
      <c r="I79" s="325"/>
      <c r="J79" s="325"/>
      <c r="K79" s="116" t="s">
        <v>91</v>
      </c>
      <c r="L79" s="117"/>
      <c r="M79" s="118"/>
      <c r="N79" s="48" t="s">
        <v>92</v>
      </c>
    </row>
    <row r="80" spans="1:46" x14ac:dyDescent="0.2">
      <c r="A80" s="75" t="s">
        <v>67</v>
      </c>
      <c r="B80" s="119" t="str">
        <f t="shared" ref="B80:M80" si="53">B44</f>
        <v>Lead</v>
      </c>
      <c r="C80" s="120" t="str">
        <f t="shared" si="53"/>
        <v>Concrete</v>
      </c>
      <c r="D80" s="120" t="str">
        <f t="shared" si="53"/>
        <v>Gypsum</v>
      </c>
      <c r="E80" s="119" t="str">
        <f t="shared" si="53"/>
        <v>Lead</v>
      </c>
      <c r="F80" s="120" t="str">
        <f t="shared" si="53"/>
        <v>Concrete</v>
      </c>
      <c r="G80" s="120" t="str">
        <f t="shared" si="53"/>
        <v>Gypsum</v>
      </c>
      <c r="H80" s="119" t="str">
        <f t="shared" si="53"/>
        <v>Lead</v>
      </c>
      <c r="I80" s="120" t="str">
        <f t="shared" si="53"/>
        <v>Concrete</v>
      </c>
      <c r="J80" s="120" t="str">
        <f t="shared" si="53"/>
        <v>Gypsum</v>
      </c>
      <c r="K80" s="119" t="str">
        <f t="shared" si="53"/>
        <v>Lead</v>
      </c>
      <c r="L80" s="120" t="str">
        <f t="shared" si="53"/>
        <v>Concrete</v>
      </c>
      <c r="M80" s="120" t="str">
        <f t="shared" si="53"/>
        <v>Gypsum</v>
      </c>
      <c r="N80" s="52" t="s">
        <v>93</v>
      </c>
    </row>
    <row r="81" spans="1:15" x14ac:dyDescent="0.2">
      <c r="A81" s="102" t="str">
        <f t="shared" ref="A81:A94" si="54">IF(A45="","",A45)</f>
        <v/>
      </c>
      <c r="B81" s="103" t="str">
        <f t="shared" ref="B81:M81" si="55">IF(B45="","",B45/25.4)</f>
        <v/>
      </c>
      <c r="C81" s="104" t="str">
        <f t="shared" si="55"/>
        <v/>
      </c>
      <c r="D81" s="104" t="str">
        <f t="shared" si="55"/>
        <v/>
      </c>
      <c r="E81" s="103" t="str">
        <f t="shared" si="55"/>
        <v/>
      </c>
      <c r="F81" s="104" t="str">
        <f t="shared" si="55"/>
        <v/>
      </c>
      <c r="G81" s="104" t="str">
        <f t="shared" si="55"/>
        <v/>
      </c>
      <c r="H81" s="103" t="str">
        <f t="shared" si="55"/>
        <v/>
      </c>
      <c r="I81" s="104" t="str">
        <f t="shared" si="55"/>
        <v/>
      </c>
      <c r="J81" s="104" t="str">
        <f t="shared" si="55"/>
        <v/>
      </c>
      <c r="K81" s="103" t="str">
        <f t="shared" si="55"/>
        <v/>
      </c>
      <c r="L81" s="104" t="str">
        <f t="shared" si="55"/>
        <v/>
      </c>
      <c r="M81" s="104" t="str">
        <f t="shared" si="55"/>
        <v/>
      </c>
      <c r="N81" s="107" t="str">
        <f t="shared" ref="N81:N94" si="56">IF(N45="","",N45)</f>
        <v/>
      </c>
    </row>
    <row r="82" spans="1:15" x14ac:dyDescent="0.2">
      <c r="A82" s="102" t="str">
        <f t="shared" si="54"/>
        <v/>
      </c>
      <c r="B82" s="103" t="str">
        <f t="shared" ref="B82:M82" si="57">IF(B46="","",B46/25.4)</f>
        <v/>
      </c>
      <c r="C82" s="104" t="str">
        <f t="shared" si="57"/>
        <v/>
      </c>
      <c r="D82" s="104" t="str">
        <f t="shared" si="57"/>
        <v/>
      </c>
      <c r="E82" s="103" t="str">
        <f t="shared" si="57"/>
        <v/>
      </c>
      <c r="F82" s="104" t="str">
        <f t="shared" si="57"/>
        <v/>
      </c>
      <c r="G82" s="104" t="str">
        <f t="shared" si="57"/>
        <v/>
      </c>
      <c r="H82" s="103" t="str">
        <f t="shared" si="57"/>
        <v/>
      </c>
      <c r="I82" s="104" t="str">
        <f t="shared" si="57"/>
        <v/>
      </c>
      <c r="J82" s="104" t="str">
        <f t="shared" si="57"/>
        <v/>
      </c>
      <c r="K82" s="103" t="str">
        <f t="shared" si="57"/>
        <v/>
      </c>
      <c r="L82" s="104" t="str">
        <f t="shared" si="57"/>
        <v/>
      </c>
      <c r="M82" s="104" t="str">
        <f t="shared" si="57"/>
        <v/>
      </c>
      <c r="N82" s="107" t="str">
        <f t="shared" si="56"/>
        <v/>
      </c>
    </row>
    <row r="83" spans="1:15" x14ac:dyDescent="0.2">
      <c r="A83" s="102" t="str">
        <f t="shared" si="54"/>
        <v/>
      </c>
      <c r="B83" s="103" t="str">
        <f t="shared" ref="B83:M83" si="58">IF(B47="","",B47/25.4)</f>
        <v/>
      </c>
      <c r="C83" s="104" t="str">
        <f t="shared" si="58"/>
        <v/>
      </c>
      <c r="D83" s="104" t="str">
        <f t="shared" si="58"/>
        <v/>
      </c>
      <c r="E83" s="103" t="str">
        <f t="shared" si="58"/>
        <v/>
      </c>
      <c r="F83" s="104" t="str">
        <f t="shared" si="58"/>
        <v/>
      </c>
      <c r="G83" s="104" t="str">
        <f t="shared" si="58"/>
        <v/>
      </c>
      <c r="H83" s="103" t="str">
        <f t="shared" si="58"/>
        <v/>
      </c>
      <c r="I83" s="104" t="str">
        <f t="shared" si="58"/>
        <v/>
      </c>
      <c r="J83" s="104" t="str">
        <f t="shared" si="58"/>
        <v/>
      </c>
      <c r="K83" s="103" t="str">
        <f t="shared" si="58"/>
        <v/>
      </c>
      <c r="L83" s="104" t="str">
        <f t="shared" si="58"/>
        <v/>
      </c>
      <c r="M83" s="104" t="str">
        <f t="shared" si="58"/>
        <v/>
      </c>
      <c r="N83" s="107" t="str">
        <f t="shared" si="56"/>
        <v/>
      </c>
    </row>
    <row r="84" spans="1:15" x14ac:dyDescent="0.2">
      <c r="A84" s="102" t="str">
        <f t="shared" si="54"/>
        <v/>
      </c>
      <c r="B84" s="103" t="str">
        <f t="shared" ref="B84:M84" si="59">IF(B48="","",B48/25.4)</f>
        <v/>
      </c>
      <c r="C84" s="104" t="str">
        <f t="shared" si="59"/>
        <v/>
      </c>
      <c r="D84" s="104" t="str">
        <f t="shared" si="59"/>
        <v/>
      </c>
      <c r="E84" s="103" t="str">
        <f t="shared" si="59"/>
        <v/>
      </c>
      <c r="F84" s="104" t="str">
        <f t="shared" si="59"/>
        <v/>
      </c>
      <c r="G84" s="104" t="str">
        <f t="shared" si="59"/>
        <v/>
      </c>
      <c r="H84" s="103" t="str">
        <f t="shared" si="59"/>
        <v/>
      </c>
      <c r="I84" s="104" t="str">
        <f t="shared" si="59"/>
        <v/>
      </c>
      <c r="J84" s="104" t="str">
        <f t="shared" si="59"/>
        <v/>
      </c>
      <c r="K84" s="103" t="str">
        <f t="shared" si="59"/>
        <v/>
      </c>
      <c r="L84" s="104" t="str">
        <f t="shared" si="59"/>
        <v/>
      </c>
      <c r="M84" s="104" t="str">
        <f t="shared" si="59"/>
        <v/>
      </c>
      <c r="N84" s="107" t="str">
        <f t="shared" si="56"/>
        <v/>
      </c>
      <c r="O84" s="123"/>
    </row>
    <row r="85" spans="1:15" x14ac:dyDescent="0.2">
      <c r="A85" s="102" t="str">
        <f t="shared" si="54"/>
        <v/>
      </c>
      <c r="B85" s="103" t="str">
        <f t="shared" ref="B85:M85" si="60">IF(B49="","",B49/25.4)</f>
        <v/>
      </c>
      <c r="C85" s="104" t="str">
        <f t="shared" si="60"/>
        <v/>
      </c>
      <c r="D85" s="104" t="str">
        <f t="shared" si="60"/>
        <v/>
      </c>
      <c r="E85" s="103" t="str">
        <f t="shared" si="60"/>
        <v/>
      </c>
      <c r="F85" s="104" t="str">
        <f t="shared" si="60"/>
        <v/>
      </c>
      <c r="G85" s="104" t="str">
        <f t="shared" si="60"/>
        <v/>
      </c>
      <c r="H85" s="103" t="str">
        <f t="shared" si="60"/>
        <v/>
      </c>
      <c r="I85" s="104" t="str">
        <f t="shared" si="60"/>
        <v/>
      </c>
      <c r="J85" s="104" t="str">
        <f t="shared" si="60"/>
        <v/>
      </c>
      <c r="K85" s="103" t="str">
        <f t="shared" si="60"/>
        <v/>
      </c>
      <c r="L85" s="104" t="str">
        <f t="shared" si="60"/>
        <v/>
      </c>
      <c r="M85" s="104" t="str">
        <f t="shared" si="60"/>
        <v/>
      </c>
      <c r="N85" s="107" t="str">
        <f t="shared" si="56"/>
        <v/>
      </c>
    </row>
    <row r="86" spans="1:15" x14ac:dyDescent="0.2">
      <c r="A86" s="102" t="str">
        <f t="shared" si="54"/>
        <v/>
      </c>
      <c r="B86" s="103" t="str">
        <f t="shared" ref="B86:M86" si="61">IF(B50="","",B50/25.4)</f>
        <v/>
      </c>
      <c r="C86" s="104" t="str">
        <f t="shared" si="61"/>
        <v/>
      </c>
      <c r="D86" s="104" t="str">
        <f t="shared" si="61"/>
        <v/>
      </c>
      <c r="E86" s="103" t="str">
        <f t="shared" si="61"/>
        <v/>
      </c>
      <c r="F86" s="104" t="str">
        <f t="shared" si="61"/>
        <v/>
      </c>
      <c r="G86" s="104" t="str">
        <f t="shared" si="61"/>
        <v/>
      </c>
      <c r="H86" s="103" t="str">
        <f t="shared" si="61"/>
        <v/>
      </c>
      <c r="I86" s="104" t="str">
        <f t="shared" si="61"/>
        <v/>
      </c>
      <c r="J86" s="104" t="str">
        <f t="shared" si="61"/>
        <v/>
      </c>
      <c r="K86" s="103" t="str">
        <f t="shared" si="61"/>
        <v/>
      </c>
      <c r="L86" s="104" t="str">
        <f t="shared" si="61"/>
        <v/>
      </c>
      <c r="M86" s="104" t="str">
        <f t="shared" si="61"/>
        <v/>
      </c>
      <c r="N86" s="107" t="str">
        <f t="shared" si="56"/>
        <v/>
      </c>
    </row>
    <row r="87" spans="1:15" x14ac:dyDescent="0.2">
      <c r="A87" s="102" t="str">
        <f t="shared" si="54"/>
        <v/>
      </c>
      <c r="B87" s="103" t="str">
        <f t="shared" ref="B87:M87" si="62">IF(B51="","",B51/25.4)</f>
        <v/>
      </c>
      <c r="C87" s="104" t="str">
        <f t="shared" si="62"/>
        <v/>
      </c>
      <c r="D87" s="104" t="str">
        <f t="shared" si="62"/>
        <v/>
      </c>
      <c r="E87" s="103" t="str">
        <f t="shared" si="62"/>
        <v/>
      </c>
      <c r="F87" s="104" t="str">
        <f t="shared" si="62"/>
        <v/>
      </c>
      <c r="G87" s="104" t="str">
        <f t="shared" si="62"/>
        <v/>
      </c>
      <c r="H87" s="103" t="str">
        <f t="shared" si="62"/>
        <v/>
      </c>
      <c r="I87" s="104" t="str">
        <f t="shared" si="62"/>
        <v/>
      </c>
      <c r="J87" s="104" t="str">
        <f t="shared" si="62"/>
        <v/>
      </c>
      <c r="K87" s="103" t="str">
        <f t="shared" si="62"/>
        <v/>
      </c>
      <c r="L87" s="104" t="str">
        <f t="shared" si="62"/>
        <v/>
      </c>
      <c r="M87" s="104" t="str">
        <f t="shared" si="62"/>
        <v/>
      </c>
      <c r="N87" s="107" t="str">
        <f t="shared" si="56"/>
        <v/>
      </c>
    </row>
    <row r="88" spans="1:15" x14ac:dyDescent="0.2">
      <c r="A88" s="102" t="str">
        <f t="shared" si="54"/>
        <v/>
      </c>
      <c r="B88" s="103" t="str">
        <f t="shared" ref="B88:M88" si="63">IF(B52="","",B52/25.4)</f>
        <v/>
      </c>
      <c r="C88" s="104" t="str">
        <f t="shared" si="63"/>
        <v/>
      </c>
      <c r="D88" s="104" t="str">
        <f t="shared" si="63"/>
        <v/>
      </c>
      <c r="E88" s="103" t="str">
        <f t="shared" si="63"/>
        <v/>
      </c>
      <c r="F88" s="104" t="str">
        <f t="shared" si="63"/>
        <v/>
      </c>
      <c r="G88" s="104" t="str">
        <f t="shared" si="63"/>
        <v/>
      </c>
      <c r="H88" s="103" t="str">
        <f t="shared" si="63"/>
        <v/>
      </c>
      <c r="I88" s="104" t="str">
        <f t="shared" si="63"/>
        <v/>
      </c>
      <c r="J88" s="104" t="str">
        <f t="shared" si="63"/>
        <v/>
      </c>
      <c r="K88" s="103" t="str">
        <f t="shared" si="63"/>
        <v/>
      </c>
      <c r="L88" s="104" t="str">
        <f t="shared" si="63"/>
        <v/>
      </c>
      <c r="M88" s="104" t="str">
        <f t="shared" si="63"/>
        <v/>
      </c>
      <c r="N88" s="107" t="str">
        <f t="shared" si="56"/>
        <v/>
      </c>
    </row>
    <row r="89" spans="1:15" x14ac:dyDescent="0.2">
      <c r="A89" s="102" t="str">
        <f t="shared" si="54"/>
        <v/>
      </c>
      <c r="B89" s="103" t="str">
        <f t="shared" ref="B89:M89" si="64">IF(B53="","",B53/25.4)</f>
        <v/>
      </c>
      <c r="C89" s="104" t="str">
        <f t="shared" si="64"/>
        <v/>
      </c>
      <c r="D89" s="104" t="str">
        <f t="shared" si="64"/>
        <v/>
      </c>
      <c r="E89" s="103" t="str">
        <f t="shared" si="64"/>
        <v/>
      </c>
      <c r="F89" s="104" t="str">
        <f t="shared" si="64"/>
        <v/>
      </c>
      <c r="G89" s="104" t="str">
        <f t="shared" si="64"/>
        <v/>
      </c>
      <c r="H89" s="103" t="str">
        <f t="shared" si="64"/>
        <v/>
      </c>
      <c r="I89" s="104" t="str">
        <f t="shared" si="64"/>
        <v/>
      </c>
      <c r="J89" s="104" t="str">
        <f t="shared" si="64"/>
        <v/>
      </c>
      <c r="K89" s="103" t="str">
        <f t="shared" si="64"/>
        <v/>
      </c>
      <c r="L89" s="104" t="str">
        <f t="shared" si="64"/>
        <v/>
      </c>
      <c r="M89" s="104" t="str">
        <f t="shared" si="64"/>
        <v/>
      </c>
      <c r="N89" s="107" t="str">
        <f t="shared" si="56"/>
        <v/>
      </c>
    </row>
    <row r="90" spans="1:15" x14ac:dyDescent="0.2">
      <c r="A90" s="102" t="str">
        <f t="shared" si="54"/>
        <v/>
      </c>
      <c r="B90" s="103" t="str">
        <f t="shared" ref="B90:M90" si="65">IF(B54="","",B54/25.4)</f>
        <v/>
      </c>
      <c r="C90" s="104" t="str">
        <f t="shared" si="65"/>
        <v/>
      </c>
      <c r="D90" s="104" t="str">
        <f t="shared" si="65"/>
        <v/>
      </c>
      <c r="E90" s="103" t="str">
        <f t="shared" si="65"/>
        <v/>
      </c>
      <c r="F90" s="104" t="str">
        <f t="shared" si="65"/>
        <v/>
      </c>
      <c r="G90" s="104" t="str">
        <f t="shared" si="65"/>
        <v/>
      </c>
      <c r="H90" s="103" t="str">
        <f t="shared" si="65"/>
        <v/>
      </c>
      <c r="I90" s="104" t="str">
        <f t="shared" si="65"/>
        <v/>
      </c>
      <c r="J90" s="104" t="str">
        <f t="shared" si="65"/>
        <v/>
      </c>
      <c r="K90" s="103" t="str">
        <f t="shared" si="65"/>
        <v/>
      </c>
      <c r="L90" s="104" t="str">
        <f t="shared" si="65"/>
        <v/>
      </c>
      <c r="M90" s="104" t="str">
        <f t="shared" si="65"/>
        <v/>
      </c>
      <c r="N90" s="107" t="str">
        <f t="shared" si="56"/>
        <v/>
      </c>
    </row>
    <row r="91" spans="1:15" x14ac:dyDescent="0.2">
      <c r="A91" s="102" t="str">
        <f t="shared" si="54"/>
        <v/>
      </c>
      <c r="B91" s="103" t="str">
        <f t="shared" ref="B91:M91" si="66">IF(B55="","",B55/25.4)</f>
        <v/>
      </c>
      <c r="C91" s="104" t="str">
        <f t="shared" si="66"/>
        <v/>
      </c>
      <c r="D91" s="104" t="str">
        <f t="shared" si="66"/>
        <v/>
      </c>
      <c r="E91" s="103" t="str">
        <f t="shared" si="66"/>
        <v/>
      </c>
      <c r="F91" s="104" t="str">
        <f t="shared" si="66"/>
        <v/>
      </c>
      <c r="G91" s="104" t="str">
        <f t="shared" si="66"/>
        <v/>
      </c>
      <c r="H91" s="103" t="str">
        <f t="shared" si="66"/>
        <v/>
      </c>
      <c r="I91" s="104" t="str">
        <f t="shared" si="66"/>
        <v/>
      </c>
      <c r="J91" s="104" t="str">
        <f t="shared" si="66"/>
        <v/>
      </c>
      <c r="K91" s="103" t="str">
        <f t="shared" si="66"/>
        <v/>
      </c>
      <c r="L91" s="104" t="str">
        <f t="shared" si="66"/>
        <v/>
      </c>
      <c r="M91" s="104" t="str">
        <f t="shared" si="66"/>
        <v/>
      </c>
      <c r="N91" s="107" t="str">
        <f t="shared" si="56"/>
        <v/>
      </c>
    </row>
    <row r="92" spans="1:15" x14ac:dyDescent="0.2">
      <c r="A92" s="102" t="str">
        <f t="shared" si="54"/>
        <v/>
      </c>
      <c r="B92" s="103" t="str">
        <f t="shared" ref="B92:M92" si="67">IF(B56="","",B56/25.4)</f>
        <v/>
      </c>
      <c r="C92" s="104" t="str">
        <f t="shared" si="67"/>
        <v/>
      </c>
      <c r="D92" s="104" t="str">
        <f t="shared" si="67"/>
        <v/>
      </c>
      <c r="E92" s="103" t="str">
        <f t="shared" si="67"/>
        <v/>
      </c>
      <c r="F92" s="104" t="str">
        <f t="shared" si="67"/>
        <v/>
      </c>
      <c r="G92" s="104" t="str">
        <f t="shared" si="67"/>
        <v/>
      </c>
      <c r="H92" s="103" t="str">
        <f t="shared" si="67"/>
        <v/>
      </c>
      <c r="I92" s="104" t="str">
        <f t="shared" si="67"/>
        <v/>
      </c>
      <c r="J92" s="104" t="str">
        <f t="shared" si="67"/>
        <v/>
      </c>
      <c r="K92" s="103" t="str">
        <f t="shared" si="67"/>
        <v/>
      </c>
      <c r="L92" s="104" t="str">
        <f t="shared" si="67"/>
        <v/>
      </c>
      <c r="M92" s="104" t="str">
        <f t="shared" si="67"/>
        <v/>
      </c>
      <c r="N92" s="107" t="str">
        <f t="shared" si="56"/>
        <v/>
      </c>
    </row>
    <row r="93" spans="1:15" x14ac:dyDescent="0.2">
      <c r="A93" s="102" t="str">
        <f t="shared" si="54"/>
        <v/>
      </c>
      <c r="B93" s="103" t="str">
        <f t="shared" ref="B93:M93" si="68">IF(B57="","",B57/25.4)</f>
        <v/>
      </c>
      <c r="C93" s="104" t="str">
        <f t="shared" si="68"/>
        <v/>
      </c>
      <c r="D93" s="104" t="str">
        <f t="shared" si="68"/>
        <v/>
      </c>
      <c r="E93" s="103" t="str">
        <f t="shared" si="68"/>
        <v/>
      </c>
      <c r="F93" s="104" t="str">
        <f t="shared" si="68"/>
        <v/>
      </c>
      <c r="G93" s="104" t="str">
        <f t="shared" si="68"/>
        <v/>
      </c>
      <c r="H93" s="103" t="str">
        <f t="shared" si="68"/>
        <v/>
      </c>
      <c r="I93" s="104" t="str">
        <f t="shared" si="68"/>
        <v/>
      </c>
      <c r="J93" s="104" t="str">
        <f t="shared" si="68"/>
        <v/>
      </c>
      <c r="K93" s="103" t="str">
        <f t="shared" si="68"/>
        <v/>
      </c>
      <c r="L93" s="104" t="str">
        <f t="shared" si="68"/>
        <v/>
      </c>
      <c r="M93" s="104" t="str">
        <f t="shared" si="68"/>
        <v/>
      </c>
      <c r="N93" s="107" t="str">
        <f t="shared" si="56"/>
        <v/>
      </c>
    </row>
    <row r="94" spans="1:15" x14ac:dyDescent="0.2">
      <c r="A94" s="102" t="str">
        <f t="shared" si="54"/>
        <v/>
      </c>
      <c r="B94" s="103" t="str">
        <f t="shared" ref="B94:M94" si="69">IF(B58="","",B58/25.4)</f>
        <v/>
      </c>
      <c r="C94" s="104" t="str">
        <f t="shared" si="69"/>
        <v/>
      </c>
      <c r="D94" s="104" t="str">
        <f t="shared" si="69"/>
        <v/>
      </c>
      <c r="E94" s="103" t="str">
        <f t="shared" si="69"/>
        <v/>
      </c>
      <c r="F94" s="104" t="str">
        <f t="shared" si="69"/>
        <v/>
      </c>
      <c r="G94" s="104" t="str">
        <f t="shared" si="69"/>
        <v/>
      </c>
      <c r="H94" s="103" t="str">
        <f t="shared" si="69"/>
        <v/>
      </c>
      <c r="I94" s="104" t="str">
        <f t="shared" si="69"/>
        <v/>
      </c>
      <c r="J94" s="104" t="str">
        <f t="shared" si="69"/>
        <v/>
      </c>
      <c r="K94" s="103" t="str">
        <f t="shared" si="69"/>
        <v/>
      </c>
      <c r="L94" s="104" t="str">
        <f t="shared" si="69"/>
        <v/>
      </c>
      <c r="M94" s="104" t="str">
        <f t="shared" si="69"/>
        <v/>
      </c>
      <c r="N94" s="107" t="str">
        <f t="shared" si="56"/>
        <v/>
      </c>
    </row>
    <row r="95" spans="1:15" x14ac:dyDescent="0.2">
      <c r="A95" s="4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21"/>
    </row>
    <row r="96" spans="1:15" x14ac:dyDescent="0.2">
      <c r="A96" s="12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21"/>
    </row>
    <row r="97" spans="1:14" x14ac:dyDescent="0.2">
      <c r="A97" s="12"/>
      <c r="B97" s="325" t="s">
        <v>59</v>
      </c>
      <c r="C97" s="325"/>
      <c r="D97" s="325"/>
      <c r="E97" s="325" t="s">
        <v>61</v>
      </c>
      <c r="F97" s="325"/>
      <c r="G97" s="325"/>
      <c r="H97" s="325" t="s">
        <v>90</v>
      </c>
      <c r="I97" s="325"/>
      <c r="J97" s="325"/>
      <c r="K97" s="116" t="s">
        <v>91</v>
      </c>
      <c r="L97" s="117"/>
      <c r="M97" s="118"/>
      <c r="N97" s="21"/>
    </row>
    <row r="98" spans="1:14" x14ac:dyDescent="0.2">
      <c r="A98" s="75" t="s">
        <v>67</v>
      </c>
      <c r="B98" s="119" t="str">
        <f t="shared" ref="B98:M98" si="70">B62</f>
        <v>Steel</v>
      </c>
      <c r="C98" s="120" t="str">
        <f t="shared" si="70"/>
        <v>Glass</v>
      </c>
      <c r="D98" s="120" t="str">
        <f t="shared" si="70"/>
        <v>Wood</v>
      </c>
      <c r="E98" s="119" t="str">
        <f t="shared" si="70"/>
        <v>Steel</v>
      </c>
      <c r="F98" s="120" t="str">
        <f t="shared" si="70"/>
        <v>Glass</v>
      </c>
      <c r="G98" s="120" t="str">
        <f t="shared" si="70"/>
        <v>Wood</v>
      </c>
      <c r="H98" s="119" t="str">
        <f t="shared" si="70"/>
        <v>Steel</v>
      </c>
      <c r="I98" s="120" t="str">
        <f t="shared" si="70"/>
        <v>Glass</v>
      </c>
      <c r="J98" s="120" t="str">
        <f t="shared" si="70"/>
        <v>Wood</v>
      </c>
      <c r="K98" s="119" t="str">
        <f t="shared" si="70"/>
        <v>Steel</v>
      </c>
      <c r="L98" s="120" t="str">
        <f t="shared" si="70"/>
        <v>Glass</v>
      </c>
      <c r="M98" s="120" t="str">
        <f t="shared" si="70"/>
        <v>Wood</v>
      </c>
      <c r="N98" s="21"/>
    </row>
    <row r="99" spans="1:14" x14ac:dyDescent="0.2">
      <c r="A99" s="102" t="str">
        <f t="shared" ref="A99:A112" si="71">A81</f>
        <v/>
      </c>
      <c r="B99" s="103" t="str">
        <f t="shared" ref="B99:M99" si="72">IF(B63="","",B63/25.4)</f>
        <v/>
      </c>
      <c r="C99" s="104" t="str">
        <f t="shared" si="72"/>
        <v/>
      </c>
      <c r="D99" s="104" t="str">
        <f t="shared" si="72"/>
        <v/>
      </c>
      <c r="E99" s="103" t="str">
        <f t="shared" si="72"/>
        <v/>
      </c>
      <c r="F99" s="104" t="str">
        <f t="shared" si="72"/>
        <v/>
      </c>
      <c r="G99" s="104" t="str">
        <f t="shared" si="72"/>
        <v/>
      </c>
      <c r="H99" s="103" t="str">
        <f t="shared" si="72"/>
        <v/>
      </c>
      <c r="I99" s="104" t="str">
        <f t="shared" si="72"/>
        <v/>
      </c>
      <c r="J99" s="104" t="str">
        <f t="shared" si="72"/>
        <v/>
      </c>
      <c r="K99" s="103" t="str">
        <f t="shared" si="72"/>
        <v/>
      </c>
      <c r="L99" s="104" t="str">
        <f t="shared" si="72"/>
        <v/>
      </c>
      <c r="M99" s="104" t="str">
        <f t="shared" si="72"/>
        <v/>
      </c>
      <c r="N99" s="21"/>
    </row>
    <row r="100" spans="1:14" x14ac:dyDescent="0.2">
      <c r="A100" s="102" t="str">
        <f t="shared" si="71"/>
        <v/>
      </c>
      <c r="B100" s="103" t="str">
        <f t="shared" ref="B100:M100" si="73">IF(B64="","",B64/25.4)</f>
        <v/>
      </c>
      <c r="C100" s="104" t="str">
        <f t="shared" si="73"/>
        <v/>
      </c>
      <c r="D100" s="104" t="str">
        <f t="shared" si="73"/>
        <v/>
      </c>
      <c r="E100" s="103" t="str">
        <f t="shared" si="73"/>
        <v/>
      </c>
      <c r="F100" s="104" t="str">
        <f t="shared" si="73"/>
        <v/>
      </c>
      <c r="G100" s="104" t="str">
        <f t="shared" si="73"/>
        <v/>
      </c>
      <c r="H100" s="103" t="str">
        <f t="shared" si="73"/>
        <v/>
      </c>
      <c r="I100" s="104" t="str">
        <f t="shared" si="73"/>
        <v/>
      </c>
      <c r="J100" s="104" t="str">
        <f t="shared" si="73"/>
        <v/>
      </c>
      <c r="K100" s="103" t="str">
        <f t="shared" si="73"/>
        <v/>
      </c>
      <c r="L100" s="104" t="str">
        <f t="shared" si="73"/>
        <v/>
      </c>
      <c r="M100" s="104" t="str">
        <f t="shared" si="73"/>
        <v/>
      </c>
      <c r="N100" s="21"/>
    </row>
    <row r="101" spans="1:14" x14ac:dyDescent="0.2">
      <c r="A101" s="102" t="str">
        <f t="shared" si="71"/>
        <v/>
      </c>
      <c r="B101" s="103" t="str">
        <f t="shared" ref="B101:M101" si="74">IF(B65="","",B65/25.4)</f>
        <v/>
      </c>
      <c r="C101" s="104" t="str">
        <f t="shared" si="74"/>
        <v/>
      </c>
      <c r="D101" s="104" t="str">
        <f t="shared" si="74"/>
        <v/>
      </c>
      <c r="E101" s="103" t="str">
        <f t="shared" si="74"/>
        <v/>
      </c>
      <c r="F101" s="104" t="str">
        <f t="shared" si="74"/>
        <v/>
      </c>
      <c r="G101" s="104" t="str">
        <f t="shared" si="74"/>
        <v/>
      </c>
      <c r="H101" s="103" t="str">
        <f t="shared" si="74"/>
        <v/>
      </c>
      <c r="I101" s="104" t="str">
        <f t="shared" si="74"/>
        <v/>
      </c>
      <c r="J101" s="104" t="str">
        <f t="shared" si="74"/>
        <v/>
      </c>
      <c r="K101" s="103" t="str">
        <f t="shared" si="74"/>
        <v/>
      </c>
      <c r="L101" s="104" t="str">
        <f t="shared" si="74"/>
        <v/>
      </c>
      <c r="M101" s="104" t="str">
        <f t="shared" si="74"/>
        <v/>
      </c>
      <c r="N101" s="21"/>
    </row>
    <row r="102" spans="1:14" x14ac:dyDescent="0.2">
      <c r="A102" s="102" t="str">
        <f t="shared" si="71"/>
        <v/>
      </c>
      <c r="B102" s="103" t="str">
        <f t="shared" ref="B102:M102" si="75">IF(B66="","",B66/25.4)</f>
        <v/>
      </c>
      <c r="C102" s="104" t="str">
        <f t="shared" si="75"/>
        <v/>
      </c>
      <c r="D102" s="104" t="str">
        <f t="shared" si="75"/>
        <v/>
      </c>
      <c r="E102" s="103" t="str">
        <f t="shared" si="75"/>
        <v/>
      </c>
      <c r="F102" s="104" t="str">
        <f t="shared" si="75"/>
        <v/>
      </c>
      <c r="G102" s="104" t="str">
        <f t="shared" si="75"/>
        <v/>
      </c>
      <c r="H102" s="103" t="str">
        <f t="shared" si="75"/>
        <v/>
      </c>
      <c r="I102" s="104" t="str">
        <f t="shared" si="75"/>
        <v/>
      </c>
      <c r="J102" s="104" t="str">
        <f t="shared" si="75"/>
        <v/>
      </c>
      <c r="K102" s="103" t="str">
        <f t="shared" si="75"/>
        <v/>
      </c>
      <c r="L102" s="104" t="str">
        <f t="shared" si="75"/>
        <v/>
      </c>
      <c r="M102" s="104" t="str">
        <f t="shared" si="75"/>
        <v/>
      </c>
      <c r="N102" s="21"/>
    </row>
    <row r="103" spans="1:14" x14ac:dyDescent="0.2">
      <c r="A103" s="102" t="str">
        <f t="shared" si="71"/>
        <v/>
      </c>
      <c r="B103" s="103" t="str">
        <f t="shared" ref="B103:M103" si="76">IF(B67="","",B67/25.4)</f>
        <v/>
      </c>
      <c r="C103" s="104" t="str">
        <f t="shared" si="76"/>
        <v/>
      </c>
      <c r="D103" s="104" t="str">
        <f t="shared" si="76"/>
        <v/>
      </c>
      <c r="E103" s="103" t="str">
        <f t="shared" si="76"/>
        <v/>
      </c>
      <c r="F103" s="104" t="str">
        <f t="shared" si="76"/>
        <v/>
      </c>
      <c r="G103" s="104" t="str">
        <f t="shared" si="76"/>
        <v/>
      </c>
      <c r="H103" s="103" t="str">
        <f t="shared" si="76"/>
        <v/>
      </c>
      <c r="I103" s="104" t="str">
        <f t="shared" si="76"/>
        <v/>
      </c>
      <c r="J103" s="104" t="str">
        <f t="shared" si="76"/>
        <v/>
      </c>
      <c r="K103" s="103" t="str">
        <f t="shared" si="76"/>
        <v/>
      </c>
      <c r="L103" s="104" t="str">
        <f t="shared" si="76"/>
        <v/>
      </c>
      <c r="M103" s="104" t="str">
        <f t="shared" si="76"/>
        <v/>
      </c>
      <c r="N103" s="21"/>
    </row>
    <row r="104" spans="1:14" x14ac:dyDescent="0.2">
      <c r="A104" s="102" t="str">
        <f t="shared" si="71"/>
        <v/>
      </c>
      <c r="B104" s="103" t="str">
        <f t="shared" ref="B104:M104" si="77">IF(B68="","",B68/25.4)</f>
        <v/>
      </c>
      <c r="C104" s="104" t="str">
        <f t="shared" si="77"/>
        <v/>
      </c>
      <c r="D104" s="104" t="str">
        <f t="shared" si="77"/>
        <v/>
      </c>
      <c r="E104" s="103" t="str">
        <f t="shared" si="77"/>
        <v/>
      </c>
      <c r="F104" s="104" t="str">
        <f t="shared" si="77"/>
        <v/>
      </c>
      <c r="G104" s="104" t="str">
        <f t="shared" si="77"/>
        <v/>
      </c>
      <c r="H104" s="103" t="str">
        <f t="shared" si="77"/>
        <v/>
      </c>
      <c r="I104" s="104" t="str">
        <f t="shared" si="77"/>
        <v/>
      </c>
      <c r="J104" s="104" t="str">
        <f t="shared" si="77"/>
        <v/>
      </c>
      <c r="K104" s="103" t="str">
        <f t="shared" si="77"/>
        <v/>
      </c>
      <c r="L104" s="104" t="str">
        <f t="shared" si="77"/>
        <v/>
      </c>
      <c r="M104" s="104" t="str">
        <f t="shared" si="77"/>
        <v/>
      </c>
      <c r="N104" s="21"/>
    </row>
    <row r="105" spans="1:14" x14ac:dyDescent="0.2">
      <c r="A105" s="102" t="str">
        <f t="shared" si="71"/>
        <v/>
      </c>
      <c r="B105" s="103" t="str">
        <f t="shared" ref="B105:M105" si="78">IF(B69="","",B69/25.4)</f>
        <v/>
      </c>
      <c r="C105" s="104" t="str">
        <f t="shared" si="78"/>
        <v/>
      </c>
      <c r="D105" s="104" t="str">
        <f t="shared" si="78"/>
        <v/>
      </c>
      <c r="E105" s="103" t="str">
        <f t="shared" si="78"/>
        <v/>
      </c>
      <c r="F105" s="104" t="str">
        <f t="shared" si="78"/>
        <v/>
      </c>
      <c r="G105" s="104" t="str">
        <f t="shared" si="78"/>
        <v/>
      </c>
      <c r="H105" s="103" t="str">
        <f t="shared" si="78"/>
        <v/>
      </c>
      <c r="I105" s="104" t="str">
        <f t="shared" si="78"/>
        <v/>
      </c>
      <c r="J105" s="104" t="str">
        <f t="shared" si="78"/>
        <v/>
      </c>
      <c r="K105" s="103" t="str">
        <f t="shared" si="78"/>
        <v/>
      </c>
      <c r="L105" s="104" t="str">
        <f t="shared" si="78"/>
        <v/>
      </c>
      <c r="M105" s="104" t="str">
        <f t="shared" si="78"/>
        <v/>
      </c>
      <c r="N105" s="21"/>
    </row>
    <row r="106" spans="1:14" x14ac:dyDescent="0.2">
      <c r="A106" s="102" t="str">
        <f t="shared" si="71"/>
        <v/>
      </c>
      <c r="B106" s="103" t="str">
        <f t="shared" ref="B106:M106" si="79">IF(B70="","",B70/25.4)</f>
        <v/>
      </c>
      <c r="C106" s="104" t="str">
        <f t="shared" si="79"/>
        <v/>
      </c>
      <c r="D106" s="104" t="str">
        <f t="shared" si="79"/>
        <v/>
      </c>
      <c r="E106" s="103" t="str">
        <f t="shared" si="79"/>
        <v/>
      </c>
      <c r="F106" s="104" t="str">
        <f t="shared" si="79"/>
        <v/>
      </c>
      <c r="G106" s="104" t="str">
        <f t="shared" si="79"/>
        <v/>
      </c>
      <c r="H106" s="103" t="str">
        <f t="shared" si="79"/>
        <v/>
      </c>
      <c r="I106" s="104" t="str">
        <f t="shared" si="79"/>
        <v/>
      </c>
      <c r="J106" s="104" t="str">
        <f t="shared" si="79"/>
        <v/>
      </c>
      <c r="K106" s="103" t="str">
        <f t="shared" si="79"/>
        <v/>
      </c>
      <c r="L106" s="104" t="str">
        <f t="shared" si="79"/>
        <v/>
      </c>
      <c r="M106" s="104" t="str">
        <f t="shared" si="79"/>
        <v/>
      </c>
      <c r="N106" s="21"/>
    </row>
    <row r="107" spans="1:14" x14ac:dyDescent="0.2">
      <c r="A107" s="102" t="str">
        <f t="shared" si="71"/>
        <v/>
      </c>
      <c r="B107" s="103" t="str">
        <f t="shared" ref="B107:M107" si="80">IF(B71="","",B71/25.4)</f>
        <v/>
      </c>
      <c r="C107" s="104" t="str">
        <f t="shared" si="80"/>
        <v/>
      </c>
      <c r="D107" s="104" t="str">
        <f t="shared" si="80"/>
        <v/>
      </c>
      <c r="E107" s="103" t="str">
        <f t="shared" si="80"/>
        <v/>
      </c>
      <c r="F107" s="104" t="str">
        <f t="shared" si="80"/>
        <v/>
      </c>
      <c r="G107" s="104" t="str">
        <f t="shared" si="80"/>
        <v/>
      </c>
      <c r="H107" s="103" t="str">
        <f t="shared" si="80"/>
        <v/>
      </c>
      <c r="I107" s="104" t="str">
        <f t="shared" si="80"/>
        <v/>
      </c>
      <c r="J107" s="104" t="str">
        <f t="shared" si="80"/>
        <v/>
      </c>
      <c r="K107" s="103" t="str">
        <f t="shared" si="80"/>
        <v/>
      </c>
      <c r="L107" s="104" t="str">
        <f t="shared" si="80"/>
        <v/>
      </c>
      <c r="M107" s="104" t="str">
        <f t="shared" si="80"/>
        <v/>
      </c>
      <c r="N107" s="21"/>
    </row>
    <row r="108" spans="1:14" x14ac:dyDescent="0.2">
      <c r="A108" s="102" t="str">
        <f t="shared" si="71"/>
        <v/>
      </c>
      <c r="B108" s="103" t="str">
        <f t="shared" ref="B108:M108" si="81">IF(B72="","",B72/25.4)</f>
        <v/>
      </c>
      <c r="C108" s="104" t="str">
        <f t="shared" si="81"/>
        <v/>
      </c>
      <c r="D108" s="104" t="str">
        <f t="shared" si="81"/>
        <v/>
      </c>
      <c r="E108" s="103" t="str">
        <f t="shared" si="81"/>
        <v/>
      </c>
      <c r="F108" s="104" t="str">
        <f t="shared" si="81"/>
        <v/>
      </c>
      <c r="G108" s="104" t="str">
        <f t="shared" si="81"/>
        <v/>
      </c>
      <c r="H108" s="103" t="str">
        <f t="shared" si="81"/>
        <v/>
      </c>
      <c r="I108" s="104" t="str">
        <f t="shared" si="81"/>
        <v/>
      </c>
      <c r="J108" s="104" t="str">
        <f t="shared" si="81"/>
        <v/>
      </c>
      <c r="K108" s="103" t="str">
        <f t="shared" si="81"/>
        <v/>
      </c>
      <c r="L108" s="104" t="str">
        <f t="shared" si="81"/>
        <v/>
      </c>
      <c r="M108" s="104" t="str">
        <f t="shared" si="81"/>
        <v/>
      </c>
      <c r="N108" s="21"/>
    </row>
    <row r="109" spans="1:14" x14ac:dyDescent="0.2">
      <c r="A109" s="102" t="str">
        <f t="shared" si="71"/>
        <v/>
      </c>
      <c r="B109" s="103" t="str">
        <f t="shared" ref="B109:M109" si="82">IF(B73="","",B73/25.4)</f>
        <v/>
      </c>
      <c r="C109" s="104" t="str">
        <f t="shared" si="82"/>
        <v/>
      </c>
      <c r="D109" s="104" t="str">
        <f t="shared" si="82"/>
        <v/>
      </c>
      <c r="E109" s="103" t="str">
        <f t="shared" si="82"/>
        <v/>
      </c>
      <c r="F109" s="104" t="str">
        <f t="shared" si="82"/>
        <v/>
      </c>
      <c r="G109" s="104" t="str">
        <f t="shared" si="82"/>
        <v/>
      </c>
      <c r="H109" s="103" t="str">
        <f t="shared" si="82"/>
        <v/>
      </c>
      <c r="I109" s="104" t="str">
        <f t="shared" si="82"/>
        <v/>
      </c>
      <c r="J109" s="104" t="str">
        <f t="shared" si="82"/>
        <v/>
      </c>
      <c r="K109" s="103" t="str">
        <f t="shared" si="82"/>
        <v/>
      </c>
      <c r="L109" s="104" t="str">
        <f t="shared" si="82"/>
        <v/>
      </c>
      <c r="M109" s="104" t="str">
        <f t="shared" si="82"/>
        <v/>
      </c>
      <c r="N109" s="21"/>
    </row>
    <row r="110" spans="1:14" x14ac:dyDescent="0.2">
      <c r="A110" s="102" t="str">
        <f t="shared" si="71"/>
        <v/>
      </c>
      <c r="B110" s="103" t="str">
        <f t="shared" ref="B110:M110" si="83">IF(B74="","",B74/25.4)</f>
        <v/>
      </c>
      <c r="C110" s="104" t="str">
        <f t="shared" si="83"/>
        <v/>
      </c>
      <c r="D110" s="104" t="str">
        <f t="shared" si="83"/>
        <v/>
      </c>
      <c r="E110" s="103" t="str">
        <f t="shared" si="83"/>
        <v/>
      </c>
      <c r="F110" s="104" t="str">
        <f t="shared" si="83"/>
        <v/>
      </c>
      <c r="G110" s="104" t="str">
        <f t="shared" si="83"/>
        <v/>
      </c>
      <c r="H110" s="103" t="str">
        <f t="shared" si="83"/>
        <v/>
      </c>
      <c r="I110" s="104" t="str">
        <f t="shared" si="83"/>
        <v/>
      </c>
      <c r="J110" s="104" t="str">
        <f t="shared" si="83"/>
        <v/>
      </c>
      <c r="K110" s="103" t="str">
        <f t="shared" si="83"/>
        <v/>
      </c>
      <c r="L110" s="104" t="str">
        <f t="shared" si="83"/>
        <v/>
      </c>
      <c r="M110" s="104" t="str">
        <f t="shared" si="83"/>
        <v/>
      </c>
      <c r="N110" s="21"/>
    </row>
    <row r="111" spans="1:14" x14ac:dyDescent="0.2">
      <c r="A111" s="102" t="str">
        <f t="shared" si="71"/>
        <v/>
      </c>
      <c r="B111" s="103" t="str">
        <f t="shared" ref="B111:M111" si="84">IF(B75="","",B75/25.4)</f>
        <v/>
      </c>
      <c r="C111" s="104" t="str">
        <f t="shared" si="84"/>
        <v/>
      </c>
      <c r="D111" s="104" t="str">
        <f t="shared" si="84"/>
        <v/>
      </c>
      <c r="E111" s="103" t="str">
        <f t="shared" si="84"/>
        <v/>
      </c>
      <c r="F111" s="104" t="str">
        <f t="shared" si="84"/>
        <v/>
      </c>
      <c r="G111" s="104" t="str">
        <f t="shared" si="84"/>
        <v/>
      </c>
      <c r="H111" s="103" t="str">
        <f t="shared" si="84"/>
        <v/>
      </c>
      <c r="I111" s="104" t="str">
        <f t="shared" si="84"/>
        <v/>
      </c>
      <c r="J111" s="104" t="str">
        <f t="shared" si="84"/>
        <v/>
      </c>
      <c r="K111" s="103" t="str">
        <f t="shared" si="84"/>
        <v/>
      </c>
      <c r="L111" s="104" t="str">
        <f t="shared" si="84"/>
        <v/>
      </c>
      <c r="M111" s="104" t="str">
        <f t="shared" si="84"/>
        <v/>
      </c>
      <c r="N111" s="21"/>
    </row>
    <row r="112" spans="1:14" x14ac:dyDescent="0.2">
      <c r="A112" s="102" t="str">
        <f t="shared" si="71"/>
        <v/>
      </c>
      <c r="B112" s="103" t="str">
        <f t="shared" ref="B112:M112" si="85">IF(B76="","",B76/25.4)</f>
        <v/>
      </c>
      <c r="C112" s="104" t="str">
        <f t="shared" si="85"/>
        <v/>
      </c>
      <c r="D112" s="104" t="str">
        <f t="shared" si="85"/>
        <v/>
      </c>
      <c r="E112" s="103" t="str">
        <f t="shared" si="85"/>
        <v/>
      </c>
      <c r="F112" s="104" t="str">
        <f t="shared" si="85"/>
        <v/>
      </c>
      <c r="G112" s="104" t="str">
        <f t="shared" si="85"/>
        <v/>
      </c>
      <c r="H112" s="103" t="str">
        <f t="shared" si="85"/>
        <v/>
      </c>
      <c r="I112" s="104" t="str">
        <f t="shared" si="85"/>
        <v/>
      </c>
      <c r="J112" s="104" t="str">
        <f t="shared" si="85"/>
        <v/>
      </c>
      <c r="K112" s="103" t="str">
        <f t="shared" si="85"/>
        <v/>
      </c>
      <c r="L112" s="104" t="str">
        <f t="shared" si="85"/>
        <v/>
      </c>
      <c r="M112" s="104" t="str">
        <f t="shared" si="85"/>
        <v/>
      </c>
      <c r="N112" s="21"/>
    </row>
  </sheetData>
  <mergeCells count="23">
    <mergeCell ref="X12:AA12"/>
    <mergeCell ref="X13:AA13"/>
    <mergeCell ref="B24:E24"/>
    <mergeCell ref="O42:AD42"/>
    <mergeCell ref="AE42:AT42"/>
    <mergeCell ref="B43:D43"/>
    <mergeCell ref="E43:G43"/>
    <mergeCell ref="H43:J43"/>
    <mergeCell ref="P44:R44"/>
    <mergeCell ref="U44:W44"/>
    <mergeCell ref="Z44:AB44"/>
    <mergeCell ref="AE44:AG44"/>
    <mergeCell ref="AJ44:AL44"/>
    <mergeCell ref="AO44:AQ44"/>
    <mergeCell ref="B61:D61"/>
    <mergeCell ref="E61:G61"/>
    <mergeCell ref="H61:J61"/>
    <mergeCell ref="B79:D79"/>
    <mergeCell ref="E79:G79"/>
    <mergeCell ref="H79:J79"/>
    <mergeCell ref="B97:D97"/>
    <mergeCell ref="E97:G97"/>
    <mergeCell ref="H97:J97"/>
  </mergeCells>
  <printOptions horizontalCentered="1"/>
  <pageMargins left="0.25" right="0.25" top="0.5" bottom="0.5" header="0" footer="0.5"/>
  <pageSetup firstPageNumber="0" orientation="landscape" horizontalDpi="300" verticalDpi="300"/>
  <headerFooter>
    <oddHeader>&amp;C&amp;A</oddHeader>
    <oddFooter>&amp;CPage &amp;P&amp;R&amp;D</oddFooter>
  </headerFooter>
  <rowBreaks count="2" manualBreakCount="2">
    <brk id="40" max="16383" man="1"/>
    <brk id="76" max="16383" man="1"/>
  </rowBreak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"/>
  <sheetViews>
    <sheetView zoomScaleNormal="100" workbookViewId="0">
      <selection activeCell="E5" sqref="E5"/>
    </sheetView>
  </sheetViews>
  <sheetFormatPr defaultColWidth="8.6640625" defaultRowHeight="12.75" x14ac:dyDescent="0.2"/>
  <cols>
    <col min="1" max="1" width="26.33203125" customWidth="1"/>
    <col min="2" max="2" width="12" customWidth="1"/>
  </cols>
  <sheetData>
    <row r="1" spans="1:6" x14ac:dyDescent="0.2">
      <c r="A1" s="318" t="s">
        <v>354</v>
      </c>
    </row>
    <row r="2" spans="1:6" x14ac:dyDescent="0.2">
      <c r="A2" s="318" t="s">
        <v>355</v>
      </c>
    </row>
    <row r="3" spans="1:6" ht="24" customHeight="1" x14ac:dyDescent="0.2">
      <c r="C3" s="350" t="s">
        <v>356</v>
      </c>
      <c r="D3" s="350"/>
      <c r="E3" s="350" t="s">
        <v>357</v>
      </c>
      <c r="F3" s="350"/>
    </row>
    <row r="4" spans="1:6" s="319" customFormat="1" ht="23.25" customHeight="1" x14ac:dyDescent="0.2">
      <c r="A4" s="320" t="s">
        <v>358</v>
      </c>
      <c r="B4" s="320" t="s">
        <v>359</v>
      </c>
      <c r="C4" s="320" t="s">
        <v>360</v>
      </c>
      <c r="D4" s="320" t="s">
        <v>361</v>
      </c>
      <c r="E4" s="320" t="s">
        <v>360</v>
      </c>
      <c r="F4" s="320" t="s">
        <v>361</v>
      </c>
    </row>
    <row r="5" spans="1:6" x14ac:dyDescent="0.2">
      <c r="A5" t="s">
        <v>362</v>
      </c>
      <c r="B5" s="71">
        <f>NCRP147_4.2!C29</f>
        <v>0.60091000000000006</v>
      </c>
      <c r="C5">
        <v>120</v>
      </c>
      <c r="D5">
        <v>160</v>
      </c>
      <c r="E5" s="323">
        <f t="shared" ref="E5:E12" si="0">B5*C5</f>
        <v>72.109200000000001</v>
      </c>
      <c r="F5" s="323">
        <f t="shared" ref="F5:F12" si="1">B5*D5</f>
        <v>96.145600000000002</v>
      </c>
    </row>
    <row r="6" spans="1:6" x14ac:dyDescent="0.2">
      <c r="A6" t="s">
        <v>345</v>
      </c>
      <c r="B6" s="71">
        <f>NCRP147_4.2!D29</f>
        <v>1.8507709999999995</v>
      </c>
      <c r="C6">
        <v>120</v>
      </c>
      <c r="D6">
        <v>160</v>
      </c>
      <c r="E6" s="323">
        <f t="shared" si="0"/>
        <v>222.09251999999995</v>
      </c>
      <c r="F6" s="323">
        <f t="shared" si="1"/>
        <v>296.12335999999993</v>
      </c>
    </row>
    <row r="7" spans="1:6" x14ac:dyDescent="0.2">
      <c r="A7" t="s">
        <v>348</v>
      </c>
      <c r="B7" s="71">
        <f>NCRP147_4.2!G29</f>
        <v>0.21584300000000001</v>
      </c>
      <c r="C7">
        <v>200</v>
      </c>
      <c r="D7">
        <v>400</v>
      </c>
      <c r="E7" s="323">
        <f t="shared" si="0"/>
        <v>43.168599999999998</v>
      </c>
      <c r="F7" s="323">
        <f t="shared" si="1"/>
        <v>86.337199999999996</v>
      </c>
    </row>
    <row r="8" spans="1:6" x14ac:dyDescent="0.2">
      <c r="A8" t="s">
        <v>346</v>
      </c>
      <c r="B8" s="71">
        <f>NCRP147_4.2!E29</f>
        <v>12.8934</v>
      </c>
      <c r="C8">
        <v>20</v>
      </c>
      <c r="D8">
        <v>30</v>
      </c>
      <c r="E8" s="323">
        <f t="shared" si="0"/>
        <v>257.86799999999999</v>
      </c>
      <c r="F8" s="323">
        <f t="shared" si="1"/>
        <v>386.80200000000002</v>
      </c>
    </row>
    <row r="9" spans="1:6" x14ac:dyDescent="0.2">
      <c r="A9" t="s">
        <v>347</v>
      </c>
      <c r="B9" s="71">
        <f>NCRP147_4.2!F29</f>
        <v>1.5099989999999996</v>
      </c>
      <c r="C9">
        <v>25</v>
      </c>
      <c r="D9">
        <v>40</v>
      </c>
      <c r="E9" s="323">
        <f t="shared" si="0"/>
        <v>37.749974999999992</v>
      </c>
      <c r="F9" s="323">
        <f t="shared" si="1"/>
        <v>60.399959999999986</v>
      </c>
    </row>
    <row r="10" spans="1:6" x14ac:dyDescent="0.2">
      <c r="A10" t="s">
        <v>363</v>
      </c>
      <c r="B10" s="71">
        <f>NCRP147_4.2!H29</f>
        <v>6.6950000000000003</v>
      </c>
      <c r="C10">
        <v>80</v>
      </c>
      <c r="D10">
        <v>160</v>
      </c>
      <c r="E10" s="323">
        <f t="shared" si="0"/>
        <v>535.6</v>
      </c>
      <c r="F10" s="323">
        <f t="shared" si="1"/>
        <v>1071.2</v>
      </c>
    </row>
    <row r="11" spans="1:6" x14ac:dyDescent="0.2">
      <c r="A11" t="s">
        <v>350</v>
      </c>
      <c r="B11" s="71">
        <f>NCRP147_4.2!I29</f>
        <v>159.56100000000001</v>
      </c>
      <c r="C11">
        <v>20</v>
      </c>
      <c r="D11">
        <v>30</v>
      </c>
      <c r="E11" s="323">
        <f t="shared" si="0"/>
        <v>3191.2200000000003</v>
      </c>
      <c r="F11" s="323">
        <f t="shared" si="1"/>
        <v>4786.83</v>
      </c>
    </row>
    <row r="12" spans="1:6" x14ac:dyDescent="0.2">
      <c r="A12" t="s">
        <v>351</v>
      </c>
      <c r="B12" s="71">
        <f>NCRP147_4.2!J29</f>
        <v>64.174399999999991</v>
      </c>
      <c r="C12">
        <v>20</v>
      </c>
      <c r="D12">
        <v>30</v>
      </c>
      <c r="E12" s="323">
        <f t="shared" si="0"/>
        <v>1283.4879999999998</v>
      </c>
      <c r="F12" s="323">
        <f t="shared" si="1"/>
        <v>1925.2319999999997</v>
      </c>
    </row>
  </sheetData>
  <mergeCells count="2">
    <mergeCell ref="C3:D3"/>
    <mergeCell ref="E3:F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zoomScaleNormal="100" workbookViewId="0"/>
  </sheetViews>
  <sheetFormatPr defaultColWidth="8.6640625" defaultRowHeight="12.75" x14ac:dyDescent="0.2"/>
  <cols>
    <col min="1" max="1" width="20.33203125" customWidth="1"/>
    <col min="2" max="2" width="12.83203125" customWidth="1"/>
  </cols>
  <sheetData>
    <row r="1" spans="1:2" x14ac:dyDescent="0.2">
      <c r="A1" s="318" t="s">
        <v>364</v>
      </c>
    </row>
    <row r="3" spans="1:2" x14ac:dyDescent="0.2">
      <c r="A3" t="s">
        <v>67</v>
      </c>
      <c r="B3" t="s">
        <v>365</v>
      </c>
    </row>
    <row r="4" spans="1:2" x14ac:dyDescent="0.2">
      <c r="A4" t="s">
        <v>146</v>
      </c>
      <c r="B4">
        <v>0.89</v>
      </c>
    </row>
    <row r="5" spans="1:2" x14ac:dyDescent="0.2">
      <c r="A5" t="s">
        <v>366</v>
      </c>
      <c r="B5">
        <v>0.09</v>
      </c>
    </row>
    <row r="6" spans="1:2" x14ac:dyDescent="0.2">
      <c r="A6" t="s">
        <v>367</v>
      </c>
      <c r="B6">
        <v>0.02</v>
      </c>
    </row>
    <row r="7" spans="1:2" x14ac:dyDescent="0.2">
      <c r="A7" t="s">
        <v>368</v>
      </c>
      <c r="B7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zoomScaleNormal="100" workbookViewId="0">
      <selection activeCell="C5" sqref="C5"/>
    </sheetView>
  </sheetViews>
  <sheetFormatPr defaultColWidth="8.6640625" defaultRowHeight="12.75" x14ac:dyDescent="0.2"/>
  <cols>
    <col min="1" max="1" width="26.83203125" customWidth="1"/>
    <col min="2" max="2" width="12.33203125" customWidth="1"/>
  </cols>
  <sheetData>
    <row r="1" spans="1:3" x14ac:dyDescent="0.2">
      <c r="A1" s="66" t="s">
        <v>369</v>
      </c>
    </row>
    <row r="3" spans="1:3" ht="38.25" x14ac:dyDescent="0.2">
      <c r="A3" s="320" t="s">
        <v>370</v>
      </c>
      <c r="B3" s="320" t="s">
        <v>371</v>
      </c>
      <c r="C3" s="320" t="s">
        <v>372</v>
      </c>
    </row>
    <row r="4" spans="1:3" x14ac:dyDescent="0.2">
      <c r="A4" t="s">
        <v>362</v>
      </c>
      <c r="B4">
        <v>0.6</v>
      </c>
      <c r="C4">
        <v>2.2999999999999998</v>
      </c>
    </row>
    <row r="5" spans="1:3" x14ac:dyDescent="0.2">
      <c r="A5" t="s">
        <v>345</v>
      </c>
      <c r="B5">
        <v>1.9</v>
      </c>
      <c r="C5">
        <v>5.2</v>
      </c>
    </row>
    <row r="6" spans="1:3" x14ac:dyDescent="0.2">
      <c r="A6" t="s">
        <v>347</v>
      </c>
      <c r="B6">
        <v>1.5</v>
      </c>
      <c r="C6">
        <v>5.9</v>
      </c>
    </row>
    <row r="7" spans="1:3" x14ac:dyDescent="0.2">
      <c r="A7" t="s">
        <v>348</v>
      </c>
      <c r="B7">
        <v>0.22</v>
      </c>
      <c r="C7">
        <v>1.2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6"/>
  <sheetViews>
    <sheetView zoomScaleNormal="100" workbookViewId="0">
      <selection activeCell="J8" sqref="J8"/>
    </sheetView>
  </sheetViews>
  <sheetFormatPr defaultColWidth="8.6640625" defaultRowHeight="12.75" x14ac:dyDescent="0.2"/>
  <cols>
    <col min="1" max="1" width="26.5" customWidth="1"/>
    <col min="9" max="9" width="13" customWidth="1"/>
  </cols>
  <sheetData>
    <row r="1" spans="1:9" x14ac:dyDescent="0.2">
      <c r="A1" s="318" t="s">
        <v>373</v>
      </c>
    </row>
    <row r="2" spans="1:9" x14ac:dyDescent="0.2">
      <c r="A2" s="318" t="s">
        <v>374</v>
      </c>
    </row>
    <row r="3" spans="1:9" x14ac:dyDescent="0.2">
      <c r="A3" s="318" t="s">
        <v>375</v>
      </c>
    </row>
    <row r="4" spans="1:9" x14ac:dyDescent="0.2">
      <c r="A4" s="318" t="s">
        <v>376</v>
      </c>
    </row>
    <row r="5" spans="1:9" x14ac:dyDescent="0.2">
      <c r="A5" s="318" t="s">
        <v>377</v>
      </c>
    </row>
    <row r="6" spans="1:9" x14ac:dyDescent="0.2">
      <c r="E6" s="330" t="s">
        <v>378</v>
      </c>
      <c r="F6" s="330"/>
      <c r="G6" s="330"/>
      <c r="H6" s="330"/>
      <c r="I6" s="330"/>
    </row>
    <row r="7" spans="1:9" s="319" customFormat="1" ht="37.5" customHeight="1" x14ac:dyDescent="0.2">
      <c r="A7" s="320" t="s">
        <v>370</v>
      </c>
      <c r="B7" s="320" t="s">
        <v>379</v>
      </c>
      <c r="C7" s="320" t="s">
        <v>380</v>
      </c>
      <c r="D7" s="320" t="s">
        <v>381</v>
      </c>
      <c r="E7" s="320" t="s">
        <v>90</v>
      </c>
      <c r="F7" s="320" t="s">
        <v>382</v>
      </c>
      <c r="G7" s="320" t="s">
        <v>383</v>
      </c>
      <c r="H7" s="320" t="s">
        <v>384</v>
      </c>
      <c r="I7" s="320" t="s">
        <v>385</v>
      </c>
    </row>
    <row r="8" spans="1:9" x14ac:dyDescent="0.2">
      <c r="A8" t="s">
        <v>343</v>
      </c>
      <c r="B8" s="71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 t="shared" ref="G8:G16" si="0">SUM(E8:F8)</f>
        <v>3.4530000000000005E-2</v>
      </c>
      <c r="H8">
        <v>4.8000000000000001E-2</v>
      </c>
      <c r="I8">
        <f t="shared" ref="I8:I16" si="1">E8+H8</f>
        <v>4.8530000000000004E-2</v>
      </c>
    </row>
    <row r="9" spans="1:9" x14ac:dyDescent="0.2">
      <c r="A9" t="s">
        <v>344</v>
      </c>
      <c r="B9" s="71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si="0"/>
        <v>5.2899999999999996E-3</v>
      </c>
      <c r="H9">
        <v>6.8999999999999999E-3</v>
      </c>
      <c r="I9">
        <f t="shared" si="1"/>
        <v>7.2899999999999996E-3</v>
      </c>
    </row>
    <row r="10" spans="1:9" x14ac:dyDescent="0.2">
      <c r="A10" t="s">
        <v>345</v>
      </c>
      <c r="B10" s="71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346</v>
      </c>
      <c r="B11" s="71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347</v>
      </c>
      <c r="B12" s="71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348</v>
      </c>
      <c r="B13" s="71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349</v>
      </c>
      <c r="B14" s="71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350</v>
      </c>
      <c r="B15" s="71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351</v>
      </c>
      <c r="B16" s="71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9"/>
  <sheetViews>
    <sheetView zoomScaleNormal="100" workbookViewId="0">
      <selection activeCell="D5" sqref="D5"/>
    </sheetView>
  </sheetViews>
  <sheetFormatPr defaultColWidth="8.6640625" defaultRowHeight="12.75" x14ac:dyDescent="0.2"/>
  <cols>
    <col min="1" max="1" width="12.5" customWidth="1"/>
  </cols>
  <sheetData>
    <row r="1" spans="1:4" x14ac:dyDescent="0.2">
      <c r="A1" s="318" t="s">
        <v>386</v>
      </c>
    </row>
    <row r="2" spans="1:4" x14ac:dyDescent="0.2">
      <c r="A2" s="318" t="s">
        <v>387</v>
      </c>
    </row>
    <row r="4" spans="1:4" x14ac:dyDescent="0.2">
      <c r="A4" t="s">
        <v>388</v>
      </c>
      <c r="B4" t="s">
        <v>389</v>
      </c>
      <c r="C4" t="s">
        <v>390</v>
      </c>
      <c r="D4" t="s">
        <v>391</v>
      </c>
    </row>
    <row r="5" spans="1:4" x14ac:dyDescent="0.2">
      <c r="A5" t="s">
        <v>392</v>
      </c>
      <c r="B5">
        <v>60</v>
      </c>
      <c r="C5">
        <v>20</v>
      </c>
      <c r="D5">
        <v>1200</v>
      </c>
    </row>
    <row r="6" spans="1:4" x14ac:dyDescent="0.2">
      <c r="A6" t="s">
        <v>393</v>
      </c>
      <c r="B6">
        <v>15</v>
      </c>
      <c r="C6">
        <v>35</v>
      </c>
      <c r="D6">
        <v>525</v>
      </c>
    </row>
    <row r="7" spans="1:4" x14ac:dyDescent="0.2">
      <c r="A7" t="s">
        <v>394</v>
      </c>
      <c r="B7">
        <v>25</v>
      </c>
      <c r="C7">
        <v>25</v>
      </c>
      <c r="D7">
        <v>625</v>
      </c>
    </row>
    <row r="8" spans="1:4" x14ac:dyDescent="0.2">
      <c r="A8" t="s">
        <v>395</v>
      </c>
      <c r="B8">
        <v>25</v>
      </c>
      <c r="C8">
        <v>20</v>
      </c>
      <c r="D8">
        <v>500</v>
      </c>
    </row>
    <row r="9" spans="1:4" x14ac:dyDescent="0.2">
      <c r="A9" t="s">
        <v>396</v>
      </c>
      <c r="D9">
        <v>550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61"/>
  <sheetViews>
    <sheetView zoomScaleNormal="100" workbookViewId="0"/>
  </sheetViews>
  <sheetFormatPr defaultColWidth="8.6640625" defaultRowHeight="12.75" x14ac:dyDescent="0.2"/>
  <sheetData>
    <row r="1" spans="1:43" x14ac:dyDescent="0.2">
      <c r="A1" s="318" t="s">
        <v>397</v>
      </c>
    </row>
    <row r="4" spans="1:43" x14ac:dyDescent="0.2">
      <c r="B4" s="330" t="s">
        <v>94</v>
      </c>
      <c r="C4" s="330"/>
      <c r="D4" s="330"/>
      <c r="E4" s="330"/>
      <c r="F4" s="330"/>
      <c r="G4" s="330"/>
      <c r="H4" s="330"/>
      <c r="I4" s="330" t="s">
        <v>95</v>
      </c>
      <c r="J4" s="330"/>
      <c r="K4" s="330"/>
      <c r="L4" s="330"/>
      <c r="M4" s="330"/>
      <c r="N4" s="330"/>
      <c r="O4" s="330"/>
      <c r="P4" s="330" t="s">
        <v>52</v>
      </c>
      <c r="Q4" s="330"/>
      <c r="R4" s="330"/>
      <c r="S4" s="330"/>
      <c r="T4" s="330"/>
      <c r="U4" s="330"/>
      <c r="V4" s="330"/>
      <c r="W4" s="330" t="s">
        <v>54</v>
      </c>
      <c r="X4" s="330"/>
      <c r="Y4" s="330"/>
      <c r="Z4" s="330"/>
      <c r="AA4" s="330"/>
      <c r="AB4" s="330"/>
      <c r="AC4" s="330"/>
      <c r="AD4" s="330" t="s">
        <v>96</v>
      </c>
      <c r="AE4" s="330"/>
      <c r="AF4" s="330"/>
      <c r="AG4" s="330"/>
      <c r="AH4" s="330"/>
      <c r="AI4" s="330"/>
      <c r="AJ4" s="330"/>
      <c r="AK4" s="330" t="s">
        <v>58</v>
      </c>
      <c r="AL4" s="330"/>
      <c r="AM4" s="330"/>
      <c r="AN4" s="330"/>
      <c r="AO4" s="330"/>
      <c r="AP4" s="330"/>
      <c r="AQ4" s="330"/>
    </row>
    <row r="5" spans="1:43" x14ac:dyDescent="0.2">
      <c r="A5" t="s">
        <v>37</v>
      </c>
      <c r="B5" s="165" t="s">
        <v>40</v>
      </c>
      <c r="C5" s="165" t="s">
        <v>41</v>
      </c>
      <c r="D5" s="165" t="s">
        <v>42</v>
      </c>
      <c r="E5" s="129" t="s">
        <v>116</v>
      </c>
      <c r="F5" s="129" t="s">
        <v>117</v>
      </c>
      <c r="G5" t="s">
        <v>44</v>
      </c>
      <c r="H5" t="s">
        <v>45</v>
      </c>
      <c r="I5" s="165" t="s">
        <v>40</v>
      </c>
      <c r="J5" s="165" t="s">
        <v>41</v>
      </c>
      <c r="K5" s="165" t="s">
        <v>42</v>
      </c>
      <c r="L5" s="129" t="s">
        <v>116</v>
      </c>
      <c r="M5" s="129" t="s">
        <v>117</v>
      </c>
      <c r="N5" t="s">
        <v>44</v>
      </c>
      <c r="O5" t="s">
        <v>45</v>
      </c>
      <c r="P5" s="165" t="s">
        <v>40</v>
      </c>
      <c r="Q5" s="165" t="s">
        <v>41</v>
      </c>
      <c r="R5" s="165" t="s">
        <v>42</v>
      </c>
      <c r="S5" s="129" t="s">
        <v>116</v>
      </c>
      <c r="T5" s="129" t="s">
        <v>117</v>
      </c>
      <c r="U5" t="s">
        <v>44</v>
      </c>
      <c r="V5" t="s">
        <v>45</v>
      </c>
      <c r="W5" s="165" t="s">
        <v>40</v>
      </c>
      <c r="X5" s="165" t="s">
        <v>41</v>
      </c>
      <c r="Y5" s="165" t="s">
        <v>42</v>
      </c>
      <c r="Z5" s="129" t="s">
        <v>116</v>
      </c>
      <c r="AA5" s="129" t="s">
        <v>117</v>
      </c>
      <c r="AB5" t="s">
        <v>44</v>
      </c>
      <c r="AC5" t="s">
        <v>45</v>
      </c>
      <c r="AD5" s="165" t="s">
        <v>40</v>
      </c>
      <c r="AE5" s="165" t="s">
        <v>41</v>
      </c>
      <c r="AF5" s="165" t="s">
        <v>42</v>
      </c>
      <c r="AG5" s="129" t="s">
        <v>116</v>
      </c>
      <c r="AH5" s="129" t="s">
        <v>117</v>
      </c>
      <c r="AI5" t="s">
        <v>44</v>
      </c>
      <c r="AJ5" t="s">
        <v>45</v>
      </c>
      <c r="AK5" s="165" t="s">
        <v>40</v>
      </c>
      <c r="AL5" s="165" t="s">
        <v>41</v>
      </c>
      <c r="AM5" s="165" t="s">
        <v>42</v>
      </c>
      <c r="AN5" s="129" t="s">
        <v>116</v>
      </c>
      <c r="AO5" s="129" t="s">
        <v>117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 t="shared" ref="L6:L31" si="0">J6/I6</f>
        <v>4.213627049180328</v>
      </c>
      <c r="M6">
        <f t="shared" ref="M6:M31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>C7/B7</f>
        <v>4.587628865979382</v>
      </c>
      <c r="F7">
        <f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si="0"/>
        <v>5.3514024582414113</v>
      </c>
      <c r="M7">
        <f t="shared" si="1"/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>Q7/P7</f>
        <v>5.8302980132450335</v>
      </c>
      <c r="T7">
        <f>P7*R7</f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>X7/W7</f>
        <v>5.6616257088846886</v>
      </c>
      <c r="AA7">
        <f>W7*Y7</f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>AE7/AD7</f>
        <v>5.2237830774256784</v>
      </c>
      <c r="AH7">
        <f>AD7*AF7</f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>AL7/AK7</f>
        <v>1.8310249307479225</v>
      </c>
      <c r="AO7">
        <f>AK7*AM7</f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>C8/B8</f>
        <v>5.5736040609137047</v>
      </c>
      <c r="F8">
        <f>B8*D8</f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0"/>
        <v>7.1479430379746827</v>
      </c>
      <c r="M8">
        <f t="shared" si="1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>Q8/P8</f>
        <v>7.8711421491326874</v>
      </c>
      <c r="T8">
        <f>P8*R8</f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>X8/W8</f>
        <v>7.5944716585024485</v>
      </c>
      <c r="AA8">
        <f>W8*Y8</f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>AE8/AD8</f>
        <v>7.0701168614357259</v>
      </c>
      <c r="AH8">
        <f>AD8*AF8</f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>AL8/AK8</f>
        <v>2.0373487638085219</v>
      </c>
      <c r="AO8">
        <f>AK8*AM8</f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I9">
        <v>0.12970000000000001</v>
      </c>
      <c r="J9">
        <v>0.17799999999999999</v>
      </c>
      <c r="K9">
        <v>0.21890000000000001</v>
      </c>
      <c r="L9">
        <f t="shared" si="0"/>
        <v>1.3723978411719351</v>
      </c>
      <c r="M9">
        <f t="shared" si="1"/>
        <v>2.8391330000000003E-2</v>
      </c>
      <c r="N9">
        <v>5.3442342371622598</v>
      </c>
      <c r="O9">
        <v>17.753161858088198</v>
      </c>
    </row>
    <row r="10" spans="1:43" x14ac:dyDescent="0.2">
      <c r="A10">
        <v>45</v>
      </c>
      <c r="I10">
        <v>0.1095</v>
      </c>
      <c r="J10">
        <v>0.1741</v>
      </c>
      <c r="K10">
        <v>0.22689999999999999</v>
      </c>
      <c r="L10">
        <f t="shared" si="0"/>
        <v>1.5899543378995433</v>
      </c>
      <c r="M10">
        <f t="shared" si="1"/>
        <v>2.4845549999999997E-2</v>
      </c>
      <c r="N10">
        <v>6.3301112379903701</v>
      </c>
      <c r="O10">
        <v>21.0281743652424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2">C11/B11</f>
        <v>3.0996477672991705</v>
      </c>
      <c r="F11">
        <f t="shared" ref="F11:F31" si="3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0"/>
        <v>1.836909871244635</v>
      </c>
      <c r="M11">
        <f t="shared" si="1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4">Q11/P11</f>
        <v>2.2482616533608035</v>
      </c>
      <c r="T11">
        <f t="shared" ref="T11:T31" si="5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6">X11/W11</f>
        <v>2.6637314254265272</v>
      </c>
      <c r="AA11">
        <f t="shared" ref="AA11:AA31" si="7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8">AE11/AD11</f>
        <v>1.8506326509618352</v>
      </c>
      <c r="AH11">
        <f t="shared" ref="AH11:AH31" si="9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10">AL11/AK11</f>
        <v>0.17304832713754645</v>
      </c>
      <c r="AO11">
        <f t="shared" ref="AO11:AO31" si="11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2"/>
        <v>3.3065442020665903</v>
      </c>
      <c r="F12">
        <f t="shared" si="3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0"/>
        <v>2.2864457019671249</v>
      </c>
      <c r="M12">
        <f t="shared" si="1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4"/>
        <v>2.4319976601345425</v>
      </c>
      <c r="T12">
        <f t="shared" si="5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6"/>
        <v>3.0241125251172134</v>
      </c>
      <c r="AA12">
        <f t="shared" si="7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8"/>
        <v>1.9422357343311507</v>
      </c>
      <c r="AH12">
        <f t="shared" si="9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10"/>
        <v>0.13873517786561265</v>
      </c>
      <c r="AO12">
        <f t="shared" si="11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2"/>
        <v>3.5807797439217381</v>
      </c>
      <c r="F13">
        <f t="shared" si="3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0"/>
        <v>2.7067669172932329</v>
      </c>
      <c r="M13">
        <f t="shared" si="1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4"/>
        <v>2.6670016750418761</v>
      </c>
      <c r="T13">
        <f t="shared" si="5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6"/>
        <v>3.5663567202028741</v>
      </c>
      <c r="AA13">
        <f t="shared" si="7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8"/>
        <v>2.0652173913043477</v>
      </c>
      <c r="AH13">
        <f t="shared" si="9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10"/>
        <v>0.10168208578637511</v>
      </c>
      <c r="AO13">
        <f t="shared" si="11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2"/>
        <v>3.9298531810766724</v>
      </c>
      <c r="F14">
        <f t="shared" si="3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0"/>
        <v>3.0680173661360346</v>
      </c>
      <c r="M14">
        <f t="shared" si="1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4"/>
        <v>2.911843618244538</v>
      </c>
      <c r="T14">
        <f t="shared" si="5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6"/>
        <v>4.3414740514609687</v>
      </c>
      <c r="AA14">
        <f t="shared" si="7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8"/>
        <v>2.2152287381025486</v>
      </c>
      <c r="AH14">
        <f t="shared" si="9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10"/>
        <v>7.196885428253616E-2</v>
      </c>
      <c r="AO14">
        <f t="shared" si="11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2"/>
        <v>4.3751164090147139</v>
      </c>
      <c r="F15">
        <f t="shared" si="3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0"/>
        <v>3.3339885983880482</v>
      </c>
      <c r="M15">
        <f t="shared" si="1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4"/>
        <v>3.1116420503909645</v>
      </c>
      <c r="T15">
        <f t="shared" si="5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6"/>
        <v>5.312631137221989</v>
      </c>
      <c r="AA15">
        <f t="shared" si="7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8"/>
        <v>2.3432913141080984</v>
      </c>
      <c r="AH15">
        <f t="shared" si="9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10"/>
        <v>6.304093567251462E-2</v>
      </c>
      <c r="AO15">
        <f t="shared" si="11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2"/>
        <v>4.8628375482211741</v>
      </c>
      <c r="F16">
        <f t="shared" si="3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0"/>
        <v>3.466750052115906</v>
      </c>
      <c r="M16">
        <f t="shared" si="1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4"/>
        <v>3.2182962245885767</v>
      </c>
      <c r="T16">
        <f t="shared" si="5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6"/>
        <v>6.2644571034006553</v>
      </c>
      <c r="AA16">
        <f t="shared" si="7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8"/>
        <v>2.4192024192024193</v>
      </c>
      <c r="AH16">
        <f t="shared" si="9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10"/>
        <v>0.12340957140111475</v>
      </c>
      <c r="AO16">
        <f t="shared" si="11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2"/>
        <v>5.3688118811881189</v>
      </c>
      <c r="F17">
        <f t="shared" si="3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0"/>
        <v>3.3798821732489635</v>
      </c>
      <c r="M17">
        <f t="shared" si="1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4"/>
        <v>3.2306468716861083</v>
      </c>
      <c r="T17">
        <f t="shared" si="5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6"/>
        <v>6.9660638081690713</v>
      </c>
      <c r="AA17">
        <f t="shared" si="7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8"/>
        <v>2.4379414732593343</v>
      </c>
      <c r="AH17">
        <f t="shared" si="9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10"/>
        <v>0.10932557256737947</v>
      </c>
      <c r="AO17">
        <f t="shared" si="11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2"/>
        <v>5.8133561643835616</v>
      </c>
      <c r="F18">
        <f t="shared" si="3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0"/>
        <v>3.0650295588904051</v>
      </c>
      <c r="M18">
        <f t="shared" si="1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4"/>
        <v>3.1832760595647192</v>
      </c>
      <c r="T18">
        <f t="shared" si="5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6"/>
        <v>7.2973593570608495</v>
      </c>
      <c r="AA18">
        <f t="shared" si="7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8"/>
        <v>2.4147426392713407</v>
      </c>
      <c r="AH18">
        <f t="shared" si="9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10"/>
        <v>0.13739266198282593</v>
      </c>
      <c r="AO18">
        <f t="shared" si="11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2"/>
        <v>6.1395500489077266</v>
      </c>
      <c r="F19">
        <f t="shared" si="3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0"/>
        <v>2.6892147587511825</v>
      </c>
      <c r="M19">
        <f t="shared" si="1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4"/>
        <v>3.0300661455201445</v>
      </c>
      <c r="T19">
        <f t="shared" si="5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6"/>
        <v>7.3356837068748417</v>
      </c>
      <c r="AA19">
        <f t="shared" si="7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8"/>
        <v>2.3670329670329671</v>
      </c>
      <c r="AH19">
        <f t="shared" si="9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10"/>
        <v>0.1543070163759819</v>
      </c>
      <c r="AO19">
        <f t="shared" si="11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2"/>
        <v>6.2504577077993417</v>
      </c>
      <c r="F20">
        <f t="shared" si="3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0"/>
        <v>2.385693215339233</v>
      </c>
      <c r="M20">
        <f t="shared" si="1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4"/>
        <v>2.9624108878807518</v>
      </c>
      <c r="T20">
        <f t="shared" si="5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6"/>
        <v>7.209997283346917</v>
      </c>
      <c r="AA20">
        <f t="shared" si="7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8"/>
        <v>2.2970521541950113</v>
      </c>
      <c r="AH20">
        <f t="shared" si="9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10"/>
        <v>0.15425459496255955</v>
      </c>
      <c r="AO20">
        <f t="shared" si="11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2"/>
        <v>6.1120000000000001</v>
      </c>
      <c r="F21">
        <f t="shared" si="3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0"/>
        <v>2.1826751592356688</v>
      </c>
      <c r="M21">
        <f t="shared" si="1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4"/>
        <v>2.8451568894952248</v>
      </c>
      <c r="T21">
        <f t="shared" si="5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6"/>
        <v>7.0863836017569541</v>
      </c>
      <c r="AA21">
        <f t="shared" si="7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8"/>
        <v>2.2127162225338943</v>
      </c>
      <c r="AH21">
        <f t="shared" si="9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10"/>
        <v>0.12922544951590595</v>
      </c>
      <c r="AO21">
        <f t="shared" si="11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2"/>
        <v>5.6725888324873104</v>
      </c>
      <c r="F22">
        <f t="shared" si="3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0"/>
        <v>2.064600840336134</v>
      </c>
      <c r="M22">
        <f t="shared" si="1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4"/>
        <v>2.7308518253400145</v>
      </c>
      <c r="T22">
        <f t="shared" si="5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6"/>
        <v>7.1036682615629978</v>
      </c>
      <c r="AA22">
        <f t="shared" si="7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8"/>
        <v>2.1122375090514121</v>
      </c>
      <c r="AH22">
        <f t="shared" si="9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10"/>
        <v>8.7929078014184411E-2</v>
      </c>
      <c r="AO22">
        <f t="shared" si="11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2"/>
        <v>5.0958188153310102</v>
      </c>
      <c r="F23">
        <f t="shared" si="3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0"/>
        <v>2.001615074024226</v>
      </c>
      <c r="M23">
        <f t="shared" si="1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4"/>
        <v>2.6354790419161676</v>
      </c>
      <c r="T23">
        <f t="shared" si="5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6"/>
        <v>7.2341172341172344</v>
      </c>
      <c r="AA23">
        <f t="shared" si="7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8"/>
        <v>2.0077345309381238</v>
      </c>
      <c r="AH23">
        <f t="shared" si="9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10"/>
        <v>2.8550787458459761E-2</v>
      </c>
      <c r="AO23">
        <f t="shared" si="11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2"/>
        <v>4.5077262693156737</v>
      </c>
      <c r="F24">
        <f t="shared" si="3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0"/>
        <v>1.9804730473047305</v>
      </c>
      <c r="M24">
        <f t="shared" si="1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4"/>
        <v>4.8877630553390494</v>
      </c>
      <c r="T24">
        <f t="shared" si="5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6"/>
        <v>7.4525009693679714</v>
      </c>
      <c r="AA24">
        <f t="shared" si="7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8"/>
        <v>1.9066529138731305</v>
      </c>
      <c r="AH24">
        <f t="shared" si="9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10"/>
        <v>-5.6934731934731933E-2</v>
      </c>
      <c r="AO24">
        <f t="shared" si="11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2"/>
        <v>3.9848619768477289</v>
      </c>
      <c r="F25">
        <f t="shared" si="3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0"/>
        <v>1.9935501962983737</v>
      </c>
      <c r="M25">
        <f t="shared" si="1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4"/>
        <v>2.4672064777327938</v>
      </c>
      <c r="T25">
        <f t="shared" si="5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6"/>
        <v>7.6926369863013697</v>
      </c>
      <c r="AA25">
        <f t="shared" si="7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8"/>
        <v>1.8116019159127195</v>
      </c>
      <c r="AH25">
        <f t="shared" si="9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10"/>
        <v>-0.12352066607195956</v>
      </c>
      <c r="AO25">
        <f t="shared" si="11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2"/>
        <v>3.5705272645335739</v>
      </c>
      <c r="F26">
        <f t="shared" si="3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0"/>
        <v>2.0311250713877782</v>
      </c>
      <c r="M26">
        <f t="shared" si="1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4"/>
        <v>2.4018456375838926</v>
      </c>
      <c r="T26">
        <f t="shared" si="5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6"/>
        <v>7.8732394366197189</v>
      </c>
      <c r="AA26">
        <f t="shared" si="7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8"/>
        <v>1.7261774370208107</v>
      </c>
      <c r="AH26">
        <f t="shared" si="9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10"/>
        <v>-0.18438639125151884</v>
      </c>
      <c r="AO26">
        <f t="shared" si="11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2"/>
        <v>3.2691244239631341</v>
      </c>
      <c r="F27">
        <f t="shared" si="3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0"/>
        <v>2.0783744557329462</v>
      </c>
      <c r="M27">
        <f t="shared" si="1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4"/>
        <v>2.3393939393939394</v>
      </c>
      <c r="T27">
        <f t="shared" si="5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6"/>
        <v>7.9075672930421534</v>
      </c>
      <c r="AA27">
        <f t="shared" si="7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8"/>
        <v>1.6495366470092669</v>
      </c>
      <c r="AH27">
        <f t="shared" si="9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10"/>
        <v>-0.23779357231149567</v>
      </c>
      <c r="AO27">
        <f t="shared" si="11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2"/>
        <v>3.0685061845861088</v>
      </c>
      <c r="F28">
        <f t="shared" si="3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0"/>
        <v>2.1399528579846789</v>
      </c>
      <c r="M28">
        <f t="shared" si="1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4"/>
        <v>2.2825311942958999</v>
      </c>
      <c r="T28">
        <f t="shared" si="5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6"/>
        <v>7.834602829162133</v>
      </c>
      <c r="AA28">
        <f t="shared" si="7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8"/>
        <v>1.5854639471416261</v>
      </c>
      <c r="AH28">
        <f t="shared" si="9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10"/>
        <v>-0.27450047573739295</v>
      </c>
      <c r="AO28">
        <f t="shared" si="11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2"/>
        <v>2.9447486311597815</v>
      </c>
      <c r="F29">
        <f t="shared" si="3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0"/>
        <v>2.2349775784753363</v>
      </c>
      <c r="M29">
        <f t="shared" si="1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4"/>
        <v>2.2389705882352939</v>
      </c>
      <c r="T29">
        <f t="shared" si="5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6"/>
        <v>7.7030162412993048</v>
      </c>
      <c r="AA29">
        <f t="shared" si="7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8"/>
        <v>1.5101262107425888</v>
      </c>
      <c r="AH29">
        <f t="shared" si="9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10"/>
        <v>-0.2986593442093361</v>
      </c>
      <c r="AO29">
        <f t="shared" si="11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2"/>
        <v>2.9013192612137204</v>
      </c>
      <c r="F30">
        <f t="shared" si="3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0"/>
        <v>2.389259708737864</v>
      </c>
      <c r="M30">
        <f t="shared" si="1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4"/>
        <v>2.1903409090909092</v>
      </c>
      <c r="T30">
        <f t="shared" si="5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6"/>
        <v>7.5804455445544559</v>
      </c>
      <c r="AA30">
        <f t="shared" si="7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8"/>
        <v>1.4373501199040768</v>
      </c>
      <c r="AH30">
        <f t="shared" si="9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10"/>
        <v>-0.30564186426819295</v>
      </c>
      <c r="AO30">
        <f t="shared" si="11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2"/>
        <v>2.946499715424018</v>
      </c>
      <c r="F31">
        <f t="shared" si="3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0"/>
        <v>2.6515572001233423</v>
      </c>
      <c r="M31">
        <f t="shared" si="1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4"/>
        <v>2.1339805825242717</v>
      </c>
      <c r="T31">
        <f t="shared" si="5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6"/>
        <v>7.5416389073950683</v>
      </c>
      <c r="AA31">
        <f t="shared" si="7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8"/>
        <v>1.3750765462339252</v>
      </c>
      <c r="AH31">
        <f t="shared" si="9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10"/>
        <v>-0.29102990033222592</v>
      </c>
      <c r="AO31">
        <f t="shared" si="11"/>
        <v>8.9276600000000005E-3</v>
      </c>
      <c r="AP31">
        <v>115.14072766776501</v>
      </c>
      <c r="AQ31">
        <v>382.489218105323</v>
      </c>
    </row>
    <row r="34" spans="1:2" x14ac:dyDescent="0.2">
      <c r="A34" s="318" t="s">
        <v>398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123">
        <f>0.1965*A36-3.429</f>
        <v>1.4835000000000007</v>
      </c>
    </row>
    <row r="37" spans="1:2" x14ac:dyDescent="0.2">
      <c r="A37">
        <v>30</v>
      </c>
      <c r="B37" s="123">
        <f>0.1965*A37-3.429</f>
        <v>2.4660000000000006</v>
      </c>
    </row>
    <row r="38" spans="1:2" x14ac:dyDescent="0.2">
      <c r="A38">
        <v>35</v>
      </c>
      <c r="B38" s="123">
        <f>0.1965*A38-3.429</f>
        <v>3.4485000000000006</v>
      </c>
    </row>
    <row r="39" spans="1:2" x14ac:dyDescent="0.2">
      <c r="A39">
        <v>40</v>
      </c>
      <c r="B39" s="123">
        <f t="shared" ref="B39:B61" si="12">1.222-0.05664*A39+0.001227*A39^2-0.000003136*A39^3</f>
        <v>0.71889599999999998</v>
      </c>
    </row>
    <row r="40" spans="1:2" x14ac:dyDescent="0.2">
      <c r="A40">
        <v>45</v>
      </c>
      <c r="B40" s="123">
        <f t="shared" si="12"/>
        <v>0.87210700000000019</v>
      </c>
    </row>
    <row r="41" spans="1:2" x14ac:dyDescent="0.2">
      <c r="A41">
        <v>50</v>
      </c>
      <c r="B41" s="123">
        <f t="shared" si="12"/>
        <v>1.0654999999999997</v>
      </c>
    </row>
    <row r="42" spans="1:2" x14ac:dyDescent="0.2">
      <c r="A42">
        <v>55</v>
      </c>
      <c r="B42" s="123">
        <f t="shared" si="12"/>
        <v>1.2967229999999998</v>
      </c>
    </row>
    <row r="43" spans="1:2" x14ac:dyDescent="0.2">
      <c r="A43">
        <v>60</v>
      </c>
      <c r="B43" s="123">
        <f t="shared" si="12"/>
        <v>1.5634240000000001</v>
      </c>
    </row>
    <row r="44" spans="1:2" x14ac:dyDescent="0.2">
      <c r="A44">
        <v>65</v>
      </c>
      <c r="B44" s="123">
        <f t="shared" si="12"/>
        <v>1.863251</v>
      </c>
    </row>
    <row r="45" spans="1:2" x14ac:dyDescent="0.2">
      <c r="A45">
        <v>70</v>
      </c>
      <c r="B45" s="123">
        <f t="shared" si="12"/>
        <v>2.1938519999999997</v>
      </c>
    </row>
    <row r="46" spans="1:2" x14ac:dyDescent="0.2">
      <c r="A46">
        <v>75</v>
      </c>
      <c r="B46" s="123">
        <f t="shared" si="12"/>
        <v>2.5528750000000002</v>
      </c>
    </row>
    <row r="47" spans="1:2" x14ac:dyDescent="0.2">
      <c r="A47">
        <v>80</v>
      </c>
      <c r="B47" s="123">
        <f t="shared" si="12"/>
        <v>2.9379679999999997</v>
      </c>
    </row>
    <row r="48" spans="1:2" x14ac:dyDescent="0.2">
      <c r="A48">
        <v>85</v>
      </c>
      <c r="B48" s="123">
        <f t="shared" si="12"/>
        <v>3.3467790000000015</v>
      </c>
    </row>
    <row r="49" spans="1:2" x14ac:dyDescent="0.2">
      <c r="A49">
        <v>90</v>
      </c>
      <c r="B49" s="123">
        <f t="shared" si="12"/>
        <v>3.7769560000000002</v>
      </c>
    </row>
    <row r="50" spans="1:2" x14ac:dyDescent="0.2">
      <c r="A50">
        <v>95</v>
      </c>
      <c r="B50" s="123">
        <f t="shared" si="12"/>
        <v>4.2261469999999983</v>
      </c>
    </row>
    <row r="51" spans="1:2" x14ac:dyDescent="0.2">
      <c r="A51">
        <v>100</v>
      </c>
      <c r="B51" s="123">
        <f t="shared" si="12"/>
        <v>4.6919999999999993</v>
      </c>
    </row>
    <row r="52" spans="1:2" x14ac:dyDescent="0.2">
      <c r="A52">
        <v>105</v>
      </c>
      <c r="B52" s="123">
        <f t="shared" si="12"/>
        <v>5.1721629999999994</v>
      </c>
    </row>
    <row r="53" spans="1:2" x14ac:dyDescent="0.2">
      <c r="A53">
        <v>110</v>
      </c>
      <c r="B53" s="123">
        <f t="shared" si="12"/>
        <v>5.6642840000000003</v>
      </c>
    </row>
    <row r="54" spans="1:2" x14ac:dyDescent="0.2">
      <c r="A54">
        <v>115</v>
      </c>
      <c r="B54" s="123">
        <f t="shared" si="12"/>
        <v>6.1660109999999984</v>
      </c>
    </row>
    <row r="55" spans="1:2" x14ac:dyDescent="0.2">
      <c r="A55">
        <v>120</v>
      </c>
      <c r="B55" s="123">
        <f t="shared" si="12"/>
        <v>6.6749920000000014</v>
      </c>
    </row>
    <row r="56" spans="1:2" x14ac:dyDescent="0.2">
      <c r="A56">
        <v>125</v>
      </c>
      <c r="B56" s="123">
        <f t="shared" si="12"/>
        <v>7.1888749999999995</v>
      </c>
    </row>
    <row r="57" spans="1:2" x14ac:dyDescent="0.2">
      <c r="A57">
        <v>130</v>
      </c>
      <c r="B57" s="123">
        <f t="shared" si="12"/>
        <v>7.7053080000000005</v>
      </c>
    </row>
    <row r="58" spans="1:2" x14ac:dyDescent="0.2">
      <c r="A58">
        <v>135</v>
      </c>
      <c r="B58" s="123">
        <f t="shared" si="12"/>
        <v>8.221938999999999</v>
      </c>
    </row>
    <row r="59" spans="1:2" x14ac:dyDescent="0.2">
      <c r="A59">
        <v>140</v>
      </c>
      <c r="B59" s="123">
        <f t="shared" si="12"/>
        <v>8.7364160000000002</v>
      </c>
    </row>
    <row r="60" spans="1:2" x14ac:dyDescent="0.2">
      <c r="A60">
        <v>145</v>
      </c>
      <c r="B60" s="123">
        <f t="shared" si="12"/>
        <v>9.2463870000000004</v>
      </c>
    </row>
    <row r="61" spans="1:2" x14ac:dyDescent="0.2">
      <c r="A61">
        <v>150</v>
      </c>
      <c r="B61" s="123">
        <f t="shared" si="12"/>
        <v>9.7495000000000012</v>
      </c>
    </row>
  </sheetData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13"/>
  <sheetViews>
    <sheetView zoomScaleNormal="100" workbookViewId="0"/>
  </sheetViews>
  <sheetFormatPr defaultColWidth="8.6640625" defaultRowHeight="12.75" x14ac:dyDescent="0.2"/>
  <cols>
    <col min="1" max="1" width="27.1640625" customWidth="1"/>
  </cols>
  <sheetData>
    <row r="1" spans="1:31" x14ac:dyDescent="0.2">
      <c r="A1" s="318" t="s">
        <v>399</v>
      </c>
    </row>
    <row r="3" spans="1:31" x14ac:dyDescent="0.2">
      <c r="A3" s="339" t="s">
        <v>370</v>
      </c>
      <c r="B3" s="330" t="s">
        <v>94</v>
      </c>
      <c r="C3" s="330"/>
      <c r="D3" s="330"/>
      <c r="E3" s="2"/>
      <c r="F3" s="2"/>
      <c r="G3" s="330" t="s">
        <v>95</v>
      </c>
      <c r="H3" s="330"/>
      <c r="I3" s="330"/>
      <c r="J3" s="2"/>
      <c r="K3" s="2"/>
      <c r="L3" s="330" t="s">
        <v>52</v>
      </c>
      <c r="M3" s="330"/>
      <c r="N3" s="330"/>
      <c r="O3" s="2"/>
      <c r="P3" s="2"/>
      <c r="Q3" s="330" t="s">
        <v>54</v>
      </c>
      <c r="R3" s="330"/>
      <c r="S3" s="330"/>
      <c r="T3" s="2"/>
      <c r="U3" s="2"/>
      <c r="V3" s="330" t="s">
        <v>96</v>
      </c>
      <c r="W3" s="330"/>
      <c r="X3" s="330"/>
      <c r="Y3" s="2"/>
      <c r="Z3" s="2"/>
      <c r="AA3" s="330" t="s">
        <v>58</v>
      </c>
      <c r="AB3" s="330"/>
      <c r="AC3" s="330"/>
    </row>
    <row r="4" spans="1:31" x14ac:dyDescent="0.2">
      <c r="A4" s="339"/>
      <c r="B4" s="165" t="s">
        <v>40</v>
      </c>
      <c r="C4" s="165" t="s">
        <v>41</v>
      </c>
      <c r="D4" s="165" t="s">
        <v>42</v>
      </c>
      <c r="E4" s="129" t="s">
        <v>116</v>
      </c>
      <c r="F4" s="129" t="s">
        <v>117</v>
      </c>
      <c r="G4" s="165" t="s">
        <v>40</v>
      </c>
      <c r="H4" s="165" t="s">
        <v>41</v>
      </c>
      <c r="I4" s="165" t="s">
        <v>42</v>
      </c>
      <c r="J4" s="129" t="s">
        <v>116</v>
      </c>
      <c r="K4" s="129" t="s">
        <v>117</v>
      </c>
      <c r="L4" s="165" t="s">
        <v>40</v>
      </c>
      <c r="M4" s="165" t="s">
        <v>41</v>
      </c>
      <c r="N4" s="165" t="s">
        <v>42</v>
      </c>
      <c r="O4" s="129" t="s">
        <v>116</v>
      </c>
      <c r="P4" s="129" t="s">
        <v>117</v>
      </c>
      <c r="Q4" s="165" t="s">
        <v>40</v>
      </c>
      <c r="R4" s="165" t="s">
        <v>41</v>
      </c>
      <c r="S4" s="165" t="s">
        <v>42</v>
      </c>
      <c r="T4" s="129" t="s">
        <v>116</v>
      </c>
      <c r="U4" s="129" t="s">
        <v>117</v>
      </c>
      <c r="V4" s="165" t="s">
        <v>40</v>
      </c>
      <c r="W4" s="165" t="s">
        <v>41</v>
      </c>
      <c r="X4" s="165" t="s">
        <v>42</v>
      </c>
      <c r="Y4" s="129" t="s">
        <v>116</v>
      </c>
      <c r="Z4" s="129" t="s">
        <v>117</v>
      </c>
      <c r="AA4" s="165" t="s">
        <v>40</v>
      </c>
      <c r="AB4" s="165" t="s">
        <v>41</v>
      </c>
      <c r="AC4" s="165" t="s">
        <v>42</v>
      </c>
      <c r="AD4" s="129" t="s">
        <v>116</v>
      </c>
      <c r="AE4" s="129" t="s">
        <v>117</v>
      </c>
    </row>
    <row r="5" spans="1:31" x14ac:dyDescent="0.2">
      <c r="A5" t="s">
        <v>400</v>
      </c>
      <c r="B5">
        <v>2.3460000000000001</v>
      </c>
      <c r="C5">
        <v>15.9</v>
      </c>
      <c r="D5">
        <v>0.49819999999999998</v>
      </c>
      <c r="E5">
        <f t="shared" ref="E5:E13" si="0">C5/B5</f>
        <v>6.7774936061381075</v>
      </c>
      <c r="F5">
        <f t="shared" ref="F5:F13" si="1">B5*D5</f>
        <v>1.1687772000000001</v>
      </c>
      <c r="G5">
        <v>3.6260000000000001E-2</v>
      </c>
      <c r="H5">
        <v>0.1429</v>
      </c>
      <c r="I5">
        <v>0.49320000000000003</v>
      </c>
      <c r="J5">
        <f t="shared" ref="J5:J13" si="2">H5/G5</f>
        <v>3.9409817981246551</v>
      </c>
      <c r="K5">
        <f t="shared" ref="K5:K13" si="3">G5*I5</f>
        <v>1.7883432000000001E-2</v>
      </c>
      <c r="L5">
        <v>1.4200000000000001E-2</v>
      </c>
      <c r="M5">
        <v>5.781E-2</v>
      </c>
      <c r="N5">
        <v>0.74450000000000005</v>
      </c>
      <c r="O5">
        <f t="shared" ref="O5:O13" si="4">M5/L5</f>
        <v>4.0711267605633799</v>
      </c>
      <c r="P5">
        <f t="shared" ref="P5:P13" si="5">L5*N5</f>
        <v>1.0571900000000002E-2</v>
      </c>
      <c r="Q5">
        <v>0.21629999999999999</v>
      </c>
      <c r="R5">
        <v>3.101</v>
      </c>
      <c r="S5">
        <v>0.57450000000000001</v>
      </c>
      <c r="T5">
        <f t="shared" ref="T5:T13" si="6">R5/Q5</f>
        <v>14.336569579288026</v>
      </c>
      <c r="U5">
        <f t="shared" ref="U5:U13" si="7">Q5*S5</f>
        <v>0.12426435</v>
      </c>
      <c r="V5">
        <v>3.9070000000000001E-2</v>
      </c>
      <c r="W5">
        <v>0.1069</v>
      </c>
      <c r="X5">
        <v>0.59399999999999997</v>
      </c>
      <c r="Y5">
        <f t="shared" ref="Y5:Y13" si="8">W5/V5</f>
        <v>2.7361146659841307</v>
      </c>
      <c r="Z5">
        <f t="shared" ref="Z5:Z13" si="9">V5*X5</f>
        <v>2.3207579999999998E-2</v>
      </c>
      <c r="AA5">
        <v>7.6160000000000004E-3</v>
      </c>
      <c r="AB5">
        <v>7.67E-4</v>
      </c>
      <c r="AC5">
        <v>1.0269999999999999</v>
      </c>
      <c r="AD5">
        <f t="shared" ref="AD5:AD13" si="10">AB5/AA5</f>
        <v>0.10070903361344537</v>
      </c>
      <c r="AE5">
        <f t="shared" ref="AE5:AE13" si="11">AA5*AC5</f>
        <v>7.8216320000000002E-3</v>
      </c>
    </row>
    <row r="6" spans="1:31" x14ac:dyDescent="0.2">
      <c r="A6" t="s">
        <v>401</v>
      </c>
      <c r="B6">
        <v>2.2639999999999998</v>
      </c>
      <c r="C6">
        <v>13.08</v>
      </c>
      <c r="D6">
        <v>0.56000000000000005</v>
      </c>
      <c r="E6">
        <f t="shared" si="0"/>
        <v>5.7773851590106009</v>
      </c>
      <c r="F6">
        <f t="shared" si="1"/>
        <v>1.2678400000000001</v>
      </c>
      <c r="G6">
        <v>3.5520000000000003E-2</v>
      </c>
      <c r="H6">
        <v>0.1177</v>
      </c>
      <c r="I6">
        <v>0.60070000000000001</v>
      </c>
      <c r="J6">
        <f t="shared" si="2"/>
        <v>3.3136261261261257</v>
      </c>
      <c r="K6">
        <f t="shared" si="3"/>
        <v>2.1336864000000001E-2</v>
      </c>
      <c r="L6">
        <v>1.278E-2</v>
      </c>
      <c r="M6">
        <v>4.8480000000000002E-2</v>
      </c>
      <c r="N6">
        <v>0.8609</v>
      </c>
      <c r="O6">
        <f t="shared" si="4"/>
        <v>3.7934272300469485</v>
      </c>
      <c r="P6">
        <f t="shared" si="5"/>
        <v>1.1002302E-2</v>
      </c>
      <c r="Q6">
        <v>0.21790000000000001</v>
      </c>
      <c r="R6">
        <v>2.677</v>
      </c>
      <c r="S6">
        <v>0.72089999999999999</v>
      </c>
      <c r="T6">
        <f t="shared" si="6"/>
        <v>12.285452042221202</v>
      </c>
      <c r="U6">
        <f t="shared" si="7"/>
        <v>0.15708411</v>
      </c>
      <c r="V6">
        <v>3.7620000000000001E-2</v>
      </c>
      <c r="W6">
        <v>9.7509999999999999E-2</v>
      </c>
      <c r="X6">
        <v>0.78669999999999995</v>
      </c>
      <c r="Y6">
        <f t="shared" si="8"/>
        <v>2.5919723551302498</v>
      </c>
      <c r="Z6">
        <f t="shared" si="9"/>
        <v>2.9595653999999999E-2</v>
      </c>
      <c r="AA6">
        <v>7.1419999999999999E-3</v>
      </c>
      <c r="AB6">
        <v>3.0800000000000001E-4</v>
      </c>
      <c r="AC6">
        <v>1.617</v>
      </c>
      <c r="AD6">
        <f t="shared" si="10"/>
        <v>4.3125175021002521E-2</v>
      </c>
      <c r="AE6">
        <f t="shared" si="11"/>
        <v>1.1548614E-2</v>
      </c>
    </row>
    <row r="7" spans="1:31" x14ac:dyDescent="0.2">
      <c r="A7" t="s">
        <v>402</v>
      </c>
      <c r="B7">
        <v>2.6509999999999998</v>
      </c>
      <c r="C7">
        <v>16.559999999999999</v>
      </c>
      <c r="D7">
        <v>0.45850000000000002</v>
      </c>
      <c r="E7">
        <f t="shared" si="0"/>
        <v>6.2466993587325534</v>
      </c>
      <c r="F7">
        <f t="shared" si="1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2"/>
        <v>3.6254381572358536</v>
      </c>
      <c r="K7">
        <f t="shared" si="3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4"/>
        <v>3.6474091721262658</v>
      </c>
      <c r="P7">
        <f t="shared" si="5"/>
        <v>1.2350724E-2</v>
      </c>
      <c r="Q7">
        <v>2535</v>
      </c>
      <c r="R7">
        <v>2.74</v>
      </c>
      <c r="S7">
        <v>0.42970000000000003</v>
      </c>
      <c r="T7">
        <f t="shared" si="6"/>
        <v>1.0808678500986194E-3</v>
      </c>
      <c r="U7">
        <f t="shared" si="7"/>
        <v>1089.2895000000001</v>
      </c>
      <c r="V7">
        <v>4.3610000000000003E-2</v>
      </c>
      <c r="W7">
        <v>0.1082</v>
      </c>
      <c r="X7">
        <v>0.54630000000000001</v>
      </c>
      <c r="Y7">
        <f t="shared" si="8"/>
        <v>2.4810823205686767</v>
      </c>
      <c r="Z7">
        <f t="shared" si="9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0"/>
        <v>0.11118130132659508</v>
      </c>
      <c r="AE7">
        <f t="shared" si="11"/>
        <v>7.7487850000000002E-3</v>
      </c>
    </row>
    <row r="8" spans="1:31" x14ac:dyDescent="0.2">
      <c r="A8" t="s">
        <v>403</v>
      </c>
      <c r="B8">
        <v>2.347</v>
      </c>
      <c r="C8">
        <v>12.67</v>
      </c>
      <c r="D8">
        <v>0.6149</v>
      </c>
      <c r="E8">
        <f t="shared" si="0"/>
        <v>5.3983809118023007</v>
      </c>
      <c r="F8">
        <f t="shared" si="1"/>
        <v>1.4431703</v>
      </c>
      <c r="G8">
        <v>3.6159999999999998E-2</v>
      </c>
      <c r="H8">
        <v>9.7210000000000005E-2</v>
      </c>
      <c r="I8">
        <v>0.51859999999999995</v>
      </c>
      <c r="J8">
        <f t="shared" si="2"/>
        <v>2.6883296460176993</v>
      </c>
      <c r="K8">
        <f t="shared" si="3"/>
        <v>1.8752575999999996E-2</v>
      </c>
      <c r="L8">
        <v>1.34E-2</v>
      </c>
      <c r="M8">
        <v>4.283E-2</v>
      </c>
      <c r="N8">
        <v>0.87960000000000005</v>
      </c>
      <c r="O8">
        <f t="shared" si="4"/>
        <v>3.196268656716418</v>
      </c>
      <c r="P8">
        <f t="shared" si="5"/>
        <v>1.1786640000000001E-2</v>
      </c>
      <c r="Q8">
        <v>0.23230000000000001</v>
      </c>
      <c r="R8">
        <v>2.19</v>
      </c>
      <c r="S8">
        <v>0.65090000000000003</v>
      </c>
      <c r="T8">
        <f t="shared" si="6"/>
        <v>9.4274644855789926</v>
      </c>
      <c r="U8">
        <f t="shared" si="7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8"/>
        <v>2.2014867982568571</v>
      </c>
      <c r="Z8">
        <f t="shared" si="9"/>
        <v>3.1523981000000006E-2</v>
      </c>
      <c r="AA8">
        <v>7.0889999999999998E-3</v>
      </c>
      <c r="AB8">
        <v>4.7399999999999997E-4</v>
      </c>
      <c r="AC8">
        <v>1.58</v>
      </c>
      <c r="AD8">
        <f t="shared" si="10"/>
        <v>6.6864155734236139E-2</v>
      </c>
      <c r="AE8">
        <f t="shared" si="11"/>
        <v>1.120062E-2</v>
      </c>
    </row>
    <row r="9" spans="1:31" x14ac:dyDescent="0.2">
      <c r="A9" t="s">
        <v>347</v>
      </c>
      <c r="B9">
        <v>2.2949999999999999</v>
      </c>
      <c r="C9">
        <v>13</v>
      </c>
      <c r="D9">
        <v>0.55730000000000002</v>
      </c>
      <c r="E9">
        <f t="shared" si="0"/>
        <v>5.6644880174291945</v>
      </c>
      <c r="F9">
        <f t="shared" si="1"/>
        <v>1.2790035</v>
      </c>
      <c r="G9">
        <v>3.5490000000000001E-2</v>
      </c>
      <c r="H9">
        <v>0.1164</v>
      </c>
      <c r="I9">
        <v>0.57740000000000002</v>
      </c>
      <c r="J9">
        <f t="shared" si="2"/>
        <v>3.2797971259509722</v>
      </c>
      <c r="K9">
        <f t="shared" si="3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4"/>
        <v>3.6753846153846159</v>
      </c>
      <c r="P9">
        <f t="shared" si="5"/>
        <v>1.10305E-2</v>
      </c>
      <c r="Q9">
        <v>0.21260000000000001</v>
      </c>
      <c r="R9">
        <v>2.5680000000000001</v>
      </c>
      <c r="S9">
        <v>0.67879999999999996</v>
      </c>
      <c r="T9">
        <f t="shared" si="6"/>
        <v>12.079021636876764</v>
      </c>
      <c r="U9">
        <f t="shared" si="7"/>
        <v>0.14431288</v>
      </c>
      <c r="V9">
        <v>3.7780000000000001E-2</v>
      </c>
      <c r="W9">
        <v>9.3649999999999997E-2</v>
      </c>
      <c r="X9">
        <v>0.74829999999999997</v>
      </c>
      <c r="Y9">
        <f t="shared" si="8"/>
        <v>2.4788247750132344</v>
      </c>
      <c r="Z9">
        <f t="shared" si="9"/>
        <v>2.8270773999999999E-2</v>
      </c>
      <c r="AA9">
        <v>7.162E-3</v>
      </c>
      <c r="AB9">
        <v>4.1100000000000002E-4</v>
      </c>
      <c r="AC9">
        <v>1.5409999999999999</v>
      </c>
      <c r="AD9">
        <f t="shared" si="10"/>
        <v>5.7386204970678582E-2</v>
      </c>
      <c r="AE9">
        <f t="shared" si="11"/>
        <v>1.1036641999999999E-2</v>
      </c>
    </row>
    <row r="10" spans="1:31" x14ac:dyDescent="0.2">
      <c r="A10" t="s">
        <v>404</v>
      </c>
      <c r="B10">
        <v>2.2829999999999999</v>
      </c>
      <c r="C10">
        <v>10.74</v>
      </c>
      <c r="D10">
        <v>0.63700000000000001</v>
      </c>
      <c r="E10">
        <f t="shared" si="0"/>
        <v>4.7043363994743759</v>
      </c>
      <c r="F10">
        <f t="shared" si="1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2"/>
        <v>2.1441192711209278</v>
      </c>
      <c r="K10">
        <f t="shared" si="3"/>
        <v>1.9573288000000001E-2</v>
      </c>
      <c r="L10">
        <v>1.286E-2</v>
      </c>
      <c r="M10">
        <v>3.5049999999999998E-2</v>
      </c>
      <c r="N10">
        <v>0.93559999999999999</v>
      </c>
      <c r="O10">
        <f t="shared" si="4"/>
        <v>2.7255054432348365</v>
      </c>
      <c r="P10">
        <f t="shared" si="5"/>
        <v>1.2031815999999999E-2</v>
      </c>
      <c r="Q10">
        <v>0.25</v>
      </c>
      <c r="R10">
        <v>1.9890000000000001</v>
      </c>
      <c r="S10">
        <v>0.77210000000000001</v>
      </c>
      <c r="T10">
        <f t="shared" si="6"/>
        <v>7.9560000000000004</v>
      </c>
      <c r="U10">
        <f t="shared" si="7"/>
        <v>0.193025</v>
      </c>
      <c r="V10">
        <v>3.866E-2</v>
      </c>
      <c r="W10">
        <v>7.7210000000000001E-2</v>
      </c>
      <c r="X10">
        <v>0.98429999999999995</v>
      </c>
      <c r="Y10">
        <f t="shared" si="8"/>
        <v>1.997154681841697</v>
      </c>
      <c r="Z10">
        <f t="shared" si="9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0"/>
        <v>-0.12810457516339868</v>
      </c>
      <c r="AE10">
        <f t="shared" si="11"/>
        <v>6.1834949999999998E-4</v>
      </c>
    </row>
    <row r="11" spans="1:31" x14ac:dyDescent="0.2">
      <c r="A11" t="s">
        <v>405</v>
      </c>
      <c r="B11">
        <v>30.6</v>
      </c>
      <c r="C11">
        <v>177.6</v>
      </c>
      <c r="D11">
        <v>0.33079999999999998</v>
      </c>
      <c r="E11">
        <f t="shared" si="0"/>
        <v>5.8039215686274508</v>
      </c>
      <c r="F11">
        <f t="shared" si="1"/>
        <v>10.122479999999999</v>
      </c>
      <c r="G11">
        <v>0.25769999999999998</v>
      </c>
      <c r="H11">
        <v>1.7649999999999999</v>
      </c>
      <c r="I11">
        <v>0.3644</v>
      </c>
      <c r="J11">
        <f t="shared" si="2"/>
        <v>6.8490492821109816</v>
      </c>
      <c r="K11">
        <f t="shared" si="3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4"/>
        <v>7.7503279405334489</v>
      </c>
      <c r="P11">
        <f t="shared" si="5"/>
        <v>3.1642931999999999E-2</v>
      </c>
      <c r="Q11">
        <v>5.9980000000000002</v>
      </c>
      <c r="R11">
        <v>42.91</v>
      </c>
      <c r="S11">
        <v>0.39269999999999999</v>
      </c>
      <c r="T11">
        <f t="shared" si="6"/>
        <v>7.1540513504501488</v>
      </c>
      <c r="U11">
        <f t="shared" si="7"/>
        <v>2.3554146</v>
      </c>
      <c r="V11">
        <v>0.2467</v>
      </c>
      <c r="W11">
        <v>1.6539999999999999</v>
      </c>
      <c r="X11">
        <v>0.36940000000000001</v>
      </c>
      <c r="Y11">
        <f t="shared" si="8"/>
        <v>6.704499391974057</v>
      </c>
      <c r="Z11">
        <f t="shared" si="9"/>
        <v>9.113098E-2</v>
      </c>
      <c r="AA11">
        <v>1.9140000000000001E-2</v>
      </c>
      <c r="AB11">
        <v>4.1660000000000003E-2</v>
      </c>
      <c r="AC11">
        <v>0.2858</v>
      </c>
      <c r="AD11">
        <f t="shared" si="10"/>
        <v>2.1765935214211076</v>
      </c>
      <c r="AE11">
        <f t="shared" si="11"/>
        <v>5.4702120000000003E-3</v>
      </c>
    </row>
    <row r="12" spans="1:31" x14ac:dyDescent="0.2">
      <c r="A12" t="s">
        <v>406</v>
      </c>
      <c r="B12">
        <v>2.3889999999999998</v>
      </c>
      <c r="C12">
        <v>14.26</v>
      </c>
      <c r="D12">
        <v>0.5948</v>
      </c>
      <c r="E12">
        <f t="shared" si="0"/>
        <v>5.9690246965257439</v>
      </c>
      <c r="F12">
        <f t="shared" si="1"/>
        <v>1.4209771999999998</v>
      </c>
      <c r="G12">
        <v>3.7170000000000002E-2</v>
      </c>
      <c r="H12">
        <v>0.1087</v>
      </c>
      <c r="I12">
        <v>0.4879</v>
      </c>
      <c r="J12">
        <f t="shared" si="2"/>
        <v>2.92440139897767</v>
      </c>
      <c r="K12">
        <f t="shared" si="3"/>
        <v>1.8135243000000002E-2</v>
      </c>
      <c r="L12">
        <v>1.409E-2</v>
      </c>
      <c r="M12">
        <v>4.8140000000000002E-2</v>
      </c>
      <c r="N12">
        <v>0.84189999999999998</v>
      </c>
      <c r="O12">
        <f t="shared" si="4"/>
        <v>3.4166075230660042</v>
      </c>
      <c r="P12">
        <f t="shared" si="5"/>
        <v>1.1862371E-2</v>
      </c>
      <c r="Q12">
        <v>0.25330000000000003</v>
      </c>
      <c r="R12">
        <v>2.4609999999999999</v>
      </c>
      <c r="S12">
        <v>0.62429999999999997</v>
      </c>
      <c r="T12">
        <f t="shared" si="6"/>
        <v>9.7157520726411359</v>
      </c>
      <c r="U12">
        <f t="shared" si="7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8"/>
        <v>2.3557763975155281</v>
      </c>
      <c r="Z12">
        <f t="shared" si="9"/>
        <v>3.0280075E-2</v>
      </c>
      <c r="AA12">
        <v>7.3029999999999996E-3</v>
      </c>
      <c r="AB12">
        <v>7.2199999999999999E-4</v>
      </c>
      <c r="AC12">
        <v>1.204</v>
      </c>
      <c r="AD12">
        <f t="shared" si="10"/>
        <v>9.886348076133096E-2</v>
      </c>
      <c r="AE12">
        <f t="shared" si="11"/>
        <v>8.7928119999999988E-3</v>
      </c>
    </row>
    <row r="13" spans="1:31" x14ac:dyDescent="0.2">
      <c r="A13" t="s">
        <v>185</v>
      </c>
      <c r="B13">
        <v>2.7280000000000002</v>
      </c>
      <c r="C13">
        <v>18.52</v>
      </c>
      <c r="D13">
        <v>0.46139999999999998</v>
      </c>
      <c r="E13">
        <f t="shared" si="0"/>
        <v>6.7888563049853365</v>
      </c>
      <c r="F13">
        <f t="shared" si="1"/>
        <v>1.2586992000000001</v>
      </c>
      <c r="G13">
        <v>4.292E-2</v>
      </c>
      <c r="H13">
        <v>0.15379999999999999</v>
      </c>
      <c r="I13">
        <v>0.42359999999999998</v>
      </c>
      <c r="J13">
        <f t="shared" si="2"/>
        <v>3.5834109972041004</v>
      </c>
      <c r="K13">
        <f t="shared" si="3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4"/>
        <v>3.6352874859075541</v>
      </c>
      <c r="P13">
        <f t="shared" si="5"/>
        <v>1.2698291999999998E-2</v>
      </c>
      <c r="Q13">
        <v>0.36699999999999999</v>
      </c>
      <c r="R13">
        <v>3.26</v>
      </c>
      <c r="S13">
        <v>0.50360000000000005</v>
      </c>
      <c r="T13">
        <f t="shared" si="6"/>
        <v>8.8828337874659393</v>
      </c>
      <c r="U13">
        <f t="shared" si="7"/>
        <v>0.18482120000000002</v>
      </c>
      <c r="V13">
        <v>4.6420000000000003E-2</v>
      </c>
      <c r="W13">
        <v>0.1203</v>
      </c>
      <c r="X13">
        <v>0.57630000000000003</v>
      </c>
      <c r="Y13">
        <f t="shared" si="8"/>
        <v>2.5915553640672124</v>
      </c>
      <c r="Z13">
        <f t="shared" si="9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0"/>
        <v>0.10415895347402196</v>
      </c>
      <c r="AE13">
        <f t="shared" si="11"/>
        <v>7.9036662000000011E-3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1"/>
  <sheetViews>
    <sheetView zoomScaleNormal="100" workbookViewId="0">
      <selection activeCell="E5" sqref="E5"/>
    </sheetView>
  </sheetViews>
  <sheetFormatPr defaultColWidth="8.6640625" defaultRowHeight="12.75" x14ac:dyDescent="0.2"/>
  <cols>
    <col min="1" max="1" width="27.33203125" customWidth="1"/>
  </cols>
  <sheetData>
    <row r="1" spans="1:31" x14ac:dyDescent="0.2">
      <c r="A1" s="318" t="s">
        <v>407</v>
      </c>
    </row>
    <row r="3" spans="1:31" x14ac:dyDescent="0.2">
      <c r="A3" s="339" t="s">
        <v>370</v>
      </c>
      <c r="B3" s="330" t="s">
        <v>94</v>
      </c>
      <c r="C3" s="330"/>
      <c r="D3" s="330"/>
      <c r="E3" s="2"/>
      <c r="F3" s="2"/>
      <c r="G3" s="330" t="s">
        <v>95</v>
      </c>
      <c r="H3" s="330"/>
      <c r="I3" s="330"/>
      <c r="J3" s="2"/>
      <c r="K3" s="2"/>
      <c r="L3" s="330" t="s">
        <v>52</v>
      </c>
      <c r="M3" s="330"/>
      <c r="N3" s="330"/>
      <c r="O3" s="2"/>
      <c r="P3" s="2"/>
      <c r="Q3" s="330" t="s">
        <v>54</v>
      </c>
      <c r="R3" s="330"/>
      <c r="S3" s="330"/>
      <c r="T3" s="2"/>
      <c r="U3" s="2"/>
      <c r="V3" s="330" t="s">
        <v>96</v>
      </c>
      <c r="W3" s="330"/>
      <c r="X3" s="330"/>
      <c r="Y3" s="2"/>
      <c r="Z3" s="2"/>
      <c r="AA3" s="330" t="s">
        <v>58</v>
      </c>
      <c r="AB3" s="330"/>
      <c r="AC3" s="330"/>
    </row>
    <row r="4" spans="1:31" x14ac:dyDescent="0.2">
      <c r="A4" s="339"/>
      <c r="B4" s="165" t="s">
        <v>40</v>
      </c>
      <c r="C4" s="165" t="s">
        <v>41</v>
      </c>
      <c r="D4" s="165" t="s">
        <v>42</v>
      </c>
      <c r="E4" s="129" t="s">
        <v>116</v>
      </c>
      <c r="F4" s="129" t="s">
        <v>117</v>
      </c>
      <c r="G4" s="165" t="s">
        <v>40</v>
      </c>
      <c r="H4" s="165" t="s">
        <v>41</v>
      </c>
      <c r="I4" s="165" t="s">
        <v>42</v>
      </c>
      <c r="J4" s="129" t="s">
        <v>116</v>
      </c>
      <c r="K4" s="129" t="s">
        <v>117</v>
      </c>
      <c r="L4" s="165" t="s">
        <v>40</v>
      </c>
      <c r="M4" s="165" t="s">
        <v>41</v>
      </c>
      <c r="N4" s="165" t="s">
        <v>42</v>
      </c>
      <c r="O4" s="129" t="s">
        <v>116</v>
      </c>
      <c r="P4" s="129" t="s">
        <v>117</v>
      </c>
      <c r="Q4" s="165" t="s">
        <v>40</v>
      </c>
      <c r="R4" s="165" t="s">
        <v>41</v>
      </c>
      <c r="S4" s="165" t="s">
        <v>42</v>
      </c>
      <c r="T4" s="129" t="s">
        <v>116</v>
      </c>
      <c r="U4" s="129" t="s">
        <v>117</v>
      </c>
      <c r="V4" s="165" t="s">
        <v>40</v>
      </c>
      <c r="W4" s="165" t="s">
        <v>41</v>
      </c>
      <c r="X4" s="165" t="s">
        <v>42</v>
      </c>
      <c r="Y4" s="129" t="s">
        <v>116</v>
      </c>
      <c r="Z4" s="129" t="s">
        <v>117</v>
      </c>
      <c r="AA4" s="165" t="s">
        <v>40</v>
      </c>
      <c r="AB4" s="165" t="s">
        <v>41</v>
      </c>
      <c r="AC4" s="165" t="s">
        <v>42</v>
      </c>
      <c r="AD4" s="129" t="s">
        <v>116</v>
      </c>
      <c r="AE4" s="129" t="s">
        <v>117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 t="shared" ref="E5:E19" si="0">C5/B5</f>
        <v>4.6403712296983759</v>
      </c>
      <c r="F5">
        <f t="shared" ref="F5:F19" si="1">B5*D5</f>
        <v>13.809239999999999</v>
      </c>
      <c r="G5">
        <v>0.31740000000000002</v>
      </c>
      <c r="H5">
        <v>1.724</v>
      </c>
      <c r="I5">
        <v>0.3705</v>
      </c>
      <c r="J5">
        <f t="shared" ref="J5:J19" si="2">H5/G5</f>
        <v>5.4316320100819153</v>
      </c>
      <c r="K5">
        <f t="shared" ref="K5:K19" si="3">G5*I5</f>
        <v>0.1175967</v>
      </c>
      <c r="L5">
        <v>0.1198</v>
      </c>
      <c r="M5">
        <v>0.7137</v>
      </c>
      <c r="N5">
        <v>0.37030000000000002</v>
      </c>
      <c r="O5">
        <f t="shared" ref="O5:O19" si="4">M5/L5</f>
        <v>5.9574290484140233</v>
      </c>
      <c r="P5">
        <f t="shared" ref="P5:P19" si="5">L5*N5</f>
        <v>4.4361940000000002E-2</v>
      </c>
      <c r="Q5">
        <v>7.4080000000000004</v>
      </c>
      <c r="R5">
        <v>42.49</v>
      </c>
      <c r="S5">
        <v>0.40610000000000002</v>
      </c>
      <c r="T5">
        <f t="shared" ref="T5:T19" si="6">R5/Q5</f>
        <v>5.7356911447084231</v>
      </c>
      <c r="U5">
        <f t="shared" ref="U5:U19" si="7">Q5*S5</f>
        <v>3.0083888000000001</v>
      </c>
      <c r="V5">
        <v>0.30599999999999999</v>
      </c>
      <c r="W5">
        <v>1.62</v>
      </c>
      <c r="X5">
        <v>0.37930000000000003</v>
      </c>
      <c r="Y5">
        <f t="shared" ref="Y5:Y19" si="8">W5/V5</f>
        <v>5.2941176470588243</v>
      </c>
      <c r="Z5">
        <f t="shared" ref="Z5:Z19" si="9"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 t="shared" ref="AD5:AD19" si="10">AB5/AA5</f>
        <v>1.8401297497683042</v>
      </c>
      <c r="AE5">
        <f t="shared" ref="AE5:AE19" si="11"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si="0"/>
        <v>3.0996477672991705</v>
      </c>
      <c r="F6">
        <f t="shared" si="1"/>
        <v>2.6024557000000001</v>
      </c>
      <c r="G6">
        <v>9.0300000000000005E-2</v>
      </c>
      <c r="H6">
        <v>0.17119999999999999</v>
      </c>
      <c r="I6">
        <v>0.2324</v>
      </c>
      <c r="J6">
        <f t="shared" si="2"/>
        <v>1.8959025470653375</v>
      </c>
      <c r="K6">
        <f t="shared" si="3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si="4"/>
        <v>2.25</v>
      </c>
      <c r="P6">
        <f t="shared" si="5"/>
        <v>1.9807399999999999E-2</v>
      </c>
      <c r="Q6">
        <v>1.8169999999999999</v>
      </c>
      <c r="R6">
        <v>4.84</v>
      </c>
      <c r="S6">
        <v>0.40210000000000001</v>
      </c>
      <c r="T6">
        <f t="shared" si="6"/>
        <v>2.6637314254265272</v>
      </c>
      <c r="U6">
        <f t="shared" si="7"/>
        <v>0.73061569999999998</v>
      </c>
      <c r="V6">
        <v>9.7210000000000005E-2</v>
      </c>
      <c r="W6">
        <v>0.1799</v>
      </c>
      <c r="X6">
        <v>0.49120000000000003</v>
      </c>
      <c r="Y6">
        <f t="shared" si="8"/>
        <v>1.8506326509618352</v>
      </c>
      <c r="Z6">
        <f t="shared" si="9"/>
        <v>4.7749552000000008E-2</v>
      </c>
      <c r="AA6">
        <v>1.076E-2</v>
      </c>
      <c r="AB6">
        <v>1.8619999999999999E-3</v>
      </c>
      <c r="AC6">
        <v>1.17</v>
      </c>
      <c r="AD6">
        <f t="shared" si="10"/>
        <v>0.17304832713754645</v>
      </c>
      <c r="AE6">
        <f t="shared" si="11"/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0"/>
        <v>4.3751164090147139</v>
      </c>
      <c r="F7">
        <f t="shared" si="1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2"/>
        <v>3.3339882121807465</v>
      </c>
      <c r="K7">
        <f t="shared" si="3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0"/>
        <v>6.1148783406461904</v>
      </c>
      <c r="F8">
        <f t="shared" si="1"/>
        <v>2.2873868000000002</v>
      </c>
      <c r="G8">
        <v>3.95E-2</v>
      </c>
      <c r="H8">
        <v>8.4400000000000003E-2</v>
      </c>
      <c r="I8">
        <v>0.51910000000000001</v>
      </c>
      <c r="J8">
        <f t="shared" si="2"/>
        <v>2.1367088607594935</v>
      </c>
      <c r="K8">
        <f t="shared" si="3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0"/>
        <v>3.5324675324675323</v>
      </c>
      <c r="F9">
        <f t="shared" si="1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2"/>
        <v>1.8803418803418805</v>
      </c>
      <c r="K9">
        <f t="shared" si="3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0"/>
        <v>3.0586264656616415</v>
      </c>
      <c r="F10">
        <f t="shared" si="1"/>
        <v>1.0169298</v>
      </c>
      <c r="G10">
        <v>3.2399999999999998E-2</v>
      </c>
      <c r="H10">
        <v>7.7499999999999999E-2</v>
      </c>
      <c r="I10">
        <v>1.5660000000000001</v>
      </c>
      <c r="J10">
        <f t="shared" si="2"/>
        <v>2.3919753086419755</v>
      </c>
      <c r="K10">
        <f t="shared" si="3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400</v>
      </c>
      <c r="B11">
        <v>2.298</v>
      </c>
      <c r="C11">
        <v>17.38</v>
      </c>
      <c r="D11">
        <v>0.61929999999999996</v>
      </c>
      <c r="E11">
        <f t="shared" si="0"/>
        <v>7.5630983463881627</v>
      </c>
      <c r="F11">
        <f t="shared" si="1"/>
        <v>1.4231513999999998</v>
      </c>
      <c r="G11">
        <v>3.61E-2</v>
      </c>
      <c r="H11">
        <v>0.14330000000000001</v>
      </c>
      <c r="I11">
        <v>0.56000000000000005</v>
      </c>
      <c r="J11">
        <f t="shared" si="2"/>
        <v>3.9695290858725762</v>
      </c>
      <c r="K11">
        <f t="shared" si="3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401</v>
      </c>
      <c r="B12">
        <v>2.2559999999999998</v>
      </c>
      <c r="C12">
        <v>13.8</v>
      </c>
      <c r="D12">
        <v>0.88370000000000004</v>
      </c>
      <c r="E12">
        <f t="shared" si="0"/>
        <v>6.1170212765957457</v>
      </c>
      <c r="F12">
        <f t="shared" si="1"/>
        <v>1.9936271999999999</v>
      </c>
      <c r="G12">
        <v>3.56E-2</v>
      </c>
      <c r="H12">
        <v>0.1079</v>
      </c>
      <c r="I12">
        <v>0.77049999999999996</v>
      </c>
      <c r="J12">
        <f t="shared" si="2"/>
        <v>3.0308988764044944</v>
      </c>
      <c r="K12">
        <f t="shared" si="3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402</v>
      </c>
      <c r="B13">
        <v>2.5129999999999999</v>
      </c>
      <c r="C13">
        <v>17.34</v>
      </c>
      <c r="D13">
        <v>0.49940000000000001</v>
      </c>
      <c r="E13">
        <f t="shared" si="0"/>
        <v>6.9001193792280144</v>
      </c>
      <c r="F13">
        <f t="shared" si="1"/>
        <v>1.2549922</v>
      </c>
      <c r="G13">
        <v>3.9199999999999999E-2</v>
      </c>
      <c r="H13">
        <v>0.1464</v>
      </c>
      <c r="I13">
        <v>0.4486</v>
      </c>
      <c r="J13">
        <f t="shared" si="2"/>
        <v>3.7346938775510208</v>
      </c>
      <c r="K13">
        <f t="shared" si="3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403</v>
      </c>
      <c r="B14">
        <v>2.3220000000000001</v>
      </c>
      <c r="C14">
        <v>12.91</v>
      </c>
      <c r="D14">
        <v>0.75749999999999995</v>
      </c>
      <c r="E14">
        <f t="shared" si="0"/>
        <v>5.5598621877691645</v>
      </c>
      <c r="F14">
        <f t="shared" si="1"/>
        <v>1.758915</v>
      </c>
      <c r="G14">
        <v>3.6299999999999999E-2</v>
      </c>
      <c r="H14">
        <v>9.3600000000000003E-2</v>
      </c>
      <c r="I14">
        <v>0.59550000000000003</v>
      </c>
      <c r="J14">
        <f t="shared" si="2"/>
        <v>2.5785123966942152</v>
      </c>
      <c r="K14">
        <f t="shared" si="3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347</v>
      </c>
      <c r="B15">
        <v>2.2719999999999998</v>
      </c>
      <c r="C15">
        <v>13.6</v>
      </c>
      <c r="D15">
        <v>0.71840000000000004</v>
      </c>
      <c r="E15">
        <f t="shared" si="0"/>
        <v>5.9859154929577469</v>
      </c>
      <c r="F15">
        <f t="shared" si="1"/>
        <v>1.6322048</v>
      </c>
      <c r="G15">
        <v>3.56E-2</v>
      </c>
      <c r="H15">
        <v>0.1114</v>
      </c>
      <c r="I15">
        <v>0.66200000000000003</v>
      </c>
      <c r="J15">
        <f t="shared" si="2"/>
        <v>3.1292134831460676</v>
      </c>
      <c r="K15">
        <f t="shared" si="3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404</v>
      </c>
      <c r="B16">
        <v>2.2879999999999998</v>
      </c>
      <c r="C16">
        <v>9.8480000000000008</v>
      </c>
      <c r="D16">
        <v>1.054</v>
      </c>
      <c r="E16">
        <f t="shared" si="0"/>
        <v>4.3041958041958051</v>
      </c>
      <c r="F16">
        <f t="shared" si="1"/>
        <v>2.4115519999999999</v>
      </c>
      <c r="G16">
        <v>3.6400000000000002E-2</v>
      </c>
      <c r="H16">
        <v>6.59E-2</v>
      </c>
      <c r="I16">
        <v>0.75429999999999997</v>
      </c>
      <c r="J16">
        <f t="shared" si="2"/>
        <v>1.8104395604395604</v>
      </c>
      <c r="K16">
        <f t="shared" si="3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405</v>
      </c>
      <c r="B17">
        <v>29.91</v>
      </c>
      <c r="C17">
        <v>184.4</v>
      </c>
      <c r="D17">
        <v>0.35499999999999998</v>
      </c>
      <c r="E17">
        <f t="shared" si="0"/>
        <v>6.1651621531260448</v>
      </c>
      <c r="F17">
        <f t="shared" si="1"/>
        <v>10.61805</v>
      </c>
      <c r="G17">
        <v>0.25390000000000001</v>
      </c>
      <c r="H17">
        <v>1.8411</v>
      </c>
      <c r="I17">
        <v>0.39240000000000003</v>
      </c>
      <c r="J17">
        <f t="shared" si="2"/>
        <v>7.2512800315084673</v>
      </c>
      <c r="K17">
        <f t="shared" si="3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406</v>
      </c>
      <c r="B18">
        <v>2.3540000000000001</v>
      </c>
      <c r="C18">
        <v>14.94</v>
      </c>
      <c r="D18">
        <v>0.74809999999999999</v>
      </c>
      <c r="E18">
        <f t="shared" si="0"/>
        <v>6.346644010195412</v>
      </c>
      <c r="F18">
        <f t="shared" si="1"/>
        <v>1.7610274000000001</v>
      </c>
      <c r="G18">
        <v>3.7100000000000001E-2</v>
      </c>
      <c r="H18">
        <v>0.1067</v>
      </c>
      <c r="I18">
        <v>0.57330000000000003</v>
      </c>
      <c r="J18">
        <f t="shared" si="2"/>
        <v>2.8760107816711589</v>
      </c>
      <c r="K18">
        <f t="shared" si="3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185</v>
      </c>
      <c r="B19">
        <v>2.661</v>
      </c>
      <c r="C19">
        <v>19.54</v>
      </c>
      <c r="D19">
        <v>0.50939999999999996</v>
      </c>
      <c r="E19">
        <f t="shared" si="0"/>
        <v>7.3431040962044341</v>
      </c>
      <c r="F19">
        <f t="shared" si="1"/>
        <v>1.3555134</v>
      </c>
      <c r="G19">
        <v>4.2189999999999998E-2</v>
      </c>
      <c r="H19">
        <v>0.15590000000000001</v>
      </c>
      <c r="I19">
        <v>0.44719999999999999</v>
      </c>
      <c r="J19">
        <f t="shared" si="2"/>
        <v>3.6951884332780285</v>
      </c>
      <c r="K19">
        <f t="shared" si="3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39"/>
  <sheetViews>
    <sheetView zoomScale="75" zoomScaleNormal="75" workbookViewId="0">
      <selection activeCell="B2" sqref="B2"/>
    </sheetView>
  </sheetViews>
  <sheetFormatPr defaultColWidth="8.6640625" defaultRowHeight="12.75" x14ac:dyDescent="0.2"/>
  <sheetData>
    <row r="1" spans="1:31" x14ac:dyDescent="0.2">
      <c r="A1" s="318" t="s">
        <v>408</v>
      </c>
    </row>
    <row r="2" spans="1:31" x14ac:dyDescent="0.2">
      <c r="A2" s="324" t="s">
        <v>409</v>
      </c>
      <c r="B2" s="330" t="s">
        <v>94</v>
      </c>
      <c r="C2" s="330"/>
      <c r="D2" s="330"/>
      <c r="E2" s="2"/>
      <c r="F2" s="2"/>
      <c r="G2" s="330" t="s">
        <v>95</v>
      </c>
      <c r="H2" s="330"/>
      <c r="I2" s="330"/>
      <c r="J2" s="2"/>
      <c r="K2" s="2"/>
      <c r="L2" s="330" t="s">
        <v>52</v>
      </c>
      <c r="M2" s="330"/>
      <c r="N2" s="330"/>
      <c r="O2" s="2"/>
      <c r="P2" s="2"/>
      <c r="Q2" s="330" t="s">
        <v>54</v>
      </c>
      <c r="R2" s="330"/>
      <c r="S2" s="330"/>
      <c r="T2" s="2"/>
      <c r="U2" s="2"/>
      <c r="V2" s="330" t="s">
        <v>96</v>
      </c>
      <c r="W2" s="330"/>
      <c r="X2" s="330"/>
      <c r="Y2" s="2"/>
      <c r="Z2" s="2"/>
      <c r="AA2" s="330" t="s">
        <v>58</v>
      </c>
      <c r="AB2" s="330"/>
      <c r="AC2" s="330"/>
    </row>
    <row r="3" spans="1:31" x14ac:dyDescent="0.2">
      <c r="A3" t="s">
        <v>37</v>
      </c>
      <c r="B3" s="165" t="s">
        <v>40</v>
      </c>
      <c r="C3" s="165" t="s">
        <v>41</v>
      </c>
      <c r="D3" s="165" t="s">
        <v>42</v>
      </c>
      <c r="E3" s="129" t="s">
        <v>116</v>
      </c>
      <c r="F3" s="129" t="s">
        <v>117</v>
      </c>
      <c r="G3" s="165" t="s">
        <v>40</v>
      </c>
      <c r="H3" s="165" t="s">
        <v>41</v>
      </c>
      <c r="I3" s="165" t="s">
        <v>42</v>
      </c>
      <c r="J3" s="129" t="s">
        <v>116</v>
      </c>
      <c r="K3" s="129" t="s">
        <v>117</v>
      </c>
      <c r="L3" s="165" t="s">
        <v>40</v>
      </c>
      <c r="M3" s="165" t="s">
        <v>41</v>
      </c>
      <c r="N3" s="165" t="s">
        <v>42</v>
      </c>
      <c r="O3" s="129" t="s">
        <v>116</v>
      </c>
      <c r="P3" s="129" t="s">
        <v>117</v>
      </c>
      <c r="Q3" s="165" t="s">
        <v>40</v>
      </c>
      <c r="R3" s="165" t="s">
        <v>41</v>
      </c>
      <c r="S3" s="165" t="s">
        <v>42</v>
      </c>
      <c r="T3" s="129" t="s">
        <v>116</v>
      </c>
      <c r="U3" s="129" t="s">
        <v>117</v>
      </c>
      <c r="V3" s="165" t="s">
        <v>40</v>
      </c>
      <c r="W3" s="165" t="s">
        <v>41</v>
      </c>
      <c r="X3" s="165" t="s">
        <v>42</v>
      </c>
      <c r="Y3" s="129" t="s">
        <v>116</v>
      </c>
      <c r="Z3" s="129" t="s">
        <v>117</v>
      </c>
      <c r="AA3" s="165" t="s">
        <v>40</v>
      </c>
      <c r="AB3" s="165" t="s">
        <v>41</v>
      </c>
      <c r="AC3" s="165" t="s">
        <v>42</v>
      </c>
      <c r="AD3" s="129" t="s">
        <v>116</v>
      </c>
      <c r="AE3" s="129" t="s">
        <v>117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>H4/G4</f>
        <v>1.2887126865671641</v>
      </c>
      <c r="K4">
        <f>G4*I4</f>
        <v>0.18691392000000001</v>
      </c>
      <c r="L4">
        <v>0.21740000000000001</v>
      </c>
      <c r="M4">
        <v>0.27739999999999998</v>
      </c>
      <c r="N4">
        <v>0.37069999999999997</v>
      </c>
      <c r="O4">
        <f>M4/L4</f>
        <v>1.2759889604415822</v>
      </c>
      <c r="P4">
        <f>L4*N4</f>
        <v>8.0590179999999997E-2</v>
      </c>
      <c r="Q4">
        <v>11.15</v>
      </c>
      <c r="R4">
        <v>7.133</v>
      </c>
      <c r="S4">
        <v>0.18840000000000001</v>
      </c>
      <c r="T4">
        <f>R4/Q4</f>
        <v>0.63973094170403588</v>
      </c>
      <c r="U4">
        <f>Q4*S4</f>
        <v>2.1006600000000004</v>
      </c>
      <c r="V4">
        <v>0.48120000000000002</v>
      </c>
      <c r="W4">
        <v>0.60099999999999998</v>
      </c>
      <c r="X4">
        <v>0.47199999999999998</v>
      </c>
      <c r="Y4">
        <f>W4/V4</f>
        <v>1.2489609310058187</v>
      </c>
      <c r="Z4">
        <f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>AB4/AA4</f>
        <v>0.45933666515220356</v>
      </c>
      <c r="AE4">
        <f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>H5/G5</f>
        <v>1.5133171912832928</v>
      </c>
      <c r="K5">
        <f>G5*I5</f>
        <v>7.9271220000000003E-2</v>
      </c>
      <c r="L5">
        <v>0.1384</v>
      </c>
      <c r="M5">
        <v>0.2394</v>
      </c>
      <c r="N5">
        <v>0.2387</v>
      </c>
      <c r="O5">
        <f>M5/L5</f>
        <v>1.7297687861271678</v>
      </c>
      <c r="P5">
        <f>L5*N5</f>
        <v>3.3036079999999995E-2</v>
      </c>
      <c r="Q5">
        <v>8.2949999999999999</v>
      </c>
      <c r="R5">
        <v>8.6549999999999994</v>
      </c>
      <c r="S5">
        <v>0.25269999999999998</v>
      </c>
      <c r="T5">
        <f>R5/Q5</f>
        <v>1.0433996383363471</v>
      </c>
      <c r="U5">
        <f>Q5*S5</f>
        <v>2.0961464999999997</v>
      </c>
      <c r="V5">
        <v>0.31969999999999998</v>
      </c>
      <c r="W5">
        <v>0.50009999999999999</v>
      </c>
      <c r="X5">
        <v>0.2888</v>
      </c>
      <c r="Y5">
        <f>W5/V5</f>
        <v>1.56427901157335</v>
      </c>
      <c r="Z5">
        <f>V5*X5</f>
        <v>9.2329359999999999E-2</v>
      </c>
      <c r="AA5">
        <v>1.7559999999999999E-2</v>
      </c>
      <c r="AB5">
        <v>8.7860000000000004E-3</v>
      </c>
      <c r="AC5">
        <v>0.1797</v>
      </c>
      <c r="AD5">
        <f>AB5/AA5</f>
        <v>0.50034168564920278</v>
      </c>
      <c r="AE5">
        <f>AA5*AC5</f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>H6/G6</f>
        <v>3.8767034393251141</v>
      </c>
      <c r="K6">
        <f>G6*I6</f>
        <v>4.7616899999999997E-2</v>
      </c>
      <c r="L6">
        <v>6.5570000000000003E-2</v>
      </c>
      <c r="M6">
        <v>0.30309999999999998</v>
      </c>
      <c r="N6">
        <v>0.25929999999999997</v>
      </c>
      <c r="O6">
        <f>M6/L6</f>
        <v>4.622540796095775</v>
      </c>
      <c r="P6">
        <f>L6*N6</f>
        <v>1.7002301000000001E-2</v>
      </c>
      <c r="Q6">
        <v>5.4020000000000001</v>
      </c>
      <c r="R6">
        <v>16.809999999999999</v>
      </c>
      <c r="S6">
        <v>0.50860000000000005</v>
      </c>
      <c r="T6">
        <f>R6/Q6</f>
        <v>3.1118104405775635</v>
      </c>
      <c r="U6">
        <f>Q6*S6</f>
        <v>2.7474572000000004</v>
      </c>
      <c r="V6">
        <v>0.15140000000000001</v>
      </c>
      <c r="W6">
        <v>0.63429999999999997</v>
      </c>
      <c r="X6">
        <v>0.27250000000000002</v>
      </c>
      <c r="Y6">
        <f>W6/V6</f>
        <v>4.1895640686922055</v>
      </c>
      <c r="Z6">
        <f>V6*X6</f>
        <v>4.1256500000000002E-2</v>
      </c>
      <c r="AA6">
        <v>1.1860000000000001E-2</v>
      </c>
      <c r="AB6">
        <v>1.312E-2</v>
      </c>
      <c r="AC6">
        <v>0.1603</v>
      </c>
      <c r="AD6">
        <f>AB6/AA6</f>
        <v>1.1062394603709949</v>
      </c>
      <c r="AE6">
        <f>AA6*AC6</f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>H7/G7</f>
        <v>5.1996904024767794</v>
      </c>
      <c r="K7">
        <f>G7*I7</f>
        <v>5.7817000000000007E-2</v>
      </c>
      <c r="L7">
        <v>6.4269999999999994E-2</v>
      </c>
      <c r="M7">
        <v>0.37090000000000001</v>
      </c>
      <c r="N7">
        <v>0.46279999999999999</v>
      </c>
      <c r="O7">
        <f>M7/L7</f>
        <v>5.7709662361910699</v>
      </c>
      <c r="P7">
        <f>L7*N7</f>
        <v>2.9744155999999997E-2</v>
      </c>
      <c r="Q7">
        <v>2.956</v>
      </c>
      <c r="R7">
        <v>14.31</v>
      </c>
      <c r="S7">
        <v>0.37059999999999998</v>
      </c>
      <c r="T7">
        <f>R7/Q7</f>
        <v>4.8410013531799736</v>
      </c>
      <c r="U7">
        <f>Q7*S7</f>
        <v>1.0954936</v>
      </c>
      <c r="V7">
        <v>0.14430000000000001</v>
      </c>
      <c r="W7">
        <v>0.75049999999999994</v>
      </c>
      <c r="X7">
        <v>0.46029999999999999</v>
      </c>
      <c r="Y7">
        <f>W7/V7</f>
        <v>5.2009702009702004</v>
      </c>
      <c r="Z7">
        <f>V7*X7</f>
        <v>6.6421290000000008E-2</v>
      </c>
      <c r="AA7">
        <v>1.0710000000000001E-2</v>
      </c>
      <c r="AB7">
        <v>1.3729999999999999E-2</v>
      </c>
      <c r="AC7">
        <v>0.2387</v>
      </c>
      <c r="AD7">
        <f>AB7/AA7</f>
        <v>1.2819794584500466</v>
      </c>
      <c r="AE7">
        <f>AA7*AC7</f>
        <v>2.5564770000000001E-3</v>
      </c>
    </row>
    <row r="9" spans="1:31" x14ac:dyDescent="0.2">
      <c r="A9" s="324" t="s">
        <v>410</v>
      </c>
      <c r="B9" s="318" t="s">
        <v>411</v>
      </c>
    </row>
    <row r="11" spans="1:31" x14ac:dyDescent="0.2">
      <c r="A11" s="318" t="s">
        <v>412</v>
      </c>
    </row>
    <row r="12" spans="1:31" x14ac:dyDescent="0.2">
      <c r="A12" s="324" t="s">
        <v>413</v>
      </c>
      <c r="B12" s="330" t="s">
        <v>94</v>
      </c>
      <c r="C12" s="330"/>
      <c r="D12" s="330"/>
      <c r="E12" s="2"/>
      <c r="F12" s="2"/>
      <c r="G12" s="330" t="s">
        <v>95</v>
      </c>
      <c r="H12" s="330"/>
      <c r="I12" s="330"/>
      <c r="J12" s="2"/>
      <c r="K12" s="2"/>
      <c r="L12" s="330" t="s">
        <v>52</v>
      </c>
      <c r="M12" s="330"/>
      <c r="N12" s="330"/>
      <c r="O12" s="2"/>
      <c r="P12" s="2"/>
      <c r="Q12" s="330" t="s">
        <v>54</v>
      </c>
      <c r="R12" s="330"/>
      <c r="S12" s="330"/>
      <c r="T12" s="2"/>
      <c r="U12" s="2"/>
      <c r="V12" s="330" t="s">
        <v>96</v>
      </c>
      <c r="W12" s="330"/>
      <c r="X12" s="330"/>
      <c r="Y12" s="2"/>
      <c r="Z12" s="2"/>
      <c r="AA12" s="330" t="s">
        <v>58</v>
      </c>
      <c r="AB12" s="330"/>
      <c r="AC12" s="330"/>
    </row>
    <row r="13" spans="1:31" x14ac:dyDescent="0.2">
      <c r="A13" t="s">
        <v>37</v>
      </c>
      <c r="B13" s="165" t="s">
        <v>40</v>
      </c>
      <c r="C13" s="165" t="s">
        <v>41</v>
      </c>
      <c r="D13" s="165" t="s">
        <v>42</v>
      </c>
      <c r="E13" s="129" t="s">
        <v>116</v>
      </c>
      <c r="F13" s="129" t="s">
        <v>117</v>
      </c>
      <c r="G13" s="165" t="s">
        <v>40</v>
      </c>
      <c r="H13" s="165" t="s">
        <v>41</v>
      </c>
      <c r="I13" s="165" t="s">
        <v>42</v>
      </c>
      <c r="J13" s="129" t="s">
        <v>116</v>
      </c>
      <c r="K13" s="129" t="s">
        <v>117</v>
      </c>
      <c r="L13" s="165" t="s">
        <v>40</v>
      </c>
      <c r="M13" s="165" t="s">
        <v>41</v>
      </c>
      <c r="N13" s="165" t="s">
        <v>42</v>
      </c>
      <c r="O13" s="129" t="s">
        <v>116</v>
      </c>
      <c r="P13" s="129" t="s">
        <v>117</v>
      </c>
      <c r="Q13" s="165" t="s">
        <v>40</v>
      </c>
      <c r="R13" s="165" t="s">
        <v>41</v>
      </c>
      <c r="S13" s="165" t="s">
        <v>42</v>
      </c>
      <c r="T13" s="129" t="s">
        <v>116</v>
      </c>
      <c r="U13" s="129" t="s">
        <v>117</v>
      </c>
      <c r="V13" s="165" t="s">
        <v>40</v>
      </c>
      <c r="W13" s="165" t="s">
        <v>41</v>
      </c>
      <c r="X13" s="165" t="s">
        <v>42</v>
      </c>
      <c r="Y13" s="129" t="s">
        <v>116</v>
      </c>
      <c r="Z13" s="129" t="s">
        <v>117</v>
      </c>
      <c r="AA13" s="165" t="s">
        <v>40</v>
      </c>
      <c r="AB13" s="165" t="s">
        <v>41</v>
      </c>
      <c r="AC13" s="165" t="s">
        <v>42</v>
      </c>
      <c r="AD13" s="129" t="s">
        <v>116</v>
      </c>
      <c r="AE13" s="129" t="s">
        <v>117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0">C14/B14</f>
        <v>0.42959086584205519</v>
      </c>
      <c r="F14">
        <f t="shared" ref="F14:F19" si="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2">H14/G14</f>
        <v>1.505953770721457</v>
      </c>
      <c r="K14">
        <f t="shared" ref="K14:K19" si="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4">M14/L14</f>
        <v>1.5174311926605504</v>
      </c>
      <c r="P14">
        <f t="shared" ref="P14:P19" si="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6">R14/Q14</f>
        <v>0.7838286713286714</v>
      </c>
      <c r="U14">
        <f t="shared" ref="U14:U19" si="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8">W14/V14</f>
        <v>1.6004648214663004</v>
      </c>
      <c r="Z14">
        <f t="shared" ref="Z14:Z19" si="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10">AB14/AA14</f>
        <v>0.62648401826484024</v>
      </c>
      <c r="AE14">
        <f t="shared" ref="AE14:AE19" si="1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0"/>
        <v>1.9097978227060652</v>
      </c>
      <c r="F15">
        <f t="shared" si="1"/>
        <v>3.1301239999999999</v>
      </c>
      <c r="G15">
        <v>0.2545</v>
      </c>
      <c r="H15">
        <v>0.49880000000000002</v>
      </c>
      <c r="I15">
        <v>0.37819999999999998</v>
      </c>
      <c r="J15">
        <f t="shared" si="2"/>
        <v>1.9599214145383104</v>
      </c>
      <c r="K15">
        <f t="shared" si="3"/>
        <v>9.6251900000000001E-2</v>
      </c>
      <c r="L15">
        <v>0.1391</v>
      </c>
      <c r="M15">
        <v>0.29449999999999998</v>
      </c>
      <c r="N15">
        <v>0.45190000000000002</v>
      </c>
      <c r="O15">
        <f t="shared" si="4"/>
        <v>2.1171818835370235</v>
      </c>
      <c r="P15">
        <f t="shared" si="5"/>
        <v>6.2859289999999998E-2</v>
      </c>
      <c r="Q15">
        <v>5.8310000000000004</v>
      </c>
      <c r="R15">
        <v>9.782</v>
      </c>
      <c r="S15">
        <v>0.21659999999999999</v>
      </c>
      <c r="T15">
        <f t="shared" si="6"/>
        <v>1.6775853198422226</v>
      </c>
      <c r="U15">
        <f t="shared" si="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8"/>
        <v>2.0914696813977391</v>
      </c>
      <c r="Z15">
        <f t="shared" si="9"/>
        <v>0.12969116999999999</v>
      </c>
      <c r="AA15">
        <v>1.7229999999999999E-2</v>
      </c>
      <c r="AB15">
        <v>1.196E-2</v>
      </c>
      <c r="AC15">
        <v>0.4733</v>
      </c>
      <c r="AD15">
        <f t="shared" si="10"/>
        <v>0.69413813116656997</v>
      </c>
      <c r="AE15">
        <f t="shared" si="1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0"/>
        <v>1.9072072072072075</v>
      </c>
      <c r="F16">
        <f t="shared" si="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2"/>
        <v>2.7201533406352678</v>
      </c>
      <c r="K16">
        <f t="shared" si="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4"/>
        <v>2.928260869565217</v>
      </c>
      <c r="P16">
        <f t="shared" si="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6"/>
        <v>2.1721915285451194</v>
      </c>
      <c r="U16">
        <f t="shared" si="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8"/>
        <v>2.6754430379746834</v>
      </c>
      <c r="Z16">
        <f t="shared" si="9"/>
        <v>9.195600000000001E-2</v>
      </c>
      <c r="AA16">
        <v>1.417E-2</v>
      </c>
      <c r="AB16">
        <v>9.502E-3</v>
      </c>
      <c r="AC16">
        <v>0.46300000000000002</v>
      </c>
      <c r="AD16">
        <f t="shared" si="10"/>
        <v>0.67057163020465771</v>
      </c>
      <c r="AE16">
        <f t="shared" si="1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0"/>
        <v>2.3203124999999996</v>
      </c>
      <c r="F17">
        <f t="shared" si="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2"/>
        <v>3.3502538071065993</v>
      </c>
      <c r="K17">
        <f t="shared" si="3"/>
        <v>7.5596780000000002E-2</v>
      </c>
      <c r="L17">
        <v>6.7269999999999996E-2</v>
      </c>
      <c r="M17">
        <v>0.251</v>
      </c>
      <c r="N17">
        <v>0.54679999999999995</v>
      </c>
      <c r="O17">
        <f t="shared" si="4"/>
        <v>3.7312323472573214</v>
      </c>
      <c r="P17">
        <f t="shared" si="5"/>
        <v>3.6783235999999997E-2</v>
      </c>
      <c r="Q17">
        <v>2.9569999999999999</v>
      </c>
      <c r="R17">
        <v>8.5410000000000004</v>
      </c>
      <c r="S17">
        <v>0.3569</v>
      </c>
      <c r="T17">
        <f t="shared" si="6"/>
        <v>2.8884004058167063</v>
      </c>
      <c r="U17">
        <f t="shared" si="7"/>
        <v>1.0553532999999999</v>
      </c>
      <c r="V17">
        <v>0.1492</v>
      </c>
      <c r="W17">
        <v>0.44919999999999999</v>
      </c>
      <c r="X17">
        <v>0.50280000000000002</v>
      </c>
      <c r="Y17">
        <f t="shared" si="8"/>
        <v>3.0107238605898123</v>
      </c>
      <c r="Z17">
        <f t="shared" si="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10"/>
        <v>0.67845659163987138</v>
      </c>
      <c r="AE17">
        <f t="shared" si="1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0"/>
        <v>3.0724749421742481</v>
      </c>
      <c r="F18">
        <f t="shared" si="1"/>
        <v>4.557658</v>
      </c>
      <c r="G18">
        <v>0.10929999999999999</v>
      </c>
      <c r="H18">
        <v>0.40649999999999997</v>
      </c>
      <c r="I18">
        <v>0.5917</v>
      </c>
      <c r="J18">
        <f t="shared" si="2"/>
        <v>3.7191216834400733</v>
      </c>
      <c r="K18">
        <f t="shared" si="3"/>
        <v>6.4672809999999997E-2</v>
      </c>
      <c r="L18">
        <v>5.1150000000000001E-2</v>
      </c>
      <c r="M18">
        <v>0.221</v>
      </c>
      <c r="N18">
        <v>0.58299999999999996</v>
      </c>
      <c r="O18">
        <f t="shared" si="4"/>
        <v>4.3206256109481913</v>
      </c>
      <c r="P18">
        <f t="shared" si="5"/>
        <v>2.9820449999999998E-2</v>
      </c>
      <c r="Q18">
        <v>2.2970000000000002</v>
      </c>
      <c r="R18">
        <v>8.032</v>
      </c>
      <c r="S18">
        <v>0.44209999999999999</v>
      </c>
      <c r="T18">
        <f t="shared" si="6"/>
        <v>3.4967348715716149</v>
      </c>
      <c r="U18">
        <f t="shared" si="7"/>
        <v>1.0155037</v>
      </c>
      <c r="V18">
        <v>0.1173</v>
      </c>
      <c r="W18">
        <v>0.43909999999999999</v>
      </c>
      <c r="X18">
        <v>0.57909999999999995</v>
      </c>
      <c r="Y18">
        <f t="shared" si="8"/>
        <v>3.7433930093776642</v>
      </c>
      <c r="Z18">
        <f t="shared" si="9"/>
        <v>6.7928429999999998E-2</v>
      </c>
      <c r="AA18">
        <v>1.142E-2</v>
      </c>
      <c r="AB18">
        <v>8.2850000000000007E-3</v>
      </c>
      <c r="AC18">
        <v>0.7651</v>
      </c>
      <c r="AD18">
        <f t="shared" si="10"/>
        <v>0.72548161120840637</v>
      </c>
      <c r="AE18">
        <f t="shared" si="1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0"/>
        <v>3.2234782608695651</v>
      </c>
      <c r="F19">
        <f t="shared" si="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2"/>
        <v>4.3498435308082444</v>
      </c>
      <c r="K19">
        <f t="shared" si="3"/>
        <v>5.8335764999999998E-2</v>
      </c>
      <c r="L19">
        <v>4.267E-2</v>
      </c>
      <c r="M19">
        <v>0.22520000000000001</v>
      </c>
      <c r="N19">
        <v>0.6361</v>
      </c>
      <c r="O19">
        <f t="shared" si="4"/>
        <v>5.277712678696977</v>
      </c>
      <c r="P19">
        <f t="shared" si="5"/>
        <v>2.7142387E-2</v>
      </c>
      <c r="Q19">
        <v>1.752</v>
      </c>
      <c r="R19">
        <v>8.3320000000000007</v>
      </c>
      <c r="S19">
        <v>0.47039999999999998</v>
      </c>
      <c r="T19">
        <f t="shared" si="6"/>
        <v>4.7557077625570781</v>
      </c>
      <c r="U19">
        <f t="shared" si="7"/>
        <v>0.82414080000000001</v>
      </c>
      <c r="V19">
        <v>0.1007</v>
      </c>
      <c r="W19">
        <v>0.44779999999999998</v>
      </c>
      <c r="X19">
        <v>0.64300000000000002</v>
      </c>
      <c r="Y19">
        <f t="shared" si="8"/>
        <v>4.4468718967229393</v>
      </c>
      <c r="Z19">
        <f t="shared" si="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10"/>
        <v>0.76029822926374657</v>
      </c>
      <c r="AE19">
        <f t="shared" si="11"/>
        <v>9.173077E-3</v>
      </c>
    </row>
    <row r="21" spans="1:31" x14ac:dyDescent="0.2">
      <c r="A21" s="324" t="s">
        <v>410</v>
      </c>
      <c r="B21" s="318" t="s">
        <v>414</v>
      </c>
    </row>
    <row r="23" spans="1:31" x14ac:dyDescent="0.2">
      <c r="A23" s="318" t="s">
        <v>415</v>
      </c>
    </row>
    <row r="24" spans="1:31" x14ac:dyDescent="0.2">
      <c r="A24" s="324" t="s">
        <v>416</v>
      </c>
      <c r="B24" s="330" t="s">
        <v>94</v>
      </c>
      <c r="C24" s="330"/>
      <c r="D24" s="330"/>
      <c r="E24" s="2"/>
      <c r="F24" s="2"/>
      <c r="G24" s="330" t="s">
        <v>95</v>
      </c>
      <c r="H24" s="330"/>
      <c r="I24" s="330"/>
      <c r="J24" s="2"/>
      <c r="K24" s="2"/>
      <c r="L24" s="330" t="s">
        <v>52</v>
      </c>
      <c r="M24" s="330"/>
      <c r="N24" s="330"/>
      <c r="O24" s="2"/>
      <c r="P24" s="2"/>
      <c r="Q24" s="330" t="s">
        <v>54</v>
      </c>
      <c r="R24" s="330"/>
      <c r="S24" s="330"/>
      <c r="T24" s="2"/>
      <c r="U24" s="2"/>
      <c r="V24" s="330" t="s">
        <v>96</v>
      </c>
      <c r="W24" s="330"/>
      <c r="X24" s="330"/>
      <c r="Y24" s="2"/>
      <c r="Z24" s="2"/>
      <c r="AA24" s="330" t="s">
        <v>58</v>
      </c>
      <c r="AB24" s="330"/>
      <c r="AC24" s="330"/>
    </row>
    <row r="25" spans="1:31" x14ac:dyDescent="0.2">
      <c r="A25" t="s">
        <v>37</v>
      </c>
      <c r="B25" s="165" t="s">
        <v>40</v>
      </c>
      <c r="C25" s="165" t="s">
        <v>41</v>
      </c>
      <c r="D25" s="165" t="s">
        <v>42</v>
      </c>
      <c r="E25" s="129" t="s">
        <v>116</v>
      </c>
      <c r="F25" s="129" t="s">
        <v>117</v>
      </c>
      <c r="G25" s="165" t="s">
        <v>40</v>
      </c>
      <c r="H25" s="165" t="s">
        <v>41</v>
      </c>
      <c r="I25" s="165" t="s">
        <v>42</v>
      </c>
      <c r="J25" s="129" t="s">
        <v>116</v>
      </c>
      <c r="K25" s="129" t="s">
        <v>117</v>
      </c>
      <c r="L25" s="165" t="s">
        <v>40</v>
      </c>
      <c r="M25" s="165" t="s">
        <v>41</v>
      </c>
      <c r="N25" s="165" t="s">
        <v>42</v>
      </c>
      <c r="O25" s="129" t="s">
        <v>116</v>
      </c>
      <c r="P25" s="129" t="s">
        <v>117</v>
      </c>
      <c r="Q25" s="165" t="s">
        <v>40</v>
      </c>
      <c r="R25" s="165" t="s">
        <v>41</v>
      </c>
      <c r="S25" s="165" t="s">
        <v>42</v>
      </c>
      <c r="T25" s="129" t="s">
        <v>116</v>
      </c>
      <c r="U25" s="129" t="s">
        <v>117</v>
      </c>
      <c r="V25" s="165" t="s">
        <v>40</v>
      </c>
      <c r="W25" s="165" t="s">
        <v>41</v>
      </c>
      <c r="X25" s="165" t="s">
        <v>42</v>
      </c>
      <c r="Y25" s="129" t="s">
        <v>116</v>
      </c>
      <c r="Z25" s="129" t="s">
        <v>117</v>
      </c>
      <c r="AA25" s="165" t="s">
        <v>40</v>
      </c>
      <c r="AB25" s="165" t="s">
        <v>41</v>
      </c>
      <c r="AC25" s="165" t="s">
        <v>42</v>
      </c>
      <c r="AD25" s="129" t="s">
        <v>116</v>
      </c>
      <c r="AE25" s="129" t="s">
        <v>117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>C26/B26</f>
        <v>0.30850750662349136</v>
      </c>
      <c r="F26">
        <f>B26*D26</f>
        <v>5.7769381999999991</v>
      </c>
      <c r="G26">
        <v>0.49059999999999998</v>
      </c>
      <c r="H26">
        <v>0.46679999999999999</v>
      </c>
      <c r="I26">
        <v>0.38779999999999998</v>
      </c>
      <c r="J26">
        <f>H26/G26</f>
        <v>0.95148797390949857</v>
      </c>
      <c r="K26">
        <f>G26*I26</f>
        <v>0.19025467999999998</v>
      </c>
      <c r="L26">
        <v>0.2432</v>
      </c>
      <c r="M26">
        <v>0.25390000000000001</v>
      </c>
      <c r="N26">
        <v>0.31530000000000002</v>
      </c>
      <c r="O26">
        <f>M26/L26</f>
        <v>1.0439967105263159</v>
      </c>
      <c r="P26">
        <f>L26*N26</f>
        <v>7.6680960000000006E-2</v>
      </c>
      <c r="Q26">
        <v>13.71</v>
      </c>
      <c r="R26">
        <v>4.7720000000000002</v>
      </c>
      <c r="S26">
        <v>0.17710000000000001</v>
      </c>
      <c r="T26">
        <f>R26/Q26</f>
        <v>0.34806710430342813</v>
      </c>
      <c r="U26">
        <f>Q26*S26</f>
        <v>2.4280410000000003</v>
      </c>
      <c r="V26">
        <v>0.53080000000000005</v>
      </c>
      <c r="W26">
        <v>0.52010000000000001</v>
      </c>
      <c r="X26">
        <v>0.36259999999999998</v>
      </c>
      <c r="Y26">
        <f>W26/V26</f>
        <v>0.97984174830444604</v>
      </c>
      <c r="Z26">
        <f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>AB26/AA26</f>
        <v>0.40506381226842325</v>
      </c>
      <c r="AE26">
        <f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>C27/B27</f>
        <v>0.92216411906677398</v>
      </c>
      <c r="F27">
        <f>B27*D27</f>
        <v>11.092531999999999</v>
      </c>
      <c r="G27">
        <v>0.27210000000000001</v>
      </c>
      <c r="H27">
        <v>0.65990000000000004</v>
      </c>
      <c r="I27">
        <v>0.28270000000000001</v>
      </c>
      <c r="J27">
        <f>H27/G27</f>
        <v>2.4252113193678797</v>
      </c>
      <c r="K27">
        <f>G27*I27</f>
        <v>7.6922669999999999E-2</v>
      </c>
      <c r="L27">
        <v>0.15379999999999999</v>
      </c>
      <c r="M27">
        <v>0.35649999999999998</v>
      </c>
      <c r="N27">
        <v>0.3216</v>
      </c>
      <c r="O27">
        <f>M27/L27</f>
        <v>2.3179453836150845</v>
      </c>
      <c r="P27">
        <f>L27*N27</f>
        <v>4.9462079999999999E-2</v>
      </c>
      <c r="Q27">
        <v>7.87</v>
      </c>
      <c r="R27">
        <v>12.8</v>
      </c>
      <c r="S27">
        <v>0.25330000000000003</v>
      </c>
      <c r="T27">
        <f>R27/Q27</f>
        <v>1.6264294790343075</v>
      </c>
      <c r="U27">
        <f>Q27*S27</f>
        <v>1.9934710000000002</v>
      </c>
      <c r="V27">
        <v>0.31009999999999999</v>
      </c>
      <c r="W27">
        <v>0.74729999999999996</v>
      </c>
      <c r="X27">
        <v>0.3029</v>
      </c>
      <c r="Y27">
        <f>W27/V27</f>
        <v>2.4098677845856176</v>
      </c>
      <c r="Z27">
        <f>V27*X27</f>
        <v>9.3929289999999999E-2</v>
      </c>
      <c r="AA27">
        <v>1.8550000000000001E-2</v>
      </c>
      <c r="AB27">
        <v>1.307E-2</v>
      </c>
      <c r="AC27">
        <v>0.22670000000000001</v>
      </c>
      <c r="AD27">
        <f>AB27/AA27</f>
        <v>0.7045822102425876</v>
      </c>
      <c r="AE27">
        <f>AA27*AC27</f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>C28/B28</f>
        <v>3.218274111675127</v>
      </c>
      <c r="F28">
        <f>B28*D28</f>
        <v>8.4692270000000001</v>
      </c>
      <c r="G28">
        <v>0.158</v>
      </c>
      <c r="H28">
        <v>0.82540000000000002</v>
      </c>
      <c r="I28">
        <v>0.39079999999999998</v>
      </c>
      <c r="J28">
        <f>H28/G28</f>
        <v>5.2240506329113927</v>
      </c>
      <c r="K28">
        <f>G28*I28</f>
        <v>6.17464E-2</v>
      </c>
      <c r="L28">
        <v>7.4469999999999995E-2</v>
      </c>
      <c r="M28">
        <v>0.44090000000000001</v>
      </c>
      <c r="N28">
        <v>0.37390000000000001</v>
      </c>
      <c r="O28">
        <f>M28/L28</f>
        <v>5.9205049013025386</v>
      </c>
      <c r="P28">
        <f>L28*N28</f>
        <v>2.7844332999999999E-2</v>
      </c>
      <c r="Q28">
        <v>3.1989999999999998</v>
      </c>
      <c r="R28">
        <v>17.11</v>
      </c>
      <c r="S28">
        <v>0.28139999999999998</v>
      </c>
      <c r="T28">
        <f>R28/Q28</f>
        <v>5.3485464207564863</v>
      </c>
      <c r="U28">
        <f>Q28*S28</f>
        <v>0.90019859999999985</v>
      </c>
      <c r="V28">
        <v>0.17019999999999999</v>
      </c>
      <c r="W28">
        <v>0.92120000000000002</v>
      </c>
      <c r="X28">
        <v>0.39079999999999998</v>
      </c>
      <c r="Y28">
        <f>W28/V28</f>
        <v>5.4124559341950649</v>
      </c>
      <c r="Z28">
        <f>V28*X28</f>
        <v>6.6514159999999989E-2</v>
      </c>
      <c r="AA28">
        <v>1.3780000000000001E-2</v>
      </c>
      <c r="AB28">
        <v>2.0240000000000001E-2</v>
      </c>
      <c r="AC28">
        <v>0.3624</v>
      </c>
      <c r="AD28">
        <f>AB28/AA28</f>
        <v>1.4687953555878084</v>
      </c>
      <c r="AE28">
        <f>AA28*AC28</f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>C29/B29</f>
        <v>4.5478841870824054</v>
      </c>
      <c r="F29">
        <f>B29*D29</f>
        <v>6.8625160000000003</v>
      </c>
      <c r="G29">
        <v>0.1376</v>
      </c>
      <c r="H29">
        <v>0.96109999999999995</v>
      </c>
      <c r="I29">
        <v>0.59570000000000001</v>
      </c>
      <c r="J29">
        <f>H29/G29</f>
        <v>6.9847383720930232</v>
      </c>
      <c r="K29">
        <f>G29*I29</f>
        <v>8.1968319999999997E-2</v>
      </c>
      <c r="L29">
        <v>6.6559999999999994E-2</v>
      </c>
      <c r="M29">
        <v>0.50800000000000001</v>
      </c>
      <c r="N29">
        <v>0.57909999999999995</v>
      </c>
      <c r="O29">
        <f>M29/L29</f>
        <v>7.6322115384615392</v>
      </c>
      <c r="P29">
        <f>L29*N29</f>
        <v>3.8544895999999995E-2</v>
      </c>
      <c r="Q29">
        <v>3.1339999999999999</v>
      </c>
      <c r="R29">
        <v>18.14</v>
      </c>
      <c r="S29">
        <v>0.46779999999999999</v>
      </c>
      <c r="T29">
        <f>R29/Q29</f>
        <v>5.7881301850670077</v>
      </c>
      <c r="U29">
        <f>Q29*S29</f>
        <v>1.4660852</v>
      </c>
      <c r="V29">
        <v>0.14849999999999999</v>
      </c>
      <c r="W29">
        <v>1.079</v>
      </c>
      <c r="X29">
        <v>0.5887</v>
      </c>
      <c r="Y29">
        <f>W29/V29</f>
        <v>7.2659932659932664</v>
      </c>
      <c r="Z29">
        <f>V29*X29</f>
        <v>8.7421949999999998E-2</v>
      </c>
      <c r="AA29">
        <v>1.154E-2</v>
      </c>
      <c r="AB29">
        <v>1.9959999999999999E-2</v>
      </c>
      <c r="AC29">
        <v>0.4113</v>
      </c>
      <c r="AD29">
        <f>AB29/AA29</f>
        <v>1.7296360485268629</v>
      </c>
      <c r="AE29">
        <f>AA29*AC29</f>
        <v>4.7464020000000003E-3</v>
      </c>
    </row>
    <row r="31" spans="1:31" x14ac:dyDescent="0.2">
      <c r="A31" s="324" t="s">
        <v>410</v>
      </c>
      <c r="B31" s="318" t="s">
        <v>414</v>
      </c>
    </row>
    <row r="33" spans="1:32" x14ac:dyDescent="0.2">
      <c r="A33" s="318" t="s">
        <v>417</v>
      </c>
    </row>
    <row r="34" spans="1:32" x14ac:dyDescent="0.2">
      <c r="C34" s="330" t="s">
        <v>94</v>
      </c>
      <c r="D34" s="330"/>
      <c r="E34" s="330"/>
      <c r="F34" s="330"/>
      <c r="G34" s="330"/>
      <c r="H34" s="330" t="s">
        <v>95</v>
      </c>
      <c r="I34" s="330"/>
      <c r="J34" s="330"/>
      <c r="K34" s="330"/>
      <c r="L34" s="330"/>
      <c r="M34" s="330" t="s">
        <v>52</v>
      </c>
      <c r="N34" s="330"/>
      <c r="O34" s="330"/>
      <c r="P34" s="330"/>
      <c r="Q34" s="330"/>
      <c r="R34" s="330" t="s">
        <v>54</v>
      </c>
      <c r="S34" s="330"/>
      <c r="T34" s="330"/>
      <c r="U34" s="330"/>
      <c r="V34" s="330"/>
      <c r="W34" s="330" t="s">
        <v>96</v>
      </c>
      <c r="X34" s="330"/>
      <c r="Y34" s="330"/>
      <c r="Z34" s="330"/>
      <c r="AA34" s="330"/>
      <c r="AB34" s="330" t="s">
        <v>58</v>
      </c>
      <c r="AC34" s="330"/>
      <c r="AD34" s="330"/>
    </row>
    <row r="35" spans="1:32" x14ac:dyDescent="0.2">
      <c r="C35" s="165" t="s">
        <v>40</v>
      </c>
      <c r="D35" s="165" t="s">
        <v>41</v>
      </c>
      <c r="E35" s="165" t="s">
        <v>42</v>
      </c>
      <c r="F35" s="129" t="s">
        <v>116</v>
      </c>
      <c r="G35" s="129" t="s">
        <v>117</v>
      </c>
      <c r="H35" s="165" t="s">
        <v>40</v>
      </c>
      <c r="I35" s="165" t="s">
        <v>41</v>
      </c>
      <c r="J35" s="165" t="s">
        <v>42</v>
      </c>
      <c r="K35" s="129" t="s">
        <v>116</v>
      </c>
      <c r="L35" s="129" t="s">
        <v>117</v>
      </c>
      <c r="M35" s="165" t="s">
        <v>40</v>
      </c>
      <c r="N35" s="165" t="s">
        <v>41</v>
      </c>
      <c r="O35" s="165" t="s">
        <v>42</v>
      </c>
      <c r="P35" s="129" t="s">
        <v>116</v>
      </c>
      <c r="Q35" s="129" t="s">
        <v>117</v>
      </c>
      <c r="R35" s="165" t="s">
        <v>40</v>
      </c>
      <c r="S35" s="165" t="s">
        <v>41</v>
      </c>
      <c r="T35" s="165" t="s">
        <v>42</v>
      </c>
      <c r="U35" s="129" t="s">
        <v>116</v>
      </c>
      <c r="V35" s="129" t="s">
        <v>117</v>
      </c>
      <c r="W35" s="165" t="s">
        <v>40</v>
      </c>
      <c r="X35" s="165" t="s">
        <v>41</v>
      </c>
      <c r="Y35" s="165" t="s">
        <v>42</v>
      </c>
      <c r="Z35" s="129" t="s">
        <v>116</v>
      </c>
      <c r="AA35" s="129" t="s">
        <v>117</v>
      </c>
      <c r="AB35" s="165" t="s">
        <v>40</v>
      </c>
      <c r="AC35" s="165" t="s">
        <v>41</v>
      </c>
      <c r="AD35" s="165" t="s">
        <v>42</v>
      </c>
      <c r="AE35" s="129" t="s">
        <v>116</v>
      </c>
      <c r="AF35" s="129" t="s">
        <v>117</v>
      </c>
    </row>
    <row r="36" spans="1:32" x14ac:dyDescent="0.2">
      <c r="A36" s="95" t="s">
        <v>418</v>
      </c>
      <c r="C36">
        <v>13.33</v>
      </c>
      <c r="D36">
        <v>65.260000000000005</v>
      </c>
      <c r="E36">
        <v>0.21190000000000001</v>
      </c>
      <c r="F36">
        <f>D36/C36</f>
        <v>4.8957239309827463</v>
      </c>
      <c r="G36">
        <f>C36*E36</f>
        <v>2.824627</v>
      </c>
      <c r="H36">
        <v>0.1338</v>
      </c>
      <c r="I36">
        <v>0.63460000000000005</v>
      </c>
      <c r="J36">
        <v>0.37769999999999998</v>
      </c>
      <c r="K36">
        <f>I36/H36</f>
        <v>4.7428998505231696</v>
      </c>
      <c r="L36">
        <f>H36*J36</f>
        <v>5.053626E-2</v>
      </c>
      <c r="M36">
        <v>6.343E-2</v>
      </c>
      <c r="N36">
        <v>0.34150000000000003</v>
      </c>
      <c r="O36">
        <v>0.37080000000000002</v>
      </c>
      <c r="P36">
        <f>N36/M36</f>
        <v>5.3838877502758953</v>
      </c>
      <c r="Q36">
        <f>M36*O36</f>
        <v>2.3519844000000002E-2</v>
      </c>
      <c r="R36">
        <v>2.56</v>
      </c>
      <c r="S36">
        <v>13.66</v>
      </c>
      <c r="T36">
        <v>0.27239999999999998</v>
      </c>
      <c r="U36">
        <f>S36/R36</f>
        <v>5.3359375</v>
      </c>
      <c r="V36">
        <f>R36*T36</f>
        <v>0.69734399999999996</v>
      </c>
      <c r="W36">
        <v>0.1444</v>
      </c>
      <c r="X36">
        <v>0.68579999999999997</v>
      </c>
      <c r="Y36">
        <v>0.37140000000000001</v>
      </c>
      <c r="Z36">
        <f>X36/W36</f>
        <v>4.7493074792243766</v>
      </c>
      <c r="AA36">
        <f>W36*Y36</f>
        <v>5.3630160000000003E-2</v>
      </c>
      <c r="AB36">
        <v>1.285E-2</v>
      </c>
      <c r="AC36">
        <v>1.41E-2</v>
      </c>
      <c r="AD36">
        <v>0.3422</v>
      </c>
      <c r="AE36">
        <f>AC36/AB36</f>
        <v>1.0972762645914396</v>
      </c>
      <c r="AF36">
        <f>AB36*AD36</f>
        <v>4.39727E-3</v>
      </c>
    </row>
    <row r="37" spans="1:32" x14ac:dyDescent="0.2">
      <c r="B37" t="s">
        <v>413</v>
      </c>
      <c r="C37">
        <v>12.22</v>
      </c>
      <c r="D37">
        <v>53.6</v>
      </c>
      <c r="E37">
        <v>0.1948</v>
      </c>
      <c r="F37">
        <f>D37/C37</f>
        <v>4.386252045826514</v>
      </c>
      <c r="G37">
        <f>C37*E37</f>
        <v>2.3804560000000001</v>
      </c>
      <c r="H37">
        <v>0.13400000000000001</v>
      </c>
      <c r="I37">
        <v>0.50849999999999995</v>
      </c>
      <c r="J37">
        <v>0.39279999999999998</v>
      </c>
      <c r="K37">
        <f>I37/H37</f>
        <v>3.7947761194029845</v>
      </c>
      <c r="L37">
        <f>H37*J37</f>
        <v>5.26352E-2</v>
      </c>
      <c r="M37">
        <v>6.3539999999999999E-2</v>
      </c>
      <c r="N37">
        <v>0.27439999999999998</v>
      </c>
      <c r="O37">
        <v>0.38429999999999997</v>
      </c>
      <c r="P37">
        <f>N37/M37</f>
        <v>4.3185395026754794</v>
      </c>
      <c r="Q37">
        <f>M37*O37</f>
        <v>2.4418421999999999E-2</v>
      </c>
      <c r="R37">
        <v>2.4220000000000002</v>
      </c>
      <c r="S37">
        <v>10.91</v>
      </c>
      <c r="T37">
        <v>0.2576</v>
      </c>
      <c r="U37">
        <f>S37/R37</f>
        <v>4.5045417010734932</v>
      </c>
      <c r="V37">
        <f>R37*T37</f>
        <v>0.6239072</v>
      </c>
      <c r="W37">
        <v>0.14399999999999999</v>
      </c>
      <c r="X37">
        <v>0.54120000000000001</v>
      </c>
      <c r="Y37">
        <v>0.37990000000000002</v>
      </c>
      <c r="Z37">
        <f>X37/W37</f>
        <v>3.7583333333333337</v>
      </c>
      <c r="AA37">
        <f>W37*Y37</f>
        <v>5.47056E-2</v>
      </c>
      <c r="AB37">
        <v>1.2970000000000001E-2</v>
      </c>
      <c r="AC37">
        <v>1.057E-2</v>
      </c>
      <c r="AD37">
        <v>0.40100000000000002</v>
      </c>
      <c r="AE37">
        <f>AC37/AB37</f>
        <v>0.81495759444872773</v>
      </c>
      <c r="AF37">
        <f>AB37*AD37</f>
        <v>5.2009700000000009E-3</v>
      </c>
    </row>
    <row r="39" spans="1:32" x14ac:dyDescent="0.2">
      <c r="A39" s="324" t="s">
        <v>410</v>
      </c>
      <c r="B39" s="318" t="s">
        <v>411</v>
      </c>
    </row>
  </sheetData>
  <mergeCells count="24">
    <mergeCell ref="AA2:AC2"/>
    <mergeCell ref="B12:D12"/>
    <mergeCell ref="G12:I12"/>
    <mergeCell ref="L12:N12"/>
    <mergeCell ref="Q12:S12"/>
    <mergeCell ref="V12:X12"/>
    <mergeCell ref="AA12:AC12"/>
    <mergeCell ref="B2:D2"/>
    <mergeCell ref="G2:I2"/>
    <mergeCell ref="L2:N2"/>
    <mergeCell ref="Q2:S2"/>
    <mergeCell ref="V2:X2"/>
    <mergeCell ref="AA24:AC24"/>
    <mergeCell ref="C34:G34"/>
    <mergeCell ref="H34:L34"/>
    <mergeCell ref="M34:Q34"/>
    <mergeCell ref="R34:V34"/>
    <mergeCell ref="W34:AA34"/>
    <mergeCell ref="AB34:AD34"/>
    <mergeCell ref="B24:D24"/>
    <mergeCell ref="G24:I24"/>
    <mergeCell ref="L24:N24"/>
    <mergeCell ref="Q24:S24"/>
    <mergeCell ref="V24:X2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2"/>
  <sheetViews>
    <sheetView zoomScaleNormal="100" workbookViewId="0"/>
  </sheetViews>
  <sheetFormatPr defaultColWidth="9.33203125" defaultRowHeight="12.75" x14ac:dyDescent="0.2"/>
  <cols>
    <col min="1" max="1" width="13.5" style="124" customWidth="1"/>
    <col min="2" max="16" width="8.6640625" style="124" customWidth="1"/>
    <col min="17" max="17" width="8.6640625" style="125" customWidth="1"/>
    <col min="18" max="18" width="8.6640625" style="126" customWidth="1"/>
  </cols>
  <sheetData>
    <row r="1" spans="1:18" x14ac:dyDescent="0.2">
      <c r="A1" s="125" t="s">
        <v>2</v>
      </c>
      <c r="B1" s="126"/>
      <c r="Q1" s="125" t="s">
        <v>102</v>
      </c>
      <c r="R1" s="126" t="s">
        <v>103</v>
      </c>
    </row>
    <row r="2" spans="1:18" x14ac:dyDescent="0.2">
      <c r="A2" s="125" t="s">
        <v>8</v>
      </c>
      <c r="B2" s="335"/>
      <c r="C2" s="335"/>
      <c r="R2" s="126" t="s">
        <v>104</v>
      </c>
    </row>
    <row r="3" spans="1:18" x14ac:dyDescent="0.2">
      <c r="A3" s="125" t="s">
        <v>9</v>
      </c>
      <c r="B3" s="126" t="s">
        <v>105</v>
      </c>
      <c r="R3" s="126" t="s">
        <v>106</v>
      </c>
    </row>
    <row r="4" spans="1:18" x14ac:dyDescent="0.2">
      <c r="Q4" s="125" t="s">
        <v>107</v>
      </c>
      <c r="R4" s="126" t="s">
        <v>108</v>
      </c>
    </row>
    <row r="5" spans="1:18" x14ac:dyDescent="0.2">
      <c r="B5" s="336" t="s">
        <v>59</v>
      </c>
      <c r="C5" s="336"/>
      <c r="D5" s="336" t="s">
        <v>109</v>
      </c>
      <c r="E5" s="336"/>
      <c r="F5" s="336"/>
      <c r="J5" s="337" t="s">
        <v>110</v>
      </c>
      <c r="K5" s="337"/>
      <c r="L5" s="337"/>
      <c r="M5" s="337"/>
      <c r="N5" s="337"/>
      <c r="R5" s="126" t="s">
        <v>111</v>
      </c>
    </row>
    <row r="6" spans="1:18" x14ac:dyDescent="0.2">
      <c r="B6" s="124" t="s">
        <v>112</v>
      </c>
      <c r="C6" s="124" t="s">
        <v>113</v>
      </c>
      <c r="D6" s="124" t="s">
        <v>112</v>
      </c>
      <c r="E6" s="124" t="s">
        <v>90</v>
      </c>
      <c r="F6" s="124" t="s">
        <v>114</v>
      </c>
      <c r="G6" s="124" t="s">
        <v>115</v>
      </c>
      <c r="J6" s="128" t="s">
        <v>40</v>
      </c>
      <c r="K6" s="128" t="s">
        <v>41</v>
      </c>
      <c r="L6" s="129" t="s">
        <v>42</v>
      </c>
      <c r="M6" s="129" t="s">
        <v>116</v>
      </c>
      <c r="N6" s="129" t="s">
        <v>117</v>
      </c>
      <c r="R6" s="126" t="s">
        <v>103</v>
      </c>
    </row>
    <row r="7" spans="1:18" x14ac:dyDescent="0.2">
      <c r="A7" s="124" t="s">
        <v>118</v>
      </c>
      <c r="B7" s="130">
        <f>NCRP147_4.2!D29</f>
        <v>1.8507709999999995</v>
      </c>
      <c r="C7" s="130">
        <f>NCRP147_4.5!C5</f>
        <v>5.2</v>
      </c>
      <c r="D7" s="130"/>
      <c r="E7" s="130">
        <f>NCRP147_4.7!E10</f>
        <v>1.3999999999999999E-4</v>
      </c>
      <c r="F7" s="130">
        <f>NCRP147_4.7!F10</f>
        <v>2.3E-2</v>
      </c>
      <c r="G7" s="130">
        <f>NCRP147_4.7!H10</f>
        <v>3.3000000000000002E-2</v>
      </c>
      <c r="I7" s="124" t="s">
        <v>14</v>
      </c>
      <c r="J7" s="131">
        <v>2.2949999999999999</v>
      </c>
      <c r="K7" s="131">
        <v>13</v>
      </c>
      <c r="L7" s="131">
        <v>0.55730000000000002</v>
      </c>
      <c r="M7" s="131">
        <f>K7/J7</f>
        <v>5.6644880174291945</v>
      </c>
      <c r="N7" s="131">
        <f>J7*L7</f>
        <v>1.2790035</v>
      </c>
      <c r="R7" s="126" t="s">
        <v>104</v>
      </c>
    </row>
    <row r="8" spans="1:18" x14ac:dyDescent="0.2">
      <c r="A8" s="124" t="s">
        <v>119</v>
      </c>
      <c r="B8" s="130">
        <f>NCRP147_4.2!C29</f>
        <v>0.60091000000000006</v>
      </c>
      <c r="C8" s="130">
        <f>NCRP147_4.5!C4</f>
        <v>2.2999999999999998</v>
      </c>
      <c r="D8" s="130"/>
      <c r="E8" s="130">
        <f>NCRP147_4.7!E9</f>
        <v>3.8999999999999999E-4</v>
      </c>
      <c r="F8" s="130">
        <f>NCRP147_4.7!F9</f>
        <v>4.8999999999999998E-3</v>
      </c>
      <c r="G8" s="130">
        <f>NCRP147_4.7!H9</f>
        <v>6.8999999999999999E-3</v>
      </c>
      <c r="I8" s="124" t="s">
        <v>50</v>
      </c>
      <c r="J8" s="131">
        <v>3.5490000000000001E-2</v>
      </c>
      <c r="K8" s="131">
        <v>0.1164</v>
      </c>
      <c r="L8" s="131">
        <v>0.57740000000000002</v>
      </c>
      <c r="M8" s="131">
        <f>K8/J8</f>
        <v>3.2797971259509722</v>
      </c>
      <c r="N8" s="131">
        <f>J8*L8</f>
        <v>2.0491926000000001E-2</v>
      </c>
      <c r="R8" s="126" t="s">
        <v>120</v>
      </c>
    </row>
    <row r="9" spans="1:18" x14ac:dyDescent="0.2">
      <c r="A9" s="124" t="s">
        <v>121</v>
      </c>
      <c r="B9" s="130">
        <f>NCRP147_4.2!B29</f>
        <v>2.4524780000000002</v>
      </c>
      <c r="C9" s="130"/>
      <c r="D9" s="130"/>
      <c r="E9" s="130">
        <f>NCRP147_4.7!E8</f>
        <v>5.2999999999999998E-4</v>
      </c>
      <c r="F9" s="130">
        <f>NCRP147_4.7!F8</f>
        <v>3.4000000000000002E-2</v>
      </c>
      <c r="G9" s="130">
        <f>NCRP147_4.7!H8</f>
        <v>4.8000000000000001E-2</v>
      </c>
      <c r="J9" s="334" t="s">
        <v>122</v>
      </c>
      <c r="K9" s="334"/>
      <c r="L9" s="334"/>
      <c r="M9" s="334"/>
      <c r="N9" s="334"/>
      <c r="Q9" s="125" t="s">
        <v>123</v>
      </c>
      <c r="R9" s="126" t="s">
        <v>111</v>
      </c>
    </row>
    <row r="10" spans="1:18" x14ac:dyDescent="0.2">
      <c r="A10" s="124" t="s">
        <v>124</v>
      </c>
      <c r="B10" s="130">
        <f>NCRP147_4.2!E29</f>
        <v>12.8934</v>
      </c>
      <c r="C10" s="130"/>
      <c r="D10" s="130">
        <f>NCRP147_4.7!B11</f>
        <v>12.8934</v>
      </c>
      <c r="E10" s="130">
        <f>NCRP147_4.7!E11</f>
        <v>1.2E-2</v>
      </c>
      <c r="F10" s="130">
        <f>NCRP147_4.7!F11</f>
        <v>0.31</v>
      </c>
      <c r="G10" s="130">
        <f>NCRP147_4.7!H11</f>
        <v>0.44</v>
      </c>
      <c r="J10" s="128" t="s">
        <v>40</v>
      </c>
      <c r="K10" s="128" t="s">
        <v>41</v>
      </c>
      <c r="L10" s="129" t="s">
        <v>42</v>
      </c>
      <c r="M10" s="129" t="s">
        <v>116</v>
      </c>
      <c r="N10" s="129" t="s">
        <v>117</v>
      </c>
      <c r="R10" s="126" t="s">
        <v>103</v>
      </c>
    </row>
    <row r="11" spans="1:18" x14ac:dyDescent="0.2">
      <c r="A11" s="124" t="s">
        <v>125</v>
      </c>
      <c r="B11" s="130">
        <f>NCRP147_4.2!F29</f>
        <v>1.5099989999999996</v>
      </c>
      <c r="C11" s="130">
        <f>NCRP147_4.5!C6</f>
        <v>5.9</v>
      </c>
      <c r="D11" s="130">
        <f>NCRP147_4.7!B12</f>
        <v>1.5099989999999996</v>
      </c>
      <c r="E11" s="130">
        <f>NCRP147_4.7!E12</f>
        <v>9.3999999999999997E-4</v>
      </c>
      <c r="F11" s="130">
        <f>NCRP147_4.7!F12</f>
        <v>2.8000000000000001E-2</v>
      </c>
      <c r="G11" s="130">
        <f>NCRP147_4.7!H12</f>
        <v>3.9E-2</v>
      </c>
      <c r="I11" s="124" t="s">
        <v>14</v>
      </c>
      <c r="J11" s="131">
        <v>2.2719999999999998</v>
      </c>
      <c r="K11" s="131">
        <v>13.6</v>
      </c>
      <c r="L11" s="131">
        <v>0.71840000000000004</v>
      </c>
      <c r="M11" s="131">
        <f>K11/J11</f>
        <v>5.9859154929577469</v>
      </c>
      <c r="N11" s="131">
        <f>J11*L11</f>
        <v>1.6322048</v>
      </c>
      <c r="R11" s="126" t="s">
        <v>104</v>
      </c>
    </row>
    <row r="12" spans="1:18" x14ac:dyDescent="0.2">
      <c r="I12" s="124" t="s">
        <v>50</v>
      </c>
      <c r="J12" s="131">
        <v>3.56E-2</v>
      </c>
      <c r="K12" s="131">
        <v>0.1114</v>
      </c>
      <c r="L12" s="131">
        <v>0.66200000000000003</v>
      </c>
      <c r="M12" s="131">
        <f>K12/J12</f>
        <v>3.1292134831460676</v>
      </c>
      <c r="N12" s="131">
        <f>J12*L12</f>
        <v>2.35672E-2</v>
      </c>
      <c r="R12" s="126" t="s">
        <v>106</v>
      </c>
    </row>
    <row r="13" spans="1:18" x14ac:dyDescent="0.2">
      <c r="A13" s="124" t="s">
        <v>126</v>
      </c>
      <c r="B13" s="132"/>
      <c r="J13" s="334" t="s">
        <v>127</v>
      </c>
      <c r="K13" s="334"/>
      <c r="L13" s="334"/>
      <c r="M13" s="334"/>
      <c r="N13" s="334"/>
      <c r="Q13" s="125" t="s">
        <v>128</v>
      </c>
      <c r="R13" s="126" t="s">
        <v>103</v>
      </c>
    </row>
    <row r="14" spans="1:18" x14ac:dyDescent="0.2">
      <c r="A14" s="124" t="s">
        <v>129</v>
      </c>
      <c r="B14" s="132"/>
      <c r="J14" s="128" t="s">
        <v>40</v>
      </c>
      <c r="K14" s="128" t="s">
        <v>41</v>
      </c>
      <c r="L14" s="129" t="s">
        <v>42</v>
      </c>
      <c r="M14" s="129" t="s">
        <v>116</v>
      </c>
      <c r="N14" s="129" t="s">
        <v>117</v>
      </c>
      <c r="R14" s="126" t="s">
        <v>104</v>
      </c>
    </row>
    <row r="15" spans="1:18" x14ac:dyDescent="0.2">
      <c r="A15" s="124" t="s">
        <v>130</v>
      </c>
      <c r="B15" s="133"/>
      <c r="C15" s="124" t="s">
        <v>131</v>
      </c>
      <c r="I15" s="124" t="s">
        <v>14</v>
      </c>
      <c r="J15" s="131">
        <v>2.347</v>
      </c>
      <c r="K15" s="131">
        <v>12.67</v>
      </c>
      <c r="L15" s="131">
        <v>0.6149</v>
      </c>
      <c r="M15" s="131">
        <f>K15/J15</f>
        <v>5.3983809118023007</v>
      </c>
      <c r="N15" s="131">
        <f>J15*L15</f>
        <v>1.4431703</v>
      </c>
      <c r="R15" s="126" t="s">
        <v>120</v>
      </c>
    </row>
    <row r="16" spans="1:18" x14ac:dyDescent="0.2">
      <c r="I16" s="124" t="s">
        <v>50</v>
      </c>
      <c r="J16" s="131">
        <v>3.6159999999999998E-2</v>
      </c>
      <c r="K16" s="131">
        <v>9.7210000000000005E-2</v>
      </c>
      <c r="L16" s="131">
        <v>0.51859999999999995</v>
      </c>
      <c r="M16" s="131">
        <f>K16/J16</f>
        <v>2.6883296460176993</v>
      </c>
      <c r="N16" s="131">
        <f>J16*L16</f>
        <v>1.8752575999999996E-2</v>
      </c>
      <c r="R16" s="126" t="s">
        <v>132</v>
      </c>
    </row>
    <row r="17" spans="1:18" x14ac:dyDescent="0.2">
      <c r="J17" s="334" t="s">
        <v>133</v>
      </c>
      <c r="K17" s="334"/>
      <c r="L17" s="334"/>
      <c r="M17" s="334"/>
      <c r="N17" s="334"/>
      <c r="Q17" s="125" t="s">
        <v>134</v>
      </c>
      <c r="R17" s="126" t="s">
        <v>103</v>
      </c>
    </row>
    <row r="18" spans="1:18" x14ac:dyDescent="0.2">
      <c r="J18" s="128" t="s">
        <v>40</v>
      </c>
      <c r="K18" s="128" t="s">
        <v>41</v>
      </c>
      <c r="L18" s="129" t="s">
        <v>42</v>
      </c>
      <c r="M18" s="129" t="s">
        <v>116</v>
      </c>
      <c r="N18" s="129" t="s">
        <v>117</v>
      </c>
      <c r="R18" s="126" t="s">
        <v>104</v>
      </c>
    </row>
    <row r="19" spans="1:18" x14ac:dyDescent="0.2">
      <c r="I19" s="124" t="s">
        <v>14</v>
      </c>
      <c r="J19" s="131">
        <v>2.3220000000000001</v>
      </c>
      <c r="K19" s="131">
        <v>12.91</v>
      </c>
      <c r="L19" s="131">
        <v>0.75749999999999995</v>
      </c>
      <c r="M19" s="131">
        <f>K19/J19</f>
        <v>5.5598621877691645</v>
      </c>
      <c r="N19" s="131">
        <f>J19*L19</f>
        <v>1.758915</v>
      </c>
      <c r="R19" s="126" t="s">
        <v>120</v>
      </c>
    </row>
    <row r="20" spans="1:18" x14ac:dyDescent="0.2">
      <c r="I20" s="124" t="s">
        <v>50</v>
      </c>
      <c r="J20" s="131">
        <v>3.6299999999999999E-2</v>
      </c>
      <c r="K20" s="131">
        <v>9.3600000000000003E-2</v>
      </c>
      <c r="L20" s="131">
        <v>0.59550000000000003</v>
      </c>
      <c r="M20" s="131">
        <f>K20/J20</f>
        <v>2.5785123966942152</v>
      </c>
      <c r="N20" s="131">
        <f>J20*L20</f>
        <v>2.1616650000000001E-2</v>
      </c>
      <c r="R20" s="126" t="s">
        <v>132</v>
      </c>
    </row>
    <row r="21" spans="1:18" x14ac:dyDescent="0.2">
      <c r="Q21" s="125" t="s">
        <v>135</v>
      </c>
      <c r="R21" s="126" t="s">
        <v>103</v>
      </c>
    </row>
    <row r="22" spans="1:18" x14ac:dyDescent="0.2">
      <c r="I22" s="134"/>
      <c r="K22" s="135"/>
      <c r="L22" s="135"/>
      <c r="O22" s="134"/>
      <c r="R22" s="126" t="s">
        <v>104</v>
      </c>
    </row>
    <row r="23" spans="1:18" x14ac:dyDescent="0.2">
      <c r="B23" s="124" t="s">
        <v>136</v>
      </c>
      <c r="C23" s="124" t="s">
        <v>137</v>
      </c>
      <c r="D23" s="124" t="s">
        <v>138</v>
      </c>
      <c r="E23" s="124" t="s">
        <v>62</v>
      </c>
      <c r="F23" s="124" t="s">
        <v>73</v>
      </c>
      <c r="G23" s="124" t="s">
        <v>139</v>
      </c>
      <c r="H23" s="124" t="s">
        <v>140</v>
      </c>
      <c r="I23" s="124" t="s">
        <v>141</v>
      </c>
      <c r="J23" s="135" t="s">
        <v>142</v>
      </c>
      <c r="L23" s="124" t="s">
        <v>143</v>
      </c>
      <c r="M23" s="136" t="s">
        <v>144</v>
      </c>
      <c r="N23" s="124" t="s">
        <v>141</v>
      </c>
      <c r="R23" s="126" t="s">
        <v>106</v>
      </c>
    </row>
    <row r="24" spans="1:18" x14ac:dyDescent="0.2">
      <c r="A24" s="124" t="s">
        <v>145</v>
      </c>
      <c r="B24" s="137"/>
      <c r="C24" s="137"/>
      <c r="D24" s="138"/>
      <c r="E24" s="138"/>
      <c r="F24" s="138"/>
      <c r="G24" s="131"/>
      <c r="H24" s="131"/>
      <c r="I24" s="139"/>
      <c r="J24" s="140" t="e">
        <f>((KsRadTableL+KsRadTableSS)*Nrad+(KsRFRadL+KsRFRadSS)*Nfl)/(B24^2)</f>
        <v>#DIV/0!</v>
      </c>
      <c r="L24" s="140" t="e">
        <f t="shared" ref="L24:L36" si="0">J24+J39+J54</f>
        <v>#DIV/0!</v>
      </c>
      <c r="M24" s="140" t="e">
        <f t="shared" ref="M24:M36" si="1">E24/(F24*L24)</f>
        <v>#DIV/0!</v>
      </c>
      <c r="N24" s="141" t="e">
        <f>LN((M24^(-$L$7)+$M$7)/(1+$M$7))/$N$7</f>
        <v>#DIV/0!</v>
      </c>
      <c r="Q24" s="125" t="s">
        <v>146</v>
      </c>
      <c r="R24" s="126" t="s">
        <v>147</v>
      </c>
    </row>
    <row r="25" spans="1:18" x14ac:dyDescent="0.2">
      <c r="A25" s="124" t="s">
        <v>148</v>
      </c>
      <c r="B25" s="137"/>
      <c r="C25" s="137"/>
      <c r="D25" s="138"/>
      <c r="E25" s="138"/>
      <c r="F25" s="138"/>
      <c r="G25" s="131"/>
      <c r="H25" s="131"/>
      <c r="I25" s="139"/>
      <c r="J25" s="140" t="e">
        <f>((KsRadTableL+KsRadTableSS)*Nrad+(KsRFRadL+KsRFRadSS)*Nfl)/(B25^2)</f>
        <v>#DIV/0!</v>
      </c>
      <c r="L25" s="140" t="e">
        <f t="shared" si="0"/>
        <v>#DIV/0!</v>
      </c>
      <c r="M25" s="140" t="e">
        <f t="shared" si="1"/>
        <v>#DIV/0!</v>
      </c>
      <c r="N25" s="141" t="e">
        <f>LN((M25^(-$L$7)+$M$7)/(1+$M$7))/$N$7</f>
        <v>#DIV/0!</v>
      </c>
      <c r="R25" s="126" t="s">
        <v>106</v>
      </c>
    </row>
    <row r="26" spans="1:18" x14ac:dyDescent="0.2">
      <c r="A26" s="124" t="s">
        <v>107</v>
      </c>
      <c r="B26" s="137"/>
      <c r="C26" s="137"/>
      <c r="D26" s="138"/>
      <c r="E26" s="138"/>
      <c r="F26" s="138"/>
      <c r="G26" s="131" t="e">
        <f>KpRadTable*Nrad*D26/(B26^2)</f>
        <v>#DIV/0!</v>
      </c>
      <c r="H26" s="131" t="e">
        <f>E26/(G26*F26)</f>
        <v>#DIV/0!</v>
      </c>
      <c r="I26" s="139" t="e">
        <f>LN((H26^(-$L$7)+$M$7)/(1+$M$7))/$N$7</f>
        <v>#DIV/0!</v>
      </c>
      <c r="J26" s="140" t="e">
        <f>(KsRadAllL/(B26+40*0.0254)^2+KsRadAllSS/B26^2)*Nrad+(KsRFRadL+KsRFRadSS)*Nfl/(B26^2)</f>
        <v>#DIV/0!</v>
      </c>
      <c r="L26" s="140" t="e">
        <f t="shared" si="0"/>
        <v>#DIV/0!</v>
      </c>
      <c r="M26" s="140" t="e">
        <f t="shared" si="1"/>
        <v>#DIV/0!</v>
      </c>
      <c r="N26" s="141" t="e">
        <f t="shared" ref="N26:N34" si="2">LN((M26^(-$L$19)+$M$19)/(1+$M$19))/$N$19</f>
        <v>#DIV/0!</v>
      </c>
      <c r="R26" s="126" t="s">
        <v>120</v>
      </c>
    </row>
    <row r="27" spans="1:18" x14ac:dyDescent="0.2">
      <c r="A27" s="124" t="s">
        <v>123</v>
      </c>
      <c r="B27" s="137"/>
      <c r="C27" s="137"/>
      <c r="D27" s="138"/>
      <c r="E27" s="138"/>
      <c r="F27" s="138"/>
      <c r="G27" s="131" t="e">
        <f>KpRadTable*Nrad*D27/(B27^2)</f>
        <v>#DIV/0!</v>
      </c>
      <c r="H27" s="131" t="e">
        <f>E27/(G27*F27)</f>
        <v>#DIV/0!</v>
      </c>
      <c r="I27" s="139" t="e">
        <f>LN((H27^(-$L$7)+$M$7)/(1+$M$7))/$N$7</f>
        <v>#DIV/0!</v>
      </c>
      <c r="J27" s="140" t="e">
        <f>(KsRadAllL/(B27+40*0.0254)^2+KsRadAllSS/B27^2)*Nrad+(KsRFRadL+KsRFRadSS)*Nfl/(B27^2)</f>
        <v>#DIV/0!</v>
      </c>
      <c r="L27" s="140" t="e">
        <f t="shared" si="0"/>
        <v>#DIV/0!</v>
      </c>
      <c r="M27" s="140" t="e">
        <f t="shared" si="1"/>
        <v>#DIV/0!</v>
      </c>
      <c r="N27" s="141" t="e">
        <f t="shared" si="2"/>
        <v>#DIV/0!</v>
      </c>
      <c r="R27" s="126" t="s">
        <v>104</v>
      </c>
    </row>
    <row r="28" spans="1:18" x14ac:dyDescent="0.2">
      <c r="A28" s="124" t="s">
        <v>149</v>
      </c>
      <c r="B28" s="137"/>
      <c r="C28" s="137"/>
      <c r="D28" s="138"/>
      <c r="E28" s="138"/>
      <c r="F28" s="138"/>
      <c r="G28" s="131"/>
      <c r="H28" s="131"/>
      <c r="I28" s="139"/>
      <c r="J28" s="140" t="e">
        <f t="shared" ref="J28:J34" si="3">((KsRadTableL+KsRadTableSS)*Nrad+(KsRFRadL+KsRFRadSS)*Nfl)/(B28^2)</f>
        <v>#DIV/0!</v>
      </c>
      <c r="L28" s="140" t="e">
        <f t="shared" si="0"/>
        <v>#DIV/0!</v>
      </c>
      <c r="M28" s="140" t="e">
        <f t="shared" si="1"/>
        <v>#DIV/0!</v>
      </c>
      <c r="N28" s="141" t="e">
        <f t="shared" si="2"/>
        <v>#DIV/0!</v>
      </c>
      <c r="Q28" s="125" t="s">
        <v>150</v>
      </c>
      <c r="R28" s="126" t="s">
        <v>151</v>
      </c>
    </row>
    <row r="29" spans="1:18" x14ac:dyDescent="0.2">
      <c r="A29" s="124" t="s">
        <v>152</v>
      </c>
      <c r="B29" s="137"/>
      <c r="C29" s="137"/>
      <c r="D29" s="138"/>
      <c r="E29" s="138"/>
      <c r="F29" s="138"/>
      <c r="G29" s="131"/>
      <c r="H29" s="131"/>
      <c r="I29" s="139"/>
      <c r="J29" s="140" t="e">
        <f t="shared" si="3"/>
        <v>#DIV/0!</v>
      </c>
      <c r="L29" s="140" t="e">
        <f t="shared" si="0"/>
        <v>#DIV/0!</v>
      </c>
      <c r="M29" s="140" t="e">
        <f t="shared" si="1"/>
        <v>#DIV/0!</v>
      </c>
      <c r="N29" s="141" t="e">
        <f t="shared" si="2"/>
        <v>#DIV/0!</v>
      </c>
      <c r="R29" s="126" t="s">
        <v>106</v>
      </c>
    </row>
    <row r="30" spans="1:18" x14ac:dyDescent="0.2">
      <c r="A30" s="124" t="s">
        <v>153</v>
      </c>
      <c r="B30" s="137"/>
      <c r="C30" s="137"/>
      <c r="D30" s="138"/>
      <c r="E30" s="138"/>
      <c r="F30" s="138"/>
      <c r="G30" s="131"/>
      <c r="H30" s="131"/>
      <c r="I30" s="139"/>
      <c r="J30" s="140" t="e">
        <f t="shared" si="3"/>
        <v>#DIV/0!</v>
      </c>
      <c r="L30" s="140" t="e">
        <f t="shared" si="0"/>
        <v>#DIV/0!</v>
      </c>
      <c r="M30" s="140" t="e">
        <f t="shared" si="1"/>
        <v>#DIV/0!</v>
      </c>
      <c r="N30" s="141" t="e">
        <f t="shared" si="2"/>
        <v>#DIV/0!</v>
      </c>
      <c r="R30" s="126" t="s">
        <v>120</v>
      </c>
    </row>
    <row r="31" spans="1:18" x14ac:dyDescent="0.2">
      <c r="A31" s="124" t="s">
        <v>154</v>
      </c>
      <c r="B31" s="137"/>
      <c r="C31" s="137"/>
      <c r="D31" s="138"/>
      <c r="E31" s="138"/>
      <c r="F31" s="138"/>
      <c r="G31" s="131"/>
      <c r="H31" s="131"/>
      <c r="I31" s="139"/>
      <c r="J31" s="140" t="e">
        <f t="shared" si="3"/>
        <v>#DIV/0!</v>
      </c>
      <c r="L31" s="140" t="e">
        <f t="shared" si="0"/>
        <v>#DIV/0!</v>
      </c>
      <c r="M31" s="140" t="e">
        <f t="shared" si="1"/>
        <v>#DIV/0!</v>
      </c>
      <c r="N31" s="141" t="e">
        <f t="shared" si="2"/>
        <v>#DIV/0!</v>
      </c>
    </row>
    <row r="32" spans="1:18" x14ac:dyDescent="0.2">
      <c r="A32" s="124" t="s">
        <v>155</v>
      </c>
      <c r="B32" s="137"/>
      <c r="C32" s="137"/>
      <c r="D32" s="138"/>
      <c r="E32" s="138"/>
      <c r="F32" s="138"/>
      <c r="G32" s="131"/>
      <c r="H32" s="131"/>
      <c r="I32" s="139"/>
      <c r="J32" s="140" t="e">
        <f t="shared" si="3"/>
        <v>#DIV/0!</v>
      </c>
      <c r="L32" s="140" t="e">
        <f t="shared" si="0"/>
        <v>#DIV/0!</v>
      </c>
      <c r="M32" s="140" t="e">
        <f t="shared" si="1"/>
        <v>#DIV/0!</v>
      </c>
      <c r="N32" s="141" t="e">
        <f t="shared" si="2"/>
        <v>#DIV/0!</v>
      </c>
    </row>
    <row r="33" spans="1:14" x14ac:dyDescent="0.2">
      <c r="A33" s="124" t="s">
        <v>156</v>
      </c>
      <c r="B33" s="137"/>
      <c r="C33" s="137"/>
      <c r="D33" s="138"/>
      <c r="E33" s="138"/>
      <c r="F33" s="138"/>
      <c r="G33" s="131"/>
      <c r="H33" s="131"/>
      <c r="I33" s="139"/>
      <c r="J33" s="140" t="e">
        <f t="shared" si="3"/>
        <v>#DIV/0!</v>
      </c>
      <c r="L33" s="140" t="e">
        <f t="shared" si="0"/>
        <v>#DIV/0!</v>
      </c>
      <c r="M33" s="140" t="e">
        <f t="shared" si="1"/>
        <v>#DIV/0!</v>
      </c>
      <c r="N33" s="141" t="e">
        <f t="shared" si="2"/>
        <v>#DIV/0!</v>
      </c>
    </row>
    <row r="34" spans="1:14" x14ac:dyDescent="0.2">
      <c r="A34" s="124" t="s">
        <v>157</v>
      </c>
      <c r="B34" s="137"/>
      <c r="C34" s="137"/>
      <c r="D34" s="138"/>
      <c r="E34" s="138"/>
      <c r="F34" s="138"/>
      <c r="G34" s="131"/>
      <c r="H34" s="131"/>
      <c r="I34" s="139"/>
      <c r="J34" s="140" t="e">
        <f t="shared" si="3"/>
        <v>#DIV/0!</v>
      </c>
      <c r="L34" s="140" t="e">
        <f t="shared" si="0"/>
        <v>#DIV/0!</v>
      </c>
      <c r="M34" s="140" t="e">
        <f t="shared" si="1"/>
        <v>#DIV/0!</v>
      </c>
      <c r="N34" s="141" t="e">
        <f t="shared" si="2"/>
        <v>#DIV/0!</v>
      </c>
    </row>
    <row r="35" spans="1:14" x14ac:dyDescent="0.2">
      <c r="A35" s="124" t="s">
        <v>146</v>
      </c>
      <c r="B35" s="137"/>
      <c r="C35" s="137"/>
      <c r="D35" s="138"/>
      <c r="E35" s="138"/>
      <c r="F35" s="138"/>
      <c r="G35" s="131" t="e">
        <f>KpRFRad*D35*Nfl/(B35^2)+$C$7*D35*Nrad/(B35^2)</f>
        <v>#DIV/0!</v>
      </c>
      <c r="H35" s="131" t="e">
        <f>E35/(G35*F35)</f>
        <v>#DIV/0!</v>
      </c>
      <c r="I35" s="139" t="e">
        <f>LN((H35^(-$L$8)+$M$8)/(1+$M$8))/$N$8</f>
        <v>#DIV/0!</v>
      </c>
      <c r="J35" s="140" t="e">
        <f>(KsRadTableL/C35^2+KsRadTableSS/B35^2)*Nrad+(KsRFRadL/C35^2+KsRFRadSS/C35^2)*Nfl</f>
        <v>#DIV/0!</v>
      </c>
      <c r="L35" s="140" t="e">
        <f t="shared" si="0"/>
        <v>#DIV/0!</v>
      </c>
      <c r="M35" s="140" t="e">
        <f t="shared" si="1"/>
        <v>#DIV/0!</v>
      </c>
      <c r="N35" s="141" t="e">
        <f>LN((M35^(-$L$20)+$M$20)/(1+$M$20))/$N$20</f>
        <v>#DIV/0!</v>
      </c>
    </row>
    <row r="36" spans="1:14" x14ac:dyDescent="0.2">
      <c r="A36" s="124" t="s">
        <v>150</v>
      </c>
      <c r="B36" s="137"/>
      <c r="C36" s="137"/>
      <c r="D36" s="138"/>
      <c r="E36" s="138"/>
      <c r="F36" s="138"/>
      <c r="G36" s="131"/>
      <c r="H36" s="131"/>
      <c r="I36" s="139"/>
      <c r="J36" s="140" t="e">
        <f>(KsRadTableL/C36^2+KsRadTableSS/B36^2)*Nrad+(KsRFRadL/C36^2+KsRFRadSS/C36^2)*Nfl</f>
        <v>#DIV/0!</v>
      </c>
      <c r="L36" s="140" t="e">
        <f t="shared" si="0"/>
        <v>#DIV/0!</v>
      </c>
      <c r="M36" s="140" t="e">
        <f t="shared" si="1"/>
        <v>#DIV/0!</v>
      </c>
      <c r="N36" s="141" t="e">
        <f>LN((M36^(-$L$20)+$M$20)/(1+$M$20))/$N$20</f>
        <v>#DIV/0!</v>
      </c>
    </row>
    <row r="37" spans="1:14" x14ac:dyDescent="0.2">
      <c r="J37" s="126"/>
    </row>
    <row r="38" spans="1:14" x14ac:dyDescent="0.2">
      <c r="B38" s="124" t="s">
        <v>158</v>
      </c>
      <c r="C38" s="124" t="s">
        <v>137</v>
      </c>
      <c r="D38" s="124" t="s">
        <v>138</v>
      </c>
      <c r="E38" s="124" t="s">
        <v>62</v>
      </c>
      <c r="F38" s="124" t="s">
        <v>73</v>
      </c>
      <c r="G38" s="124" t="s">
        <v>139</v>
      </c>
      <c r="H38" s="124" t="s">
        <v>140</v>
      </c>
      <c r="I38" s="124" t="s">
        <v>141</v>
      </c>
      <c r="J38" s="135" t="s">
        <v>142</v>
      </c>
      <c r="K38" s="142"/>
    </row>
    <row r="39" spans="1:14" x14ac:dyDescent="0.2">
      <c r="A39" s="124" t="str">
        <f t="shared" ref="A39:A51" si="4">A24</f>
        <v>Wall A</v>
      </c>
      <c r="B39" s="137"/>
      <c r="C39" s="137"/>
      <c r="D39" s="138"/>
      <c r="E39" s="138"/>
      <c r="F39" s="138"/>
      <c r="G39" s="131"/>
      <c r="H39" s="131"/>
      <c r="I39" s="131"/>
      <c r="J39" s="143" t="e">
        <f>(KsRadWallL+KsRadWallSS)*Nrad/(B39^2)+(KsRFRadL+KsRFRadSS)*Nfl/(B39^2)</f>
        <v>#DIV/0!</v>
      </c>
      <c r="K39" s="144"/>
    </row>
    <row r="40" spans="1:14" x14ac:dyDescent="0.2">
      <c r="A40" s="124" t="str">
        <f t="shared" si="4"/>
        <v>Door A</v>
      </c>
      <c r="B40" s="137"/>
      <c r="C40" s="137"/>
      <c r="D40" s="138"/>
      <c r="E40" s="138"/>
      <c r="F40" s="138"/>
      <c r="G40" s="131"/>
      <c r="H40" s="131"/>
      <c r="I40" s="131"/>
      <c r="J40" s="143" t="e">
        <f>(KsRadWallL+KsRadWallSS)*Nrad/(B40^2)+(KsRFRadL+KsRFRadSS)*Nfl/(B40^2)</f>
        <v>#DIV/0!</v>
      </c>
      <c r="K40" s="144"/>
    </row>
    <row r="41" spans="1:14" x14ac:dyDescent="0.2">
      <c r="A41" s="124" t="str">
        <f t="shared" si="4"/>
        <v>Wall B</v>
      </c>
      <c r="B41" s="137"/>
      <c r="C41" s="137"/>
      <c r="D41" s="138"/>
      <c r="E41" s="138"/>
      <c r="F41" s="138"/>
      <c r="G41" s="131" t="e">
        <f>KpRadWall*Nrad*D41/(B41^2)</f>
        <v>#DIV/0!</v>
      </c>
      <c r="H41" s="131" t="e">
        <f>E41/(G41*F41)</f>
        <v>#DIV/0!</v>
      </c>
      <c r="I41" s="131" t="e">
        <f>LN((H41^(-$L$7)+$M$7)/(1+$M$7))/$N$7</f>
        <v>#DIV/0!</v>
      </c>
      <c r="J41" s="143" t="e">
        <f>(KsRadWallL/C41^2+KsRadWallFB/B41^2)*Nrad+(KsRFRadL/C41^2+KsRFRadFB/B41^2)*Nfl</f>
        <v>#DIV/0!</v>
      </c>
      <c r="K41" s="144"/>
    </row>
    <row r="42" spans="1:14" x14ac:dyDescent="0.2">
      <c r="A42" s="124" t="str">
        <f t="shared" si="4"/>
        <v>Wall C</v>
      </c>
      <c r="B42" s="137"/>
      <c r="C42" s="137"/>
      <c r="D42" s="138"/>
      <c r="E42" s="138"/>
      <c r="F42" s="138"/>
      <c r="G42" s="131"/>
      <c r="H42" s="131"/>
      <c r="I42" s="131"/>
      <c r="J42" s="143" t="e">
        <f>(KsRadWallL+KsRadWallSS)*Nrad/(B42^2)+(KsRFRadL+KsRFRadSS)*Nfl/(B42^2)</f>
        <v>#DIV/0!</v>
      </c>
      <c r="K42" s="144"/>
    </row>
    <row r="43" spans="1:14" x14ac:dyDescent="0.2">
      <c r="A43" s="124" t="str">
        <f t="shared" si="4"/>
        <v>Wall D</v>
      </c>
      <c r="B43" s="137"/>
      <c r="C43" s="137"/>
      <c r="D43" s="138"/>
      <c r="E43" s="138"/>
      <c r="F43" s="138"/>
      <c r="G43" s="131"/>
      <c r="H43" s="131"/>
      <c r="I43" s="131"/>
      <c r="J43" s="143" t="e">
        <f>(KsRadWallL/C43^2+KsRadWallFB/B43^2)*Nrad+(KsRFRadL/C43^2+KsRFRadFB/B43^2)*Nfl</f>
        <v>#DIV/0!</v>
      </c>
      <c r="K43" s="144"/>
    </row>
    <row r="44" spans="1:14" x14ac:dyDescent="0.2">
      <c r="A44" s="124" t="str">
        <f t="shared" si="4"/>
        <v>Door D</v>
      </c>
      <c r="B44" s="137"/>
      <c r="C44" s="137"/>
      <c r="D44" s="138"/>
      <c r="E44" s="138"/>
      <c r="F44" s="138"/>
      <c r="G44" s="131"/>
      <c r="H44" s="131"/>
      <c r="I44" s="131"/>
      <c r="J44" s="143" t="e">
        <f>(KsRadWallL/C44^2+KsRadWallFB/B44^2)*Nrad+(KsRFRadL/C44^2+KsRFRadFB/B44^2)*Nfl</f>
        <v>#DIV/0!</v>
      </c>
      <c r="K44" s="144"/>
    </row>
    <row r="45" spans="1:14" x14ac:dyDescent="0.2">
      <c r="A45" s="124" t="str">
        <f t="shared" si="4"/>
        <v>Wall E</v>
      </c>
      <c r="B45" s="137"/>
      <c r="C45" s="137"/>
      <c r="D45" s="138"/>
      <c r="E45" s="138"/>
      <c r="F45" s="138"/>
      <c r="G45" s="131"/>
      <c r="H45" s="131"/>
      <c r="I45" s="131"/>
      <c r="J45" s="143" t="e">
        <f>(KsRadWallL/C45^2+KsRadWallFB/B45^2)*Nrad+(KsRFRadL/C45^2+KsRFRadFB/B45^2)*Nfl</f>
        <v>#DIV/0!</v>
      </c>
      <c r="K45" s="144"/>
    </row>
    <row r="46" spans="1:14" x14ac:dyDescent="0.2">
      <c r="A46" s="124" t="str">
        <f t="shared" si="4"/>
        <v>Door E1</v>
      </c>
      <c r="B46" s="137"/>
      <c r="C46" s="137"/>
      <c r="D46" s="138"/>
      <c r="E46" s="138"/>
      <c r="F46" s="138"/>
      <c r="G46" s="131"/>
      <c r="H46" s="131"/>
      <c r="I46" s="131"/>
      <c r="J46" s="143" t="e">
        <f>(KsRadWallL/C46^2+KsRadWallFB/B46^2)*Nrad+(KsRFRadL/C46^2+KsRFRadFB/B46^2)*Nfl</f>
        <v>#DIV/0!</v>
      </c>
      <c r="K46" s="144"/>
    </row>
    <row r="47" spans="1:14" x14ac:dyDescent="0.2">
      <c r="A47" s="124" t="str">
        <f t="shared" si="4"/>
        <v>Door E2</v>
      </c>
      <c r="B47" s="137"/>
      <c r="C47" s="137"/>
      <c r="D47" s="138"/>
      <c r="E47" s="138"/>
      <c r="F47" s="138"/>
      <c r="G47" s="131"/>
      <c r="H47" s="131"/>
      <c r="I47" s="131"/>
      <c r="J47" s="143" t="e">
        <f>(KsRadWallL/C47^2+KsRadWallFB/B47^2)*Nrad+(KsRFRadL/C47^2+KsRFRadFB/B47^2)*Nfl</f>
        <v>#DIV/0!</v>
      </c>
      <c r="K47" s="144"/>
    </row>
    <row r="48" spans="1:14" x14ac:dyDescent="0.2">
      <c r="A48" s="124" t="str">
        <f t="shared" si="4"/>
        <v>Control Wall</v>
      </c>
      <c r="B48" s="137"/>
      <c r="C48" s="137"/>
      <c r="D48" s="138"/>
      <c r="E48" s="138"/>
      <c r="F48" s="138"/>
      <c r="G48" s="131"/>
      <c r="H48" s="131"/>
      <c r="I48" s="131"/>
      <c r="J48" s="143" t="e">
        <f>(KsRadWallL+KsRadWallSS)*Nrad/(B48^2)+(KsRFRadL+KsRFRadSS)*Nfl/(B48^2)</f>
        <v>#DIV/0!</v>
      </c>
      <c r="K48" s="144"/>
    </row>
    <row r="49" spans="1:11" x14ac:dyDescent="0.2">
      <c r="A49" s="124" t="str">
        <f t="shared" si="4"/>
        <v>Control Window</v>
      </c>
      <c r="B49" s="137"/>
      <c r="C49" s="137"/>
      <c r="D49" s="138"/>
      <c r="E49" s="138"/>
      <c r="F49" s="138"/>
      <c r="G49" s="131"/>
      <c r="H49" s="131"/>
      <c r="I49" s="131"/>
      <c r="J49" s="143" t="e">
        <f>(KsRadWallL+KsRadWallSS)*Nrad/(B49^2)+(KsRFRadL+KsRFRadSS)*Nfl/(B49^2)</f>
        <v>#DIV/0!</v>
      </c>
      <c r="K49" s="144"/>
    </row>
    <row r="50" spans="1:11" x14ac:dyDescent="0.2">
      <c r="A50" s="124" t="str">
        <f t="shared" si="4"/>
        <v>Floor</v>
      </c>
      <c r="B50" s="137"/>
      <c r="C50" s="137"/>
      <c r="D50" s="138"/>
      <c r="E50" s="138"/>
      <c r="F50" s="138"/>
      <c r="G50" s="131"/>
      <c r="H50" s="131"/>
      <c r="I50" s="131"/>
      <c r="J50" s="143" t="e">
        <f>(KsRadWallL+KsRadWallSS)*Nrad/(B50^2)+(KsRFRadL+KsRFRadSS)*Nfl/(B50^2)</f>
        <v>#DIV/0!</v>
      </c>
      <c r="K50" s="144"/>
    </row>
    <row r="51" spans="1:11" x14ac:dyDescent="0.2">
      <c r="A51" s="124" t="str">
        <f t="shared" si="4"/>
        <v>Ceiling</v>
      </c>
      <c r="B51" s="137"/>
      <c r="C51" s="137"/>
      <c r="D51" s="138"/>
      <c r="E51" s="138"/>
      <c r="F51" s="138"/>
      <c r="G51" s="131"/>
      <c r="H51" s="131"/>
      <c r="I51" s="131"/>
      <c r="J51" s="143" t="e">
        <f>(KsRadWallL+KsRadWallSS)*Nrad/(B51^2)+(KsRFRadL+KsRFRadSS)*Nfl/(B51^2)</f>
        <v>#DIV/0!</v>
      </c>
      <c r="K51" s="144"/>
    </row>
    <row r="52" spans="1:11" x14ac:dyDescent="0.2">
      <c r="J52" s="126"/>
    </row>
    <row r="53" spans="1:11" x14ac:dyDescent="0.2">
      <c r="B53" s="124" t="s">
        <v>159</v>
      </c>
      <c r="C53" s="124" t="s">
        <v>137</v>
      </c>
      <c r="D53" s="124" t="s">
        <v>138</v>
      </c>
      <c r="E53" s="124" t="s">
        <v>62</v>
      </c>
      <c r="F53" s="124" t="s">
        <v>73</v>
      </c>
      <c r="G53" s="124" t="s">
        <v>139</v>
      </c>
      <c r="H53" s="124" t="s">
        <v>140</v>
      </c>
      <c r="I53" s="124" t="s">
        <v>141</v>
      </c>
      <c r="J53" s="135" t="s">
        <v>142</v>
      </c>
      <c r="K53" s="142"/>
    </row>
    <row r="54" spans="1:11" x14ac:dyDescent="0.2">
      <c r="A54" s="124" t="str">
        <f t="shared" ref="A54:A66" si="5">A24</f>
        <v>Wall A</v>
      </c>
      <c r="B54" s="137"/>
      <c r="C54" s="137"/>
      <c r="D54" s="138"/>
      <c r="E54" s="138"/>
      <c r="F54" s="138"/>
      <c r="G54" s="131"/>
      <c r="H54" s="131"/>
      <c r="I54" s="131"/>
      <c r="J54" s="143" t="e">
        <f t="shared" ref="J54:J64" si="6">(KsRFFluoroL+KsRFFluoroSS)*Nfl/(B54^2)</f>
        <v>#DIV/0!</v>
      </c>
      <c r="K54" s="144"/>
    </row>
    <row r="55" spans="1:11" x14ac:dyDescent="0.2">
      <c r="A55" s="124" t="str">
        <f t="shared" si="5"/>
        <v>Door A</v>
      </c>
      <c r="B55" s="137"/>
      <c r="C55" s="137"/>
      <c r="D55" s="138"/>
      <c r="E55" s="138"/>
      <c r="F55" s="138"/>
      <c r="G55" s="131"/>
      <c r="H55" s="131"/>
      <c r="I55" s="131"/>
      <c r="J55" s="143" t="e">
        <f t="shared" si="6"/>
        <v>#DIV/0!</v>
      </c>
      <c r="K55" s="144"/>
    </row>
    <row r="56" spans="1:11" x14ac:dyDescent="0.2">
      <c r="A56" s="124" t="str">
        <f t="shared" si="5"/>
        <v>Wall B</v>
      </c>
      <c r="B56" s="137"/>
      <c r="C56" s="137"/>
      <c r="D56" s="138"/>
      <c r="E56" s="138"/>
      <c r="F56" s="138"/>
      <c r="G56" s="131"/>
      <c r="H56" s="131"/>
      <c r="I56" s="131"/>
      <c r="J56" s="143" t="e">
        <f t="shared" si="6"/>
        <v>#DIV/0!</v>
      </c>
      <c r="K56" s="144"/>
    </row>
    <row r="57" spans="1:11" x14ac:dyDescent="0.2">
      <c r="A57" s="124" t="str">
        <f t="shared" si="5"/>
        <v>Wall C</v>
      </c>
      <c r="B57" s="137"/>
      <c r="C57" s="137"/>
      <c r="D57" s="138"/>
      <c r="E57" s="138"/>
      <c r="F57" s="138"/>
      <c r="G57" s="131"/>
      <c r="H57" s="131"/>
      <c r="I57" s="131"/>
      <c r="J57" s="143" t="e">
        <f t="shared" si="6"/>
        <v>#DIV/0!</v>
      </c>
      <c r="K57" s="144"/>
    </row>
    <row r="58" spans="1:11" x14ac:dyDescent="0.2">
      <c r="A58" s="124" t="str">
        <f t="shared" si="5"/>
        <v>Wall D</v>
      </c>
      <c r="B58" s="137"/>
      <c r="C58" s="137"/>
      <c r="D58" s="138"/>
      <c r="E58" s="138"/>
      <c r="F58" s="138"/>
      <c r="G58" s="131"/>
      <c r="H58" s="131"/>
      <c r="I58" s="131"/>
      <c r="J58" s="143" t="e">
        <f t="shared" si="6"/>
        <v>#DIV/0!</v>
      </c>
      <c r="K58" s="144"/>
    </row>
    <row r="59" spans="1:11" x14ac:dyDescent="0.2">
      <c r="A59" s="124" t="str">
        <f t="shared" si="5"/>
        <v>Door D</v>
      </c>
      <c r="B59" s="137"/>
      <c r="C59" s="137"/>
      <c r="D59" s="138"/>
      <c r="E59" s="138"/>
      <c r="F59" s="138"/>
      <c r="G59" s="131"/>
      <c r="H59" s="131"/>
      <c r="I59" s="131"/>
      <c r="J59" s="143" t="e">
        <f t="shared" si="6"/>
        <v>#DIV/0!</v>
      </c>
      <c r="K59" s="144"/>
    </row>
    <row r="60" spans="1:11" x14ac:dyDescent="0.2">
      <c r="A60" s="124" t="str">
        <f t="shared" si="5"/>
        <v>Wall E</v>
      </c>
      <c r="B60" s="137"/>
      <c r="C60" s="137"/>
      <c r="D60" s="138"/>
      <c r="E60" s="138"/>
      <c r="F60" s="138"/>
      <c r="G60" s="131"/>
      <c r="H60" s="131"/>
      <c r="I60" s="131"/>
      <c r="J60" s="143" t="e">
        <f t="shared" si="6"/>
        <v>#DIV/0!</v>
      </c>
      <c r="K60" s="144"/>
    </row>
    <row r="61" spans="1:11" x14ac:dyDescent="0.2">
      <c r="A61" s="124" t="str">
        <f t="shared" si="5"/>
        <v>Door E1</v>
      </c>
      <c r="B61" s="137"/>
      <c r="C61" s="137"/>
      <c r="D61" s="138"/>
      <c r="E61" s="138"/>
      <c r="F61" s="138"/>
      <c r="G61" s="131"/>
      <c r="H61" s="131"/>
      <c r="I61" s="131"/>
      <c r="J61" s="143" t="e">
        <f t="shared" si="6"/>
        <v>#DIV/0!</v>
      </c>
      <c r="K61" s="144"/>
    </row>
    <row r="62" spans="1:11" x14ac:dyDescent="0.2">
      <c r="A62" s="124" t="str">
        <f t="shared" si="5"/>
        <v>Door E2</v>
      </c>
      <c r="B62" s="137"/>
      <c r="C62" s="137"/>
      <c r="D62" s="138"/>
      <c r="E62" s="138"/>
      <c r="F62" s="138"/>
      <c r="G62" s="131"/>
      <c r="H62" s="131"/>
      <c r="I62" s="131"/>
      <c r="J62" s="143" t="e">
        <f t="shared" si="6"/>
        <v>#DIV/0!</v>
      </c>
      <c r="K62" s="144"/>
    </row>
    <row r="63" spans="1:11" x14ac:dyDescent="0.2">
      <c r="A63" s="124" t="str">
        <f t="shared" si="5"/>
        <v>Control Wall</v>
      </c>
      <c r="B63" s="137"/>
      <c r="C63" s="137"/>
      <c r="D63" s="138"/>
      <c r="E63" s="138"/>
      <c r="F63" s="138"/>
      <c r="G63" s="131"/>
      <c r="H63" s="131"/>
      <c r="I63" s="131"/>
      <c r="J63" s="143" t="e">
        <f t="shared" si="6"/>
        <v>#DIV/0!</v>
      </c>
      <c r="K63" s="144"/>
    </row>
    <row r="64" spans="1:11" x14ac:dyDescent="0.2">
      <c r="A64" s="124" t="str">
        <f t="shared" si="5"/>
        <v>Control Window</v>
      </c>
      <c r="B64" s="137"/>
      <c r="C64" s="137"/>
      <c r="D64" s="138"/>
      <c r="E64" s="138"/>
      <c r="F64" s="138"/>
      <c r="G64" s="131"/>
      <c r="H64" s="131"/>
      <c r="I64" s="131"/>
      <c r="J64" s="143" t="e">
        <f t="shared" si="6"/>
        <v>#DIV/0!</v>
      </c>
      <c r="K64" s="144"/>
    </row>
    <row r="65" spans="1:18" x14ac:dyDescent="0.2">
      <c r="A65" s="124" t="str">
        <f t="shared" si="5"/>
        <v>Floor</v>
      </c>
      <c r="B65" s="137"/>
      <c r="C65" s="137"/>
      <c r="D65" s="138"/>
      <c r="E65" s="138"/>
      <c r="F65" s="138"/>
      <c r="G65" s="131"/>
      <c r="H65" s="131"/>
      <c r="I65" s="131"/>
      <c r="J65" s="143" t="e">
        <f>(KsRFFluoroL/C65^2+KsRFFluoroFB/B65^2)*Nfl</f>
        <v>#DIV/0!</v>
      </c>
      <c r="K65" s="144"/>
    </row>
    <row r="66" spans="1:18" x14ac:dyDescent="0.2">
      <c r="A66" s="124" t="str">
        <f t="shared" si="5"/>
        <v>Ceiling</v>
      </c>
      <c r="B66" s="137"/>
      <c r="C66" s="137"/>
      <c r="D66" s="138"/>
      <c r="E66" s="138"/>
      <c r="F66" s="138"/>
      <c r="G66" s="131"/>
      <c r="H66" s="131"/>
      <c r="I66" s="131"/>
      <c r="J66" s="143" t="e">
        <f>(KsRFFluoroL/C66^2+KsRFFluoroFB/B66^2)*Nfl</f>
        <v>#DIV/0!</v>
      </c>
      <c r="K66" s="144"/>
    </row>
    <row r="67" spans="1:18" x14ac:dyDescent="0.2">
      <c r="J67" s="126"/>
    </row>
    <row r="68" spans="1:18" x14ac:dyDescent="0.2">
      <c r="G68" s="124" t="s">
        <v>48</v>
      </c>
      <c r="H68" s="124" t="s">
        <v>50</v>
      </c>
      <c r="J68" s="126"/>
    </row>
    <row r="69" spans="1:18" x14ac:dyDescent="0.2">
      <c r="B69" s="124" t="s">
        <v>160</v>
      </c>
      <c r="C69" s="124" t="s">
        <v>161</v>
      </c>
      <c r="D69" s="124" t="s">
        <v>162</v>
      </c>
      <c r="E69" s="124" t="s">
        <v>142</v>
      </c>
      <c r="F69" s="124" t="s">
        <v>144</v>
      </c>
      <c r="G69" s="124" t="s">
        <v>141</v>
      </c>
      <c r="H69" s="124" t="s">
        <v>141</v>
      </c>
      <c r="J69" s="126"/>
    </row>
    <row r="70" spans="1:18" x14ac:dyDescent="0.2">
      <c r="A70" s="124" t="str">
        <f t="shared" ref="A70:A82" si="7">IF(A24="","",A24)</f>
        <v>Wall A</v>
      </c>
      <c r="B70" s="138"/>
      <c r="C70" s="138"/>
      <c r="D70" s="145" t="e">
        <f>B70*$B$15*(C70^2/B54^2)+12/(B54^2)</f>
        <v>#DIV/0!</v>
      </c>
      <c r="E70" s="140" t="e">
        <f t="shared" ref="E70:E82" si="8">D70*$B$13/1000</f>
        <v>#DIV/0!</v>
      </c>
      <c r="F70" s="140" t="e">
        <f>E24/(F24*E70)</f>
        <v>#DIV/0!</v>
      </c>
      <c r="G70" s="145" t="e">
        <f t="shared" ref="G70:G82" si="9">LN((F70^(-$L$11)+($K$11/$J$11))/(1+($K$11/$J$11)))/($J$11*$L$11)</f>
        <v>#DIV/0!</v>
      </c>
      <c r="H70" s="146"/>
      <c r="I70" s="147" t="e">
        <f t="shared" ref="I70:I82" si="10">LOOKUP(G70,mm_value,minimum_Pb)</f>
        <v>#DIV/0!</v>
      </c>
      <c r="J70" s="126"/>
    </row>
    <row r="71" spans="1:18" x14ac:dyDescent="0.2">
      <c r="A71" s="124" t="str">
        <f t="shared" si="7"/>
        <v>Door A</v>
      </c>
      <c r="B71" s="138"/>
      <c r="C71" s="138"/>
      <c r="D71" s="145" t="e">
        <f>B71*$B$15*(C71^2/B55^2)+12/(B55^2)</f>
        <v>#DIV/0!</v>
      </c>
      <c r="E71" s="140" t="e">
        <f t="shared" si="8"/>
        <v>#DIV/0!</v>
      </c>
      <c r="F71" s="140" t="e">
        <f>E25/(F25*E71)</f>
        <v>#DIV/0!</v>
      </c>
      <c r="G71" s="145" t="e">
        <f t="shared" si="9"/>
        <v>#DIV/0!</v>
      </c>
      <c r="H71" s="146"/>
      <c r="I71" s="147" t="e">
        <f t="shared" si="10"/>
        <v>#DIV/0!</v>
      </c>
      <c r="J71" s="126"/>
    </row>
    <row r="72" spans="1:18" x14ac:dyDescent="0.2">
      <c r="A72" s="124" t="str">
        <f t="shared" si="7"/>
        <v>Wall B</v>
      </c>
      <c r="B72" s="138"/>
      <c r="C72" s="138"/>
      <c r="D72" s="145" t="e">
        <f>B72*$B$15*(C72^2/B56^2)+12/(B56^2)</f>
        <v>#DIV/0!</v>
      </c>
      <c r="E72" s="140" t="e">
        <f t="shared" si="8"/>
        <v>#DIV/0!</v>
      </c>
      <c r="F72" s="140" t="e">
        <f>E26/(F26*E72)</f>
        <v>#DIV/0!</v>
      </c>
      <c r="G72" s="145" t="e">
        <f t="shared" si="9"/>
        <v>#DIV/0!</v>
      </c>
      <c r="H72" s="146"/>
      <c r="I72" s="147" t="e">
        <f t="shared" si="10"/>
        <v>#DIV/0!</v>
      </c>
      <c r="J72" s="126"/>
    </row>
    <row r="73" spans="1:18" x14ac:dyDescent="0.2">
      <c r="A73" s="124" t="str">
        <f t="shared" si="7"/>
        <v>Wall C</v>
      </c>
      <c r="B73" s="138"/>
      <c r="C73" s="138"/>
      <c r="D73" s="145" t="e">
        <f>B73*$B$15*(C73^2/B57^2)+12/(B57^2)</f>
        <v>#DIV/0!</v>
      </c>
      <c r="E73" s="140" t="e">
        <f t="shared" si="8"/>
        <v>#DIV/0!</v>
      </c>
      <c r="F73" s="140" t="e">
        <f>E27/(F27*E73)</f>
        <v>#DIV/0!</v>
      </c>
      <c r="G73" s="145" t="e">
        <f t="shared" si="9"/>
        <v>#DIV/0!</v>
      </c>
      <c r="H73" s="146"/>
      <c r="I73" s="147" t="e">
        <f t="shared" si="10"/>
        <v>#DIV/0!</v>
      </c>
      <c r="J73" s="126"/>
    </row>
    <row r="74" spans="1:18" x14ac:dyDescent="0.2">
      <c r="A74" s="124" t="str">
        <f t="shared" si="7"/>
        <v>Wall D</v>
      </c>
      <c r="B74" s="138"/>
      <c r="C74" s="138"/>
      <c r="D74" s="145" t="e">
        <f>B74*$B$15*(C74^2/B60^2)+12/(B60^2)</f>
        <v>#DIV/0!</v>
      </c>
      <c r="E74" s="140" t="e">
        <f t="shared" si="8"/>
        <v>#DIV/0!</v>
      </c>
      <c r="F74" s="140" t="e">
        <f>E30/(F30*E74)</f>
        <v>#DIV/0!</v>
      </c>
      <c r="G74" s="145" t="e">
        <f t="shared" si="9"/>
        <v>#DIV/0!</v>
      </c>
      <c r="H74" s="146"/>
      <c r="I74" s="147" t="e">
        <f t="shared" si="10"/>
        <v>#DIV/0!</v>
      </c>
      <c r="J74" s="126"/>
    </row>
    <row r="75" spans="1:18" x14ac:dyDescent="0.2">
      <c r="A75" s="124" t="str">
        <f t="shared" si="7"/>
        <v>Door D</v>
      </c>
      <c r="B75" s="138"/>
      <c r="C75" s="138"/>
      <c r="D75" s="145" t="e">
        <f>B75*$B$15*(C75^2/B64^2)+12/(B64^2)</f>
        <v>#DIV/0!</v>
      </c>
      <c r="E75" s="140" t="e">
        <f t="shared" si="8"/>
        <v>#DIV/0!</v>
      </c>
      <c r="F75" s="140" t="e">
        <f>E34/(F34*E75)</f>
        <v>#DIV/0!</v>
      </c>
      <c r="G75" s="145" t="e">
        <f t="shared" si="9"/>
        <v>#DIV/0!</v>
      </c>
      <c r="H75" s="146"/>
      <c r="I75" s="147" t="e">
        <f t="shared" si="10"/>
        <v>#DIV/0!</v>
      </c>
      <c r="J75" s="126"/>
    </row>
    <row r="76" spans="1:18" x14ac:dyDescent="0.2">
      <c r="A76" s="124" t="str">
        <f t="shared" si="7"/>
        <v>Wall E</v>
      </c>
      <c r="B76" s="138"/>
      <c r="C76" s="138"/>
      <c r="D76" s="145" t="e">
        <f>B76*$B$15*(C76^2/B65^2)+12/(B65^2)</f>
        <v>#DIV/0!</v>
      </c>
      <c r="E76" s="140" t="e">
        <f t="shared" si="8"/>
        <v>#DIV/0!</v>
      </c>
      <c r="F76" s="140" t="e">
        <f>E35/(F35*E76)</f>
        <v>#DIV/0!</v>
      </c>
      <c r="G76" s="145" t="e">
        <f t="shared" si="9"/>
        <v>#DIV/0!</v>
      </c>
      <c r="H76" s="146"/>
      <c r="I76" s="147" t="e">
        <f t="shared" si="10"/>
        <v>#DIV/0!</v>
      </c>
      <c r="J76" s="126"/>
    </row>
    <row r="77" spans="1:18" x14ac:dyDescent="0.2">
      <c r="A77" s="124" t="str">
        <f t="shared" si="7"/>
        <v>Door E1</v>
      </c>
      <c r="B77" s="138"/>
      <c r="C77" s="138"/>
      <c r="D77" s="145" t="e">
        <f>B77*$B$15*(C77^2/B66^2)+12/(B66^2)</f>
        <v>#DIV/0!</v>
      </c>
      <c r="E77" s="140" t="e">
        <f t="shared" si="8"/>
        <v>#DIV/0!</v>
      </c>
      <c r="F77" s="140" t="e">
        <f>E36/(F36*E77)</f>
        <v>#DIV/0!</v>
      </c>
      <c r="G77" s="145" t="e">
        <f t="shared" si="9"/>
        <v>#DIV/0!</v>
      </c>
      <c r="H77" s="146"/>
      <c r="I77" s="147" t="e">
        <f t="shared" si="10"/>
        <v>#DIV/0!</v>
      </c>
      <c r="Q77" s="6"/>
      <c r="R77" s="148"/>
    </row>
    <row r="78" spans="1:18" x14ac:dyDescent="0.2">
      <c r="A78" s="124" t="str">
        <f t="shared" si="7"/>
        <v>Door E2</v>
      </c>
      <c r="B78" s="138"/>
      <c r="C78" s="138"/>
      <c r="D78" s="145" t="e">
        <f>B78*$B$15*(C78^2/D68^2)+12/(D68^2)</f>
        <v>#DIV/0!</v>
      </c>
      <c r="E78" s="140" t="e">
        <f t="shared" si="8"/>
        <v>#DIV/0!</v>
      </c>
      <c r="F78" s="140" t="e">
        <f>F68/(G68*E78)</f>
        <v>#VALUE!</v>
      </c>
      <c r="G78" s="145" t="e">
        <f t="shared" si="9"/>
        <v>#VALUE!</v>
      </c>
      <c r="H78" s="146"/>
      <c r="I78" s="147" t="e">
        <f t="shared" si="10"/>
        <v>#VALUE!</v>
      </c>
      <c r="Q78" s="6"/>
      <c r="R78" s="148"/>
    </row>
    <row r="79" spans="1:18" x14ac:dyDescent="0.2">
      <c r="A79" s="124" t="str">
        <f t="shared" si="7"/>
        <v>Control Wall</v>
      </c>
      <c r="B79" s="138"/>
      <c r="C79" s="138"/>
      <c r="D79" s="145" t="e">
        <f>B79*$B$15*(C79^2/D69^2)+12/(D69^2)</f>
        <v>#VALUE!</v>
      </c>
      <c r="E79" s="140" t="e">
        <f t="shared" si="8"/>
        <v>#VALUE!</v>
      </c>
      <c r="F79" s="140" t="e">
        <f>F69/(G69*E79)</f>
        <v>#VALUE!</v>
      </c>
      <c r="G79" s="145" t="e">
        <f t="shared" si="9"/>
        <v>#VALUE!</v>
      </c>
      <c r="H79" s="146"/>
      <c r="I79" s="147" t="e">
        <f t="shared" si="10"/>
        <v>#VALUE!</v>
      </c>
      <c r="Q79" s="6"/>
      <c r="R79" s="148"/>
    </row>
    <row r="80" spans="1:18" x14ac:dyDescent="0.2">
      <c r="A80" s="124" t="str">
        <f t="shared" si="7"/>
        <v>Control Window</v>
      </c>
      <c r="B80" s="138"/>
      <c r="C80" s="138"/>
      <c r="D80" s="145" t="e">
        <f>B80*$B$15*(C80^2/D70^2)+12/(D70^2)</f>
        <v>#DIV/0!</v>
      </c>
      <c r="E80" s="140" t="e">
        <f t="shared" si="8"/>
        <v>#DIV/0!</v>
      </c>
      <c r="F80" s="140" t="e">
        <f>F70/(G70*E80)</f>
        <v>#DIV/0!</v>
      </c>
      <c r="G80" s="145" t="e">
        <f t="shared" si="9"/>
        <v>#DIV/0!</v>
      </c>
      <c r="H80" s="146"/>
      <c r="I80" s="147" t="e">
        <f t="shared" si="10"/>
        <v>#DIV/0!</v>
      </c>
      <c r="Q80" s="6"/>
      <c r="R80" s="148"/>
    </row>
    <row r="81" spans="1:18" x14ac:dyDescent="0.2">
      <c r="A81" s="124" t="str">
        <f t="shared" si="7"/>
        <v>Floor</v>
      </c>
      <c r="B81" s="138"/>
      <c r="C81" s="138"/>
      <c r="D81" s="145" t="e">
        <f>B81*$B$15*(C81^2/D71^2)+12/(D71^2)</f>
        <v>#DIV/0!</v>
      </c>
      <c r="E81" s="140" t="e">
        <f t="shared" si="8"/>
        <v>#DIV/0!</v>
      </c>
      <c r="F81" s="140" t="e">
        <f>F71/(G71*E81)</f>
        <v>#DIV/0!</v>
      </c>
      <c r="G81" s="145" t="e">
        <f t="shared" si="9"/>
        <v>#DIV/0!</v>
      </c>
      <c r="H81" s="146"/>
      <c r="I81" s="147" t="e">
        <f t="shared" si="10"/>
        <v>#DIV/0!</v>
      </c>
      <c r="Q81" s="6"/>
      <c r="R81" s="148"/>
    </row>
    <row r="82" spans="1:18" x14ac:dyDescent="0.2">
      <c r="A82" s="124" t="str">
        <f t="shared" si="7"/>
        <v>Ceiling</v>
      </c>
      <c r="B82" s="138"/>
      <c r="C82" s="138"/>
      <c r="D82" s="145" t="e">
        <f>B82*$B$15*(C82^2/D72^2)+12/(D72^2)</f>
        <v>#DIV/0!</v>
      </c>
      <c r="E82" s="140" t="e">
        <f t="shared" si="8"/>
        <v>#DIV/0!</v>
      </c>
      <c r="F82" s="140" t="e">
        <f>F72/(G72*E82)</f>
        <v>#DIV/0!</v>
      </c>
      <c r="G82" s="145" t="e">
        <f t="shared" si="9"/>
        <v>#DIV/0!</v>
      </c>
      <c r="H82" s="146"/>
      <c r="I82" s="147" t="e">
        <f t="shared" si="10"/>
        <v>#DIV/0!</v>
      </c>
      <c r="Q82" s="6"/>
      <c r="R82" s="148"/>
    </row>
  </sheetData>
  <mergeCells count="7">
    <mergeCell ref="J13:N13"/>
    <mergeCell ref="J17:N17"/>
    <mergeCell ref="B2:C2"/>
    <mergeCell ref="B5:C5"/>
    <mergeCell ref="D5:F5"/>
    <mergeCell ref="J5:N5"/>
    <mergeCell ref="J9:N9"/>
  </mergeCells>
  <pageMargins left="0.7" right="0.7" top="0.75" bottom="0.75" header="0.51180555555555496" footer="0.51180555555555496"/>
  <pageSetup scale="77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44"/>
  <sheetViews>
    <sheetView zoomScaleNormal="100" workbookViewId="0"/>
  </sheetViews>
  <sheetFormatPr defaultColWidth="9.33203125" defaultRowHeight="12.75" x14ac:dyDescent="0.2"/>
  <cols>
    <col min="1" max="14" width="12.83203125" style="149" customWidth="1"/>
    <col min="15" max="16" width="8.6640625" style="149" customWidth="1"/>
    <col min="17" max="17" width="8.6640625" style="150" customWidth="1"/>
    <col min="18" max="18" width="8.6640625" style="151" customWidth="1"/>
    <col min="19" max="20" width="8.6640625" style="149" customWidth="1"/>
    <col min="21" max="22" width="9.33203125" style="149"/>
  </cols>
  <sheetData>
    <row r="1" spans="1:22" x14ac:dyDescent="0.2">
      <c r="A1" s="150" t="s">
        <v>2</v>
      </c>
      <c r="B1" s="151"/>
      <c r="Q1" s="336" t="s">
        <v>163</v>
      </c>
      <c r="R1" s="336"/>
      <c r="U1" s="149" t="s">
        <v>164</v>
      </c>
      <c r="V1" s="149" t="s">
        <v>165</v>
      </c>
    </row>
    <row r="2" spans="1:22" x14ac:dyDescent="0.2">
      <c r="A2" s="150" t="s">
        <v>8</v>
      </c>
      <c r="B2" s="338"/>
      <c r="C2" s="338"/>
      <c r="Q2" s="150" t="s">
        <v>166</v>
      </c>
      <c r="R2" s="151" t="s">
        <v>167</v>
      </c>
      <c r="U2" s="149" t="s">
        <v>131</v>
      </c>
      <c r="V2" s="149" t="s">
        <v>131</v>
      </c>
    </row>
    <row r="3" spans="1:22" x14ac:dyDescent="0.2">
      <c r="A3" s="150" t="s">
        <v>9</v>
      </c>
      <c r="B3" s="151" t="s">
        <v>105</v>
      </c>
      <c r="P3" s="149">
        <v>2019</v>
      </c>
      <c r="Q3" s="150">
        <f>SUM(62,52,69,81,54,66,82,66,55,65,61,35)</f>
        <v>748</v>
      </c>
      <c r="R3" s="151">
        <f>SUM(41,41,53,55,47,69,77,57,38,56,50,49)</f>
        <v>633</v>
      </c>
      <c r="U3" s="149">
        <v>7621.5</v>
      </c>
      <c r="V3" s="149">
        <v>2492</v>
      </c>
    </row>
    <row r="4" spans="1:22" x14ac:dyDescent="0.2">
      <c r="P4" s="149" t="s">
        <v>168</v>
      </c>
      <c r="Q4" s="150">
        <f>Q3/52</f>
        <v>14.384615384615385</v>
      </c>
      <c r="R4" s="151">
        <f>R3/52</f>
        <v>12.173076923076923</v>
      </c>
      <c r="U4" s="149">
        <v>5987.4</v>
      </c>
      <c r="V4" s="149">
        <v>2097</v>
      </c>
    </row>
    <row r="5" spans="1:22" x14ac:dyDescent="0.2">
      <c r="A5" s="149" t="s">
        <v>126</v>
      </c>
      <c r="B5" s="152"/>
      <c r="U5" s="149">
        <v>5016.1000000000004</v>
      </c>
      <c r="V5" s="149">
        <v>893.58</v>
      </c>
    </row>
    <row r="6" spans="1:22" x14ac:dyDescent="0.2">
      <c r="A6" s="149" t="s">
        <v>169</v>
      </c>
      <c r="B6" s="153"/>
      <c r="C6" s="149" t="s">
        <v>131</v>
      </c>
      <c r="D6" s="154" t="str">
        <f>IF(B6="","",B6/VLOOKUP(E6,$P$7:$Q$12,2,FALSE()))</f>
        <v/>
      </c>
      <c r="E6" s="155" t="s">
        <v>170</v>
      </c>
      <c r="P6" s="339" t="s">
        <v>171</v>
      </c>
      <c r="Q6" s="339"/>
      <c r="U6" s="149">
        <v>4706.8999999999996</v>
      </c>
      <c r="V6" s="149">
        <v>1113.0999999999999</v>
      </c>
    </row>
    <row r="7" spans="1:22" x14ac:dyDescent="0.2">
      <c r="A7" s="149" t="s">
        <v>172</v>
      </c>
      <c r="B7" s="153"/>
      <c r="C7" s="149" t="s">
        <v>131</v>
      </c>
      <c r="D7" s="156" t="str">
        <f>IF(B7="","",B7/VLOOKUP(E7,$P$7:$Q$12,2,FALSE()))</f>
        <v/>
      </c>
      <c r="E7" s="155" t="s">
        <v>170</v>
      </c>
      <c r="P7" s="157"/>
      <c r="Q7" s="157" t="s">
        <v>173</v>
      </c>
      <c r="U7" s="149">
        <v>8835</v>
      </c>
      <c r="V7" s="149">
        <v>3051.3</v>
      </c>
    </row>
    <row r="8" spans="1:22" x14ac:dyDescent="0.2">
      <c r="P8" s="157" t="s">
        <v>174</v>
      </c>
      <c r="Q8" s="157">
        <v>0.1</v>
      </c>
      <c r="U8" s="149">
        <v>13859</v>
      </c>
      <c r="V8" s="149">
        <v>3049.1</v>
      </c>
    </row>
    <row r="9" spans="1:22" x14ac:dyDescent="0.2">
      <c r="P9" s="157" t="s">
        <v>175</v>
      </c>
      <c r="Q9" s="157">
        <v>1</v>
      </c>
      <c r="U9" s="149">
        <v>6427.5</v>
      </c>
      <c r="V9" s="149">
        <v>1677.3</v>
      </c>
    </row>
    <row r="10" spans="1:22" ht="25.5" x14ac:dyDescent="0.2">
      <c r="E10" s="336" t="s">
        <v>176</v>
      </c>
      <c r="F10" s="336"/>
      <c r="G10" s="158" t="s">
        <v>177</v>
      </c>
      <c r="H10" s="159" t="s">
        <v>178</v>
      </c>
      <c r="I10" s="336" t="s">
        <v>179</v>
      </c>
      <c r="J10" s="336"/>
      <c r="K10" s="158" t="s">
        <v>177</v>
      </c>
      <c r="L10" s="159" t="s">
        <v>178</v>
      </c>
      <c r="P10" s="157" t="s">
        <v>180</v>
      </c>
      <c r="Q10" s="157">
        <v>10</v>
      </c>
      <c r="U10" s="149">
        <v>5911.4</v>
      </c>
      <c r="V10" s="149">
        <v>960.17</v>
      </c>
    </row>
    <row r="11" spans="1:22" x14ac:dyDescent="0.2">
      <c r="B11" s="149" t="s">
        <v>181</v>
      </c>
      <c r="C11" s="149" t="s">
        <v>182</v>
      </c>
      <c r="D11" s="149" t="s">
        <v>73</v>
      </c>
      <c r="E11" s="149" t="s">
        <v>183</v>
      </c>
      <c r="F11" s="149" t="s">
        <v>184</v>
      </c>
      <c r="G11" s="160"/>
      <c r="H11" s="149" t="s">
        <v>183</v>
      </c>
      <c r="I11" s="149" t="s">
        <v>183</v>
      </c>
      <c r="J11" s="149" t="s">
        <v>184</v>
      </c>
      <c r="K11" s="158"/>
      <c r="L11" s="149" t="s">
        <v>183</v>
      </c>
      <c r="P11" s="157" t="s">
        <v>170</v>
      </c>
      <c r="Q11" s="157">
        <v>100</v>
      </c>
      <c r="U11" s="149">
        <v>13179</v>
      </c>
      <c r="V11" s="149">
        <v>2501.6</v>
      </c>
    </row>
    <row r="12" spans="1:22" x14ac:dyDescent="0.2">
      <c r="A12" s="149" t="s">
        <v>148</v>
      </c>
      <c r="B12" s="161"/>
      <c r="C12" s="162"/>
      <c r="D12" s="162"/>
      <c r="E12" s="162"/>
      <c r="F12" s="162"/>
      <c r="G12" s="163" t="str">
        <f t="shared" ref="G12:G24" si="0">IF(OR(B12="",F12=""),"",(F12/B12)^2)</f>
        <v/>
      </c>
      <c r="H12" s="163" t="str">
        <f t="shared" ref="H12:H24" si="1">IF(E12="","",E12*G12)</f>
        <v/>
      </c>
      <c r="I12" s="164"/>
      <c r="J12" s="162"/>
      <c r="K12" s="163" t="str">
        <f t="shared" ref="K12:K24" si="2">IF(OR(B12="",J12=""),"",(J12/B12)^2)</f>
        <v/>
      </c>
      <c r="L12" s="163" t="str">
        <f t="shared" ref="L12:L24" si="3">IF(I12="","",I12*K12)</f>
        <v/>
      </c>
      <c r="P12" s="157" t="s">
        <v>173</v>
      </c>
      <c r="Q12" s="157">
        <v>1</v>
      </c>
      <c r="U12" s="149">
        <v>4248.3</v>
      </c>
      <c r="V12" s="149">
        <v>696.59</v>
      </c>
    </row>
    <row r="13" spans="1:22" x14ac:dyDescent="0.2">
      <c r="A13" s="149" t="s">
        <v>145</v>
      </c>
      <c r="B13" s="161"/>
      <c r="C13" s="162"/>
      <c r="D13" s="162"/>
      <c r="E13" s="162"/>
      <c r="F13" s="162"/>
      <c r="G13" s="163" t="str">
        <f t="shared" si="0"/>
        <v/>
      </c>
      <c r="H13" s="163" t="str">
        <f t="shared" si="1"/>
        <v/>
      </c>
      <c r="I13" s="164"/>
      <c r="J13" s="162"/>
      <c r="K13" s="163" t="str">
        <f t="shared" si="2"/>
        <v/>
      </c>
      <c r="L13" s="163" t="str">
        <f t="shared" si="3"/>
        <v/>
      </c>
      <c r="U13" s="149">
        <v>3832.8</v>
      </c>
      <c r="V13" s="149">
        <v>560.65</v>
      </c>
    </row>
    <row r="14" spans="1:22" x14ac:dyDescent="0.2">
      <c r="A14" s="149" t="s">
        <v>107</v>
      </c>
      <c r="B14" s="161"/>
      <c r="C14" s="162"/>
      <c r="D14" s="162"/>
      <c r="E14" s="162"/>
      <c r="F14" s="162"/>
      <c r="G14" s="163" t="str">
        <f t="shared" si="0"/>
        <v/>
      </c>
      <c r="H14" s="163" t="str">
        <f t="shared" si="1"/>
        <v/>
      </c>
      <c r="I14" s="164"/>
      <c r="J14" s="162"/>
      <c r="K14" s="163" t="str">
        <f t="shared" si="2"/>
        <v/>
      </c>
      <c r="L14" s="163" t="str">
        <f t="shared" si="3"/>
        <v/>
      </c>
      <c r="O14" s="334" t="s">
        <v>185</v>
      </c>
      <c r="P14" s="334"/>
      <c r="Q14" s="334"/>
      <c r="R14" s="334"/>
      <c r="S14" s="334"/>
      <c r="U14" s="149">
        <v>3873.1</v>
      </c>
      <c r="V14" s="149">
        <v>843.85</v>
      </c>
    </row>
    <row r="15" spans="1:22" x14ac:dyDescent="0.2">
      <c r="A15" s="149" t="s">
        <v>123</v>
      </c>
      <c r="B15" s="161"/>
      <c r="C15" s="162"/>
      <c r="D15" s="162"/>
      <c r="E15" s="162"/>
      <c r="F15" s="162"/>
      <c r="G15" s="163" t="str">
        <f t="shared" si="0"/>
        <v/>
      </c>
      <c r="H15" s="163" t="str">
        <f t="shared" si="1"/>
        <v/>
      </c>
      <c r="I15" s="164"/>
      <c r="J15" s="162"/>
      <c r="K15" s="163" t="str">
        <f t="shared" si="2"/>
        <v/>
      </c>
      <c r="L15" s="163" t="str">
        <f t="shared" si="3"/>
        <v/>
      </c>
      <c r="O15" s="165" t="s">
        <v>40</v>
      </c>
      <c r="P15" s="165" t="s">
        <v>41</v>
      </c>
      <c r="Q15" s="165" t="s">
        <v>42</v>
      </c>
      <c r="R15" s="129" t="s">
        <v>116</v>
      </c>
      <c r="S15" s="129" t="s">
        <v>117</v>
      </c>
      <c r="U15" s="149">
        <v>5724</v>
      </c>
      <c r="V15" s="149">
        <v>1437.3</v>
      </c>
    </row>
    <row r="16" spans="1:22" x14ac:dyDescent="0.2">
      <c r="A16" s="149" t="s">
        <v>186</v>
      </c>
      <c r="B16" s="161"/>
      <c r="C16" s="162"/>
      <c r="D16" s="162"/>
      <c r="E16" s="162"/>
      <c r="F16" s="162"/>
      <c r="G16" s="163" t="str">
        <f t="shared" si="0"/>
        <v/>
      </c>
      <c r="H16" s="163" t="str">
        <f t="shared" si="1"/>
        <v/>
      </c>
      <c r="I16" s="164"/>
      <c r="J16" s="162"/>
      <c r="K16" s="163" t="str">
        <f t="shared" si="2"/>
        <v/>
      </c>
      <c r="L16" s="163" t="str">
        <f t="shared" si="3"/>
        <v/>
      </c>
      <c r="N16" s="149" t="s">
        <v>14</v>
      </c>
      <c r="O16" s="166">
        <v>2.661</v>
      </c>
      <c r="P16" s="166">
        <v>19.54</v>
      </c>
      <c r="Q16" s="166">
        <v>0.50939999999999996</v>
      </c>
      <c r="R16" s="166">
        <v>7.3431040962044296</v>
      </c>
      <c r="S16" s="166">
        <v>1.3555134</v>
      </c>
      <c r="U16" s="149">
        <v>10504</v>
      </c>
      <c r="V16" s="149">
        <v>882.74</v>
      </c>
    </row>
    <row r="17" spans="1:22" x14ac:dyDescent="0.2">
      <c r="A17" s="149" t="s">
        <v>187</v>
      </c>
      <c r="B17" s="161"/>
      <c r="C17" s="162"/>
      <c r="D17" s="162"/>
      <c r="E17" s="162"/>
      <c r="F17" s="162"/>
      <c r="G17" s="163" t="str">
        <f t="shared" si="0"/>
        <v/>
      </c>
      <c r="H17" s="163" t="str">
        <f t="shared" si="1"/>
        <v/>
      </c>
      <c r="I17" s="164"/>
      <c r="J17" s="162"/>
      <c r="K17" s="163" t="str">
        <f t="shared" si="2"/>
        <v/>
      </c>
      <c r="L17" s="163" t="str">
        <f t="shared" si="3"/>
        <v/>
      </c>
      <c r="N17" s="149" t="s">
        <v>50</v>
      </c>
      <c r="O17" s="166">
        <v>4.292E-2</v>
      </c>
      <c r="P17" s="166">
        <v>0.15379999999999999</v>
      </c>
      <c r="Q17" s="166">
        <v>0.42359999999999998</v>
      </c>
      <c r="R17" s="166">
        <v>3.5834109972040999</v>
      </c>
      <c r="S17" s="166">
        <v>1.8180912E-2</v>
      </c>
      <c r="U17" s="149">
        <v>11838</v>
      </c>
      <c r="V17" s="149">
        <v>3431.2</v>
      </c>
    </row>
    <row r="18" spans="1:22" x14ac:dyDescent="0.2">
      <c r="A18" s="149" t="s">
        <v>152</v>
      </c>
      <c r="B18" s="161"/>
      <c r="C18" s="162"/>
      <c r="D18" s="162"/>
      <c r="E18" s="162"/>
      <c r="F18" s="162"/>
      <c r="G18" s="163" t="str">
        <f t="shared" si="0"/>
        <v/>
      </c>
      <c r="H18" s="163" t="str">
        <f t="shared" si="1"/>
        <v/>
      </c>
      <c r="I18" s="164"/>
      <c r="J18" s="162"/>
      <c r="K18" s="163" t="str">
        <f t="shared" si="2"/>
        <v/>
      </c>
      <c r="L18" s="163" t="str">
        <f t="shared" si="3"/>
        <v/>
      </c>
      <c r="U18" s="149">
        <v>6734</v>
      </c>
      <c r="V18" s="149">
        <v>928.06</v>
      </c>
    </row>
    <row r="19" spans="1:22" x14ac:dyDescent="0.2">
      <c r="A19" s="149" t="s">
        <v>156</v>
      </c>
      <c r="B19" s="161"/>
      <c r="C19" s="162"/>
      <c r="D19" s="162"/>
      <c r="E19" s="162"/>
      <c r="F19" s="162"/>
      <c r="G19" s="163" t="str">
        <f t="shared" si="0"/>
        <v/>
      </c>
      <c r="H19" s="163" t="str">
        <f t="shared" si="1"/>
        <v/>
      </c>
      <c r="I19" s="164"/>
      <c r="J19" s="162"/>
      <c r="K19" s="163" t="str">
        <f t="shared" si="2"/>
        <v/>
      </c>
      <c r="L19" s="163" t="str">
        <f t="shared" si="3"/>
        <v/>
      </c>
      <c r="U19" s="149">
        <v>8790.9</v>
      </c>
      <c r="V19" s="149">
        <v>2641.9</v>
      </c>
    </row>
    <row r="20" spans="1:22" x14ac:dyDescent="0.2">
      <c r="A20" s="149" t="s">
        <v>157</v>
      </c>
      <c r="B20" s="161"/>
      <c r="C20" s="162"/>
      <c r="D20" s="162"/>
      <c r="E20" s="162"/>
      <c r="F20" s="162"/>
      <c r="G20" s="163" t="str">
        <f t="shared" si="0"/>
        <v/>
      </c>
      <c r="H20" s="163" t="str">
        <f t="shared" si="1"/>
        <v/>
      </c>
      <c r="I20" s="164"/>
      <c r="J20" s="162"/>
      <c r="K20" s="163" t="str">
        <f t="shared" si="2"/>
        <v/>
      </c>
      <c r="L20" s="163" t="str">
        <f t="shared" si="3"/>
        <v/>
      </c>
      <c r="U20" s="149">
        <v>9545</v>
      </c>
      <c r="V20" s="149">
        <v>2048.1</v>
      </c>
    </row>
    <row r="21" spans="1:22" x14ac:dyDescent="0.2">
      <c r="A21" s="149" t="s">
        <v>146</v>
      </c>
      <c r="B21" s="161"/>
      <c r="C21" s="162"/>
      <c r="D21" s="162"/>
      <c r="E21" s="162"/>
      <c r="F21" s="162"/>
      <c r="G21" s="163" t="str">
        <f t="shared" si="0"/>
        <v/>
      </c>
      <c r="H21" s="163" t="str">
        <f t="shared" si="1"/>
        <v/>
      </c>
      <c r="I21" s="164"/>
      <c r="J21" s="162"/>
      <c r="K21" s="163" t="str">
        <f t="shared" si="2"/>
        <v/>
      </c>
      <c r="L21" s="163" t="str">
        <f t="shared" si="3"/>
        <v/>
      </c>
      <c r="U21" s="149">
        <v>16093</v>
      </c>
      <c r="V21" s="149">
        <v>5085.3999999999996</v>
      </c>
    </row>
    <row r="22" spans="1:22" s="149" customFormat="1" ht="12.75" customHeight="1" x14ac:dyDescent="0.2">
      <c r="A22" s="149" t="s">
        <v>150</v>
      </c>
      <c r="B22" s="161"/>
      <c r="C22" s="162"/>
      <c r="D22" s="162"/>
      <c r="E22" s="162"/>
      <c r="F22" s="162"/>
      <c r="G22" s="163" t="str">
        <f t="shared" si="0"/>
        <v/>
      </c>
      <c r="H22" s="163" t="str">
        <f t="shared" si="1"/>
        <v/>
      </c>
      <c r="I22" s="164"/>
      <c r="J22" s="162"/>
      <c r="K22" s="163" t="str">
        <f t="shared" si="2"/>
        <v/>
      </c>
      <c r="L22" s="163" t="str">
        <f t="shared" si="3"/>
        <v/>
      </c>
      <c r="Q22" s="127"/>
      <c r="U22" s="149">
        <v>6166.3</v>
      </c>
      <c r="V22" s="149">
        <v>1244.5999999999999</v>
      </c>
    </row>
    <row r="23" spans="1:22" x14ac:dyDescent="0.2">
      <c r="A23" s="149" t="s">
        <v>188</v>
      </c>
      <c r="B23" s="161"/>
      <c r="C23" s="162"/>
      <c r="D23" s="162"/>
      <c r="E23" s="162"/>
      <c r="F23" s="162"/>
      <c r="G23" s="163" t="str">
        <f t="shared" si="0"/>
        <v/>
      </c>
      <c r="H23" s="163" t="str">
        <f t="shared" si="1"/>
        <v/>
      </c>
      <c r="I23" s="164"/>
      <c r="J23" s="162"/>
      <c r="K23" s="163" t="str">
        <f t="shared" si="2"/>
        <v/>
      </c>
      <c r="L23" s="163" t="str">
        <f t="shared" si="3"/>
        <v/>
      </c>
      <c r="O23" s="21"/>
      <c r="P23" s="21"/>
      <c r="Q23" s="21"/>
      <c r="R23" s="21"/>
      <c r="U23" s="149">
        <v>1502.5</v>
      </c>
      <c r="V23" s="149">
        <v>177.8</v>
      </c>
    </row>
    <row r="24" spans="1:22" x14ac:dyDescent="0.2">
      <c r="A24" s="149" t="s">
        <v>189</v>
      </c>
      <c r="B24" s="161"/>
      <c r="C24" s="162"/>
      <c r="D24" s="162"/>
      <c r="E24" s="162"/>
      <c r="F24" s="162"/>
      <c r="G24" s="163" t="str">
        <f t="shared" si="0"/>
        <v/>
      </c>
      <c r="H24" s="163" t="str">
        <f t="shared" si="1"/>
        <v/>
      </c>
      <c r="I24" s="164"/>
      <c r="J24" s="162"/>
      <c r="K24" s="163" t="str">
        <f t="shared" si="2"/>
        <v/>
      </c>
      <c r="L24" s="163" t="str">
        <f t="shared" si="3"/>
        <v/>
      </c>
      <c r="O24" s="21"/>
      <c r="P24" s="21"/>
      <c r="Q24" s="21"/>
      <c r="R24" s="21"/>
      <c r="U24" s="149">
        <v>5005.2</v>
      </c>
      <c r="V24" s="149">
        <v>1536.8</v>
      </c>
    </row>
    <row r="25" spans="1:22" x14ac:dyDescent="0.2">
      <c r="O25" s="21"/>
      <c r="P25" s="21"/>
      <c r="Q25" s="21"/>
      <c r="R25" s="21"/>
      <c r="U25" s="149">
        <v>13243</v>
      </c>
      <c r="V25" s="149">
        <v>3494.7</v>
      </c>
    </row>
    <row r="26" spans="1:22" x14ac:dyDescent="0.2">
      <c r="B26" s="149" t="s">
        <v>190</v>
      </c>
      <c r="C26" s="149" t="s">
        <v>191</v>
      </c>
      <c r="O26" s="21"/>
      <c r="P26" s="21"/>
      <c r="Q26" s="21"/>
      <c r="R26" s="21"/>
      <c r="U26" s="149">
        <v>12704</v>
      </c>
      <c r="V26" s="149">
        <v>2879.6</v>
      </c>
    </row>
    <row r="27" spans="1:22" x14ac:dyDescent="0.2">
      <c r="B27" s="149" t="s">
        <v>192</v>
      </c>
      <c r="C27" s="149" t="s">
        <v>192</v>
      </c>
      <c r="O27" s="21"/>
      <c r="P27" s="21"/>
      <c r="Q27" s="21"/>
      <c r="R27" s="21"/>
      <c r="U27" s="149">
        <v>8214.7000000000007</v>
      </c>
      <c r="V27" s="149">
        <v>958.97</v>
      </c>
    </row>
    <row r="28" spans="1:22" x14ac:dyDescent="0.2">
      <c r="B28" s="149" t="s">
        <v>193</v>
      </c>
      <c r="C28" s="149" t="s">
        <v>193</v>
      </c>
      <c r="D28" s="167" t="s">
        <v>194</v>
      </c>
      <c r="E28" s="168" t="s">
        <v>195</v>
      </c>
      <c r="F28" s="149" t="s">
        <v>196</v>
      </c>
      <c r="O28" s="21"/>
      <c r="P28" s="21"/>
      <c r="Q28" s="21"/>
      <c r="R28" s="21"/>
      <c r="U28" s="149">
        <v>5234.7</v>
      </c>
      <c r="V28" s="149">
        <v>1051.5</v>
      </c>
    </row>
    <row r="29" spans="1:22" x14ac:dyDescent="0.2">
      <c r="A29" s="149" t="str">
        <f t="shared" ref="A29:A41" si="4">IF(A12="","",A12)</f>
        <v>Door A</v>
      </c>
      <c r="B29" s="169" t="str">
        <f t="shared" ref="B29:B41" si="5">IF(OR(Nfl="",$D$6=""),"",Nfl*$D$6*H12)</f>
        <v/>
      </c>
      <c r="C29" s="169" t="str">
        <f t="shared" ref="C29:C41" si="6">IF(OR(Nfl="",$D$7=""),"",Nfl*$D$7*L12)</f>
        <v/>
      </c>
      <c r="D29" s="163" t="e">
        <f t="shared" ref="D29:D41" si="7">(C12*1000)/((B29+C29)*D12)</f>
        <v>#VALUE!</v>
      </c>
      <c r="E29" s="169" t="e">
        <f t="shared" ref="E29:E41" si="8">IF(D29&gt;1,0,LN((D29^(-$Q$16)+($P$16/$O$16))/(1+($P$16/$O$16)))/($O$16*$Q$16))</f>
        <v>#VALUE!</v>
      </c>
      <c r="F29" s="169" t="e">
        <f t="shared" ref="F29:F41" si="9">IF(D29&gt;1,0,LN((D29^(-$Q$17)+($P$17/$O$17))/(1+($P$17/$O$17)))/($O$17*$Q$17))</f>
        <v>#VALUE!</v>
      </c>
      <c r="O29" s="21"/>
      <c r="P29" s="21"/>
      <c r="Q29" s="21"/>
      <c r="R29" s="21"/>
      <c r="U29" s="149">
        <v>11894</v>
      </c>
      <c r="V29" s="149">
        <v>3993.2</v>
      </c>
    </row>
    <row r="30" spans="1:22" x14ac:dyDescent="0.2">
      <c r="A30" s="149" t="str">
        <f t="shared" si="4"/>
        <v>Wall A</v>
      </c>
      <c r="B30" s="169" t="str">
        <f t="shared" si="5"/>
        <v/>
      </c>
      <c r="C30" s="169" t="str">
        <f t="shared" si="6"/>
        <v/>
      </c>
      <c r="D30" s="163" t="e">
        <f t="shared" si="7"/>
        <v>#VALUE!</v>
      </c>
      <c r="E30" s="169" t="e">
        <f t="shared" si="8"/>
        <v>#VALUE!</v>
      </c>
      <c r="F30" s="169" t="e">
        <f t="shared" si="9"/>
        <v>#VALUE!</v>
      </c>
      <c r="O30" s="21"/>
      <c r="P30" s="21"/>
      <c r="Q30" s="21"/>
      <c r="R30" s="21"/>
      <c r="U30" s="149">
        <v>8587.4</v>
      </c>
      <c r="V30" s="149">
        <v>2898.7</v>
      </c>
    </row>
    <row r="31" spans="1:22" x14ac:dyDescent="0.2">
      <c r="A31" s="149" t="str">
        <f t="shared" si="4"/>
        <v>Wall B</v>
      </c>
      <c r="B31" s="169" t="str">
        <f t="shared" si="5"/>
        <v/>
      </c>
      <c r="C31" s="169" t="str">
        <f t="shared" si="6"/>
        <v/>
      </c>
      <c r="D31" s="163" t="e">
        <f t="shared" si="7"/>
        <v>#VALUE!</v>
      </c>
      <c r="E31" s="169" t="e">
        <f t="shared" si="8"/>
        <v>#VALUE!</v>
      </c>
      <c r="F31" s="169" t="e">
        <f t="shared" si="9"/>
        <v>#VALUE!</v>
      </c>
      <c r="O31" s="21"/>
      <c r="P31" s="21"/>
      <c r="Q31" s="21"/>
      <c r="R31" s="21"/>
      <c r="U31" s="149">
        <v>4621.7</v>
      </c>
      <c r="V31" s="149">
        <v>1462.4</v>
      </c>
    </row>
    <row r="32" spans="1:22" x14ac:dyDescent="0.2">
      <c r="A32" s="149" t="str">
        <f t="shared" si="4"/>
        <v>Wall C</v>
      </c>
      <c r="B32" s="169" t="str">
        <f t="shared" si="5"/>
        <v/>
      </c>
      <c r="C32" s="169" t="str">
        <f t="shared" si="6"/>
        <v/>
      </c>
      <c r="D32" s="163" t="e">
        <f t="shared" si="7"/>
        <v>#VALUE!</v>
      </c>
      <c r="E32" s="169" t="e">
        <f t="shared" si="8"/>
        <v>#VALUE!</v>
      </c>
      <c r="F32" s="169" t="e">
        <f t="shared" si="9"/>
        <v>#VALUE!</v>
      </c>
      <c r="O32" s="21"/>
      <c r="P32" s="21"/>
      <c r="Q32" s="21"/>
      <c r="R32" s="21"/>
      <c r="U32" s="149">
        <v>20430</v>
      </c>
      <c r="V32" s="149">
        <v>8160.9</v>
      </c>
    </row>
    <row r="33" spans="1:22" x14ac:dyDescent="0.2">
      <c r="A33" s="149" t="str">
        <f t="shared" si="4"/>
        <v>Wall D1</v>
      </c>
      <c r="B33" s="169" t="str">
        <f t="shared" si="5"/>
        <v/>
      </c>
      <c r="C33" s="169" t="str">
        <f t="shared" si="6"/>
        <v/>
      </c>
      <c r="D33" s="163" t="e">
        <f t="shared" si="7"/>
        <v>#VALUE!</v>
      </c>
      <c r="E33" s="169" t="e">
        <f t="shared" si="8"/>
        <v>#VALUE!</v>
      </c>
      <c r="F33" s="169" t="e">
        <f t="shared" si="9"/>
        <v>#VALUE!</v>
      </c>
      <c r="O33" s="21"/>
      <c r="P33" s="21"/>
      <c r="Q33" s="21"/>
      <c r="R33" s="21"/>
      <c r="U33" s="149">
        <v>6328</v>
      </c>
      <c r="V33" s="149">
        <v>1524.2</v>
      </c>
    </row>
    <row r="34" spans="1:22" x14ac:dyDescent="0.2">
      <c r="A34" s="149" t="str">
        <f t="shared" si="4"/>
        <v>Wall D2</v>
      </c>
      <c r="B34" s="169" t="str">
        <f t="shared" si="5"/>
        <v/>
      </c>
      <c r="C34" s="169" t="str">
        <f t="shared" si="6"/>
        <v/>
      </c>
      <c r="D34" s="163" t="e">
        <f t="shared" si="7"/>
        <v>#VALUE!</v>
      </c>
      <c r="E34" s="169" t="e">
        <f t="shared" si="8"/>
        <v>#VALUE!</v>
      </c>
      <c r="F34" s="169" t="e">
        <f t="shared" si="9"/>
        <v>#VALUE!</v>
      </c>
      <c r="O34" s="21"/>
      <c r="P34" s="21"/>
      <c r="Q34" s="21"/>
      <c r="R34" s="21"/>
      <c r="U34" s="149">
        <v>9629.7999999999993</v>
      </c>
      <c r="V34" s="149">
        <v>1848.5</v>
      </c>
    </row>
    <row r="35" spans="1:22" x14ac:dyDescent="0.2">
      <c r="A35" s="149" t="str">
        <f t="shared" si="4"/>
        <v>Door D</v>
      </c>
      <c r="B35" s="169" t="str">
        <f t="shared" si="5"/>
        <v/>
      </c>
      <c r="C35" s="169" t="str">
        <f t="shared" si="6"/>
        <v/>
      </c>
      <c r="D35" s="163" t="e">
        <f t="shared" si="7"/>
        <v>#VALUE!</v>
      </c>
      <c r="E35" s="169" t="e">
        <f t="shared" si="8"/>
        <v>#VALUE!</v>
      </c>
      <c r="F35" s="169" t="e">
        <f t="shared" si="9"/>
        <v>#VALUE!</v>
      </c>
      <c r="O35" s="21"/>
      <c r="P35" s="21"/>
      <c r="Q35" s="21"/>
      <c r="R35" s="21"/>
      <c r="U35" s="149">
        <v>22434</v>
      </c>
      <c r="V35" s="149">
        <v>6217.6</v>
      </c>
    </row>
    <row r="36" spans="1:22" x14ac:dyDescent="0.2">
      <c r="A36" s="149" t="str">
        <f t="shared" si="4"/>
        <v>Control Wall</v>
      </c>
      <c r="B36" s="169" t="str">
        <f t="shared" si="5"/>
        <v/>
      </c>
      <c r="C36" s="169" t="str">
        <f t="shared" si="6"/>
        <v/>
      </c>
      <c r="D36" s="163" t="e">
        <f t="shared" si="7"/>
        <v>#VALUE!</v>
      </c>
      <c r="E36" s="169" t="e">
        <f t="shared" si="8"/>
        <v>#VALUE!</v>
      </c>
      <c r="F36" s="169" t="e">
        <f t="shared" si="9"/>
        <v>#VALUE!</v>
      </c>
      <c r="O36" s="21"/>
      <c r="P36" s="21"/>
      <c r="Q36" s="21"/>
      <c r="R36" s="21"/>
      <c r="U36" s="149">
        <v>2592</v>
      </c>
      <c r="V36" s="149">
        <v>454.73</v>
      </c>
    </row>
    <row r="37" spans="1:22" x14ac:dyDescent="0.2">
      <c r="A37" s="149" t="str">
        <f t="shared" si="4"/>
        <v>Control Window</v>
      </c>
      <c r="B37" s="169" t="str">
        <f t="shared" si="5"/>
        <v/>
      </c>
      <c r="C37" s="169" t="str">
        <f t="shared" si="6"/>
        <v/>
      </c>
      <c r="D37" s="163" t="e">
        <f t="shared" si="7"/>
        <v>#VALUE!</v>
      </c>
      <c r="E37" s="169" t="e">
        <f t="shared" si="8"/>
        <v>#VALUE!</v>
      </c>
      <c r="F37" s="169" t="e">
        <f t="shared" si="9"/>
        <v>#VALUE!</v>
      </c>
      <c r="L37" s="151"/>
      <c r="U37" s="149">
        <v>5027.5</v>
      </c>
      <c r="V37" s="149">
        <v>1371.9</v>
      </c>
    </row>
    <row r="38" spans="1:22" x14ac:dyDescent="0.2">
      <c r="A38" s="149" t="str">
        <f t="shared" si="4"/>
        <v>Floor</v>
      </c>
      <c r="B38" s="169" t="str">
        <f t="shared" si="5"/>
        <v/>
      </c>
      <c r="C38" s="169" t="str">
        <f t="shared" si="6"/>
        <v/>
      </c>
      <c r="D38" s="163" t="e">
        <f t="shared" si="7"/>
        <v>#VALUE!</v>
      </c>
      <c r="E38" s="169" t="e">
        <f t="shared" si="8"/>
        <v>#VALUE!</v>
      </c>
      <c r="F38" s="169" t="e">
        <f t="shared" si="9"/>
        <v>#VALUE!</v>
      </c>
      <c r="K38" s="21"/>
      <c r="L38" s="21"/>
      <c r="M38" s="21"/>
      <c r="N38" s="21"/>
      <c r="U38" s="149">
        <v>7905.4</v>
      </c>
      <c r="V38" s="149">
        <v>2938.1</v>
      </c>
    </row>
    <row r="39" spans="1:22" x14ac:dyDescent="0.2">
      <c r="A39" s="149" t="str">
        <f t="shared" si="4"/>
        <v>Ceiling</v>
      </c>
      <c r="B39" s="169" t="str">
        <f t="shared" si="5"/>
        <v/>
      </c>
      <c r="C39" s="169" t="str">
        <f t="shared" si="6"/>
        <v/>
      </c>
      <c r="D39" s="163" t="e">
        <f t="shared" si="7"/>
        <v>#VALUE!</v>
      </c>
      <c r="E39" s="169" t="e">
        <f t="shared" si="8"/>
        <v>#VALUE!</v>
      </c>
      <c r="F39" s="169" t="e">
        <f t="shared" si="9"/>
        <v>#VALUE!</v>
      </c>
      <c r="K39" s="21"/>
      <c r="L39" s="21"/>
      <c r="M39" s="21"/>
      <c r="N39" s="21"/>
      <c r="U39" s="149">
        <v>7703.7</v>
      </c>
      <c r="V39" s="149">
        <v>2274.1</v>
      </c>
    </row>
    <row r="40" spans="1:22" x14ac:dyDescent="0.2">
      <c r="A40" s="149" t="str">
        <f t="shared" si="4"/>
        <v>Wall B Offices</v>
      </c>
      <c r="B40" s="169" t="str">
        <f t="shared" si="5"/>
        <v/>
      </c>
      <c r="C40" s="169" t="str">
        <f t="shared" si="6"/>
        <v/>
      </c>
      <c r="D40" s="163" t="e">
        <f t="shared" si="7"/>
        <v>#VALUE!</v>
      </c>
      <c r="E40" s="169" t="e">
        <f t="shared" si="8"/>
        <v>#VALUE!</v>
      </c>
      <c r="F40" s="169" t="e">
        <f t="shared" si="9"/>
        <v>#VALUE!</v>
      </c>
      <c r="K40" s="21"/>
      <c r="L40" s="21"/>
      <c r="M40" s="21"/>
      <c r="N40" s="21"/>
    </row>
    <row r="41" spans="1:22" x14ac:dyDescent="0.2">
      <c r="A41" s="149" t="str">
        <f t="shared" si="4"/>
        <v>Wall C Offices</v>
      </c>
      <c r="B41" s="169" t="str">
        <f t="shared" si="5"/>
        <v/>
      </c>
      <c r="C41" s="169" t="str">
        <f t="shared" si="6"/>
        <v/>
      </c>
      <c r="D41" s="163" t="e">
        <f t="shared" si="7"/>
        <v>#VALUE!</v>
      </c>
      <c r="E41" s="169" t="e">
        <f t="shared" si="8"/>
        <v>#VALUE!</v>
      </c>
      <c r="F41" s="169" t="e">
        <f t="shared" si="9"/>
        <v>#VALUE!</v>
      </c>
      <c r="K41" s="21"/>
      <c r="L41" s="21"/>
      <c r="M41" s="21"/>
      <c r="N41" s="21"/>
      <c r="U41" s="149">
        <f>AVERAGE(U3:U39)</f>
        <v>8431.1027027027048</v>
      </c>
      <c r="V41" s="149">
        <f>AVERAGE(V3:V39)</f>
        <v>2185.9254054054054</v>
      </c>
    </row>
    <row r="42" spans="1:22" x14ac:dyDescent="0.2">
      <c r="K42" s="21"/>
      <c r="L42" s="21"/>
      <c r="M42" s="21"/>
      <c r="N42" s="21"/>
      <c r="U42" s="149">
        <f>STDEV(U3:U39)</f>
        <v>4642.1016557090679</v>
      </c>
      <c r="V42" s="149">
        <f>STDEV(V3:V39)</f>
        <v>1652.6720630502098</v>
      </c>
    </row>
    <row r="43" spans="1:22" x14ac:dyDescent="0.2">
      <c r="K43" s="21"/>
      <c r="L43" s="21"/>
      <c r="M43" s="21"/>
      <c r="N43" s="21"/>
      <c r="U43" s="149">
        <f>MEDIAN(U3:U39)</f>
        <v>7621.5</v>
      </c>
      <c r="V43" s="149">
        <f>MEDIAN(V3:V39)</f>
        <v>1677.3</v>
      </c>
    </row>
    <row r="44" spans="1:22" x14ac:dyDescent="0.2">
      <c r="K44" s="21"/>
      <c r="L44" s="21"/>
      <c r="M44" s="21"/>
      <c r="N44" s="21"/>
      <c r="U44" s="149">
        <f>PERCENTILE(U3:U39,0.9)</f>
        <v>13489.4</v>
      </c>
      <c r="V44" s="149">
        <f>PERCENTILE(V3:V39,0.9)</f>
        <v>3694.099999999999</v>
      </c>
    </row>
  </sheetData>
  <mergeCells count="6">
    <mergeCell ref="O14:S14"/>
    <mergeCell ref="Q1:R1"/>
    <mergeCell ref="B2:C2"/>
    <mergeCell ref="P6:Q6"/>
    <mergeCell ref="E10:F10"/>
    <mergeCell ref="I10:J10"/>
  </mergeCells>
  <dataValidations count="1">
    <dataValidation type="list" allowBlank="1" showInputMessage="1" showErrorMessage="1" sqref="E6:E7" xr:uid="{00000000-0002-0000-0200-000000000000}">
      <formula1>$P$8:$P$12</formula1>
      <formula2>0</formula2>
    </dataValidation>
  </dataValidations>
  <pageMargins left="0.7" right="0.7" top="0.75" bottom="0.75" header="0.51180555555555496" footer="0.51180555555555496"/>
  <pageSetup firstPageNumber="0" fitToHeight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76"/>
  <sheetViews>
    <sheetView zoomScaleNormal="100" workbookViewId="0"/>
  </sheetViews>
  <sheetFormatPr defaultColWidth="9.33203125" defaultRowHeight="12.75" x14ac:dyDescent="0.2"/>
  <cols>
    <col min="1" max="1" width="16.83203125" style="170" customWidth="1"/>
    <col min="2" max="2" width="12.5" style="170" customWidth="1"/>
    <col min="3" max="3" width="12.1640625" style="170" customWidth="1"/>
    <col min="4" max="4" width="11" style="170" customWidth="1"/>
    <col min="5" max="5" width="12.6640625" style="170" customWidth="1"/>
    <col min="6" max="11" width="10.6640625" style="170" customWidth="1"/>
    <col min="12" max="12" width="11.83203125" style="170" customWidth="1"/>
    <col min="13" max="13" width="12.6640625" style="170" customWidth="1"/>
    <col min="14" max="14" width="9.33203125" style="170"/>
  </cols>
  <sheetData>
    <row r="1" spans="1:14" x14ac:dyDescent="0.2">
      <c r="A1" s="170" t="s">
        <v>197</v>
      </c>
      <c r="B1" s="171">
        <v>3.3170000000000003E-5</v>
      </c>
      <c r="C1" s="170" t="s">
        <v>198</v>
      </c>
      <c r="H1" s="172"/>
      <c r="L1" s="172" t="s">
        <v>199</v>
      </c>
    </row>
    <row r="2" spans="1:14" x14ac:dyDescent="0.2">
      <c r="A2" s="170" t="s">
        <v>200</v>
      </c>
      <c r="B2" s="170">
        <v>20</v>
      </c>
      <c r="C2" s="170" t="s">
        <v>201</v>
      </c>
      <c r="L2" s="170" t="s">
        <v>202</v>
      </c>
      <c r="M2" s="170" t="s">
        <v>203</v>
      </c>
    </row>
    <row r="3" spans="1:14" x14ac:dyDescent="0.2">
      <c r="A3" s="170" t="s">
        <v>204</v>
      </c>
      <c r="B3" s="170">
        <f>NDAY*5</f>
        <v>100</v>
      </c>
      <c r="C3" s="170" t="s">
        <v>205</v>
      </c>
      <c r="L3" s="173">
        <v>30</v>
      </c>
      <c r="M3" s="173">
        <f>L3*37</f>
        <v>1110</v>
      </c>
      <c r="N3" s="170" t="s">
        <v>206</v>
      </c>
    </row>
    <row r="4" spans="1:14" x14ac:dyDescent="0.2">
      <c r="L4" s="174">
        <f>L3/(2^1)</f>
        <v>15</v>
      </c>
      <c r="M4" s="174">
        <f>M3/(2^1)</f>
        <v>555</v>
      </c>
      <c r="N4" s="170" t="s">
        <v>207</v>
      </c>
    </row>
    <row r="5" spans="1:14" x14ac:dyDescent="0.2">
      <c r="A5" s="175" t="s">
        <v>208</v>
      </c>
      <c r="L5" s="173"/>
      <c r="M5" s="173">
        <v>60</v>
      </c>
      <c r="N5" s="170" t="s">
        <v>209</v>
      </c>
    </row>
    <row r="6" spans="1:14" s="176" customFormat="1" ht="25.5" x14ac:dyDescent="0.2">
      <c r="B6" s="177" t="s">
        <v>210</v>
      </c>
      <c r="C6" s="177" t="s">
        <v>211</v>
      </c>
      <c r="D6" s="177" t="s">
        <v>212</v>
      </c>
      <c r="E6" s="177" t="s">
        <v>213</v>
      </c>
      <c r="L6" s="173">
        <f>L4*1.443*109.8*(1-EXP(-LN(2)*M5/109.8))/M5</f>
        <v>12.488993056193506</v>
      </c>
      <c r="M6" s="173">
        <f>M4*1.443*109.8*(1-EXP(-LN(2)*M5/109.8))/M5</f>
        <v>462.09274307915973</v>
      </c>
      <c r="N6" s="170" t="s">
        <v>214</v>
      </c>
    </row>
    <row r="7" spans="1:14" x14ac:dyDescent="0.2">
      <c r="A7" s="178" t="s">
        <v>215</v>
      </c>
      <c r="B7" s="179">
        <f>M3</f>
        <v>1110</v>
      </c>
      <c r="C7" s="180">
        <v>0.05</v>
      </c>
      <c r="D7" s="179">
        <f t="shared" ref="D7:D14" si="0">B7*C7*40*NWEEK</f>
        <v>222000</v>
      </c>
      <c r="E7" s="181">
        <f t="shared" ref="E7:E14" si="1">D7*$B$1</f>
        <v>7.3637400000000008</v>
      </c>
      <c r="L7" s="173">
        <f>L4*EXP(-LN(2)*M5/109.8)</f>
        <v>10.270556916490195</v>
      </c>
      <c r="M7" s="173">
        <f>M4*EXP(-LN(2)*M5/109.8)</f>
        <v>380.01060591013726</v>
      </c>
      <c r="N7" s="170" t="s">
        <v>216</v>
      </c>
    </row>
    <row r="8" spans="1:14" x14ac:dyDescent="0.2">
      <c r="A8" s="178" t="s">
        <v>217</v>
      </c>
      <c r="B8" s="179">
        <f>M4</f>
        <v>555</v>
      </c>
      <c r="C8" s="180">
        <v>0.2</v>
      </c>
      <c r="D8" s="179">
        <f t="shared" si="0"/>
        <v>444000</v>
      </c>
      <c r="E8" s="181">
        <f t="shared" si="1"/>
        <v>14.727480000000002</v>
      </c>
      <c r="L8" s="173">
        <f>L7*0.85</f>
        <v>8.7299733790166663</v>
      </c>
      <c r="M8" s="173">
        <f>M7*0.85</f>
        <v>323.00901502361666</v>
      </c>
      <c r="N8" s="170" t="s">
        <v>218</v>
      </c>
    </row>
    <row r="9" spans="1:14" x14ac:dyDescent="0.2">
      <c r="A9" s="178" t="s">
        <v>219</v>
      </c>
      <c r="B9" s="179">
        <f>M4</f>
        <v>555</v>
      </c>
      <c r="C9" s="180">
        <v>0.2</v>
      </c>
      <c r="D9" s="179">
        <f t="shared" si="0"/>
        <v>444000</v>
      </c>
      <c r="E9" s="181">
        <f t="shared" si="1"/>
        <v>14.727480000000002</v>
      </c>
      <c r="L9" s="173"/>
      <c r="M9" s="173">
        <v>15</v>
      </c>
      <c r="N9" s="170" t="s">
        <v>220</v>
      </c>
    </row>
    <row r="10" spans="1:14" x14ac:dyDescent="0.2">
      <c r="A10" s="178" t="s">
        <v>221</v>
      </c>
      <c r="B10" s="179">
        <f>M8</f>
        <v>323.00901502361666</v>
      </c>
      <c r="C10" s="180">
        <v>0.4</v>
      </c>
      <c r="D10" s="179">
        <f t="shared" si="0"/>
        <v>516814.42403778672</v>
      </c>
      <c r="E10" s="181">
        <f t="shared" si="1"/>
        <v>17.142734445333389</v>
      </c>
      <c r="L10" s="173">
        <f>L8*1.443*109.8*(1-EXP(-LN(2)*M9/109.8))/M9</f>
        <v>8.3311470022494643</v>
      </c>
      <c r="M10" s="173">
        <f>M8*1.443*109.8*(1-EXP(-LN(2)*M9/109.8))/M9</f>
        <v>308.25243908323023</v>
      </c>
      <c r="N10" s="170" t="s">
        <v>222</v>
      </c>
    </row>
    <row r="11" spans="1:14" x14ac:dyDescent="0.2">
      <c r="A11" s="178" t="s">
        <v>223</v>
      </c>
      <c r="B11" s="179">
        <f>M8</f>
        <v>323.00901502361666</v>
      </c>
      <c r="C11" s="180">
        <v>0.4</v>
      </c>
      <c r="D11" s="179">
        <f t="shared" si="0"/>
        <v>516814.42403778672</v>
      </c>
      <c r="E11" s="181">
        <f t="shared" si="1"/>
        <v>17.142734445333389</v>
      </c>
      <c r="L11" s="173">
        <f>L8*EXP(-LN(2)*M9/109.8)</f>
        <v>7.9412451486820315</v>
      </c>
      <c r="M11" s="173">
        <f>M8*EXP(-LN(2)*M9/109.8)</f>
        <v>293.82607050123517</v>
      </c>
      <c r="N11" s="170" t="s">
        <v>224</v>
      </c>
    </row>
    <row r="12" spans="1:14" x14ac:dyDescent="0.2">
      <c r="A12" s="178" t="s">
        <v>225</v>
      </c>
      <c r="B12" s="179">
        <f>M4</f>
        <v>555</v>
      </c>
      <c r="C12" s="180">
        <v>0.4</v>
      </c>
      <c r="D12" s="179">
        <f t="shared" si="0"/>
        <v>888000</v>
      </c>
      <c r="E12" s="181">
        <f t="shared" si="1"/>
        <v>29.454960000000003</v>
      </c>
    </row>
    <row r="13" spans="1:14" x14ac:dyDescent="0.2">
      <c r="A13" s="178" t="s">
        <v>226</v>
      </c>
      <c r="B13" s="179">
        <f>M7</f>
        <v>380.01060591013726</v>
      </c>
      <c r="C13" s="180">
        <v>0.3</v>
      </c>
      <c r="D13" s="179">
        <f t="shared" si="0"/>
        <v>456012.72709216474</v>
      </c>
      <c r="E13" s="181">
        <f t="shared" si="1"/>
        <v>15.125942157647106</v>
      </c>
    </row>
    <row r="14" spans="1:14" x14ac:dyDescent="0.2">
      <c r="A14" s="178" t="s">
        <v>227</v>
      </c>
      <c r="B14" s="179">
        <f>M6</f>
        <v>462.09274307915973</v>
      </c>
      <c r="C14" s="180">
        <v>0.75</v>
      </c>
      <c r="D14" s="179">
        <f t="shared" si="0"/>
        <v>1386278.2292374792</v>
      </c>
      <c r="E14" s="181">
        <f t="shared" si="1"/>
        <v>45.982848863807185</v>
      </c>
    </row>
    <row r="15" spans="1:14" x14ac:dyDescent="0.2">
      <c r="M15" s="170">
        <v>2.2650000000000001</v>
      </c>
      <c r="N15" s="170" t="s">
        <v>228</v>
      </c>
    </row>
    <row r="16" spans="1:14" x14ac:dyDescent="0.2">
      <c r="A16" s="172" t="s">
        <v>229</v>
      </c>
      <c r="M16" s="170">
        <v>11.34</v>
      </c>
      <c r="N16" s="170" t="s">
        <v>230</v>
      </c>
    </row>
    <row r="17" spans="1:14" x14ac:dyDescent="0.2">
      <c r="B17" s="180" t="s">
        <v>231</v>
      </c>
      <c r="C17" s="180" t="s">
        <v>74</v>
      </c>
      <c r="D17" s="180" t="s">
        <v>232</v>
      </c>
      <c r="E17" s="180" t="s">
        <v>233</v>
      </c>
      <c r="F17" s="180" t="s">
        <v>234</v>
      </c>
      <c r="M17" s="170">
        <f>M15*M16</f>
        <v>25.685100000000002</v>
      </c>
      <c r="N17" s="170" t="s">
        <v>235</v>
      </c>
    </row>
    <row r="18" spans="1:14" x14ac:dyDescent="0.2">
      <c r="A18" s="180">
        <v>1</v>
      </c>
      <c r="B18" s="180" t="s">
        <v>236</v>
      </c>
      <c r="C18" s="180" t="s">
        <v>138</v>
      </c>
      <c r="D18" s="180">
        <v>1</v>
      </c>
      <c r="E18" s="180">
        <f t="shared" ref="E18:E29" si="2">IF(C18="U",0.02,IF(C18="C",0.1,""))</f>
        <v>0.02</v>
      </c>
      <c r="F18" s="178">
        <f t="shared" ref="F18:F29" si="3">E18/D18</f>
        <v>0.02</v>
      </c>
      <c r="M18" s="182">
        <f>LN(2)/M17*10</f>
        <v>0.26986353199323548</v>
      </c>
      <c r="N18" s="170" t="s">
        <v>237</v>
      </c>
    </row>
    <row r="19" spans="1:14" x14ac:dyDescent="0.2">
      <c r="A19" s="180">
        <v>2</v>
      </c>
      <c r="B19" s="180" t="s">
        <v>238</v>
      </c>
      <c r="C19" s="180" t="s">
        <v>239</v>
      </c>
      <c r="D19" s="180">
        <v>1</v>
      </c>
      <c r="E19" s="180">
        <f t="shared" si="2"/>
        <v>0.1</v>
      </c>
      <c r="F19" s="178">
        <f t="shared" si="3"/>
        <v>0.1</v>
      </c>
    </row>
    <row r="20" spans="1:14" x14ac:dyDescent="0.2">
      <c r="A20" s="180">
        <v>3</v>
      </c>
      <c r="B20" s="180" t="s">
        <v>240</v>
      </c>
      <c r="C20" s="180" t="s">
        <v>138</v>
      </c>
      <c r="D20" s="180">
        <v>0.5</v>
      </c>
      <c r="E20" s="180">
        <f t="shared" si="2"/>
        <v>0.02</v>
      </c>
      <c r="F20" s="178">
        <f t="shared" si="3"/>
        <v>0.04</v>
      </c>
    </row>
    <row r="21" spans="1:14" x14ac:dyDescent="0.2">
      <c r="A21" s="180">
        <v>4</v>
      </c>
      <c r="B21" s="180" t="s">
        <v>241</v>
      </c>
      <c r="C21" s="180" t="s">
        <v>138</v>
      </c>
      <c r="D21" s="180">
        <v>0.5</v>
      </c>
      <c r="E21" s="180">
        <f t="shared" si="2"/>
        <v>0.02</v>
      </c>
      <c r="F21" s="178">
        <f t="shared" si="3"/>
        <v>0.04</v>
      </c>
    </row>
    <row r="22" spans="1:14" x14ac:dyDescent="0.2">
      <c r="A22" s="180">
        <v>5</v>
      </c>
      <c r="B22" s="180" t="s">
        <v>242</v>
      </c>
      <c r="C22" s="180" t="s">
        <v>138</v>
      </c>
      <c r="D22" s="180">
        <v>0.5</v>
      </c>
      <c r="E22" s="180">
        <f t="shared" si="2"/>
        <v>0.02</v>
      </c>
      <c r="F22" s="178">
        <f t="shared" si="3"/>
        <v>0.04</v>
      </c>
    </row>
    <row r="23" spans="1:14" x14ac:dyDescent="0.2">
      <c r="A23" s="180">
        <v>6</v>
      </c>
      <c r="B23" s="180" t="s">
        <v>243</v>
      </c>
      <c r="C23" s="180" t="s">
        <v>138</v>
      </c>
      <c r="D23" s="180">
        <v>0.5</v>
      </c>
      <c r="E23" s="180">
        <f t="shared" si="2"/>
        <v>0.02</v>
      </c>
      <c r="F23" s="178">
        <f t="shared" si="3"/>
        <v>0.04</v>
      </c>
    </row>
    <row r="24" spans="1:14" x14ac:dyDescent="0.2">
      <c r="A24" s="180">
        <v>7</v>
      </c>
      <c r="B24" s="180" t="s">
        <v>244</v>
      </c>
      <c r="C24" s="180" t="s">
        <v>138</v>
      </c>
      <c r="D24" s="180">
        <v>0.1</v>
      </c>
      <c r="E24" s="180">
        <f t="shared" si="2"/>
        <v>0.02</v>
      </c>
      <c r="F24" s="178">
        <f t="shared" si="3"/>
        <v>0.19999999999999998</v>
      </c>
    </row>
    <row r="25" spans="1:14" x14ac:dyDescent="0.2">
      <c r="A25" s="180">
        <v>8</v>
      </c>
      <c r="B25" s="180" t="s">
        <v>245</v>
      </c>
      <c r="C25" s="180" t="s">
        <v>138</v>
      </c>
      <c r="D25" s="180">
        <v>0.1</v>
      </c>
      <c r="E25" s="180">
        <f t="shared" si="2"/>
        <v>0.02</v>
      </c>
      <c r="F25" s="178">
        <f t="shared" si="3"/>
        <v>0.19999999999999998</v>
      </c>
    </row>
    <row r="26" spans="1:14" x14ac:dyDescent="0.2">
      <c r="A26" s="180">
        <v>9</v>
      </c>
      <c r="B26" s="180" t="s">
        <v>246</v>
      </c>
      <c r="C26" s="180" t="s">
        <v>138</v>
      </c>
      <c r="D26" s="180">
        <v>0.1</v>
      </c>
      <c r="E26" s="180">
        <f t="shared" si="2"/>
        <v>0.02</v>
      </c>
      <c r="F26" s="178">
        <f t="shared" si="3"/>
        <v>0.19999999999999998</v>
      </c>
    </row>
    <row r="27" spans="1:14" x14ac:dyDescent="0.2">
      <c r="A27" s="180">
        <v>10</v>
      </c>
      <c r="B27" s="180" t="s">
        <v>247</v>
      </c>
      <c r="C27" s="180" t="s">
        <v>239</v>
      </c>
      <c r="D27" s="180">
        <v>1</v>
      </c>
      <c r="E27" s="180">
        <f t="shared" si="2"/>
        <v>0.1</v>
      </c>
      <c r="F27" s="178">
        <f t="shared" si="3"/>
        <v>0.1</v>
      </c>
    </row>
    <row r="28" spans="1:14" x14ac:dyDescent="0.2">
      <c r="A28" s="180">
        <v>11</v>
      </c>
      <c r="B28" s="180" t="s">
        <v>146</v>
      </c>
      <c r="C28" s="180" t="s">
        <v>138</v>
      </c>
      <c r="D28" s="180">
        <v>0.5</v>
      </c>
      <c r="E28" s="180">
        <f t="shared" si="2"/>
        <v>0.02</v>
      </c>
      <c r="F28" s="178">
        <f t="shared" si="3"/>
        <v>0.04</v>
      </c>
    </row>
    <row r="29" spans="1:14" x14ac:dyDescent="0.2">
      <c r="A29" s="180">
        <v>12</v>
      </c>
      <c r="B29" s="180" t="s">
        <v>150</v>
      </c>
      <c r="C29" s="180" t="s">
        <v>138</v>
      </c>
      <c r="D29" s="180">
        <v>0.5</v>
      </c>
      <c r="E29" s="180">
        <f t="shared" si="2"/>
        <v>0.02</v>
      </c>
      <c r="F29" s="178">
        <f t="shared" si="3"/>
        <v>0.04</v>
      </c>
    </row>
    <row r="31" spans="1:14" x14ac:dyDescent="0.2">
      <c r="A31" s="183" t="s">
        <v>248</v>
      </c>
    </row>
    <row r="32" spans="1:14" x14ac:dyDescent="0.2">
      <c r="C32" s="340" t="s">
        <v>249</v>
      </c>
      <c r="D32" s="340"/>
      <c r="E32" s="340"/>
      <c r="F32" s="340"/>
      <c r="G32" s="340"/>
      <c r="H32" s="340"/>
      <c r="I32" s="340"/>
      <c r="J32" s="340"/>
      <c r="K32" s="340"/>
      <c r="L32" s="340"/>
      <c r="M32" s="340"/>
      <c r="N32" s="340"/>
    </row>
    <row r="33" spans="1:14" x14ac:dyDescent="0.2">
      <c r="C33" s="180" t="s">
        <v>236</v>
      </c>
      <c r="D33" s="180" t="s">
        <v>238</v>
      </c>
      <c r="E33" s="180" t="s">
        <v>240</v>
      </c>
      <c r="F33" s="180" t="s">
        <v>241</v>
      </c>
      <c r="G33" s="180" t="s">
        <v>242</v>
      </c>
      <c r="H33" s="180" t="s">
        <v>243</v>
      </c>
      <c r="I33" s="180" t="s">
        <v>244</v>
      </c>
      <c r="J33" s="180" t="s">
        <v>245</v>
      </c>
      <c r="K33" s="180" t="s">
        <v>246</v>
      </c>
      <c r="L33" s="180" t="s">
        <v>247</v>
      </c>
      <c r="M33" s="178" t="s">
        <v>146</v>
      </c>
      <c r="N33" s="178" t="s">
        <v>150</v>
      </c>
    </row>
    <row r="34" spans="1:14" x14ac:dyDescent="0.2">
      <c r="A34" s="340" t="s">
        <v>250</v>
      </c>
      <c r="B34" s="178" t="str">
        <f t="shared" ref="B34:B41" si="4">A7</f>
        <v>Hot lab</v>
      </c>
      <c r="C34" s="179">
        <f>48*12*0.0254</f>
        <v>14.6304</v>
      </c>
      <c r="D34" s="179">
        <f>39*12*0.0254</f>
        <v>11.8872</v>
      </c>
      <c r="E34" s="179">
        <f>29*12*0.0254</f>
        <v>8.8391999999999999</v>
      </c>
      <c r="F34" s="179">
        <f>44*12*0.0254</f>
        <v>13.411199999999999</v>
      </c>
      <c r="G34" s="179">
        <f>24*12*0.0254</f>
        <v>7.3151999999999999</v>
      </c>
      <c r="H34" s="179">
        <f>34*12*0.0254</f>
        <v>10.363199999999999</v>
      </c>
      <c r="I34" s="179">
        <f>23*12*0.0254</f>
        <v>7.0103999999999997</v>
      </c>
      <c r="J34" s="179">
        <f>20*12*0.0254</f>
        <v>6.0960000000000001</v>
      </c>
      <c r="K34" s="179">
        <f>22*12*0.0254</f>
        <v>6.7055999999999996</v>
      </c>
      <c r="L34" s="179">
        <f>9*12*0.0254</f>
        <v>2.7431999999999999</v>
      </c>
      <c r="M34" s="179">
        <f t="shared" ref="M34:M41" si="5">20*12*0.0254</f>
        <v>6.0960000000000001</v>
      </c>
      <c r="N34" s="179">
        <f t="shared" ref="N34:N41" si="6">SQRT(2*(18^2))*12*0.0254</f>
        <v>7.7589412886037472</v>
      </c>
    </row>
    <row r="35" spans="1:14" x14ac:dyDescent="0.2">
      <c r="A35" s="340"/>
      <c r="B35" s="178" t="str">
        <f t="shared" si="4"/>
        <v>NM Hold 1</v>
      </c>
      <c r="C35" s="179">
        <f>39*12*0.0254</f>
        <v>11.8872</v>
      </c>
      <c r="D35" s="179">
        <f>52*12*0.0254</f>
        <v>15.849599999999999</v>
      </c>
      <c r="E35" s="179">
        <f>57.5*12*0.0254</f>
        <v>17.526</v>
      </c>
      <c r="F35" s="179">
        <f>74*12*0.0254</f>
        <v>22.555199999999999</v>
      </c>
      <c r="G35" s="179">
        <f>56*12*0.0254</f>
        <v>17.0688</v>
      </c>
      <c r="H35" s="179">
        <f>65*12*0.0254</f>
        <v>19.811999999999998</v>
      </c>
      <c r="I35" s="179">
        <f>46*12*0.0254</f>
        <v>14.020799999999999</v>
      </c>
      <c r="J35" s="179">
        <f>38*12*0.0254</f>
        <v>11.5824</v>
      </c>
      <c r="K35" s="179">
        <f>28*12*0.0254</f>
        <v>8.5343999999999998</v>
      </c>
      <c r="L35" s="179">
        <f>40*12*0.0254</f>
        <v>12.192</v>
      </c>
      <c r="M35" s="179">
        <f t="shared" si="5"/>
        <v>6.0960000000000001</v>
      </c>
      <c r="N35" s="179">
        <f t="shared" si="6"/>
        <v>7.7589412886037472</v>
      </c>
    </row>
    <row r="36" spans="1:14" x14ac:dyDescent="0.2">
      <c r="A36" s="340"/>
      <c r="B36" s="178" t="str">
        <f t="shared" si="4"/>
        <v>NM Hold 2</v>
      </c>
      <c r="C36" s="179">
        <f>43*12*0.0254</f>
        <v>13.106399999999999</v>
      </c>
      <c r="D36" s="179">
        <f>40*12*0.0254</f>
        <v>12.192</v>
      </c>
      <c r="E36" s="179">
        <f>36*12*0.0254</f>
        <v>10.972799999999999</v>
      </c>
      <c r="F36" s="179">
        <f>52*12*0.0254</f>
        <v>15.849599999999999</v>
      </c>
      <c r="G36" s="179">
        <f>32*12*0.0254</f>
        <v>9.7535999999999987</v>
      </c>
      <c r="H36" s="179">
        <f>43*12*0.0254</f>
        <v>13.106399999999999</v>
      </c>
      <c r="I36" s="179">
        <f>28*12*0.0254</f>
        <v>8.5343999999999998</v>
      </c>
      <c r="J36" s="179">
        <f>22*12*0.0254</f>
        <v>6.7055999999999996</v>
      </c>
      <c r="K36" s="179">
        <f>20*12*0.0254</f>
        <v>6.0960000000000001</v>
      </c>
      <c r="L36" s="179">
        <f>17*12*0.0254</f>
        <v>5.1815999999999995</v>
      </c>
      <c r="M36" s="179">
        <f t="shared" si="5"/>
        <v>6.0960000000000001</v>
      </c>
      <c r="N36" s="179">
        <f t="shared" si="6"/>
        <v>7.7589412886037472</v>
      </c>
    </row>
    <row r="37" spans="1:14" x14ac:dyDescent="0.2">
      <c r="A37" s="340"/>
      <c r="B37" s="178" t="str">
        <f t="shared" si="4"/>
        <v>NM Camera 1</v>
      </c>
      <c r="C37" s="179">
        <f>25*12*0.0254</f>
        <v>7.62</v>
      </c>
      <c r="D37" s="179">
        <f>49*12*0.0254</f>
        <v>14.9352</v>
      </c>
      <c r="E37" s="179">
        <f>63*12*0.0254</f>
        <v>19.202400000000001</v>
      </c>
      <c r="F37" s="179">
        <f>80*12*0.0254</f>
        <v>24.384</v>
      </c>
      <c r="G37" s="179">
        <f>65*12*0.0254</f>
        <v>19.811999999999998</v>
      </c>
      <c r="H37" s="179">
        <f>76*12*0.0254</f>
        <v>23.1648</v>
      </c>
      <c r="I37" s="179">
        <f>62*12*0.0254</f>
        <v>18.897600000000001</v>
      </c>
      <c r="J37" s="179">
        <f>55*12*0.0254</f>
        <v>16.763999999999999</v>
      </c>
      <c r="K37" s="179">
        <f>46*12*0.0254</f>
        <v>14.020799999999999</v>
      </c>
      <c r="L37" s="179">
        <f>50*12*0.0254</f>
        <v>15.24</v>
      </c>
      <c r="M37" s="179">
        <f t="shared" si="5"/>
        <v>6.0960000000000001</v>
      </c>
      <c r="N37" s="179">
        <f t="shared" si="6"/>
        <v>7.7589412886037472</v>
      </c>
    </row>
    <row r="38" spans="1:14" x14ac:dyDescent="0.2">
      <c r="A38" s="340"/>
      <c r="B38" s="178" t="str">
        <f t="shared" si="4"/>
        <v>NM Camera 2</v>
      </c>
      <c r="C38" s="179">
        <f>32.5*12*0.0254</f>
        <v>9.9059999999999988</v>
      </c>
      <c r="D38" s="179">
        <f>23*12*0.0254</f>
        <v>7.0103999999999997</v>
      </c>
      <c r="E38" s="179">
        <f>28*12*0.0254</f>
        <v>8.5343999999999998</v>
      </c>
      <c r="F38" s="179">
        <f>45*12*0.0254</f>
        <v>13.715999999999999</v>
      </c>
      <c r="G38" s="179">
        <f>31*12*0.0254</f>
        <v>9.4488000000000003</v>
      </c>
      <c r="H38" s="179">
        <f>42*12*0.0254</f>
        <v>12.801599999999999</v>
      </c>
      <c r="I38" s="179">
        <f>39*12*0.0254</f>
        <v>11.8872</v>
      </c>
      <c r="J38" s="179">
        <f>37*12*0.0254</f>
        <v>11.2776</v>
      </c>
      <c r="K38" s="179">
        <f>37*12*0.0254</f>
        <v>11.2776</v>
      </c>
      <c r="L38" s="179">
        <f>17*12*0.0254</f>
        <v>5.1815999999999995</v>
      </c>
      <c r="M38" s="179">
        <f t="shared" si="5"/>
        <v>6.0960000000000001</v>
      </c>
      <c r="N38" s="179">
        <f t="shared" si="6"/>
        <v>7.7589412886037472</v>
      </c>
    </row>
    <row r="39" spans="1:14" x14ac:dyDescent="0.2">
      <c r="A39" s="340"/>
      <c r="B39" s="178" t="str">
        <f t="shared" si="4"/>
        <v>Stress Lab</v>
      </c>
      <c r="C39" s="179">
        <f>51*12*0.0254</f>
        <v>15.544799999999999</v>
      </c>
      <c r="D39" s="179">
        <f>28*12*0.0254</f>
        <v>8.5343999999999998</v>
      </c>
      <c r="E39" s="179">
        <f>5*12*0.0254</f>
        <v>1.524</v>
      </c>
      <c r="F39" s="179">
        <f>20*12*0.0254</f>
        <v>6.0960000000000001</v>
      </c>
      <c r="G39" s="179">
        <f>10*12*0.0254</f>
        <v>3.048</v>
      </c>
      <c r="H39" s="179">
        <f>17*12*0.0254</f>
        <v>5.1815999999999995</v>
      </c>
      <c r="I39" s="179">
        <f>35*12*0.0254</f>
        <v>10.667999999999999</v>
      </c>
      <c r="J39" s="179">
        <f>38*12*0.0254</f>
        <v>11.5824</v>
      </c>
      <c r="K39" s="179">
        <f>43*12*0.0254</f>
        <v>13.106399999999999</v>
      </c>
      <c r="L39" s="179">
        <f>8*12*0.0254</f>
        <v>2.4383999999999997</v>
      </c>
      <c r="M39" s="179">
        <f t="shared" si="5"/>
        <v>6.0960000000000001</v>
      </c>
      <c r="N39" s="179">
        <f t="shared" si="6"/>
        <v>7.7589412886037472</v>
      </c>
    </row>
    <row r="40" spans="1:14" x14ac:dyDescent="0.2">
      <c r="A40" s="340"/>
      <c r="B40" s="178" t="str">
        <f t="shared" si="4"/>
        <v>Hot Toilet</v>
      </c>
      <c r="C40" s="179">
        <f>41*12*0.0254</f>
        <v>12.4968</v>
      </c>
      <c r="D40" s="179">
        <f>62*12*0.0254</f>
        <v>18.897600000000001</v>
      </c>
      <c r="E40" s="179">
        <f>72*12*0.0254</f>
        <v>21.945599999999999</v>
      </c>
      <c r="F40" s="179">
        <f>88*12*0.0254</f>
        <v>26.822399999999998</v>
      </c>
      <c r="G40" s="179">
        <f>69*12*0.0254</f>
        <v>21.031199999999998</v>
      </c>
      <c r="H40" s="179">
        <f>79*12*0.0254</f>
        <v>24.0792</v>
      </c>
      <c r="I40" s="179">
        <f>62*12*0.0254</f>
        <v>18.897600000000001</v>
      </c>
      <c r="J40" s="179">
        <f>50*12*0.0254</f>
        <v>15.24</v>
      </c>
      <c r="K40" s="179">
        <f>41*12*0.0254</f>
        <v>12.4968</v>
      </c>
      <c r="L40" s="179">
        <f>55.5*12*0.0254</f>
        <v>16.916399999999999</v>
      </c>
      <c r="M40" s="179">
        <f t="shared" si="5"/>
        <v>6.0960000000000001</v>
      </c>
      <c r="N40" s="179">
        <f t="shared" si="6"/>
        <v>7.7589412886037472</v>
      </c>
    </row>
    <row r="41" spans="1:14" x14ac:dyDescent="0.2">
      <c r="A41" s="340"/>
      <c r="B41" s="178" t="str">
        <f t="shared" si="4"/>
        <v>Radiology Waiting</v>
      </c>
      <c r="C41" s="179">
        <f>80*12*0.0254</f>
        <v>24.384</v>
      </c>
      <c r="D41" s="179">
        <f>63*12*0.0254</f>
        <v>19.202400000000001</v>
      </c>
      <c r="E41" s="179">
        <f>37*12*0.0254</f>
        <v>11.2776</v>
      </c>
      <c r="F41" s="179">
        <f>40*12*0.0254</f>
        <v>12.192</v>
      </c>
      <c r="G41" s="179">
        <f>24*12*0.0254</f>
        <v>7.3151999999999999</v>
      </c>
      <c r="H41" s="179">
        <f>26*12*0.0254</f>
        <v>7.9247999999999994</v>
      </c>
      <c r="I41" s="179">
        <f>12*12*0.0254</f>
        <v>3.6576</v>
      </c>
      <c r="J41" s="179">
        <f>22*12*0.0254</f>
        <v>6.7055999999999996</v>
      </c>
      <c r="K41" s="179">
        <f>33*12*0.0254</f>
        <v>10.058399999999999</v>
      </c>
      <c r="L41" s="179">
        <f>20*12*0.0254</f>
        <v>6.0960000000000001</v>
      </c>
      <c r="M41" s="179">
        <f t="shared" si="5"/>
        <v>6.0960000000000001</v>
      </c>
      <c r="N41" s="179">
        <f t="shared" si="6"/>
        <v>7.7589412886037472</v>
      </c>
    </row>
    <row r="44" spans="1:14" x14ac:dyDescent="0.2">
      <c r="A44" s="172" t="s">
        <v>251</v>
      </c>
    </row>
    <row r="45" spans="1:14" x14ac:dyDescent="0.2">
      <c r="C45" s="340" t="s">
        <v>249</v>
      </c>
      <c r="D45" s="340"/>
      <c r="E45" s="340"/>
      <c r="F45" s="340"/>
      <c r="G45" s="340"/>
      <c r="H45" s="340"/>
      <c r="I45" s="340"/>
      <c r="J45" s="340"/>
      <c r="K45" s="340"/>
      <c r="L45" s="340"/>
      <c r="M45" s="340"/>
      <c r="N45" s="340"/>
    </row>
    <row r="46" spans="1:14" x14ac:dyDescent="0.2">
      <c r="C46" s="180" t="str">
        <f t="shared" ref="C46:N46" si="7">C33</f>
        <v>Tech area</v>
      </c>
      <c r="D46" s="180" t="str">
        <f t="shared" si="7"/>
        <v>CT Tech area</v>
      </c>
      <c r="E46" s="180" t="str">
        <f t="shared" si="7"/>
        <v>US 1</v>
      </c>
      <c r="F46" s="180" t="str">
        <f t="shared" si="7"/>
        <v>US 2</v>
      </c>
      <c r="G46" s="180" t="str">
        <f t="shared" si="7"/>
        <v>Office 2221</v>
      </c>
      <c r="H46" s="180" t="str">
        <f t="shared" si="7"/>
        <v>Office 2302</v>
      </c>
      <c r="I46" s="180" t="str">
        <f t="shared" si="7"/>
        <v>Consult A</v>
      </c>
      <c r="J46" s="180" t="str">
        <f t="shared" si="7"/>
        <v>Consult B</v>
      </c>
      <c r="K46" s="180" t="str">
        <f t="shared" si="7"/>
        <v>Lactation</v>
      </c>
      <c r="L46" s="180" t="str">
        <f t="shared" si="7"/>
        <v>Reading Room</v>
      </c>
      <c r="M46" s="180" t="str">
        <f t="shared" si="7"/>
        <v>Floor</v>
      </c>
      <c r="N46" s="180" t="str">
        <f t="shared" si="7"/>
        <v>Ceiling</v>
      </c>
    </row>
    <row r="47" spans="1:14" x14ac:dyDescent="0.2">
      <c r="B47" s="184" t="s">
        <v>252</v>
      </c>
      <c r="C47" s="185">
        <f t="shared" ref="C47:N47" si="8">SUM(C48:C55)</f>
        <v>0.9903830236204284</v>
      </c>
      <c r="D47" s="185">
        <f t="shared" si="8"/>
        <v>1.2069456032276571</v>
      </c>
      <c r="E47" s="185">
        <f t="shared" si="8"/>
        <v>13.621340154463082</v>
      </c>
      <c r="F47" s="185">
        <f t="shared" si="8"/>
        <v>1.371468842771582</v>
      </c>
      <c r="G47" s="185">
        <f t="shared" si="8"/>
        <v>4.6426544264576028</v>
      </c>
      <c r="H47" s="185">
        <f t="shared" si="8"/>
        <v>2.1837049529420849</v>
      </c>
      <c r="I47" s="185">
        <f t="shared" si="8"/>
        <v>4.33463407109216</v>
      </c>
      <c r="J47" s="185">
        <f t="shared" si="8"/>
        <v>2.1385807499842233</v>
      </c>
      <c r="K47" s="185">
        <f t="shared" si="8"/>
        <v>1.7071011492309554</v>
      </c>
      <c r="L47" s="185">
        <f t="shared" si="8"/>
        <v>8.5826167963290843</v>
      </c>
      <c r="M47" s="185">
        <f t="shared" si="8"/>
        <v>4.3504475179746827</v>
      </c>
      <c r="N47" s="185">
        <f t="shared" si="8"/>
        <v>2.6854614308485707</v>
      </c>
    </row>
    <row r="48" spans="1:14" x14ac:dyDescent="0.2">
      <c r="A48" s="340" t="s">
        <v>250</v>
      </c>
      <c r="B48" s="178" t="str">
        <f t="shared" ref="B48:B55" si="9">A7</f>
        <v>Hot lab</v>
      </c>
      <c r="C48" s="186">
        <f t="shared" ref="C48:N48" si="10">$E7/(C34^2)</f>
        <v>3.4402186498238743E-2</v>
      </c>
      <c r="D48" s="186">
        <f t="shared" si="10"/>
        <v>5.2112187831651585E-2</v>
      </c>
      <c r="E48" s="186">
        <f t="shared" si="10"/>
        <v>9.4248082867945379E-2</v>
      </c>
      <c r="F48" s="186">
        <f t="shared" si="10"/>
        <v>4.0941445088813054E-2</v>
      </c>
      <c r="G48" s="186">
        <f t="shared" si="10"/>
        <v>0.13760874599295497</v>
      </c>
      <c r="H48" s="186">
        <f t="shared" si="10"/>
        <v>6.8566295581264772E-2</v>
      </c>
      <c r="I48" s="186">
        <f t="shared" si="10"/>
        <v>0.14983485386000389</v>
      </c>
      <c r="J48" s="186">
        <f t="shared" si="10"/>
        <v>0.19815659422985513</v>
      </c>
      <c r="K48" s="186">
        <f t="shared" si="10"/>
        <v>0.16376578035525222</v>
      </c>
      <c r="L48" s="186">
        <f t="shared" si="10"/>
        <v>0.97855108261656876</v>
      </c>
      <c r="M48" s="186">
        <f t="shared" si="10"/>
        <v>0.19815659422985513</v>
      </c>
      <c r="N48" s="186">
        <f t="shared" si="10"/>
        <v>0.12231888532707112</v>
      </c>
    </row>
    <row r="49" spans="1:14" x14ac:dyDescent="0.2">
      <c r="A49" s="340"/>
      <c r="B49" s="178" t="str">
        <f t="shared" si="9"/>
        <v>NM Hold 1</v>
      </c>
      <c r="C49" s="186">
        <f t="shared" ref="C49:N49" si="11">$E8/(C35^2)</f>
        <v>0.10422437566330317</v>
      </c>
      <c r="D49" s="186">
        <f t="shared" si="11"/>
        <v>5.8626211310608044E-2</v>
      </c>
      <c r="E49" s="186">
        <f t="shared" si="11"/>
        <v>4.7947153235201254E-2</v>
      </c>
      <c r="F49" s="186">
        <f t="shared" si="11"/>
        <v>2.8949100690994177E-2</v>
      </c>
      <c r="G49" s="186">
        <f t="shared" si="11"/>
        <v>5.0550151589248762E-2</v>
      </c>
      <c r="H49" s="186">
        <f t="shared" si="11"/>
        <v>3.7520775238789147E-2</v>
      </c>
      <c r="I49" s="186">
        <f t="shared" si="11"/>
        <v>7.4917426930001946E-2</v>
      </c>
      <c r="J49" s="186">
        <f t="shared" si="11"/>
        <v>0.1097820466647397</v>
      </c>
      <c r="K49" s="186">
        <f t="shared" si="11"/>
        <v>0.20220060635699505</v>
      </c>
      <c r="L49" s="186">
        <f t="shared" si="11"/>
        <v>9.9078297114927563E-2</v>
      </c>
      <c r="M49" s="186">
        <f t="shared" si="11"/>
        <v>0.39631318845971025</v>
      </c>
      <c r="N49" s="186">
        <f t="shared" si="11"/>
        <v>0.24463777065414224</v>
      </c>
    </row>
    <row r="50" spans="1:14" x14ac:dyDescent="0.2">
      <c r="A50" s="340"/>
      <c r="B50" s="178" t="str">
        <f t="shared" si="9"/>
        <v>NM Hold 2</v>
      </c>
      <c r="C50" s="186">
        <f t="shared" ref="C50:N50" si="12">$E9/(C36^2)</f>
        <v>8.5735681657049284E-2</v>
      </c>
      <c r="D50" s="186">
        <f t="shared" si="12"/>
        <v>9.9078297114927563E-2</v>
      </c>
      <c r="E50" s="186">
        <f t="shared" si="12"/>
        <v>0.12231888532707109</v>
      </c>
      <c r="F50" s="186">
        <f t="shared" si="12"/>
        <v>5.8626211310608044E-2</v>
      </c>
      <c r="G50" s="186">
        <f t="shared" si="12"/>
        <v>0.15480983924207437</v>
      </c>
      <c r="H50" s="186">
        <f t="shared" si="12"/>
        <v>8.5735681657049284E-2</v>
      </c>
      <c r="I50" s="186">
        <f t="shared" si="12"/>
        <v>0.20220060635699505</v>
      </c>
      <c r="J50" s="186">
        <f t="shared" si="12"/>
        <v>0.32753156071050443</v>
      </c>
      <c r="K50" s="186">
        <f t="shared" si="12"/>
        <v>0.39631318845971025</v>
      </c>
      <c r="L50" s="186">
        <f t="shared" si="12"/>
        <v>0.54853036465011817</v>
      </c>
      <c r="M50" s="186">
        <f t="shared" si="12"/>
        <v>0.39631318845971025</v>
      </c>
      <c r="N50" s="186">
        <f t="shared" si="12"/>
        <v>0.24463777065414224</v>
      </c>
    </row>
    <row r="51" spans="1:14" x14ac:dyDescent="0.2">
      <c r="A51" s="340"/>
      <c r="B51" s="178" t="str">
        <f t="shared" si="9"/>
        <v>NM Camera 1</v>
      </c>
      <c r="C51" s="186">
        <f t="shared" ref="C51:N51" si="13">$E10/(C37^2)</f>
        <v>0.29523657258722019</v>
      </c>
      <c r="D51" s="186">
        <f t="shared" si="13"/>
        <v>7.6852502235323875E-2</v>
      </c>
      <c r="E51" s="186">
        <f t="shared" si="13"/>
        <v>4.6491019870751472E-2</v>
      </c>
      <c r="F51" s="186">
        <f t="shared" si="13"/>
        <v>2.8831696541720721E-2</v>
      </c>
      <c r="G51" s="186">
        <f t="shared" si="13"/>
        <v>4.3674049199292936E-2</v>
      </c>
      <c r="H51" s="186">
        <f t="shared" si="13"/>
        <v>3.1946478162571443E-2</v>
      </c>
      <c r="I51" s="186">
        <f t="shared" si="13"/>
        <v>4.8002824627214523E-2</v>
      </c>
      <c r="J51" s="186">
        <f t="shared" si="13"/>
        <v>6.0999291856863688E-2</v>
      </c>
      <c r="K51" s="186">
        <f t="shared" si="13"/>
        <v>8.7203619029779134E-2</v>
      </c>
      <c r="L51" s="186">
        <f t="shared" si="13"/>
        <v>7.3809143146805048E-2</v>
      </c>
      <c r="M51" s="186">
        <f t="shared" si="13"/>
        <v>0.46130714466753153</v>
      </c>
      <c r="N51" s="186">
        <f t="shared" si="13"/>
        <v>0.28475749670835293</v>
      </c>
    </row>
    <row r="52" spans="1:14" x14ac:dyDescent="0.2">
      <c r="A52" s="340"/>
      <c r="B52" s="178" t="str">
        <f t="shared" si="9"/>
        <v>NM Camera 2</v>
      </c>
      <c r="C52" s="186">
        <f t="shared" ref="C52:N52" si="14">$E11/(C38^2)</f>
        <v>0.17469619679717174</v>
      </c>
      <c r="D52" s="186">
        <f t="shared" si="14"/>
        <v>0.34881447611911653</v>
      </c>
      <c r="E52" s="186">
        <f t="shared" si="14"/>
        <v>0.23536078809567937</v>
      </c>
      <c r="F52" s="186">
        <f t="shared" si="14"/>
        <v>9.1122398946672914E-2</v>
      </c>
      <c r="G52" s="186">
        <f t="shared" si="14"/>
        <v>0.19201129850885809</v>
      </c>
      <c r="H52" s="186">
        <f t="shared" si="14"/>
        <v>0.10460479470919085</v>
      </c>
      <c r="I52" s="186">
        <f t="shared" si="14"/>
        <v>0.12131680333136924</v>
      </c>
      <c r="J52" s="186">
        <f t="shared" si="14"/>
        <v>0.13478660180205451</v>
      </c>
      <c r="K52" s="186">
        <f t="shared" si="14"/>
        <v>0.13478660180205451</v>
      </c>
      <c r="L52" s="186">
        <f t="shared" si="14"/>
        <v>0.63848739746371164</v>
      </c>
      <c r="M52" s="186">
        <f t="shared" si="14"/>
        <v>0.46130714466753153</v>
      </c>
      <c r="N52" s="186">
        <f t="shared" si="14"/>
        <v>0.28475749670835293</v>
      </c>
    </row>
    <row r="53" spans="1:14" x14ac:dyDescent="0.2">
      <c r="A53" s="340"/>
      <c r="B53" s="178" t="str">
        <f t="shared" si="9"/>
        <v>Stress Lab</v>
      </c>
      <c r="C53" s="186">
        <f t="shared" ref="C53:N53" si="15">$E12/(C39^2)</f>
        <v>0.12189563658891514</v>
      </c>
      <c r="D53" s="186">
        <f t="shared" si="15"/>
        <v>0.4044012127139901</v>
      </c>
      <c r="E53" s="186">
        <f t="shared" si="15"/>
        <v>12.682022030710728</v>
      </c>
      <c r="F53" s="186">
        <f t="shared" si="15"/>
        <v>0.79262637691942051</v>
      </c>
      <c r="G53" s="186">
        <f t="shared" si="15"/>
        <v>3.170505507677682</v>
      </c>
      <c r="H53" s="186">
        <f t="shared" si="15"/>
        <v>1.0970607293002363</v>
      </c>
      <c r="I53" s="186">
        <f t="shared" si="15"/>
        <v>0.2588167761369537</v>
      </c>
      <c r="J53" s="186">
        <f t="shared" si="15"/>
        <v>0.2195640933294794</v>
      </c>
      <c r="K53" s="186">
        <f t="shared" si="15"/>
        <v>0.17147136331409857</v>
      </c>
      <c r="L53" s="186">
        <f t="shared" si="15"/>
        <v>4.9539148557463797</v>
      </c>
      <c r="M53" s="186">
        <f t="shared" si="15"/>
        <v>0.79262637691942051</v>
      </c>
      <c r="N53" s="186">
        <f t="shared" si="15"/>
        <v>0.48927554130828449</v>
      </c>
    </row>
    <row r="54" spans="1:14" x14ac:dyDescent="0.2">
      <c r="A54" s="340"/>
      <c r="B54" s="178" t="str">
        <f t="shared" si="9"/>
        <v>Hot Toilet</v>
      </c>
      <c r="C54" s="186">
        <f t="shared" ref="C54:N54" si="16">$E13/(C40^2)</f>
        <v>9.6855613535542187E-2</v>
      </c>
      <c r="D54" s="186">
        <f t="shared" si="16"/>
        <v>4.2355433494601046E-2</v>
      </c>
      <c r="E54" s="186">
        <f t="shared" si="16"/>
        <v>3.1407076842833032E-2</v>
      </c>
      <c r="F54" s="186">
        <f t="shared" si="16"/>
        <v>2.1024572101400626E-2</v>
      </c>
      <c r="G54" s="186">
        <f t="shared" si="16"/>
        <v>3.4197497658736913E-2</v>
      </c>
      <c r="H54" s="186">
        <f t="shared" si="16"/>
        <v>2.6087852323865793E-2</v>
      </c>
      <c r="I54" s="186">
        <f t="shared" si="16"/>
        <v>4.2355433494601046E-2</v>
      </c>
      <c r="J54" s="186">
        <f t="shared" si="16"/>
        <v>6.5125714541298563E-2</v>
      </c>
      <c r="K54" s="186">
        <f t="shared" si="16"/>
        <v>9.6855613535542187E-2</v>
      </c>
      <c r="L54" s="186">
        <f t="shared" si="16"/>
        <v>5.2857490902766473E-2</v>
      </c>
      <c r="M54" s="186">
        <f t="shared" si="16"/>
        <v>0.40703571588311599</v>
      </c>
      <c r="N54" s="186">
        <f t="shared" si="16"/>
        <v>0.25125661474266431</v>
      </c>
    </row>
    <row r="55" spans="1:14" x14ac:dyDescent="0.2">
      <c r="A55" s="340"/>
      <c r="B55" s="178" t="str">
        <f t="shared" si="9"/>
        <v>Radiology Waiting</v>
      </c>
      <c r="C55" s="186">
        <f t="shared" ref="C55:N55" si="17">$E14/(C41^2)</f>
        <v>7.7336760292987958E-2</v>
      </c>
      <c r="D55" s="186">
        <f t="shared" si="17"/>
        <v>0.12470528240743838</v>
      </c>
      <c r="E55" s="186">
        <f t="shared" si="17"/>
        <v>0.36154511751287288</v>
      </c>
      <c r="F55" s="186">
        <f t="shared" si="17"/>
        <v>0.30934704117195183</v>
      </c>
      <c r="G55" s="186">
        <f t="shared" si="17"/>
        <v>0.85929733658875518</v>
      </c>
      <c r="H55" s="186">
        <f t="shared" si="17"/>
        <v>0.73218234596911691</v>
      </c>
      <c r="I55" s="186">
        <f t="shared" si="17"/>
        <v>3.4371893463550207</v>
      </c>
      <c r="J55" s="186">
        <f t="shared" si="17"/>
        <v>1.0226348468494277</v>
      </c>
      <c r="K55" s="186">
        <f t="shared" si="17"/>
        <v>0.45450437637752344</v>
      </c>
      <c r="L55" s="186">
        <f t="shared" si="17"/>
        <v>1.2373881646878073</v>
      </c>
      <c r="M55" s="186">
        <f t="shared" si="17"/>
        <v>1.2373881646878073</v>
      </c>
      <c r="N55" s="186">
        <f t="shared" si="17"/>
        <v>0.76381985474556047</v>
      </c>
    </row>
    <row r="57" spans="1:14" x14ac:dyDescent="0.2">
      <c r="A57" s="172" t="s">
        <v>253</v>
      </c>
    </row>
    <row r="58" spans="1:14" x14ac:dyDescent="0.2">
      <c r="B58" s="340" t="s">
        <v>249</v>
      </c>
      <c r="C58" s="340"/>
      <c r="D58" s="340"/>
      <c r="E58" s="340"/>
      <c r="F58" s="340"/>
      <c r="G58" s="340"/>
      <c r="H58" s="340"/>
      <c r="I58" s="340"/>
      <c r="J58" s="340"/>
      <c r="K58" s="340"/>
      <c r="L58" s="340"/>
      <c r="M58" s="340"/>
    </row>
    <row r="59" spans="1:14" x14ac:dyDescent="0.2">
      <c r="A59" s="178" t="s">
        <v>229</v>
      </c>
      <c r="B59" s="180" t="str">
        <f t="shared" ref="B59:M59" si="18">C33</f>
        <v>Tech area</v>
      </c>
      <c r="C59" s="180" t="str">
        <f t="shared" si="18"/>
        <v>CT Tech area</v>
      </c>
      <c r="D59" s="180" t="str">
        <f t="shared" si="18"/>
        <v>US 1</v>
      </c>
      <c r="E59" s="180" t="str">
        <f t="shared" si="18"/>
        <v>US 2</v>
      </c>
      <c r="F59" s="180" t="str">
        <f t="shared" si="18"/>
        <v>Office 2221</v>
      </c>
      <c r="G59" s="180" t="str">
        <f t="shared" si="18"/>
        <v>Office 2302</v>
      </c>
      <c r="H59" s="180" t="str">
        <f t="shared" si="18"/>
        <v>Consult A</v>
      </c>
      <c r="I59" s="180" t="str">
        <f t="shared" si="18"/>
        <v>Consult B</v>
      </c>
      <c r="J59" s="180" t="str">
        <f t="shared" si="18"/>
        <v>Lactation</v>
      </c>
      <c r="K59" s="180" t="str">
        <f t="shared" si="18"/>
        <v>Reading Room</v>
      </c>
      <c r="L59" s="180" t="str">
        <f t="shared" si="18"/>
        <v>Floor</v>
      </c>
      <c r="M59" s="180" t="str">
        <f t="shared" si="18"/>
        <v>Ceiling</v>
      </c>
    </row>
    <row r="60" spans="1:14" x14ac:dyDescent="0.2">
      <c r="A60" s="178" t="s">
        <v>254</v>
      </c>
      <c r="B60" s="186">
        <f t="shared" ref="B60:M60" si="19">C47</f>
        <v>0.9903830236204284</v>
      </c>
      <c r="C60" s="186">
        <f t="shared" si="19"/>
        <v>1.2069456032276571</v>
      </c>
      <c r="D60" s="186">
        <f t="shared" si="19"/>
        <v>13.621340154463082</v>
      </c>
      <c r="E60" s="186">
        <f t="shared" si="19"/>
        <v>1.371468842771582</v>
      </c>
      <c r="F60" s="186">
        <f t="shared" si="19"/>
        <v>4.6426544264576028</v>
      </c>
      <c r="G60" s="186">
        <f t="shared" si="19"/>
        <v>2.1837049529420849</v>
      </c>
      <c r="H60" s="186">
        <f t="shared" si="19"/>
        <v>4.33463407109216</v>
      </c>
      <c r="I60" s="186">
        <f t="shared" si="19"/>
        <v>2.1385807499842233</v>
      </c>
      <c r="J60" s="186">
        <f t="shared" si="19"/>
        <v>1.7071011492309554</v>
      </c>
      <c r="K60" s="186">
        <f t="shared" si="19"/>
        <v>8.5826167963290843</v>
      </c>
      <c r="L60" s="186">
        <f t="shared" si="19"/>
        <v>4.3504475179746827</v>
      </c>
      <c r="M60" s="186">
        <f t="shared" si="19"/>
        <v>2.6854614308485707</v>
      </c>
    </row>
    <row r="61" spans="1:14" x14ac:dyDescent="0.2">
      <c r="A61" s="178" t="s">
        <v>234</v>
      </c>
      <c r="B61" s="180">
        <f>F18</f>
        <v>0.02</v>
      </c>
      <c r="C61" s="180">
        <f>F19</f>
        <v>0.1</v>
      </c>
      <c r="D61" s="180">
        <f>F20</f>
        <v>0.04</v>
      </c>
      <c r="E61" s="180">
        <f>F21</f>
        <v>0.04</v>
      </c>
      <c r="F61" s="180">
        <f>F22</f>
        <v>0.04</v>
      </c>
      <c r="G61" s="180">
        <f>F23</f>
        <v>0.04</v>
      </c>
      <c r="H61" s="180">
        <f>F24</f>
        <v>0.19999999999999998</v>
      </c>
      <c r="I61" s="180">
        <f>F25</f>
        <v>0.19999999999999998</v>
      </c>
      <c r="J61" s="180">
        <f>F26</f>
        <v>0.19999999999999998</v>
      </c>
      <c r="K61" s="180">
        <f>F27</f>
        <v>0.1</v>
      </c>
      <c r="L61" s="180">
        <f>F28</f>
        <v>0.04</v>
      </c>
      <c r="M61" s="180">
        <f>F29</f>
        <v>0.04</v>
      </c>
    </row>
    <row r="62" spans="1:14" x14ac:dyDescent="0.2">
      <c r="A62" s="178" t="s">
        <v>255</v>
      </c>
      <c r="B62" s="186">
        <f t="shared" ref="B62:M62" si="20">B61/B60</f>
        <v>2.0194207213779087E-2</v>
      </c>
      <c r="C62" s="186">
        <f t="shared" si="20"/>
        <v>8.2853775458128706E-2</v>
      </c>
      <c r="D62" s="186">
        <f t="shared" si="20"/>
        <v>2.9365686155993875E-3</v>
      </c>
      <c r="E62" s="186">
        <f t="shared" si="20"/>
        <v>2.9165810226621385E-2</v>
      </c>
      <c r="F62" s="186">
        <f t="shared" si="20"/>
        <v>8.6157607966786467E-3</v>
      </c>
      <c r="G62" s="186">
        <f t="shared" si="20"/>
        <v>1.8317492913183339E-2</v>
      </c>
      <c r="H62" s="186">
        <f t="shared" si="20"/>
        <v>4.613999629952794E-2</v>
      </c>
      <c r="I62" s="186">
        <f t="shared" si="20"/>
        <v>9.3519966455077944E-2</v>
      </c>
      <c r="J62" s="186">
        <f t="shared" si="20"/>
        <v>0.11715767404298184</v>
      </c>
      <c r="K62" s="186">
        <f t="shared" si="20"/>
        <v>1.1651458101073734E-2</v>
      </c>
      <c r="L62" s="186">
        <f t="shared" si="20"/>
        <v>9.194456394366916E-3</v>
      </c>
      <c r="M62" s="186">
        <f t="shared" si="20"/>
        <v>1.4895019358874398E-2</v>
      </c>
    </row>
    <row r="63" spans="1:14" x14ac:dyDescent="0.2">
      <c r="A63" s="178" t="s">
        <v>256</v>
      </c>
      <c r="B63" s="186">
        <f t="shared" ref="B63:M63" si="21">-LN(B62)/LN(2)</f>
        <v>5.6299146800892492</v>
      </c>
      <c r="C63" s="186">
        <f t="shared" si="21"/>
        <v>3.5932887504979729</v>
      </c>
      <c r="D63" s="186">
        <f t="shared" si="21"/>
        <v>8.4116529365497357</v>
      </c>
      <c r="E63" s="186">
        <f t="shared" si="21"/>
        <v>5.0995780369776718</v>
      </c>
      <c r="F63" s="186">
        <f t="shared" si="21"/>
        <v>6.8588060884285262</v>
      </c>
      <c r="G63" s="186">
        <f t="shared" si="21"/>
        <v>5.7706341322585439</v>
      </c>
      <c r="H63" s="186">
        <f t="shared" si="21"/>
        <v>4.4378383014593537</v>
      </c>
      <c r="I63" s="186">
        <f t="shared" si="21"/>
        <v>3.4185817773891309</v>
      </c>
      <c r="J63" s="186">
        <f t="shared" si="21"/>
        <v>3.093476638414439</v>
      </c>
      <c r="K63" s="186">
        <f t="shared" si="21"/>
        <v>6.4233456800833784</v>
      </c>
      <c r="L63" s="186">
        <f t="shared" si="21"/>
        <v>6.7650200042428716</v>
      </c>
      <c r="M63" s="186">
        <f t="shared" si="21"/>
        <v>6.0690261911329726</v>
      </c>
    </row>
    <row r="64" spans="1:14" x14ac:dyDescent="0.2">
      <c r="A64" s="178" t="s">
        <v>257</v>
      </c>
      <c r="B64" s="181">
        <f t="shared" ref="B64:M64" si="22">B63*PBHVL</f>
        <v>1.5193086603894512</v>
      </c>
      <c r="C64" s="181">
        <f t="shared" si="22"/>
        <v>0.96969759368094288</v>
      </c>
      <c r="D64" s="181">
        <f t="shared" si="22"/>
        <v>2.2699983713585827</v>
      </c>
      <c r="E64" s="181">
        <f t="shared" si="22"/>
        <v>1.376190140733925</v>
      </c>
      <c r="F64" s="181">
        <f t="shared" si="22"/>
        <v>1.8509416362800299</v>
      </c>
      <c r="G64" s="181">
        <f t="shared" si="22"/>
        <v>1.5572837087720102</v>
      </c>
      <c r="H64" s="181">
        <f t="shared" si="22"/>
        <v>1.1976107184466822</v>
      </c>
      <c r="I64" s="181">
        <f t="shared" si="22"/>
        <v>0.92255055285394361</v>
      </c>
      <c r="J64" s="181">
        <f t="shared" si="22"/>
        <v>0.83481653178108151</v>
      </c>
      <c r="K64" s="181">
        <f t="shared" si="22"/>
        <v>1.7334267524407918</v>
      </c>
      <c r="L64" s="181">
        <f t="shared" si="22"/>
        <v>1.8256321923498742</v>
      </c>
      <c r="M64" s="181">
        <f t="shared" si="22"/>
        <v>1.6378088436985971</v>
      </c>
    </row>
    <row r="66" spans="1:14" x14ac:dyDescent="0.2">
      <c r="A66" s="170" t="s">
        <v>258</v>
      </c>
    </row>
    <row r="67" spans="1:14" x14ac:dyDescent="0.2">
      <c r="C67" s="340" t="s">
        <v>249</v>
      </c>
      <c r="D67" s="340"/>
      <c r="E67" s="340"/>
      <c r="F67" s="340"/>
      <c r="G67" s="340"/>
      <c r="H67" s="340"/>
      <c r="I67" s="340"/>
      <c r="J67" s="340"/>
      <c r="K67" s="340"/>
      <c r="L67" s="340"/>
      <c r="M67" s="340"/>
      <c r="N67" s="340"/>
    </row>
    <row r="68" spans="1:14" x14ac:dyDescent="0.2">
      <c r="C68" s="180" t="str">
        <f t="shared" ref="C68:N68" si="23">C33</f>
        <v>Tech area</v>
      </c>
      <c r="D68" s="180" t="str">
        <f t="shared" si="23"/>
        <v>CT Tech area</v>
      </c>
      <c r="E68" s="180" t="str">
        <f t="shared" si="23"/>
        <v>US 1</v>
      </c>
      <c r="F68" s="180" t="str">
        <f t="shared" si="23"/>
        <v>US 2</v>
      </c>
      <c r="G68" s="180" t="str">
        <f t="shared" si="23"/>
        <v>Office 2221</v>
      </c>
      <c r="H68" s="180" t="str">
        <f t="shared" si="23"/>
        <v>Office 2302</v>
      </c>
      <c r="I68" s="180" t="str">
        <f t="shared" si="23"/>
        <v>Consult A</v>
      </c>
      <c r="J68" s="180" t="str">
        <f t="shared" si="23"/>
        <v>Consult B</v>
      </c>
      <c r="K68" s="180" t="str">
        <f t="shared" si="23"/>
        <v>Lactation</v>
      </c>
      <c r="L68" s="180" t="str">
        <f t="shared" si="23"/>
        <v>Reading Room</v>
      </c>
      <c r="M68" s="180" t="str">
        <f t="shared" si="23"/>
        <v>Floor</v>
      </c>
      <c r="N68" s="180" t="str">
        <f t="shared" si="23"/>
        <v>Ceiling</v>
      </c>
    </row>
    <row r="69" spans="1:14" x14ac:dyDescent="0.2">
      <c r="A69" s="340" t="s">
        <v>250</v>
      </c>
      <c r="B69" s="178" t="str">
        <f t="shared" ref="B69:B76" si="24">A7</f>
        <v>Hot lab</v>
      </c>
      <c r="C69" s="181">
        <f t="shared" ref="C69:N69" si="25">-LN((B$61/C48))/LN(2)*PBHVL</f>
        <v>0.2111682842584843</v>
      </c>
      <c r="D69" s="181">
        <f t="shared" si="25"/>
        <v>-0.25375464104747575</v>
      </c>
      <c r="E69" s="181">
        <f t="shared" si="25"/>
        <v>0.33367634585173811</v>
      </c>
      <c r="F69" s="181">
        <f t="shared" si="25"/>
        <v>9.0571666920018813E-3</v>
      </c>
      <c r="G69" s="181">
        <f t="shared" si="25"/>
        <v>0.4810318162517197</v>
      </c>
      <c r="H69" s="181">
        <f t="shared" si="25"/>
        <v>0.20981878280570193</v>
      </c>
      <c r="I69" s="181">
        <f t="shared" si="25"/>
        <v>-0.11243236477016001</v>
      </c>
      <c r="J69" s="181">
        <f t="shared" si="25"/>
        <v>-3.6051128808088388E-3</v>
      </c>
      <c r="K69" s="181">
        <f t="shared" si="25"/>
        <v>-7.781948604215512E-2</v>
      </c>
      <c r="L69" s="181">
        <f t="shared" si="25"/>
        <v>0.88802566644085579</v>
      </c>
      <c r="M69" s="181">
        <f t="shared" si="25"/>
        <v>0.62299860383981909</v>
      </c>
      <c r="N69" s="181">
        <f t="shared" si="25"/>
        <v>0.43517525518854178</v>
      </c>
    </row>
    <row r="70" spans="1:14" x14ac:dyDescent="0.2">
      <c r="A70" s="340"/>
      <c r="B70" s="178" t="str">
        <f t="shared" si="24"/>
        <v>NM Hold 1</v>
      </c>
      <c r="C70" s="181">
        <f t="shared" ref="C70:N70" si="26">-LN((B$61/C49))/LN(2)*PBHVL</f>
        <v>0.64271260766638783</v>
      </c>
      <c r="D70" s="181">
        <f t="shared" si="26"/>
        <v>-0.20789807998429763</v>
      </c>
      <c r="E70" s="181">
        <f t="shared" si="26"/>
        <v>7.055451448891846E-2</v>
      </c>
      <c r="F70" s="181">
        <f t="shared" si="26"/>
        <v>-0.12588633674457109</v>
      </c>
      <c r="G70" s="181">
        <f t="shared" si="26"/>
        <v>9.1137075637720985E-2</v>
      </c>
      <c r="H70" s="181">
        <f t="shared" si="26"/>
        <v>-2.4911200725219192E-2</v>
      </c>
      <c r="I70" s="181">
        <f t="shared" si="26"/>
        <v>-0.38229589676339548</v>
      </c>
      <c r="J70" s="181">
        <f t="shared" si="26"/>
        <v>-0.23352852831810289</v>
      </c>
      <c r="K70" s="181">
        <f t="shared" si="26"/>
        <v>4.2604229035640177E-3</v>
      </c>
      <c r="L70" s="181">
        <f t="shared" si="26"/>
        <v>-3.6051128808089242E-3</v>
      </c>
      <c r="M70" s="181">
        <f t="shared" si="26"/>
        <v>0.89286213583305474</v>
      </c>
      <c r="N70" s="181">
        <f t="shared" si="26"/>
        <v>0.70503878718177726</v>
      </c>
    </row>
    <row r="71" spans="1:14" x14ac:dyDescent="0.2">
      <c r="A71" s="340"/>
      <c r="B71" s="178" t="str">
        <f t="shared" si="24"/>
        <v>NM Hold 2</v>
      </c>
      <c r="C71" s="181">
        <f t="shared" ref="C71:N71" si="27">-LN((B$61/C50))/LN(2)*PBHVL</f>
        <v>0.56668528477185676</v>
      </c>
      <c r="D71" s="181">
        <f t="shared" si="27"/>
        <v>-3.6051128808089242E-3</v>
      </c>
      <c r="E71" s="181">
        <f t="shared" si="27"/>
        <v>0.43517525518854172</v>
      </c>
      <c r="F71" s="181">
        <f t="shared" si="27"/>
        <v>0.14884210474309492</v>
      </c>
      <c r="G71" s="181">
        <f t="shared" si="27"/>
        <v>0.52688837731489779</v>
      </c>
      <c r="H71" s="181">
        <f t="shared" si="27"/>
        <v>0.29682175277862122</v>
      </c>
      <c r="I71" s="181">
        <f t="shared" si="27"/>
        <v>4.2604229035640177E-3</v>
      </c>
      <c r="J71" s="181">
        <f t="shared" si="27"/>
        <v>0.19204404595108038</v>
      </c>
      <c r="K71" s="181">
        <f t="shared" si="27"/>
        <v>0.26625841911242665</v>
      </c>
      <c r="L71" s="181">
        <f t="shared" si="27"/>
        <v>0.66266919405801594</v>
      </c>
      <c r="M71" s="181">
        <f t="shared" si="27"/>
        <v>0.89286213583305474</v>
      </c>
      <c r="N71" s="181">
        <f t="shared" si="27"/>
        <v>0.70503878718177726</v>
      </c>
    </row>
    <row r="72" spans="1:14" x14ac:dyDescent="0.2">
      <c r="A72" s="340"/>
      <c r="B72" s="178" t="str">
        <f t="shared" si="24"/>
        <v>NM Camera 1</v>
      </c>
      <c r="C72" s="181">
        <f t="shared" ref="C72:N72" si="28">-LN((B$61/C51))/LN(2)*PBHVL</f>
        <v>1.0480958619497696</v>
      </c>
      <c r="D72" s="181">
        <f t="shared" si="28"/>
        <v>-0.10250384718858385</v>
      </c>
      <c r="E72" s="181">
        <f t="shared" si="28"/>
        <v>5.8547453103158328E-2</v>
      </c>
      <c r="F72" s="181">
        <f t="shared" si="28"/>
        <v>-0.12746849254809384</v>
      </c>
      <c r="G72" s="181">
        <f t="shared" si="28"/>
        <v>3.4212298866574294E-2</v>
      </c>
      <c r="H72" s="181">
        <f t="shared" si="28"/>
        <v>-8.7528375992152352E-2</v>
      </c>
      <c r="I72" s="181">
        <f t="shared" si="28"/>
        <v>-0.55559741288576814</v>
      </c>
      <c r="J72" s="181">
        <f t="shared" si="28"/>
        <v>-0.4623128239119112</v>
      </c>
      <c r="K72" s="181">
        <f t="shared" si="28"/>
        <v>-0.32317239717160196</v>
      </c>
      <c r="L72" s="181">
        <f t="shared" si="28"/>
        <v>-0.11823491875732949</v>
      </c>
      <c r="M72" s="181">
        <f t="shared" si="28"/>
        <v>0.95198563542484815</v>
      </c>
      <c r="N72" s="181">
        <f t="shared" si="28"/>
        <v>0.76416228677357079</v>
      </c>
    </row>
    <row r="73" spans="1:14" x14ac:dyDescent="0.2">
      <c r="A73" s="340"/>
      <c r="B73" s="178" t="str">
        <f t="shared" si="24"/>
        <v>NM Camera 2</v>
      </c>
      <c r="C73" s="181">
        <f t="shared" ref="C73:N73" si="29">-LN((B$61/C52))/LN(2)*PBHVL</f>
        <v>0.84380289484628079</v>
      </c>
      <c r="D73" s="181">
        <f t="shared" si="29"/>
        <v>0.4864181988081045</v>
      </c>
      <c r="E73" s="181">
        <f t="shared" si="29"/>
        <v>0.68998763921598549</v>
      </c>
      <c r="F73" s="181">
        <f t="shared" si="29"/>
        <v>0.32054544931202117</v>
      </c>
      <c r="G73" s="181">
        <f t="shared" si="29"/>
        <v>0.61073336782133081</v>
      </c>
      <c r="H73" s="181">
        <f t="shared" si="29"/>
        <v>0.37426754615957197</v>
      </c>
      <c r="I73" s="181">
        <f t="shared" si="29"/>
        <v>-0.19463114145568225</v>
      </c>
      <c r="J73" s="181">
        <f t="shared" si="29"/>
        <v>-0.15363948988693457</v>
      </c>
      <c r="K73" s="181">
        <f t="shared" si="29"/>
        <v>-0.15363948988693457</v>
      </c>
      <c r="L73" s="181">
        <f t="shared" si="29"/>
        <v>0.72179269364980936</v>
      </c>
      <c r="M73" s="181">
        <f t="shared" si="29"/>
        <v>0.95198563542484815</v>
      </c>
      <c r="N73" s="181">
        <f t="shared" si="29"/>
        <v>0.76416228677357079</v>
      </c>
    </row>
    <row r="74" spans="1:14" x14ac:dyDescent="0.2">
      <c r="A74" s="340"/>
      <c r="B74" s="178" t="str">
        <f t="shared" si="24"/>
        <v>Stress Lab</v>
      </c>
      <c r="C74" s="181">
        <f t="shared" ref="C74:N74" si="30">-LN((B$61/C53))/LN(2)*PBHVL</f>
        <v>0.70368928572899481</v>
      </c>
      <c r="D74" s="181">
        <f t="shared" si="30"/>
        <v>0.54398748689003495</v>
      </c>
      <c r="E74" s="181">
        <f t="shared" si="30"/>
        <v>2.2421797957992324</v>
      </c>
      <c r="F74" s="181">
        <f t="shared" si="30"/>
        <v>1.1627256678262901</v>
      </c>
      <c r="G74" s="181">
        <f t="shared" si="30"/>
        <v>1.7024527318127611</v>
      </c>
      <c r="H74" s="181">
        <f t="shared" si="30"/>
        <v>1.2892729107786438</v>
      </c>
      <c r="I74" s="181">
        <f t="shared" si="30"/>
        <v>0.10037064942848542</v>
      </c>
      <c r="J74" s="181">
        <f t="shared" si="30"/>
        <v>3.63350036751326E-2</v>
      </c>
      <c r="K74" s="181">
        <f t="shared" si="30"/>
        <v>-5.9918431948771236E-2</v>
      </c>
      <c r="L74" s="181">
        <f t="shared" si="30"/>
        <v>1.5194658525536828</v>
      </c>
      <c r="M74" s="181">
        <f t="shared" si="30"/>
        <v>1.1627256678262901</v>
      </c>
      <c r="N74" s="181">
        <f t="shared" si="30"/>
        <v>0.9749023191750128</v>
      </c>
    </row>
    <row r="75" spans="1:14" x14ac:dyDescent="0.2">
      <c r="A75" s="340"/>
      <c r="B75" s="178" t="str">
        <f t="shared" si="24"/>
        <v>Hot Toilet</v>
      </c>
      <c r="C75" s="181">
        <f t="shared" ref="C75:N75" si="31">-LN((B$61/C54))/LN(2)*PBHVL</f>
        <v>0.61416505123607945</v>
      </c>
      <c r="D75" s="181">
        <f t="shared" si="31"/>
        <v>-0.33446374488138481</v>
      </c>
      <c r="E75" s="181">
        <f t="shared" si="31"/>
        <v>-9.415817319498769E-2</v>
      </c>
      <c r="F75" s="181">
        <f t="shared" si="31"/>
        <v>-0.25041272969829204</v>
      </c>
      <c r="G75" s="181">
        <f t="shared" si="31"/>
        <v>-6.1018637496239404E-2</v>
      </c>
      <c r="H75" s="181">
        <f t="shared" si="31"/>
        <v>-0.16640374237787289</v>
      </c>
      <c r="I75" s="181">
        <f t="shared" si="31"/>
        <v>-0.60432727687462018</v>
      </c>
      <c r="J75" s="181">
        <f t="shared" si="31"/>
        <v>-0.43682831473941691</v>
      </c>
      <c r="K75" s="181">
        <f t="shared" si="31"/>
        <v>-0.28230219747778407</v>
      </c>
      <c r="L75" s="181">
        <f t="shared" si="31"/>
        <v>-0.24822591493896465</v>
      </c>
      <c r="M75" s="181">
        <f t="shared" si="31"/>
        <v>0.90325577143599622</v>
      </c>
      <c r="N75" s="181">
        <f t="shared" si="31"/>
        <v>0.71543242278471875</v>
      </c>
    </row>
    <row r="76" spans="1:14" x14ac:dyDescent="0.2">
      <c r="A76" s="340"/>
      <c r="B76" s="178" t="str">
        <f t="shared" si="24"/>
        <v>Radiology Waiting</v>
      </c>
      <c r="C76" s="181">
        <f t="shared" ref="C76:N76" si="32">-LN((B$61/C55))/LN(2)*PBHVL</f>
        <v>0.52654539892616026</v>
      </c>
      <c r="D76" s="181">
        <f t="shared" si="32"/>
        <v>8.5957627856784416E-2</v>
      </c>
      <c r="E76" s="181">
        <f t="shared" si="32"/>
        <v>0.85711458631471205</v>
      </c>
      <c r="F76" s="181">
        <f t="shared" si="32"/>
        <v>0.7964089309193958</v>
      </c>
      <c r="G76" s="181">
        <f t="shared" si="32"/>
        <v>1.1941692073177674</v>
      </c>
      <c r="H76" s="181">
        <f t="shared" si="32"/>
        <v>1.1318430278023779</v>
      </c>
      <c r="I76" s="181">
        <f t="shared" si="32"/>
        <v>1.1072925545836103</v>
      </c>
      <c r="J76" s="181">
        <f t="shared" si="32"/>
        <v>0.63531790502389252</v>
      </c>
      <c r="K76" s="181">
        <f t="shared" si="32"/>
        <v>0.31959781196747894</v>
      </c>
      <c r="L76" s="181">
        <f t="shared" si="32"/>
        <v>0.97939581017847421</v>
      </c>
      <c r="M76" s="181">
        <f t="shared" si="32"/>
        <v>1.3361359949058669</v>
      </c>
      <c r="N76" s="181">
        <f t="shared" si="32"/>
        <v>1.1483126462545894</v>
      </c>
    </row>
  </sheetData>
  <mergeCells count="7">
    <mergeCell ref="C67:N67"/>
    <mergeCell ref="A69:A76"/>
    <mergeCell ref="C32:N32"/>
    <mergeCell ref="A34:A41"/>
    <mergeCell ref="C45:N45"/>
    <mergeCell ref="A48:A55"/>
    <mergeCell ref="B58:M58"/>
  </mergeCells>
  <conditionalFormatting sqref="C48:C55">
    <cfRule type="colorScale" priority="2">
      <colorScale>
        <cfvo type="min"/>
        <cfvo type="max"/>
        <color rgb="FFFFFFFF"/>
        <color rgb="FFFF0000"/>
      </colorScale>
    </cfRule>
  </conditionalFormatting>
  <conditionalFormatting sqref="D48:D55">
    <cfRule type="colorScale" priority="3">
      <colorScale>
        <cfvo type="min"/>
        <cfvo type="max"/>
        <color rgb="FFFFFFFF"/>
        <color rgb="FFFF0000"/>
      </colorScale>
    </cfRule>
  </conditionalFormatting>
  <conditionalFormatting sqref="E48:E55">
    <cfRule type="colorScale" priority="4">
      <colorScale>
        <cfvo type="min"/>
        <cfvo type="max"/>
        <color rgb="FFFFFFFF"/>
        <color rgb="FFFF0000"/>
      </colorScale>
    </cfRule>
  </conditionalFormatting>
  <conditionalFormatting sqref="F48:F55">
    <cfRule type="colorScale" priority="5">
      <colorScale>
        <cfvo type="min"/>
        <cfvo type="max"/>
        <color rgb="FFFFFFFF"/>
        <color rgb="FFFF0000"/>
      </colorScale>
    </cfRule>
  </conditionalFormatting>
  <conditionalFormatting sqref="G48:G55">
    <cfRule type="colorScale" priority="6">
      <colorScale>
        <cfvo type="min"/>
        <cfvo type="max"/>
        <color rgb="FFFFFFFF"/>
        <color rgb="FFFF0000"/>
      </colorScale>
    </cfRule>
  </conditionalFormatting>
  <conditionalFormatting sqref="H48:H55">
    <cfRule type="colorScale" priority="7">
      <colorScale>
        <cfvo type="min"/>
        <cfvo type="max"/>
        <color rgb="FFFFFFFF"/>
        <color rgb="FFFF0000"/>
      </colorScale>
    </cfRule>
  </conditionalFormatting>
  <conditionalFormatting sqref="I48:I55">
    <cfRule type="colorScale" priority="8">
      <colorScale>
        <cfvo type="min"/>
        <cfvo type="max"/>
        <color rgb="FFFFFFFF"/>
        <color rgb="FFFF0000"/>
      </colorScale>
    </cfRule>
  </conditionalFormatting>
  <conditionalFormatting sqref="J48:J55">
    <cfRule type="colorScale" priority="9">
      <colorScale>
        <cfvo type="min"/>
        <cfvo type="max"/>
        <color rgb="FFFFFFFF"/>
        <color rgb="FFFF0000"/>
      </colorScale>
    </cfRule>
  </conditionalFormatting>
  <conditionalFormatting sqref="K48:K55">
    <cfRule type="colorScale" priority="10">
      <colorScale>
        <cfvo type="min"/>
        <cfvo type="max"/>
        <color rgb="FFFFFFFF"/>
        <color rgb="FFFF0000"/>
      </colorScale>
    </cfRule>
  </conditionalFormatting>
  <conditionalFormatting sqref="L48:L55">
    <cfRule type="colorScale" priority="11">
      <colorScale>
        <cfvo type="min"/>
        <cfvo type="max"/>
        <color rgb="FFFFFFFF"/>
        <color rgb="FFFF0000"/>
      </colorScale>
    </cfRule>
  </conditionalFormatting>
  <conditionalFormatting sqref="C69:N76">
    <cfRule type="cellIs" dxfId="0" priority="12" operator="lessThan">
      <formula>0</formula>
    </cfRule>
  </conditionalFormatting>
  <conditionalFormatting sqref="M48:N55">
    <cfRule type="colorScale" priority="13">
      <colorScale>
        <cfvo type="min"/>
        <cfvo type="max"/>
        <color rgb="FFFFFFFF"/>
        <color rgb="FFFF0000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50"/>
  <sheetViews>
    <sheetView tabSelected="1" zoomScaleNormal="100" workbookViewId="0">
      <selection activeCell="A50" sqref="A50"/>
    </sheetView>
  </sheetViews>
  <sheetFormatPr defaultColWidth="9.33203125" defaultRowHeight="12.75" x14ac:dyDescent="0.2"/>
  <cols>
    <col min="1" max="1" width="18.5" style="187" customWidth="1"/>
    <col min="2" max="2" width="10.6640625" style="187" customWidth="1"/>
    <col min="3" max="3" width="8.33203125" style="187" customWidth="1"/>
    <col min="4" max="4" width="13" style="187" customWidth="1"/>
    <col min="5" max="5" width="12.33203125" style="187" customWidth="1"/>
    <col min="6" max="6" width="14.1640625" style="187" customWidth="1"/>
    <col min="7" max="7" width="13.83203125" style="187" customWidth="1"/>
    <col min="8" max="8" width="11.5" style="187" customWidth="1"/>
    <col min="9" max="9" width="10.1640625" style="187" customWidth="1"/>
    <col min="10" max="10" width="9.33203125" style="187"/>
    <col min="11" max="11" width="10.1640625" style="187" customWidth="1"/>
    <col min="12" max="15" width="9.33203125" style="187"/>
    <col min="16" max="16" width="11.5" style="187" customWidth="1"/>
    <col min="17" max="22" width="9.33203125" style="187"/>
  </cols>
  <sheetData>
    <row r="1" spans="1:19" x14ac:dyDescent="0.2">
      <c r="A1" s="188" t="s">
        <v>259</v>
      </c>
      <c r="B1" s="188"/>
      <c r="C1" s="188"/>
      <c r="D1" s="188"/>
      <c r="J1" s="189" t="s">
        <v>260</v>
      </c>
      <c r="K1" s="190"/>
      <c r="L1" s="190"/>
      <c r="M1" s="190"/>
      <c r="N1" s="190"/>
      <c r="O1" s="190"/>
      <c r="P1" s="190"/>
      <c r="Q1" s="190"/>
      <c r="R1" s="190"/>
      <c r="S1" s="191"/>
    </row>
    <row r="2" spans="1:19" x14ac:dyDescent="0.2">
      <c r="A2" s="188"/>
      <c r="B2" s="188"/>
      <c r="C2" s="188"/>
      <c r="D2" s="188"/>
      <c r="J2" s="192" t="s">
        <v>261</v>
      </c>
      <c r="K2" s="193"/>
      <c r="L2" s="193"/>
      <c r="M2" s="193"/>
      <c r="N2" s="193"/>
      <c r="O2" s="193"/>
      <c r="P2" s="193"/>
      <c r="Q2" s="193"/>
      <c r="R2" s="193"/>
      <c r="S2" s="194"/>
    </row>
    <row r="3" spans="1:19" x14ac:dyDescent="0.2">
      <c r="A3" s="188" t="s">
        <v>262</v>
      </c>
      <c r="B3" s="188"/>
      <c r="C3" s="188"/>
      <c r="D3" s="188"/>
      <c r="J3" s="192" t="s">
        <v>263</v>
      </c>
      <c r="K3" s="193"/>
      <c r="L3" s="193"/>
      <c r="M3" s="193"/>
      <c r="N3" s="193"/>
      <c r="O3" s="193"/>
      <c r="P3" s="193"/>
      <c r="Q3" s="193"/>
      <c r="R3" s="193"/>
      <c r="S3" s="194"/>
    </row>
    <row r="4" spans="1:19" x14ac:dyDescent="0.2">
      <c r="J4" s="192" t="s">
        <v>264</v>
      </c>
      <c r="K4" s="193"/>
      <c r="L4" s="193"/>
      <c r="M4" s="193"/>
      <c r="N4" s="193"/>
      <c r="O4" s="193"/>
      <c r="P4" s="193"/>
      <c r="Q4" s="193"/>
      <c r="R4" s="193"/>
      <c r="S4" s="194"/>
    </row>
    <row r="5" spans="1:19" x14ac:dyDescent="0.2">
      <c r="J5" s="192" t="s">
        <v>265</v>
      </c>
      <c r="K5" s="193"/>
      <c r="L5" s="193"/>
      <c r="M5" s="193"/>
      <c r="N5" s="193"/>
      <c r="O5" s="193"/>
      <c r="P5" s="193"/>
      <c r="Q5" s="193"/>
      <c r="R5" s="193"/>
      <c r="S5" s="194"/>
    </row>
    <row r="6" spans="1:19" x14ac:dyDescent="0.2">
      <c r="A6" s="188" t="s">
        <v>266</v>
      </c>
      <c r="J6" s="192" t="s">
        <v>267</v>
      </c>
      <c r="K6" s="193"/>
      <c r="L6" s="193"/>
      <c r="M6" s="193"/>
      <c r="N6" s="193"/>
      <c r="O6" s="193"/>
      <c r="P6" s="193"/>
      <c r="Q6" s="193"/>
      <c r="R6" s="193"/>
      <c r="S6" s="194"/>
    </row>
    <row r="7" spans="1:19" x14ac:dyDescent="0.2">
      <c r="J7" s="192"/>
      <c r="K7" s="193"/>
      <c r="L7" s="193"/>
      <c r="M7" s="193"/>
      <c r="N7" s="193"/>
      <c r="O7" s="193"/>
      <c r="P7" s="193"/>
      <c r="Q7" s="193"/>
      <c r="R7" s="193"/>
      <c r="S7" s="194"/>
    </row>
    <row r="8" spans="1:19" x14ac:dyDescent="0.2">
      <c r="J8" s="195"/>
      <c r="K8" s="196"/>
      <c r="L8" s="196"/>
      <c r="M8" s="196"/>
      <c r="N8" s="196"/>
      <c r="O8" s="196"/>
      <c r="P8" s="196"/>
      <c r="Q8" s="196"/>
      <c r="R8" s="196"/>
      <c r="S8" s="197"/>
    </row>
    <row r="9" spans="1:19" x14ac:dyDescent="0.2">
      <c r="A9" s="188" t="s">
        <v>231</v>
      </c>
    </row>
    <row r="10" spans="1:19" x14ac:dyDescent="0.2">
      <c r="J10" s="189" t="s">
        <v>268</v>
      </c>
      <c r="K10" s="190"/>
      <c r="L10" s="190"/>
      <c r="M10" s="190"/>
      <c r="N10" s="190"/>
      <c r="O10" s="190"/>
      <c r="P10" s="190"/>
      <c r="Q10" s="190"/>
      <c r="R10" s="190"/>
      <c r="S10" s="191"/>
    </row>
    <row r="11" spans="1:19" x14ac:dyDescent="0.2">
      <c r="J11" s="192" t="s">
        <v>269</v>
      </c>
      <c r="K11" s="193"/>
      <c r="L11" s="193"/>
      <c r="M11" s="193"/>
      <c r="N11" s="193"/>
      <c r="O11" s="193"/>
      <c r="P11" s="193"/>
      <c r="Q11" s="193"/>
      <c r="R11" s="193"/>
      <c r="S11" s="194"/>
    </row>
    <row r="12" spans="1:19" x14ac:dyDescent="0.2">
      <c r="J12" s="192" t="s">
        <v>270</v>
      </c>
      <c r="K12" s="193"/>
      <c r="L12" s="193"/>
      <c r="M12" s="193"/>
      <c r="N12" s="193"/>
      <c r="O12" s="193"/>
      <c r="P12" s="193"/>
      <c r="Q12" s="193"/>
      <c r="R12" s="193"/>
      <c r="S12" s="194"/>
    </row>
    <row r="13" spans="1:19" x14ac:dyDescent="0.2">
      <c r="A13" s="198" t="s">
        <v>271</v>
      </c>
      <c r="B13" s="199" t="s">
        <v>272</v>
      </c>
      <c r="C13" s="200"/>
      <c r="J13" s="192"/>
      <c r="K13" s="193"/>
      <c r="L13" s="193"/>
      <c r="M13" s="193"/>
      <c r="N13" s="193"/>
      <c r="O13" s="193"/>
      <c r="P13" s="193"/>
      <c r="Q13" s="193"/>
      <c r="R13" s="193"/>
      <c r="S13" s="194"/>
    </row>
    <row r="14" spans="1:19" x14ac:dyDescent="0.2">
      <c r="A14" s="201"/>
      <c r="B14" s="202"/>
      <c r="C14" s="203"/>
      <c r="J14" s="192" t="s">
        <v>273</v>
      </c>
      <c r="K14" s="193"/>
      <c r="L14" s="193"/>
      <c r="M14" s="193"/>
      <c r="N14" s="193"/>
      <c r="O14" s="193"/>
      <c r="P14" s="193"/>
      <c r="Q14" s="193"/>
      <c r="R14" s="193"/>
      <c r="S14" s="194"/>
    </row>
    <row r="15" spans="1:19" x14ac:dyDescent="0.2">
      <c r="A15" s="201"/>
      <c r="B15" s="202"/>
      <c r="C15" s="203"/>
      <c r="J15" s="192" t="s">
        <v>274</v>
      </c>
      <c r="K15" s="193"/>
      <c r="L15" s="193"/>
      <c r="M15" s="193"/>
      <c r="N15" s="193"/>
      <c r="O15" s="193"/>
      <c r="P15" s="193"/>
      <c r="Q15" s="193"/>
      <c r="R15" s="193"/>
      <c r="S15" s="194"/>
    </row>
    <row r="16" spans="1:19" x14ac:dyDescent="0.2">
      <c r="A16" s="204"/>
      <c r="B16" s="205"/>
      <c r="C16" s="206"/>
      <c r="J16" s="195" t="s">
        <v>275</v>
      </c>
      <c r="K16" s="196"/>
      <c r="L16" s="196"/>
      <c r="M16" s="196"/>
      <c r="N16" s="196"/>
      <c r="O16" s="196"/>
      <c r="P16" s="196"/>
      <c r="Q16" s="196"/>
      <c r="R16" s="196"/>
      <c r="S16" s="197"/>
    </row>
    <row r="18" spans="1:22" x14ac:dyDescent="0.2">
      <c r="A18" s="207" t="s">
        <v>163</v>
      </c>
      <c r="B18" s="208"/>
      <c r="C18" s="208"/>
      <c r="D18" s="208"/>
      <c r="E18" s="208"/>
      <c r="F18" s="208"/>
      <c r="G18" s="209"/>
      <c r="H18" s="193"/>
      <c r="I18" s="193"/>
      <c r="J18" s="189" t="s">
        <v>276</v>
      </c>
      <c r="K18" s="190"/>
      <c r="L18" s="190"/>
      <c r="M18" s="190"/>
      <c r="N18" s="191"/>
      <c r="P18" s="210"/>
      <c r="Q18" s="341" t="s">
        <v>277</v>
      </c>
      <c r="R18" s="341"/>
      <c r="S18" s="341"/>
      <c r="T18" s="341"/>
      <c r="U18" s="341"/>
      <c r="V18" s="341"/>
    </row>
    <row r="19" spans="1:22" x14ac:dyDescent="0.2">
      <c r="A19" s="209"/>
      <c r="B19" s="211" t="s">
        <v>201</v>
      </c>
      <c r="C19" s="212"/>
      <c r="D19" s="193"/>
      <c r="E19" s="211" t="s">
        <v>278</v>
      </c>
      <c r="F19" s="213">
        <f>+C19*C20*5</f>
        <v>0</v>
      </c>
      <c r="G19" s="209"/>
      <c r="H19" s="193"/>
      <c r="I19" s="193"/>
      <c r="J19" s="192" t="s">
        <v>279</v>
      </c>
      <c r="K19" s="193"/>
      <c r="L19" s="214">
        <v>5</v>
      </c>
      <c r="M19" s="215" t="s">
        <v>280</v>
      </c>
      <c r="N19" s="194"/>
      <c r="P19" s="209"/>
      <c r="Q19" s="342" t="s">
        <v>281</v>
      </c>
      <c r="R19" s="342"/>
      <c r="S19" s="342"/>
      <c r="T19" s="331" t="s">
        <v>95</v>
      </c>
      <c r="U19" s="331"/>
      <c r="V19" s="331"/>
    </row>
    <row r="20" spans="1:22" x14ac:dyDescent="0.2">
      <c r="A20" s="209"/>
      <c r="B20" s="211" t="s">
        <v>282</v>
      </c>
      <c r="C20" s="212"/>
      <c r="D20" s="193"/>
      <c r="E20" s="211" t="s">
        <v>283</v>
      </c>
      <c r="F20" s="213">
        <f>+F19*52</f>
        <v>0</v>
      </c>
      <c r="G20" s="209"/>
      <c r="H20" s="193"/>
      <c r="I20" s="193"/>
      <c r="J20" s="195" t="s">
        <v>284</v>
      </c>
      <c r="K20" s="196"/>
      <c r="L20" s="217">
        <v>1</v>
      </c>
      <c r="M20" s="218" t="s">
        <v>280</v>
      </c>
      <c r="N20" s="197"/>
      <c r="P20" s="53" t="s">
        <v>37</v>
      </c>
      <c r="Q20" s="58" t="s">
        <v>40</v>
      </c>
      <c r="R20" s="58" t="s">
        <v>41</v>
      </c>
      <c r="S20" s="219" t="s">
        <v>42</v>
      </c>
      <c r="T20" s="58" t="s">
        <v>40</v>
      </c>
      <c r="U20" s="58" t="s">
        <v>41</v>
      </c>
      <c r="V20" s="219" t="s">
        <v>42</v>
      </c>
    </row>
    <row r="21" spans="1:22" x14ac:dyDescent="0.2">
      <c r="A21" s="209"/>
      <c r="B21" s="211" t="s">
        <v>285</v>
      </c>
      <c r="C21" s="212"/>
      <c r="D21" s="193"/>
      <c r="E21" s="211" t="s">
        <v>286</v>
      </c>
      <c r="F21" s="213">
        <f>+F20*C22</f>
        <v>0</v>
      </c>
      <c r="G21" s="209"/>
      <c r="H21" s="193"/>
      <c r="I21" s="193"/>
      <c r="P21" s="220">
        <v>100</v>
      </c>
      <c r="Q21" s="220">
        <v>2.5070000000000001</v>
      </c>
      <c r="R21" s="220">
        <v>15.33</v>
      </c>
      <c r="S21" s="220">
        <v>0.91239999999999999</v>
      </c>
      <c r="T21" s="220">
        <v>3.95E-2</v>
      </c>
      <c r="U21" s="220">
        <v>8.4400000000000003E-2</v>
      </c>
      <c r="V21" s="220">
        <v>0.51910000000000001</v>
      </c>
    </row>
    <row r="22" spans="1:22" x14ac:dyDescent="0.2">
      <c r="A22" s="209"/>
      <c r="B22" s="211" t="s">
        <v>287</v>
      </c>
      <c r="C22" s="212"/>
      <c r="D22" s="193"/>
      <c r="E22" s="211" t="s">
        <v>288</v>
      </c>
      <c r="F22" s="221">
        <f>+F19*C22/60</f>
        <v>0</v>
      </c>
      <c r="G22" s="209"/>
      <c r="H22" s="193"/>
      <c r="I22" s="193"/>
      <c r="J22" s="189" t="s">
        <v>289</v>
      </c>
      <c r="K22" s="190"/>
      <c r="L22" s="191"/>
      <c r="P22" s="220">
        <v>120</v>
      </c>
      <c r="Q22" s="222">
        <f t="shared" ref="Q22:V22" si="0">AVERAGE(Q21,Q23)</f>
        <v>2.37</v>
      </c>
      <c r="R22" s="220">
        <f t="shared" si="0"/>
        <v>11.609</v>
      </c>
      <c r="S22" s="222">
        <f t="shared" si="0"/>
        <v>0.82095000000000007</v>
      </c>
      <c r="T22" s="223">
        <f t="shared" si="0"/>
        <v>3.73E-2</v>
      </c>
      <c r="U22" s="220">
        <f t="shared" si="0"/>
        <v>7.5200000000000003E-2</v>
      </c>
      <c r="V22" s="222">
        <f t="shared" si="0"/>
        <v>0.65115000000000001</v>
      </c>
    </row>
    <row r="23" spans="1:22" x14ac:dyDescent="0.2">
      <c r="A23" s="204"/>
      <c r="B23" s="224" t="s">
        <v>290</v>
      </c>
      <c r="C23" s="212"/>
      <c r="D23" s="225"/>
      <c r="E23" s="225"/>
      <c r="F23" s="225"/>
      <c r="G23" s="209"/>
      <c r="H23" s="193"/>
      <c r="I23" s="193"/>
      <c r="J23" s="226" t="s">
        <v>291</v>
      </c>
      <c r="K23" s="227"/>
      <c r="L23" s="228">
        <v>0.27</v>
      </c>
      <c r="M23" s="193"/>
      <c r="N23" s="193"/>
      <c r="O23" s="193"/>
      <c r="P23" s="220">
        <v>125</v>
      </c>
      <c r="Q23" s="220">
        <v>2.2330000000000001</v>
      </c>
      <c r="R23" s="220">
        <v>7.8879999999999999</v>
      </c>
      <c r="S23" s="220">
        <v>0.72950000000000004</v>
      </c>
      <c r="T23" s="220">
        <v>3.5099999999999999E-2</v>
      </c>
      <c r="U23" s="220">
        <v>6.6000000000000003E-2</v>
      </c>
      <c r="V23" s="220">
        <v>0.78320000000000001</v>
      </c>
    </row>
    <row r="24" spans="1:22" x14ac:dyDescent="0.2">
      <c r="J24" s="229" t="s">
        <v>292</v>
      </c>
      <c r="K24" s="230"/>
      <c r="L24" s="231">
        <v>0.79730000000000001</v>
      </c>
      <c r="M24" s="193"/>
      <c r="N24" s="193"/>
      <c r="O24" s="193"/>
      <c r="P24" s="232"/>
      <c r="Q24" s="341" t="s">
        <v>277</v>
      </c>
      <c r="R24" s="341"/>
      <c r="S24" s="341"/>
      <c r="T24" s="341"/>
      <c r="U24" s="341"/>
      <c r="V24" s="341"/>
    </row>
    <row r="25" spans="1:22" x14ac:dyDescent="0.2">
      <c r="A25" s="207" t="s">
        <v>293</v>
      </c>
      <c r="B25" s="233"/>
      <c r="C25" s="233"/>
      <c r="D25" s="233"/>
      <c r="E25" s="233"/>
      <c r="F25" s="233"/>
      <c r="G25" s="233"/>
      <c r="H25" s="234"/>
      <c r="I25" s="235"/>
      <c r="M25" s="193"/>
      <c r="N25" s="193"/>
      <c r="O25" s="193"/>
      <c r="P25" s="209"/>
      <c r="Q25" s="216" t="s">
        <v>281</v>
      </c>
      <c r="R25" s="216"/>
      <c r="S25" s="216"/>
      <c r="T25" s="37" t="s">
        <v>95</v>
      </c>
      <c r="U25" s="37"/>
      <c r="V25" s="236"/>
    </row>
    <row r="26" spans="1:22" x14ac:dyDescent="0.2">
      <c r="A26" s="237"/>
      <c r="B26" s="238"/>
      <c r="C26" s="238"/>
      <c r="D26" s="238"/>
      <c r="E26" s="238" t="s">
        <v>294</v>
      </c>
      <c r="F26" s="238"/>
      <c r="G26" s="238"/>
      <c r="H26" s="239" t="s">
        <v>295</v>
      </c>
      <c r="L26" s="187" t="s">
        <v>296</v>
      </c>
      <c r="P26" s="53" t="s">
        <v>37</v>
      </c>
      <c r="Q26" s="219" t="s">
        <v>40</v>
      </c>
      <c r="R26" s="219" t="s">
        <v>41</v>
      </c>
      <c r="S26" s="219" t="s">
        <v>42</v>
      </c>
      <c r="T26" s="219" t="s">
        <v>40</v>
      </c>
      <c r="U26" s="219" t="s">
        <v>41</v>
      </c>
      <c r="V26" s="219" t="s">
        <v>42</v>
      </c>
    </row>
    <row r="27" spans="1:22" ht="12.75" customHeight="1" x14ac:dyDescent="0.2">
      <c r="A27" s="237"/>
      <c r="B27" s="238" t="s">
        <v>297</v>
      </c>
      <c r="C27" s="213"/>
      <c r="D27" s="238"/>
      <c r="E27" s="238" t="s">
        <v>298</v>
      </c>
      <c r="F27" s="238" t="s">
        <v>299</v>
      </c>
      <c r="G27" s="238" t="s">
        <v>299</v>
      </c>
      <c r="H27" s="239" t="s">
        <v>48</v>
      </c>
      <c r="J27" s="343" t="s">
        <v>177</v>
      </c>
      <c r="K27" s="187" t="s">
        <v>294</v>
      </c>
      <c r="L27" s="187" t="s">
        <v>300</v>
      </c>
      <c r="P27" s="220">
        <v>120</v>
      </c>
      <c r="Q27" s="220">
        <v>2.2486000000000002</v>
      </c>
      <c r="R27" s="220">
        <v>8.6099999999999905</v>
      </c>
      <c r="S27" s="220">
        <v>0.77102666666666697</v>
      </c>
      <c r="T27" s="220">
        <v>3.5099999999999999E-2</v>
      </c>
      <c r="U27" s="220">
        <v>6.6000000000000003E-2</v>
      </c>
      <c r="V27" s="220">
        <v>0.78320000000000001</v>
      </c>
    </row>
    <row r="28" spans="1:22" x14ac:dyDescent="0.2">
      <c r="A28" s="240" t="s">
        <v>301</v>
      </c>
      <c r="B28" s="241" t="s">
        <v>302</v>
      </c>
      <c r="C28" s="241" t="s">
        <v>74</v>
      </c>
      <c r="D28" s="241" t="s">
        <v>232</v>
      </c>
      <c r="E28" s="241" t="s">
        <v>303</v>
      </c>
      <c r="F28" s="242" t="s">
        <v>304</v>
      </c>
      <c r="G28" s="241" t="s">
        <v>184</v>
      </c>
      <c r="H28" s="243" t="s">
        <v>305</v>
      </c>
      <c r="J28" s="343"/>
      <c r="K28" s="187" t="s">
        <v>306</v>
      </c>
      <c r="L28" s="187" t="s">
        <v>303</v>
      </c>
      <c r="M28" s="244" t="s">
        <v>194</v>
      </c>
      <c r="O28" s="244" t="s">
        <v>195</v>
      </c>
      <c r="P28" s="244" t="s">
        <v>307</v>
      </c>
    </row>
    <row r="29" spans="1:22" x14ac:dyDescent="0.2">
      <c r="A29" s="245"/>
      <c r="B29" s="246"/>
      <c r="C29" s="78"/>
      <c r="D29" s="78"/>
      <c r="E29" s="213" t="str">
        <f t="shared" ref="E29:E44" si="1">IF(A29="","",IF(C29="U",$L$20,IF(OR(C29="",C29="C"),$L$19,"")))</f>
        <v/>
      </c>
      <c r="F29" s="78"/>
      <c r="G29" s="247"/>
      <c r="H29" s="248" t="e">
        <f t="shared" ref="H29:H44" si="2">O29</f>
        <v>#VALUE!</v>
      </c>
      <c r="J29" s="249" t="e">
        <f t="shared" ref="J29:J43" si="3">+(G29/B29)^2</f>
        <v>#DIV/0!</v>
      </c>
      <c r="K29" s="250" t="e">
        <f t="shared" ref="K29:K44" si="4">+J29*(F29/1000)</f>
        <v>#DIV/0!</v>
      </c>
      <c r="L29" s="251" t="e">
        <f t="shared" ref="L29:L44" si="5">IF(AND($F$21="",K29=""),"",$F$21*K29)</f>
        <v>#DIV/0!</v>
      </c>
      <c r="M29" s="249" t="e">
        <f t="shared" ref="M29:M44" si="6">+E29/(D29*L29)</f>
        <v>#VALUE!</v>
      </c>
      <c r="N29" s="249" t="e">
        <f t="shared" ref="N29:N44" si="7">-(LN(M29)/LN(2))*$L$23</f>
        <v>#VALUE!</v>
      </c>
      <c r="O29" s="252" t="e">
        <f t="shared" ref="O29:O44" si="8">IF(M29&gt;1,0,LN((M29^(-$S$27)+($R$27/$Q$27))/(1+($R$27/$Q$27)))/($Q$27*$S$27))</f>
        <v>#VALUE!</v>
      </c>
      <c r="P29" s="252" t="e">
        <f t="shared" ref="P29:P44" si="9">IF(M29&gt;1,0,LN((M29^(-$V$27)+($U$27/$T$27))/(1+($U$27/$T$27)))/($T$27*$V$27))</f>
        <v>#VALUE!</v>
      </c>
    </row>
    <row r="30" spans="1:22" x14ac:dyDescent="0.2">
      <c r="A30" s="245"/>
      <c r="B30" s="246"/>
      <c r="C30" s="78"/>
      <c r="D30" s="78"/>
      <c r="E30" s="213" t="str">
        <f t="shared" si="1"/>
        <v/>
      </c>
      <c r="F30" s="78"/>
      <c r="G30" s="247"/>
      <c r="H30" s="248" t="e">
        <f t="shared" si="2"/>
        <v>#VALUE!</v>
      </c>
      <c r="J30" s="249" t="e">
        <f t="shared" si="3"/>
        <v>#DIV/0!</v>
      </c>
      <c r="K30" s="250" t="e">
        <f t="shared" si="4"/>
        <v>#DIV/0!</v>
      </c>
      <c r="L30" s="251" t="e">
        <f t="shared" si="5"/>
        <v>#DIV/0!</v>
      </c>
      <c r="M30" s="249" t="e">
        <f t="shared" si="6"/>
        <v>#VALUE!</v>
      </c>
      <c r="N30" s="249" t="e">
        <f t="shared" si="7"/>
        <v>#VALUE!</v>
      </c>
      <c r="O30" s="252" t="e">
        <f t="shared" si="8"/>
        <v>#VALUE!</v>
      </c>
      <c r="P30" s="252" t="e">
        <f t="shared" si="9"/>
        <v>#VALUE!</v>
      </c>
    </row>
    <row r="31" spans="1:22" x14ac:dyDescent="0.2">
      <c r="A31" s="245"/>
      <c r="B31" s="246"/>
      <c r="C31" s="78"/>
      <c r="D31" s="78"/>
      <c r="E31" s="213" t="str">
        <f t="shared" si="1"/>
        <v/>
      </c>
      <c r="F31" s="78"/>
      <c r="G31" s="247"/>
      <c r="H31" s="248" t="e">
        <f t="shared" si="2"/>
        <v>#VALUE!</v>
      </c>
      <c r="J31" s="249" t="e">
        <f t="shared" si="3"/>
        <v>#DIV/0!</v>
      </c>
      <c r="K31" s="250" t="e">
        <f t="shared" si="4"/>
        <v>#DIV/0!</v>
      </c>
      <c r="L31" s="251" t="e">
        <f t="shared" si="5"/>
        <v>#DIV/0!</v>
      </c>
      <c r="M31" s="249" t="e">
        <f t="shared" si="6"/>
        <v>#VALUE!</v>
      </c>
      <c r="N31" s="249" t="e">
        <f t="shared" si="7"/>
        <v>#VALUE!</v>
      </c>
      <c r="O31" s="252" t="e">
        <f t="shared" si="8"/>
        <v>#VALUE!</v>
      </c>
      <c r="P31" s="252" t="e">
        <f t="shared" si="9"/>
        <v>#VALUE!</v>
      </c>
    </row>
    <row r="32" spans="1:22" x14ac:dyDescent="0.2">
      <c r="A32" s="245"/>
      <c r="B32" s="246"/>
      <c r="C32" s="78"/>
      <c r="D32" s="78"/>
      <c r="E32" s="213" t="str">
        <f t="shared" si="1"/>
        <v/>
      </c>
      <c r="F32" s="78"/>
      <c r="G32" s="247"/>
      <c r="H32" s="248" t="e">
        <f t="shared" si="2"/>
        <v>#VALUE!</v>
      </c>
      <c r="J32" s="249" t="e">
        <f t="shared" si="3"/>
        <v>#DIV/0!</v>
      </c>
      <c r="K32" s="250" t="e">
        <f t="shared" si="4"/>
        <v>#DIV/0!</v>
      </c>
      <c r="L32" s="251" t="e">
        <f t="shared" si="5"/>
        <v>#DIV/0!</v>
      </c>
      <c r="M32" s="249" t="e">
        <f t="shared" si="6"/>
        <v>#VALUE!</v>
      </c>
      <c r="N32" s="249" t="e">
        <f t="shared" si="7"/>
        <v>#VALUE!</v>
      </c>
      <c r="O32" s="252" t="e">
        <f t="shared" si="8"/>
        <v>#VALUE!</v>
      </c>
      <c r="P32" s="252" t="e">
        <f t="shared" si="9"/>
        <v>#VALUE!</v>
      </c>
    </row>
    <row r="33" spans="1:16" x14ac:dyDescent="0.2">
      <c r="A33" s="245"/>
      <c r="B33" s="246"/>
      <c r="C33" s="78"/>
      <c r="D33" s="78"/>
      <c r="E33" s="213" t="str">
        <f t="shared" si="1"/>
        <v/>
      </c>
      <c r="F33" s="78"/>
      <c r="G33" s="247"/>
      <c r="H33" s="248" t="e">
        <f t="shared" si="2"/>
        <v>#VALUE!</v>
      </c>
      <c r="J33" s="249" t="e">
        <f t="shared" si="3"/>
        <v>#DIV/0!</v>
      </c>
      <c r="K33" s="250" t="e">
        <f t="shared" si="4"/>
        <v>#DIV/0!</v>
      </c>
      <c r="L33" s="251" t="e">
        <f t="shared" si="5"/>
        <v>#DIV/0!</v>
      </c>
      <c r="M33" s="249" t="e">
        <f t="shared" si="6"/>
        <v>#VALUE!</v>
      </c>
      <c r="N33" s="249" t="e">
        <f t="shared" si="7"/>
        <v>#VALUE!</v>
      </c>
      <c r="O33" s="252" t="e">
        <f t="shared" si="8"/>
        <v>#VALUE!</v>
      </c>
      <c r="P33" s="252" t="e">
        <f t="shared" si="9"/>
        <v>#VALUE!</v>
      </c>
    </row>
    <row r="34" spans="1:16" x14ac:dyDescent="0.2">
      <c r="A34" s="245"/>
      <c r="B34" s="246"/>
      <c r="C34" s="78"/>
      <c r="D34" s="78"/>
      <c r="E34" s="213" t="str">
        <f t="shared" si="1"/>
        <v/>
      </c>
      <c r="F34" s="78"/>
      <c r="G34" s="247"/>
      <c r="H34" s="248" t="e">
        <f t="shared" si="2"/>
        <v>#VALUE!</v>
      </c>
      <c r="J34" s="249" t="e">
        <f t="shared" si="3"/>
        <v>#DIV/0!</v>
      </c>
      <c r="K34" s="250" t="e">
        <f t="shared" si="4"/>
        <v>#DIV/0!</v>
      </c>
      <c r="L34" s="251" t="e">
        <f t="shared" si="5"/>
        <v>#DIV/0!</v>
      </c>
      <c r="M34" s="249" t="e">
        <f t="shared" si="6"/>
        <v>#VALUE!</v>
      </c>
      <c r="N34" s="249" t="e">
        <f t="shared" si="7"/>
        <v>#VALUE!</v>
      </c>
      <c r="O34" s="252" t="e">
        <f t="shared" si="8"/>
        <v>#VALUE!</v>
      </c>
      <c r="P34" s="252" t="e">
        <f t="shared" si="9"/>
        <v>#VALUE!</v>
      </c>
    </row>
    <row r="35" spans="1:16" x14ac:dyDescent="0.2">
      <c r="A35" s="245"/>
      <c r="B35" s="246"/>
      <c r="C35" s="78"/>
      <c r="D35" s="78"/>
      <c r="E35" s="213" t="str">
        <f t="shared" si="1"/>
        <v/>
      </c>
      <c r="F35" s="78"/>
      <c r="G35" s="247"/>
      <c r="H35" s="248" t="e">
        <f t="shared" si="2"/>
        <v>#VALUE!</v>
      </c>
      <c r="J35" s="249" t="e">
        <f t="shared" si="3"/>
        <v>#DIV/0!</v>
      </c>
      <c r="K35" s="250" t="e">
        <f t="shared" si="4"/>
        <v>#DIV/0!</v>
      </c>
      <c r="L35" s="251" t="e">
        <f t="shared" si="5"/>
        <v>#DIV/0!</v>
      </c>
      <c r="M35" s="249" t="e">
        <f t="shared" si="6"/>
        <v>#VALUE!</v>
      </c>
      <c r="N35" s="249" t="e">
        <f t="shared" si="7"/>
        <v>#VALUE!</v>
      </c>
      <c r="O35" s="252" t="e">
        <f t="shared" si="8"/>
        <v>#VALUE!</v>
      </c>
      <c r="P35" s="252" t="e">
        <f t="shared" si="9"/>
        <v>#VALUE!</v>
      </c>
    </row>
    <row r="36" spans="1:16" x14ac:dyDescent="0.2">
      <c r="A36" s="245"/>
      <c r="B36" s="246"/>
      <c r="C36" s="78"/>
      <c r="D36" s="78"/>
      <c r="E36" s="216" t="str">
        <f t="shared" si="1"/>
        <v/>
      </c>
      <c r="F36" s="78"/>
      <c r="G36" s="247"/>
      <c r="H36" s="248" t="e">
        <f t="shared" si="2"/>
        <v>#VALUE!</v>
      </c>
      <c r="J36" s="249" t="e">
        <f t="shared" si="3"/>
        <v>#DIV/0!</v>
      </c>
      <c r="K36" s="250" t="e">
        <f t="shared" si="4"/>
        <v>#DIV/0!</v>
      </c>
      <c r="L36" s="251" t="e">
        <f t="shared" si="5"/>
        <v>#DIV/0!</v>
      </c>
      <c r="M36" s="249" t="e">
        <f t="shared" si="6"/>
        <v>#VALUE!</v>
      </c>
      <c r="N36" s="249" t="e">
        <f t="shared" si="7"/>
        <v>#VALUE!</v>
      </c>
      <c r="O36" s="252" t="e">
        <f t="shared" si="8"/>
        <v>#VALUE!</v>
      </c>
      <c r="P36" s="252" t="e">
        <f t="shared" si="9"/>
        <v>#VALUE!</v>
      </c>
    </row>
    <row r="37" spans="1:16" x14ac:dyDescent="0.2">
      <c r="A37" s="245"/>
      <c r="B37" s="246"/>
      <c r="C37" s="78"/>
      <c r="D37" s="78"/>
      <c r="E37" s="216" t="str">
        <f t="shared" si="1"/>
        <v/>
      </c>
      <c r="F37" s="78"/>
      <c r="G37" s="247"/>
      <c r="H37" s="248" t="e">
        <f t="shared" si="2"/>
        <v>#VALUE!</v>
      </c>
      <c r="J37" s="249" t="e">
        <f t="shared" si="3"/>
        <v>#DIV/0!</v>
      </c>
      <c r="K37" s="250" t="e">
        <f t="shared" si="4"/>
        <v>#DIV/0!</v>
      </c>
      <c r="L37" s="251" t="e">
        <f t="shared" si="5"/>
        <v>#DIV/0!</v>
      </c>
      <c r="M37" s="249" t="e">
        <f t="shared" si="6"/>
        <v>#VALUE!</v>
      </c>
      <c r="N37" s="249" t="e">
        <f t="shared" si="7"/>
        <v>#VALUE!</v>
      </c>
      <c r="O37" s="252" t="e">
        <f t="shared" si="8"/>
        <v>#VALUE!</v>
      </c>
      <c r="P37" s="252" t="e">
        <f t="shared" si="9"/>
        <v>#VALUE!</v>
      </c>
    </row>
    <row r="38" spans="1:16" x14ac:dyDescent="0.2">
      <c r="A38" s="245"/>
      <c r="B38" s="246"/>
      <c r="C38" s="78"/>
      <c r="D38" s="78"/>
      <c r="E38" s="216" t="str">
        <f t="shared" si="1"/>
        <v/>
      </c>
      <c r="F38" s="78"/>
      <c r="G38" s="247"/>
      <c r="H38" s="248" t="e">
        <f t="shared" si="2"/>
        <v>#VALUE!</v>
      </c>
      <c r="J38" s="253" t="e">
        <f t="shared" si="3"/>
        <v>#DIV/0!</v>
      </c>
      <c r="K38" s="250" t="e">
        <f t="shared" si="4"/>
        <v>#DIV/0!</v>
      </c>
      <c r="L38" s="251" t="e">
        <f t="shared" si="5"/>
        <v>#DIV/0!</v>
      </c>
      <c r="M38" s="253" t="e">
        <f t="shared" si="6"/>
        <v>#VALUE!</v>
      </c>
      <c r="N38" s="249" t="e">
        <f t="shared" si="7"/>
        <v>#VALUE!</v>
      </c>
      <c r="O38" s="252" t="e">
        <f t="shared" si="8"/>
        <v>#VALUE!</v>
      </c>
      <c r="P38" s="252" t="e">
        <f t="shared" si="9"/>
        <v>#VALUE!</v>
      </c>
    </row>
    <row r="39" spans="1:16" x14ac:dyDescent="0.2">
      <c r="A39" s="245"/>
      <c r="B39" s="246"/>
      <c r="C39" s="78"/>
      <c r="D39" s="78"/>
      <c r="E39" s="216" t="str">
        <f t="shared" si="1"/>
        <v/>
      </c>
      <c r="F39" s="78"/>
      <c r="G39" s="247"/>
      <c r="H39" s="248" t="e">
        <f t="shared" si="2"/>
        <v>#VALUE!</v>
      </c>
      <c r="J39" s="253" t="e">
        <f t="shared" si="3"/>
        <v>#DIV/0!</v>
      </c>
      <c r="K39" s="250" t="e">
        <f t="shared" si="4"/>
        <v>#DIV/0!</v>
      </c>
      <c r="L39" s="251" t="e">
        <f t="shared" si="5"/>
        <v>#DIV/0!</v>
      </c>
      <c r="M39" s="253" t="e">
        <f t="shared" si="6"/>
        <v>#VALUE!</v>
      </c>
      <c r="N39" s="249" t="e">
        <f t="shared" si="7"/>
        <v>#VALUE!</v>
      </c>
      <c r="O39" s="252" t="e">
        <f t="shared" si="8"/>
        <v>#VALUE!</v>
      </c>
      <c r="P39" s="252" t="e">
        <f t="shared" si="9"/>
        <v>#VALUE!</v>
      </c>
    </row>
    <row r="40" spans="1:16" x14ac:dyDescent="0.2">
      <c r="A40" s="245"/>
      <c r="B40" s="246"/>
      <c r="C40" s="78"/>
      <c r="D40" s="78"/>
      <c r="E40" s="216" t="str">
        <f t="shared" si="1"/>
        <v/>
      </c>
      <c r="F40" s="78"/>
      <c r="G40" s="247"/>
      <c r="H40" s="248" t="e">
        <f t="shared" si="2"/>
        <v>#VALUE!</v>
      </c>
      <c r="J40" s="253" t="e">
        <f t="shared" si="3"/>
        <v>#DIV/0!</v>
      </c>
      <c r="K40" s="250" t="e">
        <f t="shared" si="4"/>
        <v>#DIV/0!</v>
      </c>
      <c r="L40" s="251" t="e">
        <f t="shared" si="5"/>
        <v>#DIV/0!</v>
      </c>
      <c r="M40" s="253" t="e">
        <f t="shared" si="6"/>
        <v>#VALUE!</v>
      </c>
      <c r="N40" s="249" t="e">
        <f t="shared" si="7"/>
        <v>#VALUE!</v>
      </c>
      <c r="O40" s="252" t="e">
        <f t="shared" si="8"/>
        <v>#VALUE!</v>
      </c>
      <c r="P40" s="252" t="e">
        <f t="shared" si="9"/>
        <v>#VALUE!</v>
      </c>
    </row>
    <row r="41" spans="1:16" x14ac:dyDescent="0.2">
      <c r="A41" s="245"/>
      <c r="B41" s="246"/>
      <c r="C41" s="78"/>
      <c r="D41" s="78"/>
      <c r="E41" s="216" t="str">
        <f t="shared" si="1"/>
        <v/>
      </c>
      <c r="F41" s="78"/>
      <c r="G41" s="247"/>
      <c r="H41" s="248" t="e">
        <f t="shared" si="2"/>
        <v>#VALUE!</v>
      </c>
      <c r="J41" s="253" t="e">
        <f t="shared" si="3"/>
        <v>#DIV/0!</v>
      </c>
      <c r="K41" s="250" t="e">
        <f t="shared" si="4"/>
        <v>#DIV/0!</v>
      </c>
      <c r="L41" s="251" t="e">
        <f t="shared" si="5"/>
        <v>#DIV/0!</v>
      </c>
      <c r="M41" s="253" t="e">
        <f t="shared" si="6"/>
        <v>#VALUE!</v>
      </c>
      <c r="N41" s="249" t="e">
        <f t="shared" si="7"/>
        <v>#VALUE!</v>
      </c>
      <c r="O41" s="252" t="e">
        <f t="shared" si="8"/>
        <v>#VALUE!</v>
      </c>
      <c r="P41" s="252" t="e">
        <f t="shared" si="9"/>
        <v>#VALUE!</v>
      </c>
    </row>
    <row r="42" spans="1:16" x14ac:dyDescent="0.2">
      <c r="A42" s="245"/>
      <c r="B42" s="78"/>
      <c r="C42" s="78"/>
      <c r="D42" s="78"/>
      <c r="E42" s="216" t="str">
        <f t="shared" si="1"/>
        <v/>
      </c>
      <c r="F42" s="78"/>
      <c r="G42" s="247"/>
      <c r="H42" s="248" t="e">
        <f t="shared" si="2"/>
        <v>#VALUE!</v>
      </c>
      <c r="J42" s="253" t="e">
        <f t="shared" si="3"/>
        <v>#DIV/0!</v>
      </c>
      <c r="K42" s="250" t="e">
        <f t="shared" si="4"/>
        <v>#DIV/0!</v>
      </c>
      <c r="L42" s="251" t="e">
        <f t="shared" si="5"/>
        <v>#DIV/0!</v>
      </c>
      <c r="M42" s="253" t="e">
        <f t="shared" si="6"/>
        <v>#VALUE!</v>
      </c>
      <c r="N42" s="249" t="e">
        <f t="shared" si="7"/>
        <v>#VALUE!</v>
      </c>
      <c r="O42" s="252" t="e">
        <f t="shared" si="8"/>
        <v>#VALUE!</v>
      </c>
      <c r="P42" s="252" t="e">
        <f t="shared" si="9"/>
        <v>#VALUE!</v>
      </c>
    </row>
    <row r="43" spans="1:16" x14ac:dyDescent="0.2">
      <c r="A43" s="245"/>
      <c r="B43" s="78"/>
      <c r="C43" s="78"/>
      <c r="D43" s="78"/>
      <c r="E43" s="254" t="str">
        <f t="shared" si="1"/>
        <v/>
      </c>
      <c r="F43" s="78"/>
      <c r="G43" s="247"/>
      <c r="H43" s="248" t="e">
        <f t="shared" si="2"/>
        <v>#VALUE!</v>
      </c>
      <c r="J43" s="253" t="e">
        <f t="shared" si="3"/>
        <v>#DIV/0!</v>
      </c>
      <c r="K43" s="250" t="e">
        <f t="shared" si="4"/>
        <v>#DIV/0!</v>
      </c>
      <c r="L43" s="251" t="e">
        <f t="shared" si="5"/>
        <v>#DIV/0!</v>
      </c>
      <c r="M43" s="253" t="e">
        <f t="shared" si="6"/>
        <v>#VALUE!</v>
      </c>
      <c r="N43" s="249" t="e">
        <f t="shared" si="7"/>
        <v>#VALUE!</v>
      </c>
      <c r="O43" s="252" t="e">
        <f t="shared" si="8"/>
        <v>#VALUE!</v>
      </c>
      <c r="P43" s="252" t="e">
        <f t="shared" si="9"/>
        <v>#VALUE!</v>
      </c>
    </row>
    <row r="44" spans="1:16" x14ac:dyDescent="0.2">
      <c r="A44" s="255"/>
      <c r="B44" s="256"/>
      <c r="C44" s="256"/>
      <c r="D44" s="256"/>
      <c r="E44" s="257" t="str">
        <f t="shared" si="1"/>
        <v/>
      </c>
      <c r="F44" s="256"/>
      <c r="G44" s="258"/>
      <c r="H44" s="259" t="e">
        <f t="shared" si="2"/>
        <v>#VALUE!</v>
      </c>
      <c r="J44" s="253" t="e">
        <f>+(G44/C44)^2</f>
        <v>#DIV/0!</v>
      </c>
      <c r="K44" s="250" t="e">
        <f t="shared" si="4"/>
        <v>#DIV/0!</v>
      </c>
      <c r="L44" s="251" t="e">
        <f t="shared" si="5"/>
        <v>#DIV/0!</v>
      </c>
      <c r="M44" s="253" t="e">
        <f t="shared" si="6"/>
        <v>#VALUE!</v>
      </c>
      <c r="N44" s="249" t="e">
        <f t="shared" si="7"/>
        <v>#VALUE!</v>
      </c>
      <c r="O44" s="252" t="e">
        <f t="shared" si="8"/>
        <v>#VALUE!</v>
      </c>
      <c r="P44" s="252" t="e">
        <f t="shared" si="9"/>
        <v>#VALUE!</v>
      </c>
    </row>
    <row r="45" spans="1:16" x14ac:dyDescent="0.2">
      <c r="A45" s="193"/>
      <c r="B45" s="193"/>
      <c r="C45" s="193"/>
      <c r="D45" s="193"/>
      <c r="E45" s="193"/>
      <c r="F45" s="193"/>
      <c r="G45" s="193"/>
      <c r="H45" s="193"/>
      <c r="I45" s="260"/>
      <c r="J45" s="253"/>
      <c r="K45" s="213"/>
      <c r="L45" s="251"/>
      <c r="M45" s="253"/>
      <c r="N45" s="253"/>
      <c r="O45" s="261"/>
    </row>
    <row r="46" spans="1:16" x14ac:dyDescent="0.2">
      <c r="I46" s="262"/>
      <c r="J46" s="253"/>
      <c r="K46" s="213"/>
      <c r="L46" s="251"/>
      <c r="M46" s="253"/>
      <c r="N46" s="253"/>
      <c r="O46" s="261"/>
    </row>
    <row r="47" spans="1:16" x14ac:dyDescent="0.2">
      <c r="J47" s="253"/>
      <c r="K47" s="213"/>
      <c r="L47" s="251"/>
      <c r="M47" s="253"/>
      <c r="N47" s="253"/>
      <c r="O47" s="261"/>
    </row>
    <row r="48" spans="1:16" x14ac:dyDescent="0.2">
      <c r="J48" s="253"/>
      <c r="K48" s="213"/>
      <c r="L48" s="251"/>
      <c r="M48" s="253"/>
      <c r="N48" s="253"/>
      <c r="O48" s="261"/>
    </row>
    <row r="49" spans="1:15" x14ac:dyDescent="0.2">
      <c r="A49" s="244" t="s">
        <v>105</v>
      </c>
      <c r="J49" s="253"/>
      <c r="K49" s="213"/>
      <c r="L49" s="251"/>
      <c r="M49" s="253"/>
      <c r="N49" s="253"/>
      <c r="O49" s="261"/>
    </row>
    <row r="50" spans="1:15" x14ac:dyDescent="0.2">
      <c r="A50" s="187" t="s">
        <v>308</v>
      </c>
      <c r="J50" s="253"/>
      <c r="K50" s="213"/>
      <c r="L50" s="251"/>
      <c r="M50" s="253"/>
      <c r="N50" s="253"/>
      <c r="O50" s="261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1180555555555496" footer="0.51180555555555496"/>
  <pageSetup firstPageNumber="0" fitToHeight="3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7"/>
  <sheetViews>
    <sheetView zoomScaleNormal="100" workbookViewId="0"/>
  </sheetViews>
  <sheetFormatPr defaultColWidth="10.6640625" defaultRowHeight="15.75" x14ac:dyDescent="0.25"/>
  <cols>
    <col min="1" max="1" width="17.6640625" style="263" customWidth="1"/>
    <col min="2" max="2" width="14" style="263" customWidth="1"/>
    <col min="3" max="3" width="10.6640625" style="263"/>
    <col min="4" max="4" width="12.6640625" style="263" customWidth="1"/>
    <col min="5" max="5" width="14" style="263" customWidth="1"/>
    <col min="6" max="6" width="15.83203125" style="263" customWidth="1"/>
    <col min="7" max="19" width="10.6640625" style="263"/>
    <col min="20" max="20" width="11" style="263" customWidth="1"/>
    <col min="21" max="21" width="13.1640625" style="263" customWidth="1"/>
    <col min="22" max="22" width="11" style="263" customWidth="1"/>
  </cols>
  <sheetData>
    <row r="1" spans="1:22" x14ac:dyDescent="0.25">
      <c r="D1" s="264" t="s">
        <v>309</v>
      </c>
      <c r="I1" s="265" t="s">
        <v>310</v>
      </c>
      <c r="M1" s="266" t="s">
        <v>1</v>
      </c>
    </row>
    <row r="2" spans="1:22" x14ac:dyDescent="0.25">
      <c r="A2" s="267">
        <f>Table!B3</f>
        <v>0</v>
      </c>
      <c r="L2" s="266" t="s">
        <v>3</v>
      </c>
      <c r="M2" s="263" t="s">
        <v>4</v>
      </c>
    </row>
    <row r="3" spans="1:22" x14ac:dyDescent="0.25">
      <c r="A3" s="267"/>
      <c r="L3" s="266" t="s">
        <v>5</v>
      </c>
      <c r="M3" s="263" t="s">
        <v>6</v>
      </c>
    </row>
    <row r="4" spans="1:22" x14ac:dyDescent="0.25">
      <c r="A4" s="267"/>
      <c r="L4" s="266" t="s">
        <v>10</v>
      </c>
      <c r="M4" s="263" t="s">
        <v>11</v>
      </c>
    </row>
    <row r="5" spans="1:22" x14ac:dyDescent="0.25">
      <c r="A5" s="263" t="s">
        <v>311</v>
      </c>
      <c r="B5" s="268"/>
      <c r="D5" s="269" t="s">
        <v>312</v>
      </c>
      <c r="E5" s="270"/>
      <c r="L5" s="266" t="s">
        <v>15</v>
      </c>
      <c r="M5" s="263" t="s">
        <v>16</v>
      </c>
    </row>
    <row r="6" spans="1:22" x14ac:dyDescent="0.25">
      <c r="L6" s="266" t="s">
        <v>18</v>
      </c>
      <c r="M6" s="263" t="s">
        <v>19</v>
      </c>
    </row>
    <row r="7" spans="1:22" x14ac:dyDescent="0.25">
      <c r="A7" s="267" t="s">
        <v>313</v>
      </c>
      <c r="L7" s="266" t="s">
        <v>22</v>
      </c>
      <c r="M7" s="263" t="s">
        <v>23</v>
      </c>
    </row>
    <row r="8" spans="1:22" x14ac:dyDescent="0.25">
      <c r="L8" s="266" t="s">
        <v>26</v>
      </c>
      <c r="M8" s="263" t="s">
        <v>27</v>
      </c>
    </row>
    <row r="9" spans="1:22" x14ac:dyDescent="0.25">
      <c r="A9" s="263" t="s">
        <v>314</v>
      </c>
      <c r="L9" s="266" t="s">
        <v>30</v>
      </c>
      <c r="M9" s="263" t="s">
        <v>31</v>
      </c>
      <c r="R9" s="271"/>
    </row>
    <row r="10" spans="1:22" x14ac:dyDescent="0.25">
      <c r="V10" s="263" t="s">
        <v>7</v>
      </c>
    </row>
    <row r="11" spans="1:22" x14ac:dyDescent="0.25">
      <c r="L11" s="272" t="s">
        <v>38</v>
      </c>
      <c r="T11" s="273" t="s">
        <v>12</v>
      </c>
      <c r="U11" s="273" t="s">
        <v>13</v>
      </c>
      <c r="V11" s="273" t="s">
        <v>14</v>
      </c>
    </row>
    <row r="12" spans="1:22" x14ac:dyDescent="0.25">
      <c r="A12" s="263" t="s">
        <v>315</v>
      </c>
      <c r="B12" s="263" t="s">
        <v>316</v>
      </c>
      <c r="F12" s="263" t="s">
        <v>317</v>
      </c>
      <c r="L12" s="274" t="s">
        <v>39</v>
      </c>
      <c r="M12" s="275" t="s">
        <v>40</v>
      </c>
      <c r="N12" s="275" t="s">
        <v>41</v>
      </c>
      <c r="O12" s="275" t="s">
        <v>42</v>
      </c>
      <c r="P12" s="276" t="s">
        <v>44</v>
      </c>
      <c r="Q12" s="276" t="s">
        <v>45</v>
      </c>
      <c r="T12" s="263">
        <v>-25.4</v>
      </c>
      <c r="U12" s="263">
        <v>-1</v>
      </c>
      <c r="V12" s="277" t="s">
        <v>17</v>
      </c>
    </row>
    <row r="13" spans="1:22" x14ac:dyDescent="0.25">
      <c r="L13" s="278" t="s">
        <v>48</v>
      </c>
      <c r="M13" s="279" t="str">
        <f>IF(RefkV="","",VLOOKUP(RefkV,FitParameters!$A$5:$AF$30,2))</f>
        <v/>
      </c>
      <c r="N13" s="279" t="str">
        <f>IF(RefkV="","",VLOOKUP(RefkV,FitParameters!$A$5:$AF$30,3))</f>
        <v/>
      </c>
      <c r="O13" s="279" t="str">
        <f>IF(RefkV="","",VLOOKUP(RefkV,FitParameters!$A$5:$AF$30,4))</f>
        <v/>
      </c>
      <c r="P13" s="279" t="str">
        <f>IF(RefkV="","",VLOOKUP(RefkV,FitParameters!$A$5:$AF$30,5))</f>
        <v/>
      </c>
      <c r="Q13" s="279" t="str">
        <f>IF(RefkV="","",VLOOKUP(RefkV,FitParameters!$A$5:$AF$30,6))</f>
        <v/>
      </c>
      <c r="T13" s="263">
        <v>0</v>
      </c>
      <c r="U13" s="263">
        <v>0</v>
      </c>
      <c r="V13" s="280" t="s">
        <v>20</v>
      </c>
    </row>
    <row r="14" spans="1:22" x14ac:dyDescent="0.25">
      <c r="B14" s="263" t="s">
        <v>318</v>
      </c>
      <c r="F14" s="263" t="s">
        <v>297</v>
      </c>
      <c r="G14" s="263" t="s">
        <v>296</v>
      </c>
      <c r="L14" s="278" t="s">
        <v>50</v>
      </c>
      <c r="M14" s="279" t="str">
        <f>IF(RefkV="","",VLOOKUP(RefkV,FitParameters!$A$5:$AF$30,7))</f>
        <v/>
      </c>
      <c r="N14" s="279" t="str">
        <f>IF(RefkV="","",VLOOKUP(RefkV,FitParameters!$A$5:$AF$30,8))</f>
        <v/>
      </c>
      <c r="O14" s="279" t="str">
        <f>IF(RefkV="","",VLOOKUP(RefkV,FitParameters!$A$5:$AF$30,9))</f>
        <v/>
      </c>
      <c r="P14" s="279" t="str">
        <f>IF(RefkV="","",VLOOKUP(RefkV,FitParameters!$A$5:$AF$30,10))</f>
        <v/>
      </c>
      <c r="Q14" s="279" t="str">
        <f>IF(RefkV="","",VLOOKUP(RefkV,FitParameters!$A$5:$AF$30,11))</f>
        <v/>
      </c>
      <c r="T14" s="263">
        <v>9.9218750999999994E-2</v>
      </c>
      <c r="U14" s="281">
        <v>3.90625E-3</v>
      </c>
      <c r="V14" s="280">
        <v>7.8125E-3</v>
      </c>
    </row>
    <row r="15" spans="1:22" x14ac:dyDescent="0.25">
      <c r="B15" s="263" t="s">
        <v>319</v>
      </c>
      <c r="C15" s="263" t="s">
        <v>290</v>
      </c>
      <c r="D15" s="263" t="s">
        <v>320</v>
      </c>
      <c r="E15" s="263" t="s">
        <v>321</v>
      </c>
      <c r="F15" s="263" t="s">
        <v>302</v>
      </c>
      <c r="G15" s="263" t="s">
        <v>322</v>
      </c>
      <c r="H15" s="263" t="s">
        <v>323</v>
      </c>
      <c r="L15" s="282" t="s">
        <v>52</v>
      </c>
      <c r="M15" s="279" t="str">
        <f>IF(RefkV="","",VLOOKUP(RefkV,FitParameters!$A$5:$AF$30,12))</f>
        <v/>
      </c>
      <c r="N15" s="279" t="str">
        <f>IF(RefkV="","",VLOOKUP(RefkV,FitParameters!$A$5:$AF$30,13))</f>
        <v/>
      </c>
      <c r="O15" s="279" t="str">
        <f>IF(RefkV="","",VLOOKUP(RefkV,FitParameters!$A$5:$AF$30,14))</f>
        <v/>
      </c>
      <c r="P15" s="279" t="str">
        <f>IF(RefkV="","",VLOOKUP(RefkV,FitParameters!$A$5:$AF$30,15))</f>
        <v/>
      </c>
      <c r="Q15" s="279" t="str">
        <f>IF(RefkV="","",VLOOKUP(RefkV,FitParameters!$A$5:$AF$30,16))</f>
        <v/>
      </c>
      <c r="T15" s="263">
        <v>0.19843750099999999</v>
      </c>
      <c r="U15" s="281">
        <v>7.8125E-3</v>
      </c>
      <c r="V15" s="280">
        <v>1.5625E-2</v>
      </c>
    </row>
    <row r="16" spans="1:22" x14ac:dyDescent="0.25">
      <c r="B16" s="283"/>
      <c r="C16" s="283"/>
      <c r="D16" s="283"/>
      <c r="E16" s="283"/>
      <c r="F16" s="284"/>
      <c r="G16" s="283"/>
      <c r="H16" s="263" t="str">
        <f>IF(NOT(OR(B16="",D16="")),RefExp/(D16*B16/1000),IF(E16="","",RefExp/E16))</f>
        <v/>
      </c>
      <c r="L16" s="282" t="s">
        <v>54</v>
      </c>
      <c r="M16" s="279" t="str">
        <f>IF(RefkV="","",VLOOKUP(RefkV,FitParameters!$A$5:$AF$30,17))</f>
        <v/>
      </c>
      <c r="N16" s="279" t="str">
        <f>IF(RefkV="","",VLOOKUP(RefkV,FitParameters!$A$5:$AF$30,18))</f>
        <v/>
      </c>
      <c r="O16" s="279" t="str">
        <f>IF(RefkV="","",VLOOKUP(RefkV,FitParameters!$A$5:$AF$30,19))</f>
        <v/>
      </c>
      <c r="P16" s="279" t="str">
        <f>IF(RefkV="","",VLOOKUP(RefkV,FitParameters!$A$5:$AF$30,20))</f>
        <v/>
      </c>
      <c r="Q16" s="279" t="str">
        <f>IF(RefkV="","",VLOOKUP(RefkV,FitParameters!$A$5:$AF$30,21))</f>
        <v/>
      </c>
      <c r="T16" s="263">
        <v>0.39687500100000001</v>
      </c>
      <c r="U16" s="281">
        <v>1.5625E-2</v>
      </c>
      <c r="V16" s="280">
        <v>3.125E-2</v>
      </c>
    </row>
    <row r="17" spans="1:22" x14ac:dyDescent="0.25">
      <c r="L17" s="282" t="s">
        <v>57</v>
      </c>
      <c r="M17" s="279" t="str">
        <f>IF(RefkV="","",VLOOKUP(RefkV,FitParameters!$A$5:$AF$30,22))</f>
        <v/>
      </c>
      <c r="N17" s="279" t="str">
        <f>IF(RefkV="","",VLOOKUP(RefkV,FitParameters!$A$5:$AF$30,23))</f>
        <v/>
      </c>
      <c r="O17" s="279" t="str">
        <f>IF(RefkV="","",VLOOKUP(RefkV,FitParameters!$A$5:$AF$30,24))</f>
        <v/>
      </c>
      <c r="P17" s="279" t="str">
        <f>IF(RefkV="","",VLOOKUP(RefkV,FitParameters!$A$5:$AF$30,25))</f>
        <v/>
      </c>
      <c r="Q17" s="279" t="str">
        <f>IF(RefkV="","",VLOOKUP(RefkV,FitParameters!$A$5:$AF$30,26))</f>
        <v/>
      </c>
      <c r="T17" s="263">
        <v>0.59531250099999999</v>
      </c>
      <c r="U17" s="281">
        <v>2.34375E-2</v>
      </c>
      <c r="V17" s="280">
        <v>3.125E-2</v>
      </c>
    </row>
    <row r="18" spans="1:22" ht="15.6" customHeight="1" x14ac:dyDescent="0.25">
      <c r="A18" s="285"/>
      <c r="B18" s="285"/>
      <c r="C18" s="285"/>
      <c r="D18" s="285" t="s">
        <v>324</v>
      </c>
      <c r="E18" s="285" t="s">
        <v>325</v>
      </c>
      <c r="F18" s="344" t="s">
        <v>326</v>
      </c>
      <c r="G18" s="285"/>
      <c r="H18" s="285"/>
      <c r="L18" s="282" t="s">
        <v>58</v>
      </c>
      <c r="M18" s="279" t="str">
        <f>IF(RefkV="","",VLOOKUP(RefkV,FitParameters!$A$5:$AF$30,27))</f>
        <v/>
      </c>
      <c r="N18" s="279" t="str">
        <f>IF(RefkV="","",VLOOKUP(RefkV,FitParameters!$A$5:$AF$30,28))</f>
        <v/>
      </c>
      <c r="O18" s="279" t="str">
        <f>IF(RefkV="","",VLOOKUP(RefkV,FitParameters!$A$5:$AF$30,29))</f>
        <v/>
      </c>
      <c r="P18" s="279" t="str">
        <f>IF(RefkV="","",VLOOKUP(RefkV,FitParameters!$A$5:$AF$30,30))</f>
        <v/>
      </c>
      <c r="Q18" s="279" t="str">
        <f>IF(RefkV="","",VLOOKUP(RefkV,FitParameters!$A$5:$AF$30,31))</f>
        <v/>
      </c>
      <c r="T18" s="263">
        <v>0.79375000100000004</v>
      </c>
      <c r="U18" s="281">
        <v>3.125E-2</v>
      </c>
      <c r="V18" s="280">
        <v>3.125E-2</v>
      </c>
    </row>
    <row r="19" spans="1:22" ht="15.75" customHeight="1" x14ac:dyDescent="0.25">
      <c r="A19" s="285"/>
      <c r="B19" s="285"/>
      <c r="C19" s="285" t="s">
        <v>297</v>
      </c>
      <c r="D19" s="285" t="s">
        <v>296</v>
      </c>
      <c r="E19" s="285" t="s">
        <v>296</v>
      </c>
      <c r="F19" s="344"/>
      <c r="G19" s="285" t="s">
        <v>48</v>
      </c>
      <c r="H19" s="285" t="s">
        <v>48</v>
      </c>
      <c r="T19" s="263">
        <v>0.99218750099999997</v>
      </c>
      <c r="U19" s="281">
        <v>3.90625E-2</v>
      </c>
      <c r="V19" s="280">
        <v>6.25E-2</v>
      </c>
    </row>
    <row r="20" spans="1:22" x14ac:dyDescent="0.25">
      <c r="A20" s="286" t="s">
        <v>67</v>
      </c>
      <c r="B20" s="286" t="s">
        <v>321</v>
      </c>
      <c r="C20" s="286" t="s">
        <v>302</v>
      </c>
      <c r="D20" s="286" t="s">
        <v>322</v>
      </c>
      <c r="E20" s="286" t="s">
        <v>327</v>
      </c>
      <c r="F20" s="344"/>
      <c r="G20" s="286" t="s">
        <v>305</v>
      </c>
      <c r="H20" s="286" t="s">
        <v>328</v>
      </c>
      <c r="L20" s="345" t="s">
        <v>329</v>
      </c>
      <c r="M20" s="345"/>
      <c r="N20" s="345"/>
      <c r="O20" s="345"/>
      <c r="P20" s="345"/>
      <c r="Q20" s="345"/>
      <c r="R20" s="345"/>
      <c r="T20" s="263">
        <v>1.1906250009999999</v>
      </c>
      <c r="U20" s="281">
        <v>4.6875E-2</v>
      </c>
      <c r="V20" s="280">
        <v>6.25E-2</v>
      </c>
    </row>
    <row r="21" spans="1:22" x14ac:dyDescent="0.25">
      <c r="A21" s="283"/>
      <c r="B21" s="283"/>
      <c r="C21" s="284"/>
      <c r="D21" s="287" t="e">
        <f t="shared" ref="D21:D28" si="0">RefOutput*(C21/RefDist)^2</f>
        <v>#VALUE!</v>
      </c>
      <c r="E21" s="288"/>
      <c r="F21" s="289" t="e">
        <f t="shared" ref="F21:F28" si="1">IF(OR(D21="TBD",D21=""),"",E21/(D21*1000))</f>
        <v>#VALUE!</v>
      </c>
      <c r="G21" s="290" t="e">
        <f t="shared" ref="G21:G28" si="2">IF(M22="","",M22)</f>
        <v>#VALUE!</v>
      </c>
      <c r="H21" s="291" t="e">
        <f t="shared" ref="H21:H30" si="3">IF(M22="","",VLOOKUP(G21,$T$12:$U$47,2))</f>
        <v>#VALUE!</v>
      </c>
      <c r="L21" s="266" t="s">
        <v>330</v>
      </c>
      <c r="M21" s="266" t="s">
        <v>48</v>
      </c>
      <c r="N21" s="266" t="s">
        <v>50</v>
      </c>
      <c r="O21" s="266" t="s">
        <v>52</v>
      </c>
      <c r="P21" s="266" t="s">
        <v>54</v>
      </c>
      <c r="Q21" s="266" t="s">
        <v>57</v>
      </c>
      <c r="R21" s="266" t="s">
        <v>58</v>
      </c>
      <c r="T21" s="263">
        <v>1.3890625009999999</v>
      </c>
      <c r="U21" s="281">
        <v>5.46875E-2</v>
      </c>
      <c r="V21" s="280">
        <v>6.25E-2</v>
      </c>
    </row>
    <row r="22" spans="1:22" x14ac:dyDescent="0.25">
      <c r="A22" s="283"/>
      <c r="B22" s="283"/>
      <c r="C22" s="284"/>
      <c r="D22" s="287" t="e">
        <f t="shared" si="0"/>
        <v>#VALUE!</v>
      </c>
      <c r="E22" s="288"/>
      <c r="F22" s="289" t="e">
        <f t="shared" si="1"/>
        <v>#VALUE!</v>
      </c>
      <c r="G22" s="290" t="e">
        <f t="shared" si="2"/>
        <v>#VALUE!</v>
      </c>
      <c r="H22" s="291" t="e">
        <f t="shared" si="3"/>
        <v>#VALUE!</v>
      </c>
      <c r="L22" s="292" t="e">
        <f t="shared" ref="L22:L31" si="4">IF(F21="","",F21)</f>
        <v>#VALUE!</v>
      </c>
      <c r="M22" s="292" t="e">
        <f t="shared" ref="M22:M31" si="5">IF($L22="","",LN(($L22^(-$O$13)+($N$13/$M$13))/(1+$N$13/$M$13))/($M$13*$O$13))</f>
        <v>#VALUE!</v>
      </c>
      <c r="N22" s="292" t="e">
        <f t="shared" ref="N22:N31" si="6">IF($L22="","",LN(($L22^(-$O$14)+($N$14/$M$14))/(1+$N$14/$M$14))/($M$14*$O$14))</f>
        <v>#VALUE!</v>
      </c>
      <c r="O22" s="292" t="e">
        <f t="shared" ref="O22:O31" si="7">IF($L22="","",LN(($L22^(-$O$15)+($N$15/$M$15))/(1+$N$15/$M$15))/($M$15*$O$15))</f>
        <v>#VALUE!</v>
      </c>
      <c r="P22" s="292" t="e">
        <f t="shared" ref="P22:P31" si="8">IF($L22="","",LN(($L22^(-$O$16)+($N$16/$M$16))/(1+$N$16/$M$16))/($M$16*$O$16))</f>
        <v>#VALUE!</v>
      </c>
      <c r="Q22" s="292" t="e">
        <f t="shared" ref="Q22:Q31" si="9">IF($L22="","",LN(($L22^(-$O$17)+($N$17/$M$17))/(1+$N$17/$M$17))/($M$17*$O$17))</f>
        <v>#VALUE!</v>
      </c>
      <c r="R22" s="292" t="e">
        <f t="shared" ref="R22:R31" si="10">IF($L22="","",LN(($L22^(-$O$18)+($N$18/$M$18))/(1+$N$18/$M$18))/($M$18*$O$18))</f>
        <v>#VALUE!</v>
      </c>
      <c r="T22" s="263">
        <v>1.587500001</v>
      </c>
      <c r="U22" s="281">
        <v>6.25E-2</v>
      </c>
      <c r="V22" s="280">
        <v>6.25E-2</v>
      </c>
    </row>
    <row r="23" spans="1:22" x14ac:dyDescent="0.25">
      <c r="A23" s="283"/>
      <c r="B23" s="283"/>
      <c r="C23" s="284"/>
      <c r="D23" s="287" t="e">
        <f t="shared" si="0"/>
        <v>#VALUE!</v>
      </c>
      <c r="E23" s="288"/>
      <c r="F23" s="289" t="e">
        <f t="shared" si="1"/>
        <v>#VALUE!</v>
      </c>
      <c r="G23" s="290" t="e">
        <f t="shared" si="2"/>
        <v>#VALUE!</v>
      </c>
      <c r="H23" s="291" t="e">
        <f t="shared" si="3"/>
        <v>#VALUE!</v>
      </c>
      <c r="L23" s="292" t="e">
        <f t="shared" si="4"/>
        <v>#VALUE!</v>
      </c>
      <c r="M23" s="292" t="e">
        <f t="shared" si="5"/>
        <v>#VALUE!</v>
      </c>
      <c r="N23" s="292" t="e">
        <f t="shared" si="6"/>
        <v>#VALUE!</v>
      </c>
      <c r="O23" s="292" t="e">
        <f t="shared" si="7"/>
        <v>#VALUE!</v>
      </c>
      <c r="P23" s="292" t="e">
        <f t="shared" si="8"/>
        <v>#VALUE!</v>
      </c>
      <c r="Q23" s="292" t="e">
        <f t="shared" si="9"/>
        <v>#VALUE!</v>
      </c>
      <c r="R23" s="292" t="e">
        <f t="shared" si="10"/>
        <v>#VALUE!</v>
      </c>
      <c r="T23" s="263">
        <v>1.785937501</v>
      </c>
      <c r="U23" s="281">
        <v>7.03125E-2</v>
      </c>
      <c r="V23" s="280">
        <v>9.375E-2</v>
      </c>
    </row>
    <row r="24" spans="1:22" x14ac:dyDescent="0.25">
      <c r="A24" s="283"/>
      <c r="B24" s="283"/>
      <c r="C24" s="284"/>
      <c r="D24" s="287" t="e">
        <f t="shared" si="0"/>
        <v>#VALUE!</v>
      </c>
      <c r="E24" s="288"/>
      <c r="F24" s="289" t="e">
        <f t="shared" si="1"/>
        <v>#VALUE!</v>
      </c>
      <c r="G24" s="290" t="e">
        <f t="shared" si="2"/>
        <v>#VALUE!</v>
      </c>
      <c r="H24" s="291" t="e">
        <f t="shared" si="3"/>
        <v>#VALUE!</v>
      </c>
      <c r="L24" s="292" t="e">
        <f t="shared" si="4"/>
        <v>#VALUE!</v>
      </c>
      <c r="M24" s="292" t="e">
        <f t="shared" si="5"/>
        <v>#VALUE!</v>
      </c>
      <c r="N24" s="292" t="e">
        <f t="shared" si="6"/>
        <v>#VALUE!</v>
      </c>
      <c r="O24" s="292" t="e">
        <f t="shared" si="7"/>
        <v>#VALUE!</v>
      </c>
      <c r="P24" s="292" t="e">
        <f t="shared" si="8"/>
        <v>#VALUE!</v>
      </c>
      <c r="Q24" s="292" t="e">
        <f t="shared" si="9"/>
        <v>#VALUE!</v>
      </c>
      <c r="R24" s="292" t="e">
        <f t="shared" si="10"/>
        <v>#VALUE!</v>
      </c>
      <c r="T24" s="263">
        <v>1.9843750010000001</v>
      </c>
      <c r="U24" s="281">
        <v>7.8125E-2</v>
      </c>
      <c r="V24" s="280">
        <v>9.375E-2</v>
      </c>
    </row>
    <row r="25" spans="1:22" x14ac:dyDescent="0.25">
      <c r="A25" s="283"/>
      <c r="B25" s="283"/>
      <c r="C25" s="284"/>
      <c r="D25" s="287" t="e">
        <f t="shared" si="0"/>
        <v>#VALUE!</v>
      </c>
      <c r="E25" s="288"/>
      <c r="F25" s="289" t="e">
        <f t="shared" si="1"/>
        <v>#VALUE!</v>
      </c>
      <c r="G25" s="290" t="e">
        <f t="shared" si="2"/>
        <v>#VALUE!</v>
      </c>
      <c r="H25" s="291" t="e">
        <f t="shared" si="3"/>
        <v>#VALUE!</v>
      </c>
      <c r="L25" s="292" t="e">
        <f t="shared" si="4"/>
        <v>#VALUE!</v>
      </c>
      <c r="M25" s="292" t="e">
        <f t="shared" si="5"/>
        <v>#VALUE!</v>
      </c>
      <c r="N25" s="292" t="e">
        <f t="shared" si="6"/>
        <v>#VALUE!</v>
      </c>
      <c r="O25" s="292" t="e">
        <f t="shared" si="7"/>
        <v>#VALUE!</v>
      </c>
      <c r="P25" s="292" t="e">
        <f t="shared" si="8"/>
        <v>#VALUE!</v>
      </c>
      <c r="Q25" s="292" t="e">
        <f t="shared" si="9"/>
        <v>#VALUE!</v>
      </c>
      <c r="R25" s="292" t="e">
        <f t="shared" si="10"/>
        <v>#VALUE!</v>
      </c>
      <c r="T25" s="263">
        <v>2.1828125009999999</v>
      </c>
      <c r="U25" s="281">
        <v>8.59375E-2</v>
      </c>
      <c r="V25" s="280">
        <v>9.375E-2</v>
      </c>
    </row>
    <row r="26" spans="1:22" x14ac:dyDescent="0.25">
      <c r="A26" s="283"/>
      <c r="B26" s="283"/>
      <c r="C26" s="284"/>
      <c r="D26" s="287" t="e">
        <f t="shared" si="0"/>
        <v>#VALUE!</v>
      </c>
      <c r="E26" s="288"/>
      <c r="F26" s="289" t="e">
        <f t="shared" si="1"/>
        <v>#VALUE!</v>
      </c>
      <c r="G26" s="290" t="e">
        <f t="shared" si="2"/>
        <v>#VALUE!</v>
      </c>
      <c r="H26" s="291" t="e">
        <f t="shared" si="3"/>
        <v>#VALUE!</v>
      </c>
      <c r="L26" s="292" t="e">
        <f t="shared" si="4"/>
        <v>#VALUE!</v>
      </c>
      <c r="M26" s="292" t="e">
        <f t="shared" si="5"/>
        <v>#VALUE!</v>
      </c>
      <c r="N26" s="292" t="e">
        <f t="shared" si="6"/>
        <v>#VALUE!</v>
      </c>
      <c r="O26" s="292" t="e">
        <f t="shared" si="7"/>
        <v>#VALUE!</v>
      </c>
      <c r="P26" s="292" t="e">
        <f t="shared" si="8"/>
        <v>#VALUE!</v>
      </c>
      <c r="Q26" s="292" t="e">
        <f t="shared" si="9"/>
        <v>#VALUE!</v>
      </c>
      <c r="R26" s="292" t="e">
        <f t="shared" si="10"/>
        <v>#VALUE!</v>
      </c>
      <c r="T26" s="263">
        <v>2.3812500010000002</v>
      </c>
      <c r="U26" s="281">
        <v>9.375E-2</v>
      </c>
      <c r="V26" s="280">
        <v>9.375E-2</v>
      </c>
    </row>
    <row r="27" spans="1:22" x14ac:dyDescent="0.25">
      <c r="A27" s="283"/>
      <c r="B27" s="283"/>
      <c r="C27" s="284"/>
      <c r="D27" s="287" t="e">
        <f t="shared" si="0"/>
        <v>#VALUE!</v>
      </c>
      <c r="E27" s="283"/>
      <c r="F27" s="289" t="e">
        <f t="shared" si="1"/>
        <v>#VALUE!</v>
      </c>
      <c r="G27" s="290" t="e">
        <f t="shared" si="2"/>
        <v>#VALUE!</v>
      </c>
      <c r="H27" s="291" t="e">
        <f t="shared" si="3"/>
        <v>#VALUE!</v>
      </c>
      <c r="L27" s="292" t="e">
        <f t="shared" si="4"/>
        <v>#VALUE!</v>
      </c>
      <c r="M27" s="292" t="e">
        <f t="shared" si="5"/>
        <v>#VALUE!</v>
      </c>
      <c r="N27" s="292" t="e">
        <f t="shared" si="6"/>
        <v>#VALUE!</v>
      </c>
      <c r="O27" s="292" t="e">
        <f t="shared" si="7"/>
        <v>#VALUE!</v>
      </c>
      <c r="P27" s="292" t="e">
        <f t="shared" si="8"/>
        <v>#VALUE!</v>
      </c>
      <c r="Q27" s="292" t="e">
        <f t="shared" si="9"/>
        <v>#VALUE!</v>
      </c>
      <c r="R27" s="292" t="e">
        <f t="shared" si="10"/>
        <v>#VALUE!</v>
      </c>
      <c r="T27" s="263">
        <v>2.579687501</v>
      </c>
      <c r="U27" s="281">
        <v>0.1015625</v>
      </c>
      <c r="V27" s="280">
        <v>0.125</v>
      </c>
    </row>
    <row r="28" spans="1:22" x14ac:dyDescent="0.25">
      <c r="A28" s="283"/>
      <c r="B28" s="283"/>
      <c r="C28" s="284"/>
      <c r="D28" s="287" t="e">
        <f t="shared" si="0"/>
        <v>#VALUE!</v>
      </c>
      <c r="E28" s="283"/>
      <c r="F28" s="289" t="e">
        <f t="shared" si="1"/>
        <v>#VALUE!</v>
      </c>
      <c r="G28" s="293" t="e">
        <f t="shared" si="2"/>
        <v>#VALUE!</v>
      </c>
      <c r="H28" s="291" t="e">
        <f t="shared" si="3"/>
        <v>#VALUE!</v>
      </c>
      <c r="L28" s="292" t="e">
        <f t="shared" si="4"/>
        <v>#VALUE!</v>
      </c>
      <c r="M28" s="292" t="e">
        <f t="shared" si="5"/>
        <v>#VALUE!</v>
      </c>
      <c r="N28" s="292" t="e">
        <f t="shared" si="6"/>
        <v>#VALUE!</v>
      </c>
      <c r="O28" s="292" t="e">
        <f t="shared" si="7"/>
        <v>#VALUE!</v>
      </c>
      <c r="P28" s="292" t="e">
        <f t="shared" si="8"/>
        <v>#VALUE!</v>
      </c>
      <c r="Q28" s="292" t="e">
        <f t="shared" si="9"/>
        <v>#VALUE!</v>
      </c>
      <c r="R28" s="292" t="e">
        <f t="shared" si="10"/>
        <v>#VALUE!</v>
      </c>
      <c r="T28" s="263">
        <v>2.7781250009999998</v>
      </c>
      <c r="U28" s="281">
        <v>0.109375</v>
      </c>
      <c r="V28" s="280">
        <v>0.125</v>
      </c>
    </row>
    <row r="29" spans="1:22" x14ac:dyDescent="0.25">
      <c r="F29" s="293"/>
      <c r="G29" s="293"/>
      <c r="H29" s="291" t="str">
        <f t="shared" si="3"/>
        <v/>
      </c>
      <c r="L29" s="292" t="e">
        <f t="shared" si="4"/>
        <v>#VALUE!</v>
      </c>
      <c r="M29" s="292" t="e">
        <f t="shared" si="5"/>
        <v>#VALUE!</v>
      </c>
      <c r="N29" s="292" t="e">
        <f t="shared" si="6"/>
        <v>#VALUE!</v>
      </c>
      <c r="O29" s="292" t="e">
        <f t="shared" si="7"/>
        <v>#VALUE!</v>
      </c>
      <c r="P29" s="292" t="e">
        <f t="shared" si="8"/>
        <v>#VALUE!</v>
      </c>
      <c r="Q29" s="292" t="e">
        <f t="shared" si="9"/>
        <v>#VALUE!</v>
      </c>
      <c r="R29" s="292" t="e">
        <f t="shared" si="10"/>
        <v>#VALUE!</v>
      </c>
      <c r="T29" s="263">
        <v>2.9765625010000001</v>
      </c>
      <c r="U29" s="281">
        <v>0.1171875</v>
      </c>
      <c r="V29" s="280">
        <v>0.125</v>
      </c>
    </row>
    <row r="30" spans="1:22" x14ac:dyDescent="0.25">
      <c r="F30" s="293"/>
      <c r="G30" s="293"/>
      <c r="H30" s="291" t="str">
        <f t="shared" si="3"/>
        <v/>
      </c>
      <c r="L30" s="292" t="str">
        <f t="shared" si="4"/>
        <v/>
      </c>
      <c r="M30" s="292" t="str">
        <f t="shared" si="5"/>
        <v/>
      </c>
      <c r="N30" s="292" t="str">
        <f t="shared" si="6"/>
        <v/>
      </c>
      <c r="O30" s="292" t="str">
        <f t="shared" si="7"/>
        <v/>
      </c>
      <c r="P30" s="292" t="str">
        <f t="shared" si="8"/>
        <v/>
      </c>
      <c r="Q30" s="292" t="str">
        <f t="shared" si="9"/>
        <v/>
      </c>
      <c r="R30" s="292" t="str">
        <f t="shared" si="10"/>
        <v/>
      </c>
      <c r="T30" s="263">
        <v>3.1750000009999999</v>
      </c>
      <c r="U30" s="281">
        <v>0.125</v>
      </c>
      <c r="V30" s="280">
        <v>0.125</v>
      </c>
    </row>
    <row r="31" spans="1:22" x14ac:dyDescent="0.25">
      <c r="L31" s="292" t="str">
        <f t="shared" si="4"/>
        <v/>
      </c>
      <c r="M31" s="292" t="str">
        <f t="shared" si="5"/>
        <v/>
      </c>
      <c r="N31" s="292" t="str">
        <f t="shared" si="6"/>
        <v/>
      </c>
      <c r="O31" s="292" t="str">
        <f t="shared" si="7"/>
        <v/>
      </c>
      <c r="P31" s="292" t="str">
        <f t="shared" si="8"/>
        <v/>
      </c>
      <c r="Q31" s="292" t="str">
        <f t="shared" si="9"/>
        <v/>
      </c>
      <c r="R31" s="292" t="str">
        <f t="shared" si="10"/>
        <v/>
      </c>
      <c r="T31" s="263">
        <v>3.3734375010000002</v>
      </c>
      <c r="U31" s="281">
        <v>0.1328125</v>
      </c>
      <c r="V31" s="280">
        <v>0.15625</v>
      </c>
    </row>
    <row r="32" spans="1:22" x14ac:dyDescent="0.25">
      <c r="A32" s="286"/>
      <c r="B32" s="286"/>
      <c r="C32" s="286"/>
      <c r="D32" s="286"/>
      <c r="T32" s="263">
        <v>3.571875001</v>
      </c>
      <c r="U32" s="281">
        <v>0.140625</v>
      </c>
      <c r="V32" s="280">
        <v>0.15625</v>
      </c>
    </row>
    <row r="33" spans="1:22" x14ac:dyDescent="0.25">
      <c r="A33" s="263" t="s">
        <v>105</v>
      </c>
      <c r="T33" s="263">
        <v>3.7703125009999998</v>
      </c>
      <c r="U33" s="281">
        <v>0.1484375</v>
      </c>
      <c r="V33" s="280">
        <v>0.15625</v>
      </c>
    </row>
    <row r="34" spans="1:22" x14ac:dyDescent="0.25">
      <c r="A34" s="263" t="s">
        <v>331</v>
      </c>
      <c r="T34" s="263">
        <v>3.9687500010000001</v>
      </c>
      <c r="U34" s="281">
        <v>0.15625</v>
      </c>
      <c r="V34" s="280">
        <v>0.15625</v>
      </c>
    </row>
    <row r="35" spans="1:22" x14ac:dyDescent="0.25">
      <c r="T35" s="263">
        <v>4.1671875009999999</v>
      </c>
      <c r="U35" s="281">
        <v>0.1640625</v>
      </c>
      <c r="V35" s="280">
        <v>0.1875</v>
      </c>
    </row>
    <row r="36" spans="1:22" x14ac:dyDescent="0.25">
      <c r="T36" s="263">
        <v>4.3656250009999997</v>
      </c>
      <c r="U36" s="281">
        <v>0.171875</v>
      </c>
      <c r="V36" s="280">
        <v>0.1875</v>
      </c>
    </row>
    <row r="37" spans="1:22" x14ac:dyDescent="0.25">
      <c r="T37" s="263">
        <v>4.5640625010000004</v>
      </c>
      <c r="U37" s="281">
        <v>0.1796875</v>
      </c>
      <c r="V37" s="280">
        <v>0.1875</v>
      </c>
    </row>
    <row r="38" spans="1:22" x14ac:dyDescent="0.25">
      <c r="T38" s="263">
        <v>4.7625000010000003</v>
      </c>
      <c r="U38" s="281">
        <v>0.1875</v>
      </c>
      <c r="V38" s="280">
        <v>0.1875</v>
      </c>
    </row>
    <row r="39" spans="1:22" x14ac:dyDescent="0.25">
      <c r="T39" s="263">
        <v>4.9609375010000001</v>
      </c>
      <c r="U39" s="281">
        <v>0.1953125</v>
      </c>
      <c r="V39" s="280">
        <v>0.21875</v>
      </c>
    </row>
    <row r="40" spans="1:22" x14ac:dyDescent="0.25">
      <c r="T40" s="263">
        <v>5.1593750009999999</v>
      </c>
      <c r="U40" s="281">
        <v>0.203125</v>
      </c>
      <c r="V40" s="280">
        <v>0.21875</v>
      </c>
    </row>
    <row r="41" spans="1:22" x14ac:dyDescent="0.25">
      <c r="T41" s="263">
        <v>5.3578125009999997</v>
      </c>
      <c r="U41" s="281">
        <v>0.2109375</v>
      </c>
      <c r="V41" s="280">
        <v>0.21875</v>
      </c>
    </row>
    <row r="42" spans="1:22" x14ac:dyDescent="0.25">
      <c r="T42" s="263">
        <v>5.5562500010000004</v>
      </c>
      <c r="U42" s="281">
        <v>0.21875</v>
      </c>
      <c r="V42" s="280">
        <v>0.21875</v>
      </c>
    </row>
    <row r="43" spans="1:22" x14ac:dyDescent="0.25">
      <c r="T43" s="263">
        <v>5.7546875010000003</v>
      </c>
      <c r="U43" s="281">
        <v>0.2265625</v>
      </c>
      <c r="V43" s="280">
        <v>0.25</v>
      </c>
    </row>
    <row r="44" spans="1:22" x14ac:dyDescent="0.25">
      <c r="T44" s="263">
        <v>5.9531250010000001</v>
      </c>
      <c r="U44" s="281">
        <v>0.234375</v>
      </c>
      <c r="V44" s="280">
        <v>0.25</v>
      </c>
    </row>
    <row r="45" spans="1:22" x14ac:dyDescent="0.25">
      <c r="T45" s="263">
        <v>6.1515625009999999</v>
      </c>
      <c r="U45" s="281">
        <v>0.2421875</v>
      </c>
      <c r="V45" s="280">
        <v>0.25</v>
      </c>
    </row>
    <row r="46" spans="1:22" x14ac:dyDescent="0.25">
      <c r="T46" s="263">
        <v>6.3500000009999997</v>
      </c>
      <c r="U46" s="281">
        <v>0.25</v>
      </c>
      <c r="V46" s="280" t="s">
        <v>86</v>
      </c>
    </row>
    <row r="47" spans="1:22" x14ac:dyDescent="0.25">
      <c r="T47" s="263">
        <v>25.400000000999999</v>
      </c>
    </row>
  </sheetData>
  <mergeCells count="2">
    <mergeCell ref="F18:F20"/>
    <mergeCell ref="L20:R20"/>
  </mergeCells>
  <pageMargins left="0.75" right="0.75" top="1" bottom="1" header="0.51180555555555496" footer="0.5"/>
  <pageSetup scale="97" firstPageNumber="0" orientation="portrait" horizontalDpi="300" verticalDpi="300"/>
  <headerFooter>
    <oddFooter>&amp;R&amp;P</oddFoot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1"/>
  <sheetViews>
    <sheetView zoomScaleNormal="100" workbookViewId="0">
      <selection sqref="A1:P1"/>
    </sheetView>
  </sheetViews>
  <sheetFormatPr defaultColWidth="10.33203125" defaultRowHeight="12.75" x14ac:dyDescent="0.2"/>
  <cols>
    <col min="1" max="32" width="10.33203125" style="294"/>
  </cols>
  <sheetData>
    <row r="1" spans="1:32" x14ac:dyDescent="0.2">
      <c r="A1" s="346" t="s">
        <v>89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7" t="s">
        <v>89</v>
      </c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47"/>
      <c r="AF1" s="347"/>
    </row>
    <row r="2" spans="1:32" x14ac:dyDescent="0.2">
      <c r="A2" s="295"/>
      <c r="B2" s="296"/>
      <c r="C2" s="297"/>
      <c r="D2" s="297"/>
      <c r="E2" s="298"/>
      <c r="F2" s="299"/>
      <c r="G2" s="297"/>
      <c r="H2" s="297"/>
      <c r="I2" s="297"/>
      <c r="J2" s="298"/>
      <c r="K2" s="299"/>
      <c r="L2" s="298"/>
      <c r="M2" s="298"/>
      <c r="N2" s="298"/>
      <c r="O2" s="298"/>
      <c r="P2" s="299"/>
      <c r="Q2" s="300"/>
      <c r="R2" s="298"/>
      <c r="S2" s="298"/>
      <c r="T2" s="298"/>
      <c r="U2" s="299"/>
      <c r="V2" s="298"/>
      <c r="W2" s="298"/>
      <c r="X2" s="298"/>
      <c r="Y2" s="298"/>
      <c r="Z2" s="299"/>
      <c r="AA2" s="298"/>
      <c r="AB2" s="298"/>
      <c r="AC2" s="298"/>
      <c r="AD2" s="298"/>
      <c r="AE2" s="299"/>
      <c r="AF2" s="301"/>
    </row>
    <row r="3" spans="1:32" x14ac:dyDescent="0.2">
      <c r="A3" s="302"/>
      <c r="B3" s="348" t="s">
        <v>94</v>
      </c>
      <c r="C3" s="348"/>
      <c r="D3" s="348"/>
      <c r="E3" s="303"/>
      <c r="F3" s="303"/>
      <c r="G3" s="348" t="s">
        <v>95</v>
      </c>
      <c r="H3" s="348"/>
      <c r="I3" s="348"/>
      <c r="J3" s="303"/>
      <c r="K3" s="303"/>
      <c r="L3" s="348" t="s">
        <v>52</v>
      </c>
      <c r="M3" s="348"/>
      <c r="N3" s="348"/>
      <c r="O3" s="303"/>
      <c r="P3" s="303"/>
      <c r="Q3" s="349" t="s">
        <v>54</v>
      </c>
      <c r="R3" s="349"/>
      <c r="S3" s="349"/>
      <c r="T3" s="303"/>
      <c r="U3" s="303"/>
      <c r="V3" s="348" t="s">
        <v>96</v>
      </c>
      <c r="W3" s="348"/>
      <c r="X3" s="348"/>
      <c r="Y3" s="303"/>
      <c r="Z3" s="303"/>
      <c r="AA3" s="348" t="s">
        <v>58</v>
      </c>
      <c r="AB3" s="348"/>
      <c r="AC3" s="348"/>
      <c r="AD3" s="303"/>
      <c r="AE3" s="303"/>
      <c r="AF3" s="304"/>
    </row>
    <row r="4" spans="1:32" x14ac:dyDescent="0.2">
      <c r="A4" s="305" t="s">
        <v>37</v>
      </c>
      <c r="B4" s="306" t="s">
        <v>40</v>
      </c>
      <c r="C4" s="306" t="s">
        <v>41</v>
      </c>
      <c r="D4" s="306" t="s">
        <v>42</v>
      </c>
      <c r="E4" s="307" t="s">
        <v>44</v>
      </c>
      <c r="F4" s="307" t="s">
        <v>45</v>
      </c>
      <c r="G4" s="306" t="s">
        <v>40</v>
      </c>
      <c r="H4" s="306" t="s">
        <v>41</v>
      </c>
      <c r="I4" s="306" t="s">
        <v>42</v>
      </c>
      <c r="J4" s="307" t="s">
        <v>44</v>
      </c>
      <c r="K4" s="307" t="s">
        <v>45</v>
      </c>
      <c r="L4" s="306" t="s">
        <v>40</v>
      </c>
      <c r="M4" s="306" t="s">
        <v>41</v>
      </c>
      <c r="N4" s="306" t="s">
        <v>42</v>
      </c>
      <c r="O4" s="307" t="s">
        <v>44</v>
      </c>
      <c r="P4" s="307" t="s">
        <v>45</v>
      </c>
      <c r="Q4" s="308" t="s">
        <v>40</v>
      </c>
      <c r="R4" s="306" t="s">
        <v>41</v>
      </c>
      <c r="S4" s="306" t="s">
        <v>42</v>
      </c>
      <c r="T4" s="307" t="s">
        <v>44</v>
      </c>
      <c r="U4" s="307" t="s">
        <v>45</v>
      </c>
      <c r="V4" s="306" t="s">
        <v>40</v>
      </c>
      <c r="W4" s="306" t="s">
        <v>41</v>
      </c>
      <c r="X4" s="306" t="s">
        <v>42</v>
      </c>
      <c r="Y4" s="307" t="s">
        <v>44</v>
      </c>
      <c r="Z4" s="307" t="s">
        <v>45</v>
      </c>
      <c r="AA4" s="306" t="s">
        <v>40</v>
      </c>
      <c r="AB4" s="306" t="s">
        <v>41</v>
      </c>
      <c r="AC4" s="306" t="s">
        <v>42</v>
      </c>
      <c r="AD4" s="307" t="s">
        <v>44</v>
      </c>
      <c r="AE4" s="307" t="s">
        <v>45</v>
      </c>
      <c r="AF4" s="309" t="s">
        <v>97</v>
      </c>
    </row>
    <row r="5" spans="1:32" x14ac:dyDescent="0.2">
      <c r="A5" s="310">
        <v>25</v>
      </c>
      <c r="B5" s="311">
        <v>49.52</v>
      </c>
      <c r="C5" s="311">
        <v>194</v>
      </c>
      <c r="D5" s="311">
        <v>0.30370000000000003</v>
      </c>
      <c r="E5" s="311">
        <f t="shared" ref="E5:E30" si="0">IF(B5="","",LN(2)/B5)</f>
        <v>1.3997317862680639E-2</v>
      </c>
      <c r="F5" s="311">
        <f t="shared" ref="F5:F30" si="1">IF(E5="","",(LN(10)/LN(2))*E5)</f>
        <v>4.6498083461107544E-2</v>
      </c>
      <c r="G5" s="311">
        <v>0.39040000000000002</v>
      </c>
      <c r="H5" s="311">
        <v>1.645</v>
      </c>
      <c r="I5" s="311">
        <v>0.2757</v>
      </c>
      <c r="J5" s="311">
        <f t="shared" ref="J5:J30" si="2">IF(G5="","",LN(2)/G5)</f>
        <v>1.775479458401499</v>
      </c>
      <c r="K5" s="311">
        <f t="shared" ref="K5:K30" si="3">IF(J5="","",(LN(10)/LN(2))*J5)</f>
        <v>5.8980150947593382</v>
      </c>
      <c r="L5" s="311">
        <v>0.15759999999999999</v>
      </c>
      <c r="M5" s="311">
        <v>0.71750000000000003</v>
      </c>
      <c r="N5" s="311">
        <v>0.30480000000000002</v>
      </c>
      <c r="O5" s="311">
        <f t="shared" ref="O5:O30" si="4">IF(L5="","",LN(2)/L5)</f>
        <v>4.3981420086290948</v>
      </c>
      <c r="P5" s="311">
        <f t="shared" ref="P5:P30" si="5">IF(O5="","",(LN(10)/LN(2))*O5)</f>
        <v>14.610311503769328</v>
      </c>
      <c r="Q5" s="302">
        <v>9.3640000000000008</v>
      </c>
      <c r="R5" s="311">
        <v>41.25</v>
      </c>
      <c r="S5" s="311">
        <v>0.32019999999999998</v>
      </c>
      <c r="T5" s="311">
        <f t="shared" ref="T5:T30" si="6">IF(Q5="","",LN(2)/Q5)</f>
        <v>7.4022552387862581E-2</v>
      </c>
      <c r="U5" s="311">
        <f t="shared" ref="U5:U30" si="7">IF(T5="","",(LN(10)/LN(2))*T5)</f>
        <v>0.24589759643251233</v>
      </c>
      <c r="V5" s="311">
        <v>0.38040000000000002</v>
      </c>
      <c r="W5" s="311">
        <v>1.5429999999999999</v>
      </c>
      <c r="X5" s="311">
        <v>0.28689999999999999</v>
      </c>
      <c r="Y5" s="311">
        <f t="shared" ref="Y5:Y30" si="8">IF(V5="","",LN(2)/V5)</f>
        <v>1.8221534715035363</v>
      </c>
      <c r="Z5" s="311">
        <f t="shared" ref="Z5:Z30" si="9">IF(Y5="","",(LN(10)/LN(2))*Y5)</f>
        <v>6.0530628101841364</v>
      </c>
      <c r="AA5" s="311">
        <v>2.23E-2</v>
      </c>
      <c r="AB5" s="311">
        <v>4.3400000000000001E-2</v>
      </c>
      <c r="AC5" s="311">
        <v>0.19370000000000001</v>
      </c>
      <c r="AD5" s="311">
        <f t="shared" ref="AD5:AD30" si="10">IF(AA5="","",LN(2)/AA5)</f>
        <v>31.082833208966157</v>
      </c>
      <c r="AE5" s="311">
        <f t="shared" ref="AE5:AE30" si="11">IF(AD5="","",(LN(10)/LN(2))*AD5)</f>
        <v>103.2549369055626</v>
      </c>
      <c r="AF5" s="304">
        <f>0.1965*A5-3.429</f>
        <v>1.4835000000000007</v>
      </c>
    </row>
    <row r="6" spans="1:32" x14ac:dyDescent="0.2">
      <c r="A6" s="310">
        <v>30</v>
      </c>
      <c r="B6" s="311">
        <v>38.799999999999997</v>
      </c>
      <c r="C6" s="311">
        <v>178</v>
      </c>
      <c r="D6" s="311">
        <v>0.3473</v>
      </c>
      <c r="E6" s="311">
        <f t="shared" si="0"/>
        <v>1.7864618055668694E-2</v>
      </c>
      <c r="F6" s="311">
        <f t="shared" si="1"/>
        <v>5.9344976623557887E-2</v>
      </c>
      <c r="G6" s="311">
        <v>0.31730000000000003</v>
      </c>
      <c r="H6" s="311">
        <v>1.698</v>
      </c>
      <c r="I6" s="311">
        <v>0.35930000000000001</v>
      </c>
      <c r="J6" s="311">
        <f t="shared" si="2"/>
        <v>2.1845167997477</v>
      </c>
      <c r="K6" s="311">
        <f t="shared" si="3"/>
        <v>7.2568077308353152</v>
      </c>
      <c r="L6" s="311">
        <v>0.1208</v>
      </c>
      <c r="M6" s="311">
        <v>0.70430000000000004</v>
      </c>
      <c r="N6" s="311">
        <v>0.36130000000000001</v>
      </c>
      <c r="O6" s="311">
        <f t="shared" si="4"/>
        <v>5.7379733490061691</v>
      </c>
      <c r="P6" s="311">
        <f t="shared" si="5"/>
        <v>19.061134875778524</v>
      </c>
      <c r="Q6" s="302">
        <v>7.4059999999999997</v>
      </c>
      <c r="R6" s="311">
        <v>41.93</v>
      </c>
      <c r="S6" s="311">
        <v>0.39589999999999997</v>
      </c>
      <c r="T6" s="311">
        <f t="shared" si="6"/>
        <v>9.3592651979468713E-2</v>
      </c>
      <c r="U6" s="311">
        <f t="shared" si="7"/>
        <v>0.31090806008561245</v>
      </c>
      <c r="V6" s="311">
        <v>0.30609999999999998</v>
      </c>
      <c r="W6" s="311">
        <v>1.599</v>
      </c>
      <c r="X6" s="311">
        <v>0.36930000000000002</v>
      </c>
      <c r="Y6" s="311">
        <f t="shared" si="8"/>
        <v>2.2644468492647674</v>
      </c>
      <c r="Z6" s="311">
        <f t="shared" si="9"/>
        <v>7.5223296079517992</v>
      </c>
      <c r="AA6" s="311">
        <v>2.1659999999999999E-2</v>
      </c>
      <c r="AB6" s="311">
        <v>3.9660000000000001E-2</v>
      </c>
      <c r="AC6" s="311">
        <v>0.2843</v>
      </c>
      <c r="AD6" s="311">
        <f t="shared" si="10"/>
        <v>32.001254873497011</v>
      </c>
      <c r="AE6" s="311">
        <f t="shared" si="11"/>
        <v>106.30586763592085</v>
      </c>
      <c r="AF6" s="304">
        <f>0.1965*A6-3.429</f>
        <v>2.4660000000000006</v>
      </c>
    </row>
    <row r="7" spans="1:32" x14ac:dyDescent="0.2">
      <c r="A7" s="310">
        <v>35</v>
      </c>
      <c r="B7" s="311">
        <v>29.55</v>
      </c>
      <c r="C7" s="311">
        <v>164.7</v>
      </c>
      <c r="D7" s="311">
        <v>0.39479999999999998</v>
      </c>
      <c r="E7" s="311">
        <f t="shared" si="0"/>
        <v>2.345675737935517E-2</v>
      </c>
      <c r="F7" s="311">
        <f t="shared" si="1"/>
        <v>7.7921661353436408E-2</v>
      </c>
      <c r="G7" s="311">
        <v>0.25280000000000002</v>
      </c>
      <c r="H7" s="311">
        <v>1.8069999999999999</v>
      </c>
      <c r="I7" s="311">
        <v>0.46479999999999999</v>
      </c>
      <c r="J7" s="311">
        <f t="shared" si="2"/>
        <v>2.741879669936492</v>
      </c>
      <c r="K7" s="311">
        <f t="shared" si="3"/>
        <v>9.1083271083625217</v>
      </c>
      <c r="L7" s="311">
        <v>8.8779999999999998E-2</v>
      </c>
      <c r="M7" s="311">
        <v>0.69879999999999998</v>
      </c>
      <c r="N7" s="311">
        <v>0.42449999999999999</v>
      </c>
      <c r="O7" s="311">
        <f t="shared" si="4"/>
        <v>7.8074699319660432</v>
      </c>
      <c r="P7" s="311">
        <f t="shared" si="5"/>
        <v>25.935853716986326</v>
      </c>
      <c r="Q7" s="302">
        <v>5.7160000000000002</v>
      </c>
      <c r="R7" s="311">
        <v>43.41</v>
      </c>
      <c r="S7" s="311">
        <v>0.48570000000000002</v>
      </c>
      <c r="T7" s="311">
        <f t="shared" si="6"/>
        <v>0.12126437728480498</v>
      </c>
      <c r="U7" s="311">
        <f t="shared" si="7"/>
        <v>0.40283154181141456</v>
      </c>
      <c r="V7" s="311">
        <v>0.23960000000000001</v>
      </c>
      <c r="W7" s="311">
        <v>1.694</v>
      </c>
      <c r="X7" s="311">
        <v>0.46829999999999999</v>
      </c>
      <c r="Y7" s="311">
        <f t="shared" si="8"/>
        <v>2.892934810350356</v>
      </c>
      <c r="Z7" s="311">
        <f t="shared" si="9"/>
        <v>9.6101214231804928</v>
      </c>
      <c r="AA7" s="311">
        <v>1.9009999999999999E-2</v>
      </c>
      <c r="AB7" s="311">
        <v>3.8730000000000001E-2</v>
      </c>
      <c r="AC7" s="311">
        <v>0.37319999999999998</v>
      </c>
      <c r="AD7" s="311">
        <f t="shared" si="10"/>
        <v>36.462239903205962</v>
      </c>
      <c r="AE7" s="311">
        <f t="shared" si="11"/>
        <v>121.12493913698296</v>
      </c>
      <c r="AF7" s="304">
        <f>0.1965*A7-3.429</f>
        <v>3.4485000000000006</v>
      </c>
    </row>
    <row r="8" spans="1:32" x14ac:dyDescent="0.2">
      <c r="A8" s="310">
        <v>40</v>
      </c>
      <c r="B8" s="311"/>
      <c r="C8" s="311"/>
      <c r="D8" s="311"/>
      <c r="E8" s="311" t="str">
        <f t="shared" si="0"/>
        <v/>
      </c>
      <c r="F8" s="311" t="str">
        <f t="shared" si="1"/>
        <v/>
      </c>
      <c r="G8" s="311">
        <v>0.12970000000000001</v>
      </c>
      <c r="H8" s="311">
        <v>0.17799999999999999</v>
      </c>
      <c r="I8" s="311">
        <v>0.21890000000000001</v>
      </c>
      <c r="J8" s="311">
        <f t="shared" si="2"/>
        <v>5.3442342371622606</v>
      </c>
      <c r="K8" s="311">
        <f t="shared" si="3"/>
        <v>17.753161858088248</v>
      </c>
      <c r="L8" s="311"/>
      <c r="M8" s="311"/>
      <c r="N8" s="311"/>
      <c r="O8" s="311" t="str">
        <f t="shared" si="4"/>
        <v/>
      </c>
      <c r="P8" s="311" t="str">
        <f t="shared" si="5"/>
        <v/>
      </c>
      <c r="Q8" s="302"/>
      <c r="R8" s="311"/>
      <c r="S8" s="311"/>
      <c r="T8" s="311" t="str">
        <f t="shared" si="6"/>
        <v/>
      </c>
      <c r="U8" s="311" t="str">
        <f t="shared" si="7"/>
        <v/>
      </c>
      <c r="V8" s="311"/>
      <c r="W8" s="311"/>
      <c r="X8" s="311"/>
      <c r="Y8" s="311" t="str">
        <f t="shared" si="8"/>
        <v/>
      </c>
      <c r="Z8" s="311" t="str">
        <f t="shared" si="9"/>
        <v/>
      </c>
      <c r="AA8" s="311"/>
      <c r="AB8" s="311"/>
      <c r="AC8" s="311"/>
      <c r="AD8" s="311" t="str">
        <f t="shared" si="10"/>
        <v/>
      </c>
      <c r="AE8" s="311" t="str">
        <f t="shared" si="11"/>
        <v/>
      </c>
      <c r="AF8" s="304">
        <f t="shared" ref="AF8:AF30" si="12">1.222-0.05664*A8+0.001227*A8^2-0.000003136*A8^3</f>
        <v>0.71889599999999998</v>
      </c>
    </row>
    <row r="9" spans="1:32" x14ac:dyDescent="0.2">
      <c r="A9" s="310">
        <v>45</v>
      </c>
      <c r="B9" s="311"/>
      <c r="C9" s="311"/>
      <c r="D9" s="311"/>
      <c r="E9" s="311" t="str">
        <f t="shared" si="0"/>
        <v/>
      </c>
      <c r="F9" s="311" t="str">
        <f t="shared" si="1"/>
        <v/>
      </c>
      <c r="G9" s="311">
        <v>0.1095</v>
      </c>
      <c r="H9" s="311">
        <v>0.1741</v>
      </c>
      <c r="I9" s="311">
        <v>0.22689999999999999</v>
      </c>
      <c r="J9" s="311">
        <f t="shared" si="2"/>
        <v>6.3301112379903683</v>
      </c>
      <c r="K9" s="311">
        <f t="shared" si="3"/>
        <v>21.028174365242428</v>
      </c>
      <c r="L9" s="311"/>
      <c r="M9" s="311"/>
      <c r="N9" s="311"/>
      <c r="O9" s="311" t="str">
        <f t="shared" si="4"/>
        <v/>
      </c>
      <c r="P9" s="311" t="str">
        <f t="shared" si="5"/>
        <v/>
      </c>
      <c r="Q9" s="302"/>
      <c r="R9" s="311"/>
      <c r="S9" s="311"/>
      <c r="T9" s="311" t="str">
        <f t="shared" si="6"/>
        <v/>
      </c>
      <c r="U9" s="311" t="str">
        <f t="shared" si="7"/>
        <v/>
      </c>
      <c r="V9" s="311"/>
      <c r="W9" s="311"/>
      <c r="X9" s="311"/>
      <c r="Y9" s="311" t="str">
        <f t="shared" si="8"/>
        <v/>
      </c>
      <c r="Z9" s="311" t="str">
        <f t="shared" si="9"/>
        <v/>
      </c>
      <c r="AA9" s="311"/>
      <c r="AB9" s="311"/>
      <c r="AC9" s="311"/>
      <c r="AD9" s="311" t="str">
        <f t="shared" si="10"/>
        <v/>
      </c>
      <c r="AE9" s="311" t="str">
        <f t="shared" si="11"/>
        <v/>
      </c>
      <c r="AF9" s="304">
        <f t="shared" si="12"/>
        <v>0.87210700000000019</v>
      </c>
    </row>
    <row r="10" spans="1:32" x14ac:dyDescent="0.2">
      <c r="A10" s="310">
        <v>50</v>
      </c>
      <c r="B10" s="311">
        <v>8.8010000000000002</v>
      </c>
      <c r="C10" s="311">
        <v>27.28</v>
      </c>
      <c r="D10" s="311">
        <v>0.29570000000000002</v>
      </c>
      <c r="E10" s="311">
        <f t="shared" si="0"/>
        <v>7.8757775316435089E-2</v>
      </c>
      <c r="F10" s="311">
        <f t="shared" si="1"/>
        <v>0.26162766651449215</v>
      </c>
      <c r="G10" s="311">
        <v>9.3200000000000005E-2</v>
      </c>
      <c r="H10" s="311">
        <v>0.17119999999999999</v>
      </c>
      <c r="I10" s="311">
        <v>0.2324</v>
      </c>
      <c r="J10" s="311">
        <f t="shared" si="2"/>
        <v>7.4372015081539189</v>
      </c>
      <c r="K10" s="311">
        <f t="shared" si="3"/>
        <v>24.705848637275167</v>
      </c>
      <c r="L10" s="311">
        <v>3.8830000000000003E-2</v>
      </c>
      <c r="M10" s="311">
        <v>8.7300000000000003E-2</v>
      </c>
      <c r="N10" s="311">
        <v>0.51049999999999995</v>
      </c>
      <c r="O10" s="311">
        <f t="shared" si="4"/>
        <v>17.85081587844309</v>
      </c>
      <c r="P10" s="311">
        <f t="shared" si="5"/>
        <v>59.299126783261535</v>
      </c>
      <c r="Q10" s="302">
        <v>1.8169999999999999</v>
      </c>
      <c r="R10" s="311">
        <v>4.84</v>
      </c>
      <c r="S10" s="311">
        <v>0.40210000000000001</v>
      </c>
      <c r="T10" s="311">
        <f t="shared" si="6"/>
        <v>0.38147891059985983</v>
      </c>
      <c r="U10" s="311">
        <f t="shared" si="7"/>
        <v>1.2672455107286988</v>
      </c>
      <c r="V10" s="311">
        <v>9.7210000000000005E-2</v>
      </c>
      <c r="W10" s="311">
        <v>0.1799</v>
      </c>
      <c r="X10" s="311">
        <v>0.49120000000000003</v>
      </c>
      <c r="Y10" s="311">
        <f t="shared" si="8"/>
        <v>7.1304102516196401</v>
      </c>
      <c r="Z10" s="311">
        <f t="shared" si="9"/>
        <v>23.686710142928153</v>
      </c>
      <c r="AA10" s="311">
        <v>1.076E-2</v>
      </c>
      <c r="AB10" s="311">
        <v>1.8619999999999999E-3</v>
      </c>
      <c r="AC10" s="311">
        <v>1.17</v>
      </c>
      <c r="AD10" s="311">
        <f t="shared" si="10"/>
        <v>64.418882951667769</v>
      </c>
      <c r="AE10" s="311">
        <f t="shared" si="11"/>
        <v>213.9948971184057</v>
      </c>
      <c r="AF10" s="304">
        <f t="shared" si="12"/>
        <v>1.0654999999999997</v>
      </c>
    </row>
    <row r="11" spans="1:32" x14ac:dyDescent="0.2">
      <c r="A11" s="310">
        <v>55</v>
      </c>
      <c r="B11" s="311">
        <v>7.8390000000000004</v>
      </c>
      <c r="C11" s="311">
        <v>25.92</v>
      </c>
      <c r="D11" s="311">
        <v>0.34989999999999999</v>
      </c>
      <c r="E11" s="311">
        <f t="shared" si="0"/>
        <v>8.8422908605682513E-2</v>
      </c>
      <c r="F11" s="311">
        <f t="shared" si="1"/>
        <v>0.2937345443288743</v>
      </c>
      <c r="G11" s="311">
        <v>7.4219999999999994E-2</v>
      </c>
      <c r="H11" s="311">
        <v>0.16969999999999999</v>
      </c>
      <c r="I11" s="311">
        <v>0.24540000000000001</v>
      </c>
      <c r="J11" s="311">
        <f t="shared" si="2"/>
        <v>9.3390889323625075</v>
      </c>
      <c r="K11" s="311">
        <f t="shared" si="3"/>
        <v>31.023781905066638</v>
      </c>
      <c r="L11" s="311">
        <v>3.4189999999999998E-2</v>
      </c>
      <c r="M11" s="311">
        <v>8.3150000000000002E-2</v>
      </c>
      <c r="N11" s="311">
        <v>0.56059999999999999</v>
      </c>
      <c r="O11" s="311">
        <f t="shared" si="4"/>
        <v>20.273389311492991</v>
      </c>
      <c r="P11" s="311">
        <f t="shared" si="5"/>
        <v>67.346741532437733</v>
      </c>
      <c r="Q11" s="302">
        <v>1.4930000000000001</v>
      </c>
      <c r="R11" s="311">
        <v>4.5149999999999997</v>
      </c>
      <c r="S11" s="311">
        <v>0.42930000000000001</v>
      </c>
      <c r="T11" s="311">
        <f t="shared" si="6"/>
        <v>0.46426468892159761</v>
      </c>
      <c r="U11" s="311">
        <f t="shared" si="7"/>
        <v>1.5422539135927968</v>
      </c>
      <c r="V11" s="311">
        <v>8.5519999999999999E-2</v>
      </c>
      <c r="W11" s="311">
        <v>0.1661</v>
      </c>
      <c r="X11" s="311">
        <v>0.51119999999999999</v>
      </c>
      <c r="Y11" s="311">
        <f t="shared" si="8"/>
        <v>8.1050886407851408</v>
      </c>
      <c r="Z11" s="311">
        <f t="shared" si="9"/>
        <v>26.924521667376585</v>
      </c>
      <c r="AA11" s="311">
        <v>1.0120000000000001E-2</v>
      </c>
      <c r="AB11" s="311">
        <v>1.4040000000000001E-3</v>
      </c>
      <c r="AC11" s="311">
        <v>1.2689999999999999</v>
      </c>
      <c r="AD11" s="311">
        <f t="shared" si="10"/>
        <v>68.49280440315664</v>
      </c>
      <c r="AE11" s="311">
        <f t="shared" si="11"/>
        <v>227.52817124447091</v>
      </c>
      <c r="AF11" s="304">
        <f t="shared" si="12"/>
        <v>1.2967229999999998</v>
      </c>
    </row>
    <row r="12" spans="1:32" x14ac:dyDescent="0.2">
      <c r="A12" s="310">
        <v>60</v>
      </c>
      <c r="B12" s="311">
        <v>6.9509999999999996</v>
      </c>
      <c r="C12" s="311">
        <v>24.89</v>
      </c>
      <c r="D12" s="311">
        <v>0.41980000000000001</v>
      </c>
      <c r="E12" s="311">
        <f t="shared" si="0"/>
        <v>9.971905920873908E-2</v>
      </c>
      <c r="F12" s="311">
        <f t="shared" si="1"/>
        <v>0.33125954438124672</v>
      </c>
      <c r="G12" s="311">
        <v>6.2509999999999996E-2</v>
      </c>
      <c r="H12" s="311">
        <v>0.16919999999999999</v>
      </c>
      <c r="I12" s="311">
        <v>0.27329999999999999</v>
      </c>
      <c r="J12" s="311">
        <f t="shared" si="2"/>
        <v>11.088580716044557</v>
      </c>
      <c r="K12" s="311">
        <f t="shared" si="3"/>
        <v>36.835467813054642</v>
      </c>
      <c r="L12" s="311">
        <v>2.9850000000000002E-2</v>
      </c>
      <c r="M12" s="311">
        <v>7.961E-2</v>
      </c>
      <c r="N12" s="311">
        <v>0.6169</v>
      </c>
      <c r="O12" s="311">
        <f t="shared" si="4"/>
        <v>23.221011074035015</v>
      </c>
      <c r="P12" s="311">
        <f t="shared" si="5"/>
        <v>77.138529078527483</v>
      </c>
      <c r="Q12" s="302">
        <v>1.1830000000000001</v>
      </c>
      <c r="R12" s="311">
        <v>4.2190000000000003</v>
      </c>
      <c r="S12" s="311">
        <v>0.45710000000000001</v>
      </c>
      <c r="T12" s="311">
        <f t="shared" si="6"/>
        <v>0.58592322955194021</v>
      </c>
      <c r="U12" s="311">
        <f t="shared" si="7"/>
        <v>1.9463948376957276</v>
      </c>
      <c r="V12" s="311">
        <v>7.4520000000000003E-2</v>
      </c>
      <c r="W12" s="311">
        <v>0.15390000000000001</v>
      </c>
      <c r="X12" s="311">
        <v>0.53039999999999998</v>
      </c>
      <c r="Y12" s="311">
        <f t="shared" si="8"/>
        <v>9.3014919559842362</v>
      </c>
      <c r="Z12" s="311">
        <f t="shared" si="9"/>
        <v>30.898887452952842</v>
      </c>
      <c r="AA12" s="311">
        <v>9.5119999999999996E-3</v>
      </c>
      <c r="AB12" s="311">
        <v>9.6719999999999998E-4</v>
      </c>
      <c r="AC12" s="311">
        <v>1.333</v>
      </c>
      <c r="AD12" s="311">
        <f t="shared" si="10"/>
        <v>72.870813767866409</v>
      </c>
      <c r="AE12" s="311">
        <f t="shared" si="11"/>
        <v>242.07160355278026</v>
      </c>
      <c r="AF12" s="304">
        <f t="shared" si="12"/>
        <v>1.5634240000000001</v>
      </c>
    </row>
    <row r="13" spans="1:32" x14ac:dyDescent="0.2">
      <c r="A13" s="310">
        <v>65</v>
      </c>
      <c r="B13" s="312">
        <v>6.13</v>
      </c>
      <c r="C13" s="312">
        <v>24.09</v>
      </c>
      <c r="D13" s="312">
        <v>0.50190000000000001</v>
      </c>
      <c r="E13" s="311">
        <f t="shared" si="0"/>
        <v>0.1130745808417529</v>
      </c>
      <c r="F13" s="311">
        <f t="shared" si="1"/>
        <v>0.37562562691583129</v>
      </c>
      <c r="G13" s="312">
        <v>5.5280000000000003E-2</v>
      </c>
      <c r="H13" s="312">
        <v>0.1696</v>
      </c>
      <c r="I13" s="312">
        <v>0.32169999999999999</v>
      </c>
      <c r="J13" s="311">
        <f t="shared" si="2"/>
        <v>12.53884190593244</v>
      </c>
      <c r="K13" s="311">
        <f t="shared" si="3"/>
        <v>41.653131204667979</v>
      </c>
      <c r="L13" s="312">
        <v>2.6089999999999999E-2</v>
      </c>
      <c r="M13" s="312">
        <v>7.5969999999999996E-2</v>
      </c>
      <c r="N13" s="312">
        <v>0.67559999999999998</v>
      </c>
      <c r="O13" s="311">
        <f t="shared" si="4"/>
        <v>26.56754237485417</v>
      </c>
      <c r="P13" s="311">
        <f t="shared" si="5"/>
        <v>88.255465427138589</v>
      </c>
      <c r="Q13" s="302">
        <v>0.91720000000000002</v>
      </c>
      <c r="R13" s="312">
        <v>3.9820000000000002</v>
      </c>
      <c r="S13" s="312">
        <v>0.49220000000000003</v>
      </c>
      <c r="T13" s="311">
        <f t="shared" si="6"/>
        <v>0.75572086846919462</v>
      </c>
      <c r="U13" s="311">
        <f t="shared" si="7"/>
        <v>2.5104503848604947</v>
      </c>
      <c r="V13" s="312">
        <v>6.5140000000000003E-2</v>
      </c>
      <c r="W13" s="312">
        <v>0.14430000000000001</v>
      </c>
      <c r="X13" s="312">
        <v>0.55820000000000003</v>
      </c>
      <c r="Y13" s="311">
        <f t="shared" si="8"/>
        <v>10.640883950874198</v>
      </c>
      <c r="Z13" s="311">
        <f t="shared" si="9"/>
        <v>35.348251350845032</v>
      </c>
      <c r="AA13" s="312">
        <v>8.9899999999999997E-3</v>
      </c>
      <c r="AB13" s="312">
        <v>6.4700000000000001E-4</v>
      </c>
      <c r="AC13" s="312">
        <v>1.353</v>
      </c>
      <c r="AD13" s="311">
        <f t="shared" si="10"/>
        <v>77.102022309226399</v>
      </c>
      <c r="AE13" s="311">
        <f t="shared" si="11"/>
        <v>256.1273740816514</v>
      </c>
      <c r="AF13" s="304">
        <f t="shared" si="12"/>
        <v>1.863251</v>
      </c>
    </row>
    <row r="14" spans="1:32" x14ac:dyDescent="0.2">
      <c r="A14" s="310">
        <v>70</v>
      </c>
      <c r="B14" s="312">
        <v>5.3689999999999998</v>
      </c>
      <c r="C14" s="312">
        <v>23.49</v>
      </c>
      <c r="D14" s="312">
        <v>0.58809999999999996</v>
      </c>
      <c r="E14" s="311">
        <f t="shared" si="0"/>
        <v>0.12910172854534277</v>
      </c>
      <c r="F14" s="311">
        <f t="shared" si="1"/>
        <v>0.42886665915329597</v>
      </c>
      <c r="G14" s="312">
        <v>5.0869999999999999E-2</v>
      </c>
      <c r="H14" s="312">
        <v>0.1696</v>
      </c>
      <c r="I14" s="312">
        <v>0.38469999999999999</v>
      </c>
      <c r="J14" s="311">
        <f t="shared" si="2"/>
        <v>13.625853755847166</v>
      </c>
      <c r="K14" s="311">
        <f t="shared" si="3"/>
        <v>45.264106408375191</v>
      </c>
      <c r="L14" s="312">
        <v>2.3019999999999999E-2</v>
      </c>
      <c r="M14" s="312">
        <v>7.1629999999999999E-2</v>
      </c>
      <c r="N14" s="312">
        <v>0.72989999999999999</v>
      </c>
      <c r="O14" s="311">
        <f t="shared" si="4"/>
        <v>30.110650762812568</v>
      </c>
      <c r="P14" s="311">
        <f t="shared" si="5"/>
        <v>100.02541672432866</v>
      </c>
      <c r="Q14" s="302">
        <v>0.71489999999999998</v>
      </c>
      <c r="R14" s="312">
        <v>3.798</v>
      </c>
      <c r="S14" s="312">
        <v>0.53779999999999994</v>
      </c>
      <c r="T14" s="311">
        <f t="shared" si="6"/>
        <v>0.96957222067414361</v>
      </c>
      <c r="U14" s="311">
        <f t="shared" si="7"/>
        <v>3.2208491998797673</v>
      </c>
      <c r="V14" s="312">
        <v>5.7910000000000003E-2</v>
      </c>
      <c r="W14" s="312">
        <v>0.13569999999999999</v>
      </c>
      <c r="X14" s="312">
        <v>0.59670000000000001</v>
      </c>
      <c r="Y14" s="311">
        <f t="shared" si="8"/>
        <v>11.969386644101974</v>
      </c>
      <c r="Z14" s="311">
        <f t="shared" si="9"/>
        <v>39.761441771611914</v>
      </c>
      <c r="AA14" s="312">
        <v>8.5500000000000003E-3</v>
      </c>
      <c r="AB14" s="312">
        <v>5.3899999999999998E-4</v>
      </c>
      <c r="AC14" s="312">
        <v>1.194</v>
      </c>
      <c r="AD14" s="311">
        <f t="shared" si="10"/>
        <v>81.069845679525756</v>
      </c>
      <c r="AE14" s="311">
        <f t="shared" si="11"/>
        <v>269.30819801099949</v>
      </c>
      <c r="AF14" s="304">
        <f t="shared" si="12"/>
        <v>2.1938519999999997</v>
      </c>
    </row>
    <row r="15" spans="1:32" x14ac:dyDescent="0.2">
      <c r="A15" s="310">
        <v>75</v>
      </c>
      <c r="B15" s="312">
        <v>4.6660000000000004</v>
      </c>
      <c r="C15" s="312">
        <v>22.69</v>
      </c>
      <c r="D15" s="312">
        <v>0.66180000000000005</v>
      </c>
      <c r="E15" s="311">
        <f t="shared" si="0"/>
        <v>0.14855276051434746</v>
      </c>
      <c r="F15" s="311">
        <f t="shared" si="1"/>
        <v>0.49348158872568487</v>
      </c>
      <c r="G15" s="312">
        <v>4.7969999999999999E-2</v>
      </c>
      <c r="H15" s="312">
        <v>0.1663</v>
      </c>
      <c r="I15" s="312">
        <v>0.44919999999999999</v>
      </c>
      <c r="J15" s="311">
        <f t="shared" si="2"/>
        <v>14.449597259952998</v>
      </c>
      <c r="K15" s="311">
        <f t="shared" si="3"/>
        <v>48.000523097645321</v>
      </c>
      <c r="L15" s="312">
        <v>2.0660000000000001E-2</v>
      </c>
      <c r="M15" s="312">
        <v>6.6489999999999994E-2</v>
      </c>
      <c r="N15" s="312">
        <v>0.77500000000000002</v>
      </c>
      <c r="O15" s="311">
        <f t="shared" si="4"/>
        <v>33.550202350432976</v>
      </c>
      <c r="P15" s="311">
        <f t="shared" si="5"/>
        <v>111.45135977705932</v>
      </c>
      <c r="Q15" s="300">
        <v>0.57930000000000004</v>
      </c>
      <c r="R15" s="312">
        <v>3.629</v>
      </c>
      <c r="S15" s="312">
        <v>0.59079999999999999</v>
      </c>
      <c r="T15" s="311">
        <f t="shared" si="6"/>
        <v>1.1965254282063615</v>
      </c>
      <c r="U15" s="311">
        <f t="shared" si="7"/>
        <v>3.9747714362058444</v>
      </c>
      <c r="V15" s="312">
        <v>5.2909999999999999E-2</v>
      </c>
      <c r="W15" s="312">
        <v>0.128</v>
      </c>
      <c r="X15" s="312">
        <v>0.64780000000000004</v>
      </c>
      <c r="Y15" s="311">
        <f t="shared" si="8"/>
        <v>13.100494813077779</v>
      </c>
      <c r="Z15" s="311">
        <f t="shared" si="9"/>
        <v>43.518901776489244</v>
      </c>
      <c r="AA15" s="312">
        <v>5.2030000000000002E-3</v>
      </c>
      <c r="AB15" s="312">
        <v>6.4210000000000005E-4</v>
      </c>
      <c r="AC15" s="312">
        <v>1.0620000000000001</v>
      </c>
      <c r="AD15" s="311">
        <f t="shared" si="10"/>
        <v>133.22067664038926</v>
      </c>
      <c r="AE15" s="311">
        <f t="shared" si="11"/>
        <v>442.54950855161366</v>
      </c>
      <c r="AF15" s="304">
        <f t="shared" si="12"/>
        <v>2.5528750000000002</v>
      </c>
    </row>
    <row r="16" spans="1:32" x14ac:dyDescent="0.2">
      <c r="A16" s="310">
        <v>80</v>
      </c>
      <c r="B16" s="312">
        <v>4.04</v>
      </c>
      <c r="C16" s="312">
        <v>21.69</v>
      </c>
      <c r="D16" s="312">
        <v>0.71870000000000001</v>
      </c>
      <c r="E16" s="311">
        <f t="shared" si="0"/>
        <v>0.17157108429701615</v>
      </c>
      <c r="F16" s="311">
        <f t="shared" si="1"/>
        <v>0.56994680519654595</v>
      </c>
      <c r="G16" s="312">
        <v>4.5830000000000003E-2</v>
      </c>
      <c r="H16" s="312">
        <v>0.15490000000000001</v>
      </c>
      <c r="I16" s="312">
        <v>0.49259999999999998</v>
      </c>
      <c r="J16" s="311">
        <f t="shared" si="2"/>
        <v>15.124311162119687</v>
      </c>
      <c r="K16" s="311">
        <f t="shared" si="3"/>
        <v>50.241874165263923</v>
      </c>
      <c r="L16" s="312">
        <v>1.8859999999999998E-2</v>
      </c>
      <c r="M16" s="312">
        <v>6.0929999999999998E-2</v>
      </c>
      <c r="N16" s="312">
        <v>0.81030000000000002</v>
      </c>
      <c r="O16" s="311">
        <f t="shared" si="4"/>
        <v>36.752236509010885</v>
      </c>
      <c r="P16" s="311">
        <f t="shared" si="5"/>
        <v>122.08828700922831</v>
      </c>
      <c r="Q16" s="300">
        <v>0.49209999999999998</v>
      </c>
      <c r="R16" s="312">
        <v>3.4279999999999999</v>
      </c>
      <c r="S16" s="312">
        <v>0.64270000000000005</v>
      </c>
      <c r="T16" s="311">
        <f t="shared" si="6"/>
        <v>1.4085494423083627</v>
      </c>
      <c r="U16" s="311">
        <f t="shared" si="7"/>
        <v>4.6790999654420764</v>
      </c>
      <c r="V16" s="312">
        <v>4.9549999999999997E-2</v>
      </c>
      <c r="W16" s="312">
        <v>0.1208</v>
      </c>
      <c r="X16" s="312">
        <v>0.7097</v>
      </c>
      <c r="Y16" s="311">
        <f t="shared" si="8"/>
        <v>13.988843199998897</v>
      </c>
      <c r="Z16" s="311">
        <f t="shared" si="9"/>
        <v>46.469931241050375</v>
      </c>
      <c r="AA16" s="312">
        <v>7.9030000000000003E-3</v>
      </c>
      <c r="AB16" s="312">
        <v>8.6399999999999997E-4</v>
      </c>
      <c r="AC16" s="312">
        <v>0.97030000000000005</v>
      </c>
      <c r="AD16" s="311">
        <f t="shared" si="10"/>
        <v>87.706843041875899</v>
      </c>
      <c r="AE16" s="311">
        <f t="shared" si="11"/>
        <v>291.35582601468377</v>
      </c>
      <c r="AF16" s="304">
        <f t="shared" si="12"/>
        <v>2.9379679999999997</v>
      </c>
    </row>
    <row r="17" spans="1:32" x14ac:dyDescent="0.2">
      <c r="A17" s="310">
        <v>85</v>
      </c>
      <c r="B17" s="312">
        <v>3.504</v>
      </c>
      <c r="C17" s="312">
        <v>20.37</v>
      </c>
      <c r="D17" s="312">
        <v>0.755</v>
      </c>
      <c r="E17" s="311">
        <f t="shared" si="0"/>
        <v>0.19781597618719901</v>
      </c>
      <c r="F17" s="311">
        <f t="shared" si="1"/>
        <v>0.65713044891382588</v>
      </c>
      <c r="G17" s="312">
        <v>4.3979999999999998E-2</v>
      </c>
      <c r="H17" s="312">
        <v>0.1348</v>
      </c>
      <c r="I17" s="312">
        <v>0.49430000000000002</v>
      </c>
      <c r="J17" s="311">
        <f t="shared" si="2"/>
        <v>15.760508880398939</v>
      </c>
      <c r="K17" s="311">
        <f t="shared" si="3"/>
        <v>52.355277239519012</v>
      </c>
      <c r="L17" s="312">
        <v>1.746E-2</v>
      </c>
      <c r="M17" s="312">
        <v>5.5579999999999997E-2</v>
      </c>
      <c r="N17" s="312">
        <v>0.83919999999999995</v>
      </c>
      <c r="O17" s="311">
        <f t="shared" si="4"/>
        <v>39.699151234819318</v>
      </c>
      <c r="P17" s="311">
        <f t="shared" si="5"/>
        <v>131.87772583012864</v>
      </c>
      <c r="Q17" s="300">
        <v>0.4355</v>
      </c>
      <c r="R17" s="312">
        <v>3.1779999999999999</v>
      </c>
      <c r="S17" s="312">
        <v>0.68610000000000004</v>
      </c>
      <c r="T17" s="311">
        <f t="shared" si="6"/>
        <v>1.5916123549022854</v>
      </c>
      <c r="U17" s="311">
        <f t="shared" si="7"/>
        <v>5.287221797919738</v>
      </c>
      <c r="V17" s="312">
        <v>4.7210000000000002E-2</v>
      </c>
      <c r="W17" s="312">
        <v>0.114</v>
      </c>
      <c r="X17" s="312">
        <v>0.77859999999999996</v>
      </c>
      <c r="Y17" s="311">
        <f t="shared" si="8"/>
        <v>14.682210984112375</v>
      </c>
      <c r="Z17" s="311">
        <f t="shared" si="9"/>
        <v>48.773249163186733</v>
      </c>
      <c r="AA17" s="312">
        <v>7.6860000000000001E-3</v>
      </c>
      <c r="AB17" s="312">
        <v>1.0560000000000001E-3</v>
      </c>
      <c r="AC17" s="312">
        <v>1.0149999999999999</v>
      </c>
      <c r="AD17" s="311">
        <f t="shared" si="10"/>
        <v>90.183083601345984</v>
      </c>
      <c r="AE17" s="311">
        <f t="shared" si="11"/>
        <v>299.58171909888699</v>
      </c>
      <c r="AF17" s="304">
        <f t="shared" si="12"/>
        <v>3.3467790000000015</v>
      </c>
    </row>
    <row r="18" spans="1:32" x14ac:dyDescent="0.2">
      <c r="A18" s="310">
        <v>90</v>
      </c>
      <c r="B18" s="312">
        <v>3.0670000000000002</v>
      </c>
      <c r="C18" s="312">
        <v>18.829999999999998</v>
      </c>
      <c r="D18" s="312">
        <v>0.77259999999999995</v>
      </c>
      <c r="E18" s="311">
        <f t="shared" si="0"/>
        <v>0.22600168912942459</v>
      </c>
      <c r="F18" s="311">
        <f t="shared" si="1"/>
        <v>0.75076136061103538</v>
      </c>
      <c r="G18" s="312">
        <v>4.2279999999999998E-2</v>
      </c>
      <c r="H18" s="312">
        <v>0.1137</v>
      </c>
      <c r="I18" s="312">
        <v>0.46899999999999997</v>
      </c>
      <c r="J18" s="311">
        <f t="shared" si="2"/>
        <v>16.394209568589055</v>
      </c>
      <c r="K18" s="311">
        <f t="shared" si="3"/>
        <v>54.460385359367208</v>
      </c>
      <c r="L18" s="312">
        <v>1.6629999999999999E-2</v>
      </c>
      <c r="M18" s="312">
        <v>5.0389999999999997E-2</v>
      </c>
      <c r="N18" s="312">
        <v>0.85850000000000004</v>
      </c>
      <c r="O18" s="311">
        <f t="shared" si="4"/>
        <v>41.680527995186132</v>
      </c>
      <c r="P18" s="311">
        <f t="shared" si="5"/>
        <v>138.45971695694806</v>
      </c>
      <c r="Q18" s="300">
        <v>0.39710000000000001</v>
      </c>
      <c r="R18" s="312">
        <v>2.9129999999999998</v>
      </c>
      <c r="S18" s="312">
        <v>0.72040000000000004</v>
      </c>
      <c r="T18" s="311">
        <f t="shared" si="6"/>
        <v>1.7455229930998371</v>
      </c>
      <c r="U18" s="311">
        <f t="shared" si="7"/>
        <v>5.7985018710502283</v>
      </c>
      <c r="V18" s="312">
        <v>4.5499999999999999E-2</v>
      </c>
      <c r="W18" s="312">
        <v>0.1077</v>
      </c>
      <c r="X18" s="312">
        <v>0.85219999999999996</v>
      </c>
      <c r="Y18" s="311">
        <f t="shared" si="8"/>
        <v>15.234003968350446</v>
      </c>
      <c r="Z18" s="311">
        <f t="shared" si="9"/>
        <v>50.606265780088918</v>
      </c>
      <c r="AA18" s="312">
        <v>7.5110000000000003E-3</v>
      </c>
      <c r="AB18" s="312">
        <v>1.1590000000000001E-3</v>
      </c>
      <c r="AC18" s="312">
        <v>1.081</v>
      </c>
      <c r="AD18" s="311">
        <f t="shared" si="10"/>
        <v>92.284273806409971</v>
      </c>
      <c r="AE18" s="311">
        <f t="shared" si="11"/>
        <v>306.56172187379121</v>
      </c>
      <c r="AF18" s="304">
        <f t="shared" si="12"/>
        <v>3.7769560000000002</v>
      </c>
    </row>
    <row r="19" spans="1:32" x14ac:dyDescent="0.2">
      <c r="A19" s="310">
        <v>95</v>
      </c>
      <c r="B19" s="312">
        <v>2.7309999999999999</v>
      </c>
      <c r="C19" s="312">
        <v>17.07</v>
      </c>
      <c r="D19" s="312">
        <v>0.77139999999999997</v>
      </c>
      <c r="E19" s="311">
        <f t="shared" si="0"/>
        <v>0.25380709650675404</v>
      </c>
      <c r="F19" s="311">
        <f t="shared" si="1"/>
        <v>0.84312892456757438</v>
      </c>
      <c r="G19" s="312">
        <v>4.0680000000000001E-2</v>
      </c>
      <c r="H19" s="312">
        <v>9.7049999999999997E-2</v>
      </c>
      <c r="I19" s="312">
        <v>0.44059999999999999</v>
      </c>
      <c r="J19" s="311">
        <f t="shared" si="2"/>
        <v>17.039016237953422</v>
      </c>
      <c r="K19" s="311">
        <f t="shared" si="3"/>
        <v>56.602386750099448</v>
      </c>
      <c r="L19" s="312">
        <v>1.5429999999999999E-2</v>
      </c>
      <c r="M19" s="312">
        <v>4.5710000000000001E-2</v>
      </c>
      <c r="N19" s="312">
        <v>0.87629999999999997</v>
      </c>
      <c r="O19" s="311">
        <f t="shared" si="4"/>
        <v>44.922046698635469</v>
      </c>
      <c r="P19" s="311">
        <f t="shared" si="5"/>
        <v>149.22780900803926</v>
      </c>
      <c r="Q19" s="300">
        <v>0.36809999999999998</v>
      </c>
      <c r="R19" s="312">
        <v>2.6539999999999999</v>
      </c>
      <c r="S19" s="312">
        <v>0.74609999999999999</v>
      </c>
      <c r="T19" s="311">
        <f t="shared" si="6"/>
        <v>1.8830404253190582</v>
      </c>
      <c r="U19" s="311">
        <f t="shared" si="7"/>
        <v>6.2553248926760281</v>
      </c>
      <c r="V19" s="312">
        <v>4.41E-2</v>
      </c>
      <c r="W19" s="312">
        <v>0.1013</v>
      </c>
      <c r="X19" s="312">
        <v>0.92220000000000002</v>
      </c>
      <c r="Y19" s="311">
        <f t="shared" si="8"/>
        <v>15.717623141948872</v>
      </c>
      <c r="Z19" s="311">
        <f t="shared" si="9"/>
        <v>52.212813900091739</v>
      </c>
      <c r="AA19" s="312">
        <v>7.345E-3</v>
      </c>
      <c r="AB19" s="312">
        <v>1.1329999999999999E-3</v>
      </c>
      <c r="AC19" s="312">
        <v>1.1160000000000001</v>
      </c>
      <c r="AD19" s="311">
        <f t="shared" si="10"/>
        <v>94.369936087126661</v>
      </c>
      <c r="AE19" s="311">
        <f t="shared" si="11"/>
        <v>313.49014200055086</v>
      </c>
      <c r="AF19" s="304">
        <f t="shared" si="12"/>
        <v>4.2261469999999983</v>
      </c>
    </row>
    <row r="20" spans="1:32" x14ac:dyDescent="0.2">
      <c r="A20" s="310">
        <v>100</v>
      </c>
      <c r="B20" s="312">
        <v>2.5</v>
      </c>
      <c r="C20" s="312">
        <v>15.28</v>
      </c>
      <c r="D20" s="312">
        <v>0.75570000000000004</v>
      </c>
      <c r="E20" s="311">
        <f t="shared" si="0"/>
        <v>0.2772588722239781</v>
      </c>
      <c r="F20" s="311">
        <f t="shared" si="1"/>
        <v>0.92103403719761834</v>
      </c>
      <c r="G20" s="312">
        <v>3.925E-2</v>
      </c>
      <c r="H20" s="312">
        <v>8.5669999999999996E-2</v>
      </c>
      <c r="I20" s="312">
        <v>0.42730000000000001</v>
      </c>
      <c r="J20" s="311">
        <f t="shared" si="2"/>
        <v>17.659800778597333</v>
      </c>
      <c r="K20" s="311">
        <f t="shared" si="3"/>
        <v>58.6645883565362</v>
      </c>
      <c r="L20" s="312">
        <v>1.4659999999999999E-2</v>
      </c>
      <c r="M20" s="312">
        <v>4.1709999999999997E-2</v>
      </c>
      <c r="N20" s="312">
        <v>0.89390000000000003</v>
      </c>
      <c r="O20" s="311">
        <f t="shared" si="4"/>
        <v>47.281526641196812</v>
      </c>
      <c r="P20" s="311">
        <f t="shared" si="5"/>
        <v>157.06583171855701</v>
      </c>
      <c r="Q20" s="300">
        <v>0.34150000000000003</v>
      </c>
      <c r="R20" s="312">
        <v>2.42</v>
      </c>
      <c r="S20" s="312">
        <v>0.76449999999999996</v>
      </c>
      <c r="T20" s="311">
        <f t="shared" si="6"/>
        <v>2.0297135594727531</v>
      </c>
      <c r="U20" s="311">
        <f t="shared" si="7"/>
        <v>6.7425624977863707</v>
      </c>
      <c r="V20" s="312">
        <v>4.2779999999999999E-2</v>
      </c>
      <c r="W20" s="312">
        <v>9.4659999999999994E-2</v>
      </c>
      <c r="X20" s="312">
        <v>0.97909999999999997</v>
      </c>
      <c r="Y20" s="311">
        <f t="shared" si="8"/>
        <v>16.202598891069314</v>
      </c>
      <c r="Z20" s="311">
        <f t="shared" si="9"/>
        <v>53.823868466433979</v>
      </c>
      <c r="AA20" s="312">
        <v>7.2300000000000003E-3</v>
      </c>
      <c r="AB20" s="312">
        <v>9.343E-4</v>
      </c>
      <c r="AC20" s="312">
        <v>1.3089999999999999</v>
      </c>
      <c r="AD20" s="311">
        <f t="shared" si="10"/>
        <v>95.870979330559507</v>
      </c>
      <c r="AE20" s="311">
        <f t="shared" si="11"/>
        <v>318.47649972255124</v>
      </c>
      <c r="AF20" s="304">
        <f t="shared" si="12"/>
        <v>4.6919999999999993</v>
      </c>
    </row>
    <row r="21" spans="1:32" x14ac:dyDescent="0.2">
      <c r="A21" s="310">
        <v>105</v>
      </c>
      <c r="B21" s="312">
        <v>2.3639999999999999</v>
      </c>
      <c r="C21" s="312">
        <v>13.41</v>
      </c>
      <c r="D21" s="312">
        <v>0.72389999999999999</v>
      </c>
      <c r="E21" s="311">
        <f t="shared" si="0"/>
        <v>0.29320946724193964</v>
      </c>
      <c r="F21" s="311">
        <f t="shared" si="1"/>
        <v>0.97402076691795514</v>
      </c>
      <c r="G21" s="312">
        <v>3.8080000000000003E-2</v>
      </c>
      <c r="H21" s="312">
        <v>7.8619999999999995E-2</v>
      </c>
      <c r="I21" s="312">
        <v>0.43940000000000001</v>
      </c>
      <c r="J21" s="311">
        <f t="shared" si="2"/>
        <v>18.202394447477552</v>
      </c>
      <c r="K21" s="311">
        <f t="shared" si="3"/>
        <v>60.467045509297414</v>
      </c>
      <c r="L21" s="312">
        <v>1.397E-2</v>
      </c>
      <c r="M21" s="312">
        <v>3.8150000000000003E-2</v>
      </c>
      <c r="N21" s="312">
        <v>0.90800000000000003</v>
      </c>
      <c r="O21" s="311">
        <f t="shared" si="4"/>
        <v>49.616834685751272</v>
      </c>
      <c r="P21" s="311">
        <f t="shared" si="5"/>
        <v>164.82355712197892</v>
      </c>
      <c r="Q21" s="300">
        <v>0.3135</v>
      </c>
      <c r="R21" s="312">
        <v>2.2269999999999999</v>
      </c>
      <c r="S21" s="312">
        <v>0.77880000000000005</v>
      </c>
      <c r="T21" s="311">
        <f t="shared" si="6"/>
        <v>2.2109957912597937</v>
      </c>
      <c r="U21" s="311">
        <f t="shared" si="7"/>
        <v>7.3447690366636236</v>
      </c>
      <c r="V21" s="312">
        <v>4.1430000000000002E-2</v>
      </c>
      <c r="W21" s="312">
        <v>8.7510000000000004E-2</v>
      </c>
      <c r="X21" s="312">
        <v>1.014</v>
      </c>
      <c r="Y21" s="311">
        <f t="shared" si="8"/>
        <v>16.730561925173674</v>
      </c>
      <c r="Z21" s="311">
        <f t="shared" si="9"/>
        <v>55.577723702487233</v>
      </c>
      <c r="AA21" s="312">
        <v>7.0499999999999998E-3</v>
      </c>
      <c r="AB21" s="312">
        <v>6.1990000000000005E-4</v>
      </c>
      <c r="AC21" s="312">
        <v>1.365</v>
      </c>
      <c r="AD21" s="311">
        <f t="shared" si="10"/>
        <v>98.318749015595074</v>
      </c>
      <c r="AE21" s="311">
        <f t="shared" si="11"/>
        <v>326.60781460908453</v>
      </c>
      <c r="AF21" s="304">
        <f t="shared" si="12"/>
        <v>5.1721629999999994</v>
      </c>
    </row>
    <row r="22" spans="1:32" x14ac:dyDescent="0.2">
      <c r="A22" s="310">
        <v>110</v>
      </c>
      <c r="B22" s="312">
        <v>2.2959999999999998</v>
      </c>
      <c r="C22" s="312">
        <v>11.7</v>
      </c>
      <c r="D22" s="312">
        <v>0.68269999999999997</v>
      </c>
      <c r="E22" s="311">
        <f t="shared" si="0"/>
        <v>0.301893371324018</v>
      </c>
      <c r="F22" s="311">
        <f t="shared" si="1"/>
        <v>1.0028680718615182</v>
      </c>
      <c r="G22" s="312">
        <v>3.7150000000000002E-2</v>
      </c>
      <c r="H22" s="312">
        <v>7.4359999999999996E-2</v>
      </c>
      <c r="I22" s="312">
        <v>0.47520000000000001</v>
      </c>
      <c r="J22" s="311">
        <f t="shared" si="2"/>
        <v>18.658066771465553</v>
      </c>
      <c r="K22" s="311">
        <f t="shared" si="3"/>
        <v>61.980756204415769</v>
      </c>
      <c r="L22" s="312">
        <v>1.336E-2</v>
      </c>
      <c r="M22" s="312">
        <v>3.5209999999999998E-2</v>
      </c>
      <c r="N22" s="312">
        <v>0.9244</v>
      </c>
      <c r="O22" s="311">
        <f t="shared" si="4"/>
        <v>51.882273994007882</v>
      </c>
      <c r="P22" s="311">
        <f t="shared" si="5"/>
        <v>172.34918360733877</v>
      </c>
      <c r="Q22" s="300">
        <v>0.28489999999999999</v>
      </c>
      <c r="R22" s="312">
        <v>2.0609999999999999</v>
      </c>
      <c r="S22" s="312">
        <v>0.78969999999999996</v>
      </c>
      <c r="T22" s="311">
        <f t="shared" si="6"/>
        <v>2.4329490367144446</v>
      </c>
      <c r="U22" s="311">
        <f t="shared" si="7"/>
        <v>8.08208175849086</v>
      </c>
      <c r="V22" s="312">
        <v>4.0079999999999998E-2</v>
      </c>
      <c r="W22" s="312">
        <v>8.047E-2</v>
      </c>
      <c r="X22" s="312">
        <v>1.03</v>
      </c>
      <c r="Y22" s="311">
        <f t="shared" si="8"/>
        <v>17.294091331335963</v>
      </c>
      <c r="Z22" s="311">
        <f t="shared" si="9"/>
        <v>57.449727869112927</v>
      </c>
      <c r="AA22" s="312">
        <v>6.9210000000000001E-3</v>
      </c>
      <c r="AB22" s="312">
        <v>1.9760000000000001E-4</v>
      </c>
      <c r="AC22" s="312">
        <v>3.3090000000000002</v>
      </c>
      <c r="AD22" s="311">
        <f t="shared" si="10"/>
        <v>100.15130480565601</v>
      </c>
      <c r="AE22" s="311">
        <f t="shared" si="11"/>
        <v>332.69543317353646</v>
      </c>
      <c r="AF22" s="304">
        <f t="shared" si="12"/>
        <v>5.6642840000000003</v>
      </c>
    </row>
    <row r="23" spans="1:32" x14ac:dyDescent="0.2">
      <c r="A23" s="310">
        <v>115</v>
      </c>
      <c r="B23" s="312">
        <v>2.2650000000000001</v>
      </c>
      <c r="C23" s="312">
        <v>10.210000000000001</v>
      </c>
      <c r="D23" s="312">
        <v>0.63629999999999998</v>
      </c>
      <c r="E23" s="311">
        <f t="shared" si="0"/>
        <v>0.30602524528032904</v>
      </c>
      <c r="F23" s="311">
        <f t="shared" si="1"/>
        <v>1.0165938600415214</v>
      </c>
      <c r="G23" s="312">
        <v>3.6360000000000003E-2</v>
      </c>
      <c r="H23" s="312">
        <v>7.2010000000000005E-2</v>
      </c>
      <c r="I23" s="312">
        <v>0.53190000000000004</v>
      </c>
      <c r="J23" s="311">
        <f t="shared" si="2"/>
        <v>19.063453810779571</v>
      </c>
      <c r="K23" s="311">
        <f t="shared" si="3"/>
        <v>63.327422799616215</v>
      </c>
      <c r="L23" s="312">
        <v>1.2829999999999999E-2</v>
      </c>
      <c r="M23" s="312">
        <v>6.2710000000000002E-2</v>
      </c>
      <c r="N23" s="312">
        <v>0.94230000000000003</v>
      </c>
      <c r="O23" s="311">
        <f t="shared" si="4"/>
        <v>54.025501212778281</v>
      </c>
      <c r="P23" s="311">
        <f t="shared" si="5"/>
        <v>179.46883031909945</v>
      </c>
      <c r="Q23" s="300">
        <v>0.25790000000000002</v>
      </c>
      <c r="R23" s="312">
        <v>1.9219999999999999</v>
      </c>
      <c r="S23" s="312">
        <v>0.80079999999999996</v>
      </c>
      <c r="T23" s="311">
        <f t="shared" si="6"/>
        <v>2.6876587070955611</v>
      </c>
      <c r="U23" s="311">
        <f t="shared" si="7"/>
        <v>8.9282089685693897</v>
      </c>
      <c r="V23" s="312">
        <v>3.8780000000000002E-2</v>
      </c>
      <c r="W23" s="312">
        <v>7.3940000000000006E-2</v>
      </c>
      <c r="X23" s="312">
        <v>1.0329999999999999</v>
      </c>
      <c r="Y23" s="311">
        <f t="shared" si="8"/>
        <v>17.873831370808283</v>
      </c>
      <c r="Z23" s="311">
        <f t="shared" si="9"/>
        <v>59.375582593967138</v>
      </c>
      <c r="AA23" s="312">
        <v>6.8640000000000003E-3</v>
      </c>
      <c r="AB23" s="312">
        <v>-3.9080000000000001E-4</v>
      </c>
      <c r="AC23" s="312">
        <v>0.64690000000000003</v>
      </c>
      <c r="AD23" s="311">
        <f t="shared" si="10"/>
        <v>100.98298085080788</v>
      </c>
      <c r="AE23" s="311">
        <f t="shared" si="11"/>
        <v>335.45820119377123</v>
      </c>
      <c r="AF23" s="304">
        <f t="shared" si="12"/>
        <v>6.1660109999999984</v>
      </c>
    </row>
    <row r="24" spans="1:32" x14ac:dyDescent="0.2">
      <c r="A24" s="310">
        <v>120</v>
      </c>
      <c r="B24" s="312">
        <v>2.246</v>
      </c>
      <c r="C24" s="312">
        <v>8.9499999999999993</v>
      </c>
      <c r="D24" s="312">
        <v>0.58730000000000004</v>
      </c>
      <c r="E24" s="311">
        <f t="shared" si="0"/>
        <v>0.30861406080140041</v>
      </c>
      <c r="F24" s="311">
        <f t="shared" si="1"/>
        <v>1.0251937190534488</v>
      </c>
      <c r="G24" s="312">
        <v>3.5659999999999997E-2</v>
      </c>
      <c r="H24" s="312">
        <v>7.109E-2</v>
      </c>
      <c r="I24" s="312">
        <v>0.60729999999999995</v>
      </c>
      <c r="J24" s="311">
        <f t="shared" si="2"/>
        <v>19.437666308467339</v>
      </c>
      <c r="K24" s="311">
        <f t="shared" si="3"/>
        <v>64.570529809143181</v>
      </c>
      <c r="L24" s="312">
        <v>1.235E-2</v>
      </c>
      <c r="M24" s="312">
        <v>3.0470000000000001E-2</v>
      </c>
      <c r="N24" s="312">
        <v>0.95660000000000001</v>
      </c>
      <c r="O24" s="311">
        <f t="shared" si="4"/>
        <v>56.125277778133224</v>
      </c>
      <c r="P24" s="311">
        <f t="shared" si="5"/>
        <v>186.44413708453814</v>
      </c>
      <c r="Q24" s="300">
        <v>0.2336</v>
      </c>
      <c r="R24" s="312">
        <v>1.7969999999999999</v>
      </c>
      <c r="S24" s="312">
        <v>0.81159999999999999</v>
      </c>
      <c r="T24" s="311">
        <f t="shared" si="6"/>
        <v>2.9672396428079848</v>
      </c>
      <c r="U24" s="311">
        <f t="shared" si="7"/>
        <v>9.8569567337073867</v>
      </c>
      <c r="V24" s="312">
        <v>3.7580000000000002E-2</v>
      </c>
      <c r="W24" s="312">
        <v>6.8080000000000002E-2</v>
      </c>
      <c r="X24" s="312">
        <v>1.0309999999999999</v>
      </c>
      <c r="Y24" s="311">
        <f t="shared" si="8"/>
        <v>18.44457638530988</v>
      </c>
      <c r="Z24" s="311">
        <f t="shared" si="9"/>
        <v>61.271556492656885</v>
      </c>
      <c r="AA24" s="312">
        <v>6.7260000000000002E-3</v>
      </c>
      <c r="AB24" s="312">
        <v>-8.3080000000000003E-4</v>
      </c>
      <c r="AC24" s="312">
        <v>1.006</v>
      </c>
      <c r="AD24" s="311">
        <f t="shared" si="10"/>
        <v>103.05488857566834</v>
      </c>
      <c r="AE24" s="311">
        <f t="shared" si="11"/>
        <v>342.34092967499936</v>
      </c>
      <c r="AF24" s="304">
        <f t="shared" si="12"/>
        <v>6.6749920000000014</v>
      </c>
    </row>
    <row r="25" spans="1:32" x14ac:dyDescent="0.2">
      <c r="A25" s="310">
        <v>125</v>
      </c>
      <c r="B25" s="312">
        <v>2.2189999999999999</v>
      </c>
      <c r="C25" s="312">
        <v>7.923</v>
      </c>
      <c r="D25" s="312">
        <v>0.53859999999999997</v>
      </c>
      <c r="E25" s="311">
        <f t="shared" si="0"/>
        <v>0.31236916654346342</v>
      </c>
      <c r="F25" s="311">
        <f t="shared" si="1"/>
        <v>1.0376679103172808</v>
      </c>
      <c r="G25" s="312">
        <v>3.5020000000000003E-2</v>
      </c>
      <c r="H25" s="312">
        <v>7.1129999999999999E-2</v>
      </c>
      <c r="I25" s="312">
        <v>0.69740000000000002</v>
      </c>
      <c r="J25" s="311">
        <f t="shared" si="2"/>
        <v>19.792894933179475</v>
      </c>
      <c r="K25" s="311">
        <f t="shared" si="3"/>
        <v>65.750573757682631</v>
      </c>
      <c r="L25" s="312">
        <v>1.192E-2</v>
      </c>
      <c r="M25" s="312">
        <v>2.8629999999999999E-2</v>
      </c>
      <c r="N25" s="312">
        <v>0.96840000000000004</v>
      </c>
      <c r="O25" s="311">
        <f t="shared" si="4"/>
        <v>58.149931255028967</v>
      </c>
      <c r="P25" s="311">
        <f t="shared" si="5"/>
        <v>193.16989035184949</v>
      </c>
      <c r="Q25" s="300">
        <v>0.21299999999999999</v>
      </c>
      <c r="R25" s="312">
        <v>1.677</v>
      </c>
      <c r="S25" s="312">
        <v>0.82169999999999999</v>
      </c>
      <c r="T25" s="311">
        <f t="shared" si="6"/>
        <v>3.2542121153049077</v>
      </c>
      <c r="U25" s="311">
        <f t="shared" si="7"/>
        <v>10.810258652554207</v>
      </c>
      <c r="V25" s="312">
        <v>3.6519999999999997E-2</v>
      </c>
      <c r="W25" s="312">
        <v>6.3039999999999999E-2</v>
      </c>
      <c r="X25" s="312">
        <v>1.0309999999999999</v>
      </c>
      <c r="Y25" s="311">
        <f t="shared" si="8"/>
        <v>18.979933750272327</v>
      </c>
      <c r="Z25" s="311">
        <f t="shared" si="9"/>
        <v>63.049975164130508</v>
      </c>
      <c r="AA25" s="312">
        <v>6.5839999999999996E-3</v>
      </c>
      <c r="AB25" s="312">
        <v>-1.214E-3</v>
      </c>
      <c r="AC25" s="312">
        <v>1.1919999999999999</v>
      </c>
      <c r="AD25" s="311">
        <f t="shared" si="10"/>
        <v>105.27751831104881</v>
      </c>
      <c r="AE25" s="311">
        <f t="shared" si="11"/>
        <v>349.7243458374918</v>
      </c>
      <c r="AF25" s="304">
        <f t="shared" si="12"/>
        <v>7.1888749999999995</v>
      </c>
    </row>
    <row r="26" spans="1:32" x14ac:dyDescent="0.2">
      <c r="A26" s="310">
        <v>130</v>
      </c>
      <c r="B26" s="312">
        <v>2.17</v>
      </c>
      <c r="C26" s="312">
        <v>7.0940000000000003</v>
      </c>
      <c r="D26" s="312">
        <v>0.4909</v>
      </c>
      <c r="E26" s="311">
        <f t="shared" si="0"/>
        <v>0.31942266385250934</v>
      </c>
      <c r="F26" s="311">
        <f t="shared" si="1"/>
        <v>1.0610991211954128</v>
      </c>
      <c r="G26" s="312">
        <v>3.4450000000000001E-2</v>
      </c>
      <c r="H26" s="312">
        <v>7.1599999999999997E-2</v>
      </c>
      <c r="I26" s="312">
        <v>0.79690000000000005</v>
      </c>
      <c r="J26" s="311">
        <f t="shared" si="2"/>
        <v>20.120382599708137</v>
      </c>
      <c r="K26" s="311">
        <f t="shared" si="3"/>
        <v>66.838464237853287</v>
      </c>
      <c r="L26" s="312">
        <v>1.155E-2</v>
      </c>
      <c r="M26" s="312">
        <v>2.7019999999999999E-2</v>
      </c>
      <c r="N26" s="312">
        <v>0.98019999999999996</v>
      </c>
      <c r="O26" s="311">
        <f t="shared" si="4"/>
        <v>60.012742905622972</v>
      </c>
      <c r="P26" s="311">
        <f t="shared" si="5"/>
        <v>199.35801670944122</v>
      </c>
      <c r="Q26" s="300">
        <v>0.19689999999999999</v>
      </c>
      <c r="R26" s="312">
        <v>1.5569999999999999</v>
      </c>
      <c r="S26" s="312">
        <v>0.83089999999999997</v>
      </c>
      <c r="T26" s="311">
        <f t="shared" si="6"/>
        <v>3.5203005615030234</v>
      </c>
      <c r="U26" s="311">
        <f t="shared" si="7"/>
        <v>11.694185337704651</v>
      </c>
      <c r="V26" s="312">
        <v>3.5610000000000003E-2</v>
      </c>
      <c r="W26" s="312">
        <v>5.8740000000000001E-2</v>
      </c>
      <c r="X26" s="312">
        <v>1.0369999999999999</v>
      </c>
      <c r="Y26" s="311">
        <f t="shared" si="8"/>
        <v>19.464958735185206</v>
      </c>
      <c r="Z26" s="311">
        <f t="shared" si="9"/>
        <v>64.661193288234927</v>
      </c>
      <c r="AA26" s="312">
        <v>6.4720000000000003E-3</v>
      </c>
      <c r="AB26" s="312">
        <v>-1.539E-3</v>
      </c>
      <c r="AC26" s="312">
        <v>1.2849999999999999</v>
      </c>
      <c r="AD26" s="311">
        <f t="shared" si="10"/>
        <v>107.09937894931169</v>
      </c>
      <c r="AE26" s="311">
        <f t="shared" si="11"/>
        <v>355.77643587670667</v>
      </c>
      <c r="AF26" s="304">
        <f t="shared" si="12"/>
        <v>7.7053080000000005</v>
      </c>
    </row>
    <row r="27" spans="1:32" x14ac:dyDescent="0.2">
      <c r="A27" s="310">
        <v>135</v>
      </c>
      <c r="B27" s="312">
        <v>2.1019999999999999</v>
      </c>
      <c r="C27" s="312">
        <v>6.45</v>
      </c>
      <c r="D27" s="312">
        <v>0.44690000000000002</v>
      </c>
      <c r="E27" s="311">
        <f t="shared" si="0"/>
        <v>0.32975603261652964</v>
      </c>
      <c r="F27" s="311">
        <f t="shared" si="1"/>
        <v>1.0954258292074432</v>
      </c>
      <c r="G27" s="312">
        <v>3.3939999999999998E-2</v>
      </c>
      <c r="H27" s="312">
        <v>7.263E-2</v>
      </c>
      <c r="I27" s="312">
        <v>0.90990000000000004</v>
      </c>
      <c r="J27" s="311">
        <f t="shared" si="2"/>
        <v>20.4227218786077</v>
      </c>
      <c r="K27" s="311">
        <f t="shared" si="3"/>
        <v>67.842813582617737</v>
      </c>
      <c r="L27" s="312">
        <v>1.1220000000000001E-2</v>
      </c>
      <c r="M27" s="312">
        <v>2.5610000000000001E-2</v>
      </c>
      <c r="N27" s="312">
        <v>0.99009999999999998</v>
      </c>
      <c r="O27" s="311">
        <f t="shared" si="4"/>
        <v>61.777823579317754</v>
      </c>
      <c r="P27" s="311">
        <f t="shared" si="5"/>
        <v>205.22148778913061</v>
      </c>
      <c r="Q27" s="300">
        <v>0.18379999999999999</v>
      </c>
      <c r="R27" s="312">
        <v>1.44</v>
      </c>
      <c r="S27" s="312">
        <v>0.83909999999999996</v>
      </c>
      <c r="T27" s="311">
        <f t="shared" si="6"/>
        <v>3.7712033762782662</v>
      </c>
      <c r="U27" s="311">
        <f t="shared" si="7"/>
        <v>12.52766644719285</v>
      </c>
      <c r="V27" s="312">
        <v>3.4810000000000001E-2</v>
      </c>
      <c r="W27" s="312">
        <v>5.5190000000000003E-2</v>
      </c>
      <c r="X27" s="312">
        <v>1.0489999999999999</v>
      </c>
      <c r="Y27" s="311">
        <f t="shared" si="8"/>
        <v>19.912300504451171</v>
      </c>
      <c r="Z27" s="311">
        <f t="shared" si="9"/>
        <v>66.147230479576152</v>
      </c>
      <c r="AA27" s="312">
        <v>6.306E-3</v>
      </c>
      <c r="AB27" s="312">
        <v>-1.7309999999999999E-3</v>
      </c>
      <c r="AC27" s="312">
        <v>1.4650000000000001</v>
      </c>
      <c r="AD27" s="311">
        <f t="shared" si="10"/>
        <v>109.91867753884321</v>
      </c>
      <c r="AE27" s="311">
        <f t="shared" si="11"/>
        <v>365.14194306914777</v>
      </c>
      <c r="AF27" s="304">
        <f t="shared" si="12"/>
        <v>8.221938999999999</v>
      </c>
    </row>
    <row r="28" spans="1:32" x14ac:dyDescent="0.2">
      <c r="A28" s="310">
        <v>140</v>
      </c>
      <c r="B28" s="312">
        <v>2.0089999999999999</v>
      </c>
      <c r="C28" s="312">
        <v>5.9160000000000004</v>
      </c>
      <c r="D28" s="312">
        <v>0.40179999999999999</v>
      </c>
      <c r="E28" s="311">
        <f t="shared" si="0"/>
        <v>0.34502099579887774</v>
      </c>
      <c r="F28" s="311">
        <f t="shared" si="1"/>
        <v>1.1461349392703066</v>
      </c>
      <c r="G28" s="312">
        <v>3.3450000000000001E-2</v>
      </c>
      <c r="H28" s="312">
        <v>7.4759999999999993E-2</v>
      </c>
      <c r="I28" s="312">
        <v>1.0469999999999999</v>
      </c>
      <c r="J28" s="311">
        <f t="shared" si="2"/>
        <v>20.721888805977436</v>
      </c>
      <c r="K28" s="311">
        <f t="shared" si="3"/>
        <v>68.836624603708387</v>
      </c>
      <c r="L28" s="312">
        <v>1.0880000000000001E-2</v>
      </c>
      <c r="M28" s="312">
        <v>2.436E-2</v>
      </c>
      <c r="N28" s="312">
        <v>0.99639999999999995</v>
      </c>
      <c r="O28" s="311">
        <f t="shared" si="4"/>
        <v>63.708380566171435</v>
      </c>
      <c r="P28" s="311">
        <f t="shared" si="5"/>
        <v>211.63465928254095</v>
      </c>
      <c r="Q28" s="300">
        <v>0.1724</v>
      </c>
      <c r="R28" s="312">
        <v>1.3280000000000001</v>
      </c>
      <c r="S28" s="312">
        <v>0.8458</v>
      </c>
      <c r="T28" s="311">
        <f t="shared" si="6"/>
        <v>4.0205752932711443</v>
      </c>
      <c r="U28" s="311">
        <f t="shared" si="7"/>
        <v>13.356062024327411</v>
      </c>
      <c r="V28" s="312">
        <v>3.4070000000000003E-2</v>
      </c>
      <c r="W28" s="312">
        <v>5.1450000000000003E-2</v>
      </c>
      <c r="X28" s="312">
        <v>1.0569999999999999</v>
      </c>
      <c r="Y28" s="311">
        <f t="shared" si="8"/>
        <v>20.344795437626804</v>
      </c>
      <c r="Z28" s="311">
        <f t="shared" si="9"/>
        <v>67.583947548988718</v>
      </c>
      <c r="AA28" s="312">
        <v>6.1910000000000003E-3</v>
      </c>
      <c r="AB28" s="312">
        <v>-1.8489999999999999E-3</v>
      </c>
      <c r="AC28" s="312">
        <v>1.53</v>
      </c>
      <c r="AD28" s="311">
        <f t="shared" si="10"/>
        <v>111.96045559036428</v>
      </c>
      <c r="AE28" s="311">
        <f t="shared" si="11"/>
        <v>371.92458294201998</v>
      </c>
      <c r="AF28" s="304">
        <f t="shared" si="12"/>
        <v>8.7364160000000002</v>
      </c>
    </row>
    <row r="29" spans="1:32" x14ac:dyDescent="0.2">
      <c r="A29" s="310">
        <v>145</v>
      </c>
      <c r="B29" s="312">
        <v>1.895</v>
      </c>
      <c r="C29" s="312">
        <v>5.4980000000000002</v>
      </c>
      <c r="D29" s="312">
        <v>0.35799999999999998</v>
      </c>
      <c r="E29" s="311">
        <f t="shared" si="0"/>
        <v>0.36577687628493155</v>
      </c>
      <c r="F29" s="311">
        <f t="shared" si="1"/>
        <v>1.2150844817910531</v>
      </c>
      <c r="G29" s="312">
        <v>3.2960000000000003E-2</v>
      </c>
      <c r="H29" s="312">
        <v>7.8750000000000001E-2</v>
      </c>
      <c r="I29" s="312">
        <v>1.224</v>
      </c>
      <c r="J29" s="311">
        <f t="shared" si="2"/>
        <v>21.029950866503192</v>
      </c>
      <c r="K29" s="311">
        <f t="shared" si="3"/>
        <v>69.859984617537791</v>
      </c>
      <c r="L29" s="312">
        <v>1.056E-2</v>
      </c>
      <c r="M29" s="312">
        <v>2.3130000000000001E-2</v>
      </c>
      <c r="N29" s="312">
        <v>0.99870000000000003</v>
      </c>
      <c r="O29" s="311">
        <f t="shared" si="4"/>
        <v>65.638937553025116</v>
      </c>
      <c r="P29" s="311">
        <f t="shared" si="5"/>
        <v>218.0478307759513</v>
      </c>
      <c r="Q29" s="300">
        <v>0.16159999999999999</v>
      </c>
      <c r="R29" s="312">
        <v>1.2250000000000001</v>
      </c>
      <c r="S29" s="312">
        <v>0.85189999999999999</v>
      </c>
      <c r="T29" s="311">
        <f t="shared" si="6"/>
        <v>4.2892771074254039</v>
      </c>
      <c r="U29" s="311">
        <f t="shared" si="7"/>
        <v>14.24867012991365</v>
      </c>
      <c r="V29" s="312">
        <v>3.3360000000000001E-2</v>
      </c>
      <c r="W29" s="312">
        <v>4.795E-2</v>
      </c>
      <c r="X29" s="312">
        <v>1.0629999999999999</v>
      </c>
      <c r="Y29" s="311">
        <f t="shared" si="8"/>
        <v>20.777793182252555</v>
      </c>
      <c r="Z29" s="311">
        <f t="shared" si="9"/>
        <v>69.022334921883868</v>
      </c>
      <c r="AA29" s="312">
        <v>6.1149999999999998E-3</v>
      </c>
      <c r="AB29" s="312">
        <v>-1.869E-3</v>
      </c>
      <c r="AC29" s="312">
        <v>1.498</v>
      </c>
      <c r="AD29" s="311">
        <f t="shared" si="10"/>
        <v>113.35195103187985</v>
      </c>
      <c r="AE29" s="311">
        <f t="shared" si="11"/>
        <v>376.54703074309822</v>
      </c>
      <c r="AF29" s="304">
        <f t="shared" si="12"/>
        <v>9.2463870000000004</v>
      </c>
    </row>
    <row r="30" spans="1:32" x14ac:dyDescent="0.2">
      <c r="A30" s="310">
        <v>150</v>
      </c>
      <c r="B30" s="312">
        <v>1.7569999999999999</v>
      </c>
      <c r="C30" s="312">
        <v>5.1769999999999996</v>
      </c>
      <c r="D30" s="312">
        <v>0.31559999999999999</v>
      </c>
      <c r="E30" s="311">
        <f t="shared" si="0"/>
        <v>0.39450607886166494</v>
      </c>
      <c r="F30" s="311">
        <f t="shared" si="1"/>
        <v>1.3105208269744142</v>
      </c>
      <c r="G30" s="312">
        <v>3.243E-2</v>
      </c>
      <c r="H30" s="312">
        <v>8.5989999999999997E-2</v>
      </c>
      <c r="I30" s="312">
        <v>1.4670000000000001</v>
      </c>
      <c r="J30" s="311">
        <f t="shared" si="2"/>
        <v>21.373641090346755</v>
      </c>
      <c r="K30" s="311">
        <f t="shared" si="3"/>
        <v>71.001698828061848</v>
      </c>
      <c r="L30" s="312">
        <v>1.03E-2</v>
      </c>
      <c r="M30" s="312">
        <v>2.198E-2</v>
      </c>
      <c r="N30" s="312">
        <v>1.0129999999999999</v>
      </c>
      <c r="O30" s="311">
        <f t="shared" si="4"/>
        <v>67.295842772810218</v>
      </c>
      <c r="P30" s="311">
        <f t="shared" si="5"/>
        <v>223.55195077612095</v>
      </c>
      <c r="Q30" s="300">
        <v>0.15010000000000001</v>
      </c>
      <c r="R30" s="312">
        <v>1.1319999999999999</v>
      </c>
      <c r="S30" s="312">
        <v>0.85660000000000003</v>
      </c>
      <c r="T30" s="311">
        <f t="shared" si="6"/>
        <v>4.6179026019983027</v>
      </c>
      <c r="U30" s="311">
        <f t="shared" si="7"/>
        <v>15.340340393031617</v>
      </c>
      <c r="V30" s="312">
        <v>3.2660000000000002E-2</v>
      </c>
      <c r="W30" s="312">
        <v>4.4909999999999999E-2</v>
      </c>
      <c r="X30" s="312">
        <v>1.073</v>
      </c>
      <c r="Y30" s="311">
        <f t="shared" si="8"/>
        <v>21.223122491118961</v>
      </c>
      <c r="Z30" s="311">
        <f t="shared" si="9"/>
        <v>70.501686864483943</v>
      </c>
      <c r="AA30" s="312">
        <v>6.0200000000000002E-3</v>
      </c>
      <c r="AB30" s="312">
        <v>-1.7520000000000001E-3</v>
      </c>
      <c r="AC30" s="312">
        <v>1.4830000000000001</v>
      </c>
      <c r="AD30" s="311">
        <f t="shared" si="10"/>
        <v>115.14072766776499</v>
      </c>
      <c r="AE30" s="311">
        <f t="shared" si="11"/>
        <v>382.48921810532318</v>
      </c>
      <c r="AF30" s="304">
        <f t="shared" si="12"/>
        <v>9.7495000000000012</v>
      </c>
    </row>
    <row r="31" spans="1:32" x14ac:dyDescent="0.2">
      <c r="A31" s="313"/>
      <c r="B31" s="314"/>
      <c r="C31" s="314"/>
      <c r="D31" s="314"/>
      <c r="E31" s="314"/>
      <c r="F31" s="315"/>
      <c r="G31" s="314"/>
      <c r="H31" s="314"/>
      <c r="I31" s="314"/>
      <c r="J31" s="314"/>
      <c r="K31" s="315"/>
      <c r="L31" s="314"/>
      <c r="M31" s="314"/>
      <c r="N31" s="314"/>
      <c r="O31" s="314"/>
      <c r="P31" s="315"/>
      <c r="Q31" s="316"/>
      <c r="R31" s="314"/>
      <c r="S31" s="314"/>
      <c r="T31" s="314"/>
      <c r="U31" s="315"/>
      <c r="V31" s="314"/>
      <c r="W31" s="314"/>
      <c r="X31" s="314"/>
      <c r="Y31" s="314"/>
      <c r="Z31" s="315"/>
      <c r="AA31" s="314"/>
      <c r="AB31" s="314"/>
      <c r="AC31" s="314"/>
      <c r="AD31" s="314"/>
      <c r="AE31" s="315"/>
      <c r="AF31" s="317"/>
    </row>
  </sheetData>
  <mergeCells count="8">
    <mergeCell ref="A1:P1"/>
    <mergeCell ref="Q1:AF1"/>
    <mergeCell ref="B3:D3"/>
    <mergeCell ref="G3:I3"/>
    <mergeCell ref="L3:N3"/>
    <mergeCell ref="Q3:S3"/>
    <mergeCell ref="V3:X3"/>
    <mergeCell ref="AA3:AC3"/>
  </mergeCells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zoomScaleNormal="100" workbookViewId="0">
      <selection activeCell="B9" sqref="B9"/>
    </sheetView>
  </sheetViews>
  <sheetFormatPr defaultColWidth="8.6640625" defaultRowHeight="12.75" x14ac:dyDescent="0.2"/>
  <cols>
    <col min="1" max="1" width="65.5" customWidth="1"/>
    <col min="2" max="2" width="15.1640625" customWidth="1"/>
  </cols>
  <sheetData>
    <row r="1" spans="1:2" x14ac:dyDescent="0.2">
      <c r="A1" s="318" t="s">
        <v>332</v>
      </c>
    </row>
    <row r="3" spans="1:2" x14ac:dyDescent="0.2">
      <c r="A3" t="s">
        <v>231</v>
      </c>
      <c r="B3" t="s">
        <v>333</v>
      </c>
    </row>
    <row r="4" spans="1:2" ht="51" x14ac:dyDescent="0.2">
      <c r="A4" s="319" t="s">
        <v>334</v>
      </c>
      <c r="B4">
        <v>1</v>
      </c>
    </row>
    <row r="5" spans="1:2" x14ac:dyDescent="0.2">
      <c r="A5" s="319" t="s">
        <v>335</v>
      </c>
      <c r="B5">
        <v>0.5</v>
      </c>
    </row>
    <row r="6" spans="1:2" x14ac:dyDescent="0.2">
      <c r="A6" s="319" t="s">
        <v>336</v>
      </c>
      <c r="B6">
        <v>0.2</v>
      </c>
    </row>
    <row r="7" spans="1:2" x14ac:dyDescent="0.2">
      <c r="A7" s="319" t="s">
        <v>337</v>
      </c>
      <c r="B7">
        <v>0.125</v>
      </c>
    </row>
    <row r="8" spans="1:2" ht="25.5" x14ac:dyDescent="0.2">
      <c r="A8" s="319" t="s">
        <v>338</v>
      </c>
      <c r="B8">
        <v>0.05</v>
      </c>
    </row>
    <row r="9" spans="1:2" ht="38.25" x14ac:dyDescent="0.2">
      <c r="A9" s="319" t="s">
        <v>339</v>
      </c>
      <c r="B9">
        <v>2.5000000000000001E-2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"/>
  <sheetViews>
    <sheetView zoomScaleNormal="100" workbookViewId="0"/>
  </sheetViews>
  <sheetFormatPr defaultColWidth="8.6640625" defaultRowHeight="12.75" x14ac:dyDescent="0.2"/>
  <cols>
    <col min="1" max="1" width="13.5" customWidth="1"/>
  </cols>
  <sheetData>
    <row r="1" spans="1:10" x14ac:dyDescent="0.2">
      <c r="A1" s="318" t="s">
        <v>340</v>
      </c>
    </row>
    <row r="3" spans="1:10" x14ac:dyDescent="0.2">
      <c r="B3" s="330" t="s">
        <v>341</v>
      </c>
      <c r="C3" s="330"/>
      <c r="D3" s="330"/>
      <c r="E3" s="330" t="s">
        <v>342</v>
      </c>
      <c r="F3" s="330"/>
      <c r="G3" s="330"/>
    </row>
    <row r="4" spans="1:10" ht="45" customHeight="1" x14ac:dyDescent="0.2">
      <c r="A4" s="320" t="s">
        <v>37</v>
      </c>
      <c r="B4" s="320" t="s">
        <v>343</v>
      </c>
      <c r="C4" s="320" t="s">
        <v>344</v>
      </c>
      <c r="D4" s="320" t="s">
        <v>345</v>
      </c>
      <c r="E4" s="320" t="s">
        <v>346</v>
      </c>
      <c r="F4" s="320" t="s">
        <v>347</v>
      </c>
      <c r="G4" s="320" t="s">
        <v>348</v>
      </c>
      <c r="H4" s="320" t="s">
        <v>349</v>
      </c>
      <c r="I4" s="320" t="s">
        <v>350</v>
      </c>
      <c r="J4" s="320" t="s">
        <v>351</v>
      </c>
    </row>
    <row r="5" spans="1:10" x14ac:dyDescent="0.2">
      <c r="A5">
        <v>25</v>
      </c>
      <c r="B5" s="321">
        <v>0</v>
      </c>
      <c r="C5" s="321">
        <v>0</v>
      </c>
      <c r="D5" s="321">
        <v>0</v>
      </c>
      <c r="E5" s="321">
        <v>0</v>
      </c>
      <c r="F5" s="321">
        <v>0</v>
      </c>
      <c r="G5" s="321">
        <v>0</v>
      </c>
      <c r="H5" s="321">
        <v>0.92500000000000004</v>
      </c>
      <c r="I5" s="321">
        <v>0</v>
      </c>
      <c r="J5" s="321">
        <v>0</v>
      </c>
    </row>
    <row r="6" spans="1:10" x14ac:dyDescent="0.2">
      <c r="A6">
        <v>30</v>
      </c>
      <c r="B6" s="321">
        <v>0</v>
      </c>
      <c r="C6" s="321">
        <v>0</v>
      </c>
      <c r="D6" s="321">
        <v>0</v>
      </c>
      <c r="E6" s="321">
        <v>0</v>
      </c>
      <c r="F6" s="321">
        <v>0</v>
      </c>
      <c r="G6" s="321">
        <v>0</v>
      </c>
      <c r="H6" s="321">
        <v>4.67</v>
      </c>
      <c r="I6" s="321">
        <v>0</v>
      </c>
      <c r="J6" s="321">
        <v>0</v>
      </c>
    </row>
    <row r="7" spans="1:10" x14ac:dyDescent="0.2">
      <c r="A7">
        <v>35</v>
      </c>
      <c r="B7" s="321">
        <v>0</v>
      </c>
      <c r="C7" s="321">
        <v>0</v>
      </c>
      <c r="D7" s="321">
        <v>0</v>
      </c>
      <c r="E7" s="321">
        <v>0</v>
      </c>
      <c r="F7" s="321">
        <v>0</v>
      </c>
      <c r="G7" s="321">
        <v>0</v>
      </c>
      <c r="H7" s="321">
        <v>1.1000000000000001</v>
      </c>
      <c r="I7" s="321">
        <v>0</v>
      </c>
      <c r="J7" s="321">
        <v>0</v>
      </c>
    </row>
    <row r="8" spans="1:10" x14ac:dyDescent="0.2">
      <c r="A8">
        <v>40</v>
      </c>
      <c r="B8" s="321">
        <v>1.3799999999999999E-4</v>
      </c>
      <c r="C8" s="321">
        <v>0</v>
      </c>
      <c r="D8" s="321">
        <v>1.3799999999999999E-4</v>
      </c>
      <c r="E8" s="321">
        <v>0</v>
      </c>
      <c r="F8" s="321">
        <v>0</v>
      </c>
      <c r="G8" s="321">
        <v>0</v>
      </c>
      <c r="H8" s="321">
        <v>0</v>
      </c>
      <c r="I8" s="321">
        <v>0</v>
      </c>
      <c r="J8" s="321">
        <v>0</v>
      </c>
    </row>
    <row r="9" spans="1:10" x14ac:dyDescent="0.2">
      <c r="A9">
        <v>45</v>
      </c>
      <c r="B9" s="321">
        <v>7.1000000000000002E-4</v>
      </c>
      <c r="C9" s="321">
        <v>0</v>
      </c>
      <c r="D9" s="321">
        <v>7.1000000000000002E-4</v>
      </c>
      <c r="E9" s="321">
        <v>0</v>
      </c>
      <c r="F9" s="321">
        <v>5.7799999999999995E-4</v>
      </c>
      <c r="G9" s="321">
        <v>0</v>
      </c>
      <c r="H9" s="321">
        <v>0</v>
      </c>
      <c r="I9" s="321">
        <v>0</v>
      </c>
      <c r="J9" s="321">
        <v>0</v>
      </c>
    </row>
    <row r="10" spans="1:10" x14ac:dyDescent="0.2">
      <c r="A10">
        <v>50</v>
      </c>
      <c r="B10" s="321">
        <v>8.4799999999999997E-3</v>
      </c>
      <c r="C10" s="321">
        <v>6.7799999999999996E-3</v>
      </c>
      <c r="D10" s="321">
        <v>1.6999999999999999E-3</v>
      </c>
      <c r="E10" s="321">
        <v>0</v>
      </c>
      <c r="F10" s="321">
        <v>7.6499999999999995E-4</v>
      </c>
      <c r="G10" s="321">
        <v>0</v>
      </c>
      <c r="H10" s="321">
        <v>0</v>
      </c>
      <c r="I10" s="321">
        <v>0.34</v>
      </c>
      <c r="J10" s="321">
        <v>8.9399999999999993E-2</v>
      </c>
    </row>
    <row r="11" spans="1:10" x14ac:dyDescent="0.2">
      <c r="A11">
        <v>55</v>
      </c>
      <c r="B11" s="321">
        <v>1.09E-2</v>
      </c>
      <c r="C11" s="321">
        <v>4.5600000000000003E-4</v>
      </c>
      <c r="D11" s="321">
        <v>1.04E-2</v>
      </c>
      <c r="E11" s="321">
        <v>7.0199999999999999E-2</v>
      </c>
      <c r="F11" s="321">
        <v>7.2599999999999997E-4</v>
      </c>
      <c r="G11" s="321">
        <v>0</v>
      </c>
      <c r="H11" s="321">
        <v>0</v>
      </c>
      <c r="I11" s="321">
        <v>0.42</v>
      </c>
      <c r="J11" s="321">
        <v>3.9800000000000002E-2</v>
      </c>
    </row>
    <row r="12" spans="1:10" x14ac:dyDescent="0.2">
      <c r="A12">
        <v>60</v>
      </c>
      <c r="B12" s="321">
        <v>9.8100000000000007E-2</v>
      </c>
      <c r="C12" s="321">
        <v>8.9599999999999992E-3</v>
      </c>
      <c r="D12" s="321">
        <v>8.9099999999999999E-2</v>
      </c>
      <c r="E12" s="321">
        <v>0.113</v>
      </c>
      <c r="F12" s="321">
        <v>1.52E-2</v>
      </c>
      <c r="G12" s="321">
        <v>0</v>
      </c>
      <c r="H12" s="321">
        <v>0</v>
      </c>
      <c r="I12" s="321">
        <v>1.96</v>
      </c>
      <c r="J12" s="321">
        <v>0.69899999999999995</v>
      </c>
    </row>
    <row r="13" spans="1:10" x14ac:dyDescent="0.2">
      <c r="A13">
        <v>65</v>
      </c>
      <c r="B13" s="321">
        <v>0.104</v>
      </c>
      <c r="C13" s="321">
        <v>3.4200000000000001E-2</v>
      </c>
      <c r="D13" s="321">
        <v>7.0000000000000007E-2</v>
      </c>
      <c r="E13" s="321">
        <v>0.187</v>
      </c>
      <c r="F13" s="321">
        <v>2.52E-2</v>
      </c>
      <c r="G13" s="321">
        <v>0</v>
      </c>
      <c r="H13" s="321">
        <v>0</v>
      </c>
      <c r="I13" s="321">
        <v>4.55</v>
      </c>
      <c r="J13" s="321">
        <v>15</v>
      </c>
    </row>
    <row r="14" spans="1:10" x14ac:dyDescent="0.2">
      <c r="A14">
        <v>70</v>
      </c>
      <c r="B14" s="321">
        <v>0.45800000000000002</v>
      </c>
      <c r="C14" s="321">
        <v>7.2499999999999995E-2</v>
      </c>
      <c r="D14" s="321">
        <v>0.38500000000000001</v>
      </c>
      <c r="E14" s="321">
        <v>0.14499999999999999</v>
      </c>
      <c r="F14" s="321">
        <v>8.8900000000000007E-2</v>
      </c>
      <c r="G14" s="321">
        <v>2.0199999999999999E-2</v>
      </c>
      <c r="H14" s="321">
        <v>0</v>
      </c>
      <c r="I14" s="321">
        <v>6.03</v>
      </c>
      <c r="J14" s="321">
        <v>12.2</v>
      </c>
    </row>
    <row r="15" spans="1:10" x14ac:dyDescent="0.2">
      <c r="A15">
        <v>75</v>
      </c>
      <c r="B15" s="321">
        <v>0.501</v>
      </c>
      <c r="C15" s="321">
        <v>9.5299999999999996E-2</v>
      </c>
      <c r="D15" s="321">
        <v>0.40500000000000003</v>
      </c>
      <c r="E15" s="321">
        <v>0.19400000000000001</v>
      </c>
      <c r="F15" s="321">
        <v>0.224</v>
      </c>
      <c r="G15" s="321">
        <v>2.3600000000000001E-3</v>
      </c>
      <c r="H15" s="321">
        <v>0</v>
      </c>
      <c r="I15" s="321">
        <v>8.02</v>
      </c>
      <c r="J15" s="321">
        <v>15.3</v>
      </c>
    </row>
    <row r="16" spans="1:10" x14ac:dyDescent="0.2">
      <c r="A16">
        <v>80</v>
      </c>
      <c r="B16" s="321">
        <v>0.56000000000000005</v>
      </c>
      <c r="C16" s="321">
        <v>0.14000000000000001</v>
      </c>
      <c r="D16" s="321">
        <v>0.42</v>
      </c>
      <c r="E16" s="321">
        <v>1.72</v>
      </c>
      <c r="F16" s="321">
        <v>0.42799999999999999</v>
      </c>
      <c r="G16" s="321">
        <v>0</v>
      </c>
      <c r="H16" s="321">
        <v>0</v>
      </c>
      <c r="I16" s="321">
        <v>25.4</v>
      </c>
      <c r="J16" s="321">
        <v>11</v>
      </c>
    </row>
    <row r="17" spans="1:10" x14ac:dyDescent="0.2">
      <c r="A17">
        <v>85</v>
      </c>
      <c r="B17" s="321">
        <v>0.315</v>
      </c>
      <c r="C17" s="321">
        <v>6.6199999999999995E-2</v>
      </c>
      <c r="D17" s="321">
        <v>0.249</v>
      </c>
      <c r="E17" s="321">
        <v>2.19</v>
      </c>
      <c r="F17" s="321">
        <v>0.218</v>
      </c>
      <c r="G17" s="321">
        <v>7.8299999999999995E-4</v>
      </c>
      <c r="H17" s="321">
        <v>0</v>
      </c>
      <c r="I17" s="321">
        <v>40.299999999999997</v>
      </c>
      <c r="J17" s="321">
        <v>4.09</v>
      </c>
    </row>
    <row r="18" spans="1:10" x14ac:dyDescent="0.2">
      <c r="A18">
        <v>90</v>
      </c>
      <c r="B18" s="321">
        <v>0.17599999999999999</v>
      </c>
      <c r="C18" s="321">
        <v>1.41E-2</v>
      </c>
      <c r="D18" s="321">
        <v>0.16200000000000001</v>
      </c>
      <c r="E18" s="321">
        <v>1.46</v>
      </c>
      <c r="F18" s="321">
        <v>5.33E-2</v>
      </c>
      <c r="G18" s="321">
        <v>0</v>
      </c>
      <c r="H18" s="321">
        <v>0</v>
      </c>
      <c r="I18" s="321">
        <v>21</v>
      </c>
      <c r="J18" s="321">
        <v>3.43</v>
      </c>
    </row>
    <row r="19" spans="1:10" x14ac:dyDescent="0.2">
      <c r="A19">
        <v>95</v>
      </c>
      <c r="B19" s="321">
        <v>2.18E-2</v>
      </c>
      <c r="C19" s="321">
        <v>3.5100000000000001E-3</v>
      </c>
      <c r="D19" s="321">
        <v>1.8200000000000001E-2</v>
      </c>
      <c r="E19" s="321">
        <v>1.1499999999999999</v>
      </c>
      <c r="F19" s="321">
        <v>4.8899999999999999E-2</v>
      </c>
      <c r="G19" s="321">
        <v>0</v>
      </c>
      <c r="H19" s="321">
        <v>0</v>
      </c>
      <c r="I19" s="321">
        <v>10.6</v>
      </c>
      <c r="J19" s="321">
        <v>0.67300000000000004</v>
      </c>
    </row>
    <row r="20" spans="1:10" x14ac:dyDescent="0.2">
      <c r="A20">
        <v>100</v>
      </c>
      <c r="B20" s="321">
        <v>1.55E-2</v>
      </c>
      <c r="C20" s="321">
        <v>8.8400000000000002E-4</v>
      </c>
      <c r="D20" s="321">
        <v>1.46E-2</v>
      </c>
      <c r="E20" s="321">
        <v>1.1200000000000001</v>
      </c>
      <c r="F20" s="321">
        <v>5.8700000000000002E-2</v>
      </c>
      <c r="G20" s="321">
        <v>3.0099999999999998E-2</v>
      </c>
      <c r="H20" s="321">
        <v>0</v>
      </c>
      <c r="I20" s="321">
        <v>7.4</v>
      </c>
      <c r="J20" s="321">
        <v>1.53</v>
      </c>
    </row>
    <row r="21" spans="1:10" x14ac:dyDescent="0.2">
      <c r="A21">
        <v>105</v>
      </c>
      <c r="B21" s="321">
        <v>3.48E-3</v>
      </c>
      <c r="C21" s="321">
        <v>1.97E-3</v>
      </c>
      <c r="D21" s="321">
        <v>1.5100000000000001E-3</v>
      </c>
      <c r="E21" s="321">
        <v>0.96399999999999997</v>
      </c>
      <c r="F21" s="321">
        <v>1.0500000000000001E-2</v>
      </c>
      <c r="G21" s="321">
        <v>0</v>
      </c>
      <c r="H21" s="321">
        <v>0</v>
      </c>
      <c r="I21" s="321">
        <v>7.02</v>
      </c>
      <c r="J21" s="321">
        <v>9.2700000000000005E-2</v>
      </c>
    </row>
    <row r="22" spans="1:10" x14ac:dyDescent="0.2">
      <c r="A22">
        <v>110</v>
      </c>
      <c r="B22" s="321">
        <v>1.0500000000000001E-2</v>
      </c>
      <c r="C22" s="321">
        <v>9.9100000000000004E-3</v>
      </c>
      <c r="D22" s="321">
        <v>5.5099999999999995E-4</v>
      </c>
      <c r="E22" s="321">
        <v>0.747</v>
      </c>
      <c r="F22" s="321">
        <v>6.4600000000000005E-2</v>
      </c>
      <c r="G22" s="321">
        <v>2.1399999999999999E-2</v>
      </c>
      <c r="H22" s="321">
        <v>0</v>
      </c>
      <c r="I22" s="321">
        <v>6.59</v>
      </c>
      <c r="J22" s="321">
        <v>3.0499999999999999E-2</v>
      </c>
    </row>
    <row r="23" spans="1:10" x14ac:dyDescent="0.2">
      <c r="A23">
        <v>115</v>
      </c>
      <c r="B23" s="321">
        <v>4.1000000000000002E-2</v>
      </c>
      <c r="C23" s="321">
        <v>3.7400000000000003E-2</v>
      </c>
      <c r="D23" s="321">
        <v>3.6900000000000001E-3</v>
      </c>
      <c r="E23" s="321">
        <v>1.44</v>
      </c>
      <c r="F23" s="321">
        <v>2.9000000000000001E-2</v>
      </c>
      <c r="G23" s="321">
        <v>9.3600000000000003E-2</v>
      </c>
      <c r="H23" s="321">
        <v>0</v>
      </c>
      <c r="I23" s="321">
        <v>13.8</v>
      </c>
      <c r="J23" s="321">
        <v>0</v>
      </c>
    </row>
    <row r="24" spans="1:10" x14ac:dyDescent="0.2">
      <c r="A24">
        <v>120</v>
      </c>
      <c r="B24" s="321">
        <v>6.9900000000000004E-2</v>
      </c>
      <c r="C24" s="321">
        <v>5.1200000000000002E-2</v>
      </c>
      <c r="D24" s="321">
        <v>1.8700000000000001E-2</v>
      </c>
      <c r="E24" s="321">
        <v>0.93700000000000006</v>
      </c>
      <c r="F24" s="321">
        <v>0.104</v>
      </c>
      <c r="G24" s="321">
        <v>4.7399999999999998E-2</v>
      </c>
      <c r="H24" s="321">
        <v>0</v>
      </c>
      <c r="I24" s="321">
        <v>3.35</v>
      </c>
      <c r="J24" s="321">
        <v>0</v>
      </c>
    </row>
    <row r="25" spans="1:10" x14ac:dyDescent="0.2">
      <c r="A25">
        <v>125</v>
      </c>
      <c r="B25" s="321">
        <v>4.8399999999999999E-2</v>
      </c>
      <c r="C25" s="321">
        <v>4.8099999999999997E-2</v>
      </c>
      <c r="D25" s="321">
        <v>3.4699999999999998E-4</v>
      </c>
      <c r="E25" s="321">
        <v>0.13800000000000001</v>
      </c>
      <c r="F25" s="321">
        <v>8.1299999999999997E-2</v>
      </c>
      <c r="G25" s="321">
        <v>0</v>
      </c>
      <c r="H25" s="321">
        <v>0</v>
      </c>
      <c r="I25" s="321">
        <v>2.75</v>
      </c>
      <c r="J25" s="321">
        <v>0</v>
      </c>
    </row>
    <row r="26" spans="1:10" x14ac:dyDescent="0.2">
      <c r="A26">
        <v>130</v>
      </c>
      <c r="B26" s="321">
        <v>1.8400000000000001E-3</v>
      </c>
      <c r="C26" s="321">
        <v>1.7099999999999999E-3</v>
      </c>
      <c r="D26" s="321">
        <v>1.25E-4</v>
      </c>
      <c r="E26" s="321">
        <v>0.153</v>
      </c>
      <c r="F26" s="321">
        <v>4.4600000000000001E-2</v>
      </c>
      <c r="G26" s="321">
        <v>0</v>
      </c>
      <c r="H26" s="321">
        <v>0</v>
      </c>
      <c r="I26" s="321">
        <v>3.1E-2</v>
      </c>
      <c r="J26" s="321">
        <v>0</v>
      </c>
    </row>
    <row r="27" spans="1:10" x14ac:dyDescent="0.2">
      <c r="A27">
        <v>135</v>
      </c>
      <c r="B27" s="321">
        <v>7.7299999999999999E-3</v>
      </c>
      <c r="C27" s="321">
        <v>7.7299999999999999E-3</v>
      </c>
      <c r="D27" s="321">
        <v>0</v>
      </c>
      <c r="E27" s="321">
        <v>0.14599999999999999</v>
      </c>
      <c r="F27" s="321">
        <v>9.4699999999999993E-3</v>
      </c>
      <c r="G27" s="321">
        <v>0</v>
      </c>
      <c r="H27" s="321">
        <v>0</v>
      </c>
      <c r="I27" s="321">
        <v>0</v>
      </c>
      <c r="J27" s="321">
        <v>0</v>
      </c>
    </row>
    <row r="28" spans="1:10" x14ac:dyDescent="0.2">
      <c r="A28">
        <v>140</v>
      </c>
      <c r="B28" s="321">
        <v>0</v>
      </c>
      <c r="C28" s="321">
        <v>0</v>
      </c>
      <c r="D28" s="321">
        <v>0</v>
      </c>
      <c r="E28" s="321">
        <v>1.9199999999999998E-2</v>
      </c>
      <c r="F28" s="321">
        <v>4.2599999999999999E-3</v>
      </c>
      <c r="G28" s="321">
        <v>0</v>
      </c>
      <c r="H28" s="321">
        <v>0</v>
      </c>
      <c r="I28" s="321">
        <v>0</v>
      </c>
      <c r="J28" s="321">
        <v>0</v>
      </c>
    </row>
    <row r="29" spans="1:10" x14ac:dyDescent="0.2">
      <c r="A29" t="s">
        <v>352</v>
      </c>
      <c r="B29" s="322">
        <f t="shared" ref="B29:J29" si="0">SUM(B5:B28)</f>
        <v>2.4524780000000002</v>
      </c>
      <c r="C29" s="322">
        <f t="shared" si="0"/>
        <v>0.60091000000000006</v>
      </c>
      <c r="D29" s="322">
        <f t="shared" si="0"/>
        <v>1.8507709999999995</v>
      </c>
      <c r="E29" s="322">
        <f t="shared" si="0"/>
        <v>12.8934</v>
      </c>
      <c r="F29" s="322">
        <f t="shared" si="0"/>
        <v>1.5099989999999996</v>
      </c>
      <c r="G29" s="322">
        <f t="shared" si="0"/>
        <v>0.21584300000000001</v>
      </c>
      <c r="H29" s="322">
        <f t="shared" si="0"/>
        <v>6.6950000000000003</v>
      </c>
      <c r="I29" s="322">
        <f t="shared" si="0"/>
        <v>159.56100000000001</v>
      </c>
      <c r="J29" s="322">
        <f t="shared" si="0"/>
        <v>64.174399999999991</v>
      </c>
    </row>
    <row r="30" spans="1:10" x14ac:dyDescent="0.2">
      <c r="A30" t="s">
        <v>353</v>
      </c>
      <c r="B30" s="330">
        <v>110</v>
      </c>
      <c r="C30" s="330"/>
      <c r="D30" s="330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47</vt:i4>
      </vt:variant>
    </vt:vector>
  </HeadingPairs>
  <TitlesOfParts>
    <vt:vector size="65" baseType="lpstr">
      <vt:lpstr>Table</vt:lpstr>
      <vt:lpstr>RadFluoro</vt:lpstr>
      <vt:lpstr>Fluoro</vt:lpstr>
      <vt:lpstr>NM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NDAY</vt:lpstr>
      <vt:lpstr>Fluoro!Nfl</vt:lpstr>
      <vt:lpstr>Nfl</vt:lpstr>
      <vt:lpstr>Nrad</vt:lpstr>
      <vt:lpstr>NWEEK</vt:lpstr>
      <vt:lpstr>PBHVL</vt:lpstr>
      <vt:lpstr>PBMU</vt:lpstr>
      <vt:lpstr>PBMURHO</vt:lpstr>
      <vt:lpstr>PBRHO</vt:lpstr>
      <vt:lpstr>CT!Print_Area</vt:lpstr>
      <vt:lpstr>Fluoro!Print_Area</vt:lpstr>
      <vt:lpstr>NM!Print_Area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  <vt:lpstr>CT!Z_488A6099_7FEF_4C88_B110_024D46F0253F_.wvu.PrintArea</vt:lpstr>
      <vt:lpstr>Fluoro!Z_488A6099_7FEF_4C88_B110_024D46F0253F_.wvu.PrintArea</vt:lpstr>
      <vt:lpstr>NM!Z_488A6099_7FEF_4C88_B110_024D46F0253F_.wvu.PrintArea</vt:lpstr>
      <vt:lpstr>RadFluoro!Z_488A6099_7FEF_4C88_B110_024D46F0253F_.wvu.PrintArea</vt:lpstr>
      <vt:lpstr>ShieldEvaluation!Z_488A6099_7FEF_4C88_B110_024D46F0253F_.wvu.PrintArea</vt:lpstr>
      <vt:lpstr>Table!Z_488A6099_7FEF_4C88_B110_024D46F0253F_.wvu.PrintArea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Donald J. Peck</dc:creator>
  <dc:description/>
  <cp:lastModifiedBy>Eugene Mah</cp:lastModifiedBy>
  <cp:revision>4</cp:revision>
  <cp:lastPrinted>2018-06-20T17:27:28Z</cp:lastPrinted>
  <dcterms:created xsi:type="dcterms:W3CDTF">1996-02-05T18:29:10Z</dcterms:created>
  <dcterms:modified xsi:type="dcterms:W3CDTF">2022-10-07T14:37:50Z</dcterms:modified>
  <dc:language>en-US</dc:language>
</cp:coreProperties>
</file>