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genem\Documents\Projects\XRAY\Fluoro\FluoroEntrRecepRatio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1" l="1"/>
  <c r="H55" i="1"/>
  <c r="G57" i="1"/>
  <c r="G56" i="1"/>
  <c r="G55" i="1"/>
  <c r="G54" i="1"/>
  <c r="E105" i="1"/>
  <c r="D105" i="1"/>
  <c r="C105" i="1"/>
  <c r="E104" i="1"/>
  <c r="D104" i="1"/>
  <c r="C104" i="1"/>
  <c r="B105" i="1"/>
  <c r="B104" i="1"/>
  <c r="A91" i="1" l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63" i="1"/>
  <c r="A62" i="1"/>
  <c r="A61" i="1"/>
  <c r="A60" i="1"/>
  <c r="A59" i="1"/>
  <c r="A58" i="1"/>
  <c r="A57" i="1"/>
  <c r="A56" i="1"/>
  <c r="A55" i="1"/>
  <c r="A54" i="1"/>
  <c r="A53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8" i="1"/>
  <c r="D7" i="1"/>
  <c r="D6" i="1"/>
  <c r="D5" i="1"/>
  <c r="D4" i="1"/>
  <c r="D15" i="1" s="1"/>
  <c r="D3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1" i="1"/>
  <c r="C81" i="1"/>
  <c r="C63" i="1"/>
  <c r="D62" i="1"/>
  <c r="C62" i="1"/>
  <c r="D61" i="1"/>
  <c r="C61" i="1"/>
  <c r="D60" i="1"/>
  <c r="C60" i="1"/>
  <c r="D59" i="1"/>
  <c r="C59" i="1"/>
  <c r="D56" i="1"/>
  <c r="C56" i="1"/>
  <c r="D55" i="1"/>
  <c r="C55" i="1"/>
  <c r="D54" i="1"/>
  <c r="C54" i="1"/>
  <c r="D53" i="1"/>
  <c r="C53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8" i="1"/>
  <c r="C7" i="1"/>
  <c r="C6" i="1"/>
  <c r="C5" i="1"/>
  <c r="C4" i="1"/>
  <c r="C3" i="1"/>
  <c r="E3" i="1" s="1"/>
  <c r="E91" i="1"/>
  <c r="B91" i="1"/>
  <c r="E90" i="1"/>
  <c r="B90" i="1"/>
  <c r="E89" i="1"/>
  <c r="B89" i="1"/>
  <c r="E88" i="1"/>
  <c r="B88" i="1"/>
  <c r="E87" i="1"/>
  <c r="B87" i="1"/>
  <c r="E86" i="1"/>
  <c r="B86" i="1"/>
  <c r="E85" i="1"/>
  <c r="B85" i="1"/>
  <c r="E84" i="1"/>
  <c r="B84" i="1"/>
  <c r="B83" i="1"/>
  <c r="B82" i="1"/>
  <c r="E81" i="1"/>
  <c r="B81" i="1"/>
  <c r="B80" i="1"/>
  <c r="B79" i="1"/>
  <c r="B78" i="1"/>
  <c r="B77" i="1"/>
  <c r="B97" i="1" s="1"/>
  <c r="B63" i="1"/>
  <c r="E62" i="1"/>
  <c r="B62" i="1"/>
  <c r="E61" i="1"/>
  <c r="B61" i="1"/>
  <c r="E60" i="1"/>
  <c r="B60" i="1"/>
  <c r="E59" i="1"/>
  <c r="B59" i="1"/>
  <c r="B58" i="1"/>
  <c r="B57" i="1"/>
  <c r="E56" i="1"/>
  <c r="B56" i="1"/>
  <c r="E55" i="1"/>
  <c r="B55" i="1"/>
  <c r="E54" i="1"/>
  <c r="B54" i="1"/>
  <c r="E53" i="1"/>
  <c r="B53" i="1"/>
  <c r="B71" i="1" s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45" i="1" s="1"/>
  <c r="B8" i="1"/>
  <c r="A8" i="1"/>
  <c r="B7" i="1"/>
  <c r="A7" i="1"/>
  <c r="B6" i="1"/>
  <c r="A6" i="1"/>
  <c r="B5" i="1"/>
  <c r="A5" i="1"/>
  <c r="B4" i="1"/>
  <c r="A4" i="1"/>
  <c r="B3" i="1"/>
  <c r="B15" i="1" s="1"/>
  <c r="A3" i="1"/>
  <c r="C49" i="1" l="1"/>
  <c r="B12" i="1"/>
  <c r="B16" i="1"/>
  <c r="B42" i="1"/>
  <c r="B48" i="1"/>
  <c r="B65" i="1"/>
  <c r="B68" i="1"/>
  <c r="B72" i="1"/>
  <c r="B95" i="1"/>
  <c r="B98" i="1"/>
  <c r="B13" i="1"/>
  <c r="B17" i="1"/>
  <c r="B43" i="1"/>
  <c r="B47" i="1"/>
  <c r="B66" i="1"/>
  <c r="B69" i="1"/>
  <c r="B101" i="1"/>
  <c r="B99" i="1"/>
  <c r="B10" i="1"/>
  <c r="B14" i="1"/>
  <c r="B18" i="1"/>
  <c r="B49" i="1"/>
  <c r="B46" i="1"/>
  <c r="B67" i="1"/>
  <c r="B70" i="1"/>
  <c r="B93" i="1"/>
  <c r="B96" i="1"/>
  <c r="B100" i="1"/>
  <c r="B11" i="1"/>
  <c r="B41" i="1"/>
  <c r="B44" i="1"/>
  <c r="B73" i="1"/>
  <c r="B94" i="1"/>
  <c r="C18" i="1"/>
  <c r="D10" i="1"/>
  <c r="C13" i="1"/>
  <c r="D14" i="1"/>
  <c r="C17" i="1"/>
  <c r="D18" i="1"/>
  <c r="C42" i="1"/>
  <c r="C46" i="1"/>
  <c r="C12" i="1"/>
  <c r="D13" i="1"/>
  <c r="C16" i="1"/>
  <c r="D17" i="1"/>
  <c r="C43" i="1"/>
  <c r="C47" i="1"/>
  <c r="E7" i="1"/>
  <c r="E24" i="1"/>
  <c r="E28" i="1"/>
  <c r="E32" i="1"/>
  <c r="E36" i="1"/>
  <c r="C11" i="1"/>
  <c r="D12" i="1"/>
  <c r="C15" i="1"/>
  <c r="D16" i="1"/>
  <c r="C44" i="1"/>
  <c r="C48" i="1"/>
  <c r="D47" i="1"/>
  <c r="C10" i="1"/>
  <c r="D11" i="1"/>
  <c r="C14" i="1"/>
  <c r="C41" i="1"/>
  <c r="C45" i="1"/>
  <c r="D42" i="1"/>
  <c r="D46" i="1"/>
  <c r="D41" i="1"/>
  <c r="D45" i="1"/>
  <c r="D49" i="1"/>
  <c r="D44" i="1"/>
  <c r="D48" i="1"/>
  <c r="D43" i="1"/>
  <c r="E4" i="1"/>
  <c r="E8" i="1"/>
  <c r="E25" i="1"/>
  <c r="E29" i="1"/>
  <c r="E33" i="1"/>
  <c r="E37" i="1"/>
  <c r="E5" i="1"/>
  <c r="E22" i="1"/>
  <c r="E26" i="1"/>
  <c r="E30" i="1"/>
  <c r="E34" i="1"/>
  <c r="E38" i="1"/>
  <c r="E6" i="1"/>
  <c r="E23" i="1"/>
  <c r="E27" i="1"/>
  <c r="E31" i="1"/>
  <c r="E35" i="1"/>
  <c r="E39" i="1"/>
  <c r="S83" i="1"/>
  <c r="D83" i="1" s="1"/>
  <c r="P83" i="1"/>
  <c r="P82" i="1"/>
  <c r="C82" i="1" s="1"/>
  <c r="S82" i="1"/>
  <c r="D82" i="1" s="1"/>
  <c r="P79" i="1"/>
  <c r="C79" i="1" s="1"/>
  <c r="E16" i="1" l="1"/>
  <c r="E12" i="1"/>
  <c r="E17" i="1"/>
  <c r="E13" i="1"/>
  <c r="E18" i="1"/>
  <c r="E14" i="1"/>
  <c r="E10" i="1"/>
  <c r="E15" i="1"/>
  <c r="E11" i="1"/>
  <c r="E48" i="1"/>
  <c r="E44" i="1"/>
  <c r="E49" i="1"/>
  <c r="E45" i="1"/>
  <c r="E41" i="1"/>
  <c r="E46" i="1"/>
  <c r="E42" i="1"/>
  <c r="E47" i="1"/>
  <c r="E43" i="1"/>
  <c r="E83" i="1"/>
  <c r="C83" i="1"/>
  <c r="E82" i="1"/>
  <c r="S80" i="1"/>
  <c r="D80" i="1" s="1"/>
  <c r="P80" i="1"/>
  <c r="E80" i="1" l="1"/>
  <c r="C80" i="1"/>
  <c r="S79" i="1"/>
  <c r="P78" i="1"/>
  <c r="C78" i="1" s="1"/>
  <c r="S78" i="1"/>
  <c r="D78" i="1" s="1"/>
  <c r="E79" i="1" l="1"/>
  <c r="D79" i="1"/>
  <c r="E78" i="1"/>
  <c r="S77" i="1"/>
  <c r="D77" i="1" s="1"/>
  <c r="P77" i="1"/>
  <c r="D100" i="1" l="1"/>
  <c r="D96" i="1"/>
  <c r="D101" i="1"/>
  <c r="D97" i="1"/>
  <c r="D93" i="1"/>
  <c r="D98" i="1"/>
  <c r="D94" i="1"/>
  <c r="D99" i="1"/>
  <c r="D95" i="1"/>
  <c r="E77" i="1"/>
  <c r="C77" i="1"/>
  <c r="S63" i="1"/>
  <c r="E101" i="1" l="1"/>
  <c r="E97" i="1"/>
  <c r="E93" i="1"/>
  <c r="E100" i="1"/>
  <c r="E96" i="1"/>
  <c r="E99" i="1"/>
  <c r="E95" i="1"/>
  <c r="E98" i="1"/>
  <c r="E94" i="1"/>
  <c r="C99" i="1"/>
  <c r="C95" i="1"/>
  <c r="C100" i="1"/>
  <c r="C96" i="1"/>
  <c r="C101" i="1"/>
  <c r="C97" i="1"/>
  <c r="C93" i="1"/>
  <c r="C98" i="1"/>
  <c r="C94" i="1"/>
  <c r="E63" i="1"/>
  <c r="D63" i="1"/>
  <c r="S58" i="1"/>
  <c r="D58" i="1" s="1"/>
  <c r="P58" i="1"/>
  <c r="C58" i="1" s="1"/>
  <c r="S57" i="1"/>
  <c r="D57" i="1" s="1"/>
  <c r="P57" i="1"/>
  <c r="D72" i="1" l="1"/>
  <c r="D71" i="1"/>
  <c r="D66" i="1"/>
  <c r="D69" i="1"/>
  <c r="D67" i="1"/>
  <c r="D70" i="1"/>
  <c r="D65" i="1"/>
  <c r="D73" i="1"/>
  <c r="D68" i="1"/>
  <c r="E57" i="1"/>
  <c r="C57" i="1"/>
  <c r="E58" i="1"/>
  <c r="E71" i="1" l="1"/>
  <c r="E69" i="1"/>
  <c r="E70" i="1"/>
  <c r="E67" i="1"/>
  <c r="E68" i="1"/>
  <c r="E73" i="1"/>
  <c r="E72" i="1"/>
  <c r="E65" i="1"/>
  <c r="E66" i="1"/>
  <c r="C68" i="1"/>
  <c r="C71" i="1"/>
  <c r="C66" i="1"/>
  <c r="C69" i="1"/>
  <c r="C72" i="1"/>
  <c r="C67" i="1"/>
  <c r="C70" i="1"/>
  <c r="C65" i="1"/>
  <c r="C73" i="1"/>
</calcChain>
</file>

<file path=xl/sharedStrings.xml><?xml version="1.0" encoding="utf-8"?>
<sst xmlns="http://schemas.openxmlformats.org/spreadsheetml/2006/main" count="125" uniqueCount="69">
  <si>
    <t>Room</t>
  </si>
  <si>
    <t>II Size (cm)</t>
  </si>
  <si>
    <t>kV</t>
  </si>
  <si>
    <t>mA</t>
  </si>
  <si>
    <t>mGy/min</t>
  </si>
  <si>
    <t>NT03</t>
  </si>
  <si>
    <t>NT04</t>
  </si>
  <si>
    <t>Ped02</t>
  </si>
  <si>
    <t>Ped03</t>
  </si>
  <si>
    <t>RT761</t>
  </si>
  <si>
    <t>ART2205</t>
  </si>
  <si>
    <t>ART2208</t>
  </si>
  <si>
    <t>C-arm 7</t>
  </si>
  <si>
    <t>C-arm 8</t>
  </si>
  <si>
    <t>C-arm 9</t>
  </si>
  <si>
    <t>C-arm 10</t>
  </si>
  <si>
    <t>C-arm 11</t>
  </si>
  <si>
    <t>C-arm 12</t>
  </si>
  <si>
    <t>C-arm 18</t>
  </si>
  <si>
    <t>C-arm 19</t>
  </si>
  <si>
    <t>ART C-arm 1</t>
  </si>
  <si>
    <t>ART C-arm 3</t>
  </si>
  <si>
    <t>ART C-arm 4</t>
  </si>
  <si>
    <t>RT Uro</t>
  </si>
  <si>
    <t>EC1</t>
  </si>
  <si>
    <t>EC2</t>
  </si>
  <si>
    <t>EC Neuro</t>
  </si>
  <si>
    <t>Neuro</t>
  </si>
  <si>
    <t>PICC</t>
  </si>
  <si>
    <t>Pain Mgmt</t>
  </si>
  <si>
    <t>HVC01</t>
  </si>
  <si>
    <t>HVC02</t>
  </si>
  <si>
    <t>HVC04</t>
  </si>
  <si>
    <t>HVC05</t>
  </si>
  <si>
    <t>Neuro1 AP</t>
  </si>
  <si>
    <t>Neuro1 Lat</t>
  </si>
  <si>
    <t>Neuro2 AP</t>
  </si>
  <si>
    <t>Neuro2 Lat</t>
  </si>
  <si>
    <t>ART Angio 2</t>
  </si>
  <si>
    <t>ART Angio 3</t>
  </si>
  <si>
    <t>ART OR 10</t>
  </si>
  <si>
    <t>ART EP 6</t>
  </si>
  <si>
    <t>ART EP 7 AP</t>
  </si>
  <si>
    <t>ART EP 7 Lat</t>
  </si>
  <si>
    <t>ART EP 8</t>
  </si>
  <si>
    <t>ART Cath 10</t>
  </si>
  <si>
    <t>ART Cath 11 AP</t>
  </si>
  <si>
    <t>ART Cath 11 Lat</t>
  </si>
  <si>
    <t>ART Cath 12</t>
  </si>
  <si>
    <t>ART Cath 13</t>
  </si>
  <si>
    <t>Ped Cath 1 AP</t>
  </si>
  <si>
    <t>Ped Cath 1 Lat</t>
  </si>
  <si>
    <t>Ped Cath 2 AP</t>
  </si>
  <si>
    <t>Ped Cath 2 Lat</t>
  </si>
  <si>
    <t>HVC 11 AP</t>
  </si>
  <si>
    <t>HVC 11 Lat</t>
  </si>
  <si>
    <t>Entrance</t>
  </si>
  <si>
    <t>Receptor</t>
  </si>
  <si>
    <t>kVp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</si>
  <si>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Gy/min</t>
    </r>
  </si>
  <si>
    <t>uGy/frame</t>
  </si>
  <si>
    <t>Ratio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</si>
  <si>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Gy/frame</t>
    </r>
  </si>
  <si>
    <t>E/R</t>
  </si>
  <si>
    <t>Average</t>
  </si>
  <si>
    <t>SD</t>
  </si>
  <si>
    <t>Min</t>
  </si>
  <si>
    <t>Max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</si>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</sst>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" fontId="1" fillId="0" borderId="0">
      <alignment horizont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topLeftCell="A36" workbookViewId="0">
      <selection activeCell="H57" sqref="H57"/>
    </sheetView>
  </sheetViews>
  <sheetFormatPr defaultRowHeight="15" x14ac:dyDescent="0.25"/>
  <cols>
    <col min="1" max="1" width="14.42578125" bestFit="1" customWidth="1"/>
    <col min="12" max="16" width="9.140625" style="1"/>
  </cols>
  <sheetData>
    <row r="1" spans="1:19" x14ac:dyDescent="0.25">
      <c r="C1" t="s">
        <v>56</v>
      </c>
      <c r="D1" t="s">
        <v>57</v>
      </c>
      <c r="N1" s="6" t="s">
        <v>56</v>
      </c>
      <c r="O1" s="6"/>
      <c r="P1" s="6"/>
      <c r="Q1" s="6" t="s">
        <v>57</v>
      </c>
      <c r="R1" s="6"/>
      <c r="S1" s="6"/>
    </row>
    <row r="2" spans="1:19" x14ac:dyDescent="0.25">
      <c r="A2" s="2" t="s">
        <v>0</v>
      </c>
      <c r="B2" s="2" t="s">
        <v>1</v>
      </c>
      <c r="C2" t="s">
        <v>4</v>
      </c>
      <c r="D2" t="s">
        <v>4</v>
      </c>
      <c r="E2" t="s">
        <v>61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t="s">
        <v>58</v>
      </c>
      <c r="R2" t="s">
        <v>3</v>
      </c>
      <c r="S2" t="s">
        <v>59</v>
      </c>
    </row>
    <row r="3" spans="1:19" x14ac:dyDescent="0.25">
      <c r="A3" s="5" t="str">
        <f>L3</f>
        <v>NT03</v>
      </c>
      <c r="B3" s="2">
        <f>M3</f>
        <v>40</v>
      </c>
      <c r="C3" s="3">
        <f>IF(P3="","",P3)</f>
        <v>22.9</v>
      </c>
      <c r="D3" s="4">
        <f>IF(S3="","",S3/1000)</f>
        <v>3.9700000000000006E-2</v>
      </c>
      <c r="E3" s="3">
        <f>IF(OR(C3="",D3=""),"",C3/D3)</f>
        <v>576.82619647355148</v>
      </c>
      <c r="G3">
        <v>576.82619647355148</v>
      </c>
      <c r="L3" s="1" t="s">
        <v>5</v>
      </c>
      <c r="M3" s="1">
        <v>40</v>
      </c>
      <c r="N3" s="1">
        <v>95</v>
      </c>
      <c r="O3" s="1">
        <v>1.9</v>
      </c>
      <c r="P3" s="1">
        <v>22.9</v>
      </c>
      <c r="Q3">
        <v>67</v>
      </c>
      <c r="R3">
        <v>1.4</v>
      </c>
      <c r="S3">
        <v>39.700000000000003</v>
      </c>
    </row>
    <row r="4" spans="1:19" x14ac:dyDescent="0.25">
      <c r="A4" s="5" t="str">
        <f t="shared" ref="A4:A8" si="0">L4</f>
        <v>NT04</v>
      </c>
      <c r="B4" s="2">
        <f t="shared" ref="B4:B8" si="1">M4</f>
        <v>40</v>
      </c>
      <c r="C4" s="3">
        <f t="shared" ref="C4:C8" si="2">IF(P4="","",P4)</f>
        <v>11.1</v>
      </c>
      <c r="D4" s="4">
        <f t="shared" ref="D4:D8" si="3">IF(S4="","",S4/1000)</f>
        <v>1.1599999999999999E-2</v>
      </c>
      <c r="E4" s="3">
        <f t="shared" ref="E4:E8" si="4">IF(OR(C4="",D4=""),"",C4/D4)</f>
        <v>956.89655172413802</v>
      </c>
      <c r="G4">
        <v>956.89655172413802</v>
      </c>
      <c r="L4" s="1" t="s">
        <v>6</v>
      </c>
      <c r="M4" s="1">
        <v>40</v>
      </c>
      <c r="N4" s="1">
        <v>70</v>
      </c>
      <c r="O4" s="1">
        <v>1.2</v>
      </c>
      <c r="P4" s="1">
        <v>11.1</v>
      </c>
      <c r="Q4">
        <v>63</v>
      </c>
      <c r="R4">
        <v>0.9</v>
      </c>
      <c r="S4">
        <v>11.6</v>
      </c>
    </row>
    <row r="5" spans="1:19" x14ac:dyDescent="0.25">
      <c r="A5" s="5" t="str">
        <f t="shared" si="0"/>
        <v>Ped02</v>
      </c>
      <c r="B5" s="2">
        <f t="shared" si="1"/>
        <v>30.5</v>
      </c>
      <c r="C5" s="3">
        <f t="shared" si="2"/>
        <v>22.68</v>
      </c>
      <c r="D5" s="4">
        <f t="shared" si="3"/>
        <v>5.2560000000000003E-2</v>
      </c>
      <c r="E5" s="3">
        <f t="shared" si="4"/>
        <v>431.50684931506845</v>
      </c>
      <c r="G5">
        <v>431.50684931506845</v>
      </c>
      <c r="L5" s="1" t="s">
        <v>7</v>
      </c>
      <c r="M5" s="1">
        <v>30.5</v>
      </c>
      <c r="N5" s="1">
        <v>104</v>
      </c>
      <c r="O5" s="1">
        <v>2</v>
      </c>
      <c r="P5" s="1">
        <v>22.68</v>
      </c>
      <c r="Q5">
        <v>73</v>
      </c>
      <c r="R5">
        <v>1</v>
      </c>
      <c r="S5">
        <v>52.56</v>
      </c>
    </row>
    <row r="6" spans="1:19" x14ac:dyDescent="0.25">
      <c r="A6" s="5" t="str">
        <f t="shared" si="0"/>
        <v>Ped03</v>
      </c>
      <c r="B6" s="2">
        <f t="shared" si="1"/>
        <v>33</v>
      </c>
      <c r="C6" s="3">
        <f t="shared" si="2"/>
        <v>30.56</v>
      </c>
      <c r="D6" s="4">
        <f t="shared" si="3"/>
        <v>4.7299999999999995E-2</v>
      </c>
      <c r="E6" s="3">
        <f t="shared" si="4"/>
        <v>646.08879492600431</v>
      </c>
      <c r="G6">
        <v>646.08879492600431</v>
      </c>
      <c r="L6" s="1" t="s">
        <v>8</v>
      </c>
      <c r="M6" s="1">
        <v>33</v>
      </c>
      <c r="N6" s="1">
        <v>86</v>
      </c>
      <c r="O6" s="1">
        <v>2.2999999999999998</v>
      </c>
      <c r="P6" s="1">
        <v>30.56</v>
      </c>
      <c r="Q6">
        <v>70</v>
      </c>
      <c r="R6">
        <v>1.3</v>
      </c>
      <c r="S6">
        <v>47.3</v>
      </c>
    </row>
    <row r="7" spans="1:19" x14ac:dyDescent="0.25">
      <c r="A7" s="5" t="str">
        <f t="shared" si="0"/>
        <v>RT761</v>
      </c>
      <c r="B7" s="2">
        <f t="shared" si="1"/>
        <v>41.8</v>
      </c>
      <c r="C7" s="3">
        <f t="shared" si="2"/>
        <v>8.1</v>
      </c>
      <c r="D7" s="4">
        <f t="shared" si="3"/>
        <v>2.4299999999999999E-2</v>
      </c>
      <c r="E7" s="3">
        <f t="shared" si="4"/>
        <v>333.33333333333331</v>
      </c>
      <c r="G7">
        <v>333.33333333333331</v>
      </c>
      <c r="L7" s="1" t="s">
        <v>9</v>
      </c>
      <c r="M7" s="1">
        <v>41.8</v>
      </c>
      <c r="N7" s="1">
        <v>73</v>
      </c>
      <c r="O7" s="1">
        <v>23.7</v>
      </c>
      <c r="P7" s="1">
        <v>8.1</v>
      </c>
      <c r="Q7">
        <v>73</v>
      </c>
      <c r="R7">
        <v>11.5</v>
      </c>
      <c r="S7">
        <v>24.299999999999997</v>
      </c>
    </row>
    <row r="8" spans="1:19" x14ac:dyDescent="0.25">
      <c r="A8" s="5" t="str">
        <f t="shared" si="0"/>
        <v>ART2205</v>
      </c>
      <c r="B8" s="2">
        <f t="shared" si="1"/>
        <v>40</v>
      </c>
      <c r="C8" s="3">
        <f t="shared" si="2"/>
        <v>17.21</v>
      </c>
      <c r="D8" s="4">
        <f t="shared" si="3"/>
        <v>3.1E-2</v>
      </c>
      <c r="E8" s="3">
        <f t="shared" si="4"/>
        <v>555.16129032258073</v>
      </c>
      <c r="G8">
        <v>555.16129032258073</v>
      </c>
      <c r="L8" s="1" t="s">
        <v>10</v>
      </c>
      <c r="M8" s="1">
        <v>40</v>
      </c>
      <c r="N8" s="1">
        <v>74</v>
      </c>
      <c r="O8" s="1">
        <v>1.5</v>
      </c>
      <c r="P8" s="1">
        <v>17.21</v>
      </c>
      <c r="Q8">
        <v>67</v>
      </c>
      <c r="R8">
        <v>1.1000000000000001</v>
      </c>
      <c r="S8">
        <v>31</v>
      </c>
    </row>
    <row r="9" spans="1:19" x14ac:dyDescent="0.25">
      <c r="A9" s="5"/>
      <c r="G9">
        <v>274.48275862068965</v>
      </c>
      <c r="L9" s="1" t="s">
        <v>11</v>
      </c>
      <c r="M9" s="1">
        <v>40</v>
      </c>
      <c r="N9" s="1">
        <v>75</v>
      </c>
      <c r="O9" s="1">
        <v>1.5</v>
      </c>
      <c r="P9" s="1">
        <v>17.399999999999999</v>
      </c>
      <c r="Q9">
        <v>65</v>
      </c>
      <c r="R9">
        <v>1</v>
      </c>
      <c r="S9">
        <v>19.600000000000001</v>
      </c>
    </row>
    <row r="10" spans="1:19" x14ac:dyDescent="0.25">
      <c r="A10" s="5" t="s">
        <v>64</v>
      </c>
      <c r="B10" s="3">
        <f>AVERAGE(B3:B8)</f>
        <v>37.550000000000004</v>
      </c>
      <c r="C10" s="3">
        <f t="shared" ref="C10:E10" si="5">AVERAGE(C3:C8)</f>
        <v>18.758333333333329</v>
      </c>
      <c r="D10" s="4">
        <f t="shared" si="5"/>
        <v>3.4410000000000003E-2</v>
      </c>
      <c r="E10" s="3">
        <f t="shared" si="5"/>
        <v>583.30216934911277</v>
      </c>
      <c r="G10">
        <v>407.25064260079205</v>
      </c>
    </row>
    <row r="11" spans="1:19" x14ac:dyDescent="0.25">
      <c r="A11" s="5" t="s">
        <v>65</v>
      </c>
      <c r="B11" s="3">
        <f>STDEV(B3:B8)</f>
        <v>4.6146505826551714</v>
      </c>
      <c r="C11" s="3">
        <f t="shared" ref="C11:E11" si="6">STDEV(C3:C8)</f>
        <v>8.3241778372801907</v>
      </c>
      <c r="D11" s="4">
        <f t="shared" si="6"/>
        <v>1.5216405620250792E-2</v>
      </c>
      <c r="E11" s="3">
        <f t="shared" si="6"/>
        <v>214.41782032000108</v>
      </c>
      <c r="G11">
        <v>243.87755102040813</v>
      </c>
    </row>
    <row r="12" spans="1:19" x14ac:dyDescent="0.25">
      <c r="A12" s="5" t="s">
        <v>66</v>
      </c>
      <c r="B12" s="3">
        <f>MIN(B3:B8)</f>
        <v>30.5</v>
      </c>
      <c r="C12" s="3">
        <f t="shared" ref="C12:E12" si="7">MIN(C3:C8)</f>
        <v>8.1</v>
      </c>
      <c r="D12" s="4">
        <f t="shared" si="7"/>
        <v>1.1599999999999999E-2</v>
      </c>
      <c r="E12" s="3">
        <f t="shared" si="7"/>
        <v>333.33333333333331</v>
      </c>
      <c r="G12">
        <v>248.24355971896955</v>
      </c>
    </row>
    <row r="13" spans="1:19" x14ac:dyDescent="0.25">
      <c r="A13" s="5">
        <v>10</v>
      </c>
      <c r="B13" s="3">
        <f>PERCENTILE(B$3:B$8,$A13/100)</f>
        <v>31.75</v>
      </c>
      <c r="C13" s="3">
        <f t="shared" ref="C13:E13" si="8">PERCENTILE(C$3:C$8,$A13/100)</f>
        <v>9.6</v>
      </c>
      <c r="D13" s="4">
        <f t="shared" si="8"/>
        <v>1.7950000000000001E-2</v>
      </c>
      <c r="E13" s="3">
        <f t="shared" si="8"/>
        <v>382.42009132420088</v>
      </c>
      <c r="G13">
        <v>224.57142857142856</v>
      </c>
    </row>
    <row r="14" spans="1:19" x14ac:dyDescent="0.25">
      <c r="A14" s="5">
        <v>25</v>
      </c>
      <c r="B14" s="3">
        <f t="shared" ref="B14:E17" si="9">PERCENTILE(B$3:B$8,$A14/100)</f>
        <v>34.75</v>
      </c>
      <c r="C14" s="3">
        <f t="shared" si="9"/>
        <v>12.6275</v>
      </c>
      <c r="D14" s="4">
        <f t="shared" si="9"/>
        <v>2.5974999999999998E-2</v>
      </c>
      <c r="E14" s="3">
        <f t="shared" si="9"/>
        <v>462.42045956694653</v>
      </c>
      <c r="G14">
        <v>237.91044776119401</v>
      </c>
    </row>
    <row r="15" spans="1:19" x14ac:dyDescent="0.25">
      <c r="A15" s="5">
        <v>50</v>
      </c>
      <c r="B15" s="3">
        <f t="shared" si="9"/>
        <v>40</v>
      </c>
      <c r="C15" s="3">
        <f t="shared" si="9"/>
        <v>19.945</v>
      </c>
      <c r="D15" s="4">
        <f t="shared" si="9"/>
        <v>3.5350000000000006E-2</v>
      </c>
      <c r="E15" s="3">
        <f t="shared" si="9"/>
        <v>565.99374339806604</v>
      </c>
      <c r="G15">
        <v>243.65714285714284</v>
      </c>
    </row>
    <row r="16" spans="1:19" x14ac:dyDescent="0.25">
      <c r="A16" s="5">
        <v>75</v>
      </c>
      <c r="B16" s="3">
        <f t="shared" si="9"/>
        <v>40</v>
      </c>
      <c r="C16" s="3">
        <f t="shared" si="9"/>
        <v>22.844999999999999</v>
      </c>
      <c r="D16" s="4">
        <f t="shared" si="9"/>
        <v>4.5399999999999996E-2</v>
      </c>
      <c r="E16" s="3">
        <f t="shared" si="9"/>
        <v>628.77314531289107</v>
      </c>
      <c r="G16">
        <v>294.96402877697835</v>
      </c>
    </row>
    <row r="17" spans="1:19" x14ac:dyDescent="0.25">
      <c r="A17" s="5">
        <v>90</v>
      </c>
      <c r="B17" s="3">
        <f t="shared" si="9"/>
        <v>40.9</v>
      </c>
      <c r="C17" s="3">
        <f t="shared" si="9"/>
        <v>26.729999999999997</v>
      </c>
      <c r="D17" s="4">
        <f t="shared" si="9"/>
        <v>4.9930000000000002E-2</v>
      </c>
      <c r="E17" s="3">
        <f t="shared" si="9"/>
        <v>801.49267332507111</v>
      </c>
      <c r="G17">
        <v>633.33333333333337</v>
      </c>
    </row>
    <row r="18" spans="1:19" x14ac:dyDescent="0.25">
      <c r="A18" s="5" t="s">
        <v>67</v>
      </c>
      <c r="B18" s="3">
        <f>MAX(B3:B8)</f>
        <v>41.8</v>
      </c>
      <c r="C18" s="3">
        <f t="shared" ref="C18:E18" si="10">MAX(C3:C8)</f>
        <v>30.56</v>
      </c>
      <c r="D18" s="4">
        <f t="shared" si="10"/>
        <v>5.2560000000000003E-2</v>
      </c>
      <c r="E18" s="3">
        <f t="shared" si="10"/>
        <v>956.89655172413802</v>
      </c>
      <c r="G18">
        <v>338.38383838383834</v>
      </c>
    </row>
    <row r="19" spans="1:19" x14ac:dyDescent="0.25">
      <c r="G19">
        <v>418.52149424210904</v>
      </c>
    </row>
    <row r="20" spans="1:19" x14ac:dyDescent="0.25">
      <c r="C20" t="s">
        <v>56</v>
      </c>
      <c r="D20" t="s">
        <v>57</v>
      </c>
      <c r="E20" t="s">
        <v>63</v>
      </c>
      <c r="G20">
        <v>495</v>
      </c>
      <c r="L20" s="2"/>
      <c r="M20" s="2"/>
      <c r="N20" s="6" t="s">
        <v>56</v>
      </c>
      <c r="O20" s="6"/>
      <c r="P20" s="6"/>
      <c r="Q20" s="6" t="s">
        <v>57</v>
      </c>
      <c r="R20" s="6"/>
      <c r="S20" s="6"/>
    </row>
    <row r="21" spans="1:19" x14ac:dyDescent="0.25">
      <c r="A21" s="2" t="s">
        <v>0</v>
      </c>
      <c r="B21" s="2" t="s">
        <v>1</v>
      </c>
      <c r="C21" t="s">
        <v>4</v>
      </c>
      <c r="D21" t="s">
        <v>4</v>
      </c>
      <c r="E21" t="s">
        <v>61</v>
      </c>
      <c r="G21">
        <v>399.6825396825397</v>
      </c>
      <c r="L21" s="2" t="s">
        <v>0</v>
      </c>
      <c r="M21" s="2" t="s">
        <v>1</v>
      </c>
      <c r="N21" s="2" t="s">
        <v>2</v>
      </c>
      <c r="O21" s="2" t="s">
        <v>3</v>
      </c>
      <c r="P21" s="2" t="s">
        <v>4</v>
      </c>
      <c r="Q21" t="s">
        <v>58</v>
      </c>
      <c r="R21" t="s">
        <v>3</v>
      </c>
      <c r="S21" t="s">
        <v>59</v>
      </c>
    </row>
    <row r="22" spans="1:19" x14ac:dyDescent="0.25">
      <c r="A22" s="5" t="str">
        <f t="shared" ref="A22:A39" si="11">L22</f>
        <v>C-arm 7</v>
      </c>
      <c r="B22" s="2">
        <f t="shared" ref="B22:B39" si="12">M22</f>
        <v>30.5</v>
      </c>
      <c r="C22" s="3">
        <f t="shared" ref="C22:C39" si="13">IF(P22="","",P22)</f>
        <v>7.96</v>
      </c>
      <c r="D22" s="4">
        <f t="shared" ref="D22:D39" si="14">IF(S22="","",S22/1000)</f>
        <v>2.9000000000000001E-2</v>
      </c>
      <c r="E22" s="3">
        <f t="shared" ref="E22:E39" si="15">IF(OR(C22="",D22=""),"",C22/D22)</f>
        <v>274.48275862068965</v>
      </c>
      <c r="G22">
        <v>820.18348623853217</v>
      </c>
      <c r="L22" s="1" t="s">
        <v>12</v>
      </c>
      <c r="M22" s="1">
        <v>30.5</v>
      </c>
      <c r="N22" s="1">
        <v>76</v>
      </c>
      <c r="O22" s="1">
        <v>1.9</v>
      </c>
      <c r="P22" s="1">
        <v>7.96</v>
      </c>
      <c r="Q22">
        <v>66</v>
      </c>
      <c r="R22">
        <v>1.4</v>
      </c>
      <c r="S22">
        <v>29</v>
      </c>
    </row>
    <row r="23" spans="1:19" x14ac:dyDescent="0.25">
      <c r="A23" s="5" t="str">
        <f t="shared" si="11"/>
        <v>C-arm 8</v>
      </c>
      <c r="B23" s="2">
        <f t="shared" si="12"/>
        <v>23</v>
      </c>
      <c r="C23" s="3">
        <f t="shared" si="13"/>
        <v>11.226858997004951</v>
      </c>
      <c r="D23" s="4">
        <f t="shared" si="14"/>
        <v>2.7567443295626898E-2</v>
      </c>
      <c r="E23" s="3">
        <f t="shared" si="15"/>
        <v>407.25064260079205</v>
      </c>
      <c r="G23">
        <v>495.61403508771929</v>
      </c>
      <c r="L23" s="1" t="s">
        <v>13</v>
      </c>
      <c r="M23" s="1">
        <v>23</v>
      </c>
      <c r="N23" s="1">
        <v>80</v>
      </c>
      <c r="O23" s="1">
        <v>3</v>
      </c>
      <c r="P23" s="1">
        <v>11.226858997004951</v>
      </c>
      <c r="Q23">
        <v>68</v>
      </c>
      <c r="R23">
        <v>2</v>
      </c>
      <c r="S23">
        <v>27.567443295626898</v>
      </c>
    </row>
    <row r="24" spans="1:19" x14ac:dyDescent="0.25">
      <c r="A24" s="5" t="str">
        <f t="shared" si="11"/>
        <v>C-arm 9</v>
      </c>
      <c r="B24" s="2">
        <f t="shared" si="12"/>
        <v>23</v>
      </c>
      <c r="C24" s="3">
        <f t="shared" si="13"/>
        <v>11.95</v>
      </c>
      <c r="D24" s="4">
        <f t="shared" si="14"/>
        <v>4.9000000000000002E-2</v>
      </c>
      <c r="E24" s="3">
        <f t="shared" si="15"/>
        <v>243.87755102040813</v>
      </c>
      <c r="G24">
        <v>227.86028531286505</v>
      </c>
      <c r="L24" s="1" t="s">
        <v>14</v>
      </c>
      <c r="M24" s="1">
        <v>23</v>
      </c>
      <c r="N24" s="1">
        <v>79</v>
      </c>
      <c r="O24" s="1">
        <v>2.87</v>
      </c>
      <c r="P24" s="1">
        <v>11.95</v>
      </c>
      <c r="Q24">
        <v>68</v>
      </c>
      <c r="R24">
        <v>2.0699999999999998</v>
      </c>
      <c r="S24">
        <v>49</v>
      </c>
    </row>
    <row r="25" spans="1:19" x14ac:dyDescent="0.25">
      <c r="A25" s="5" t="str">
        <f t="shared" si="11"/>
        <v>C-arm 10</v>
      </c>
      <c r="B25" s="2">
        <f t="shared" si="12"/>
        <v>23</v>
      </c>
      <c r="C25" s="3">
        <f t="shared" si="13"/>
        <v>10.6</v>
      </c>
      <c r="D25" s="4">
        <f t="shared" si="14"/>
        <v>4.2700000000000002E-2</v>
      </c>
      <c r="E25" s="3">
        <f t="shared" si="15"/>
        <v>248.24355971896955</v>
      </c>
      <c r="G25">
        <v>920</v>
      </c>
      <c r="L25" s="1" t="s">
        <v>15</v>
      </c>
      <c r="M25" s="1">
        <v>23</v>
      </c>
      <c r="N25" s="1">
        <v>79</v>
      </c>
      <c r="O25" s="1">
        <v>2.9</v>
      </c>
      <c r="P25" s="1">
        <v>10.6</v>
      </c>
      <c r="Q25">
        <v>67</v>
      </c>
      <c r="R25">
        <v>2</v>
      </c>
      <c r="S25">
        <v>42.7</v>
      </c>
    </row>
    <row r="26" spans="1:19" x14ac:dyDescent="0.25">
      <c r="A26" s="5" t="str">
        <f t="shared" si="11"/>
        <v>C-arm 11</v>
      </c>
      <c r="B26" s="2">
        <f t="shared" si="12"/>
        <v>30.5</v>
      </c>
      <c r="C26" s="3">
        <f t="shared" si="13"/>
        <v>7.86</v>
      </c>
      <c r="D26" s="4">
        <f t="shared" si="14"/>
        <v>3.5000000000000003E-2</v>
      </c>
      <c r="E26" s="3">
        <f t="shared" si="15"/>
        <v>224.57142857142856</v>
      </c>
      <c r="G26">
        <v>1687.8916691187135</v>
      </c>
      <c r="L26" s="1" t="s">
        <v>16</v>
      </c>
      <c r="M26" s="1">
        <v>30.5</v>
      </c>
      <c r="N26" s="1">
        <v>78</v>
      </c>
      <c r="O26" s="1">
        <v>2</v>
      </c>
      <c r="P26" s="1">
        <v>7.86</v>
      </c>
      <c r="Q26">
        <v>68</v>
      </c>
      <c r="R26">
        <v>1.4</v>
      </c>
      <c r="S26">
        <v>35</v>
      </c>
    </row>
    <row r="27" spans="1:19" x14ac:dyDescent="0.25">
      <c r="A27" s="5" t="str">
        <f t="shared" si="11"/>
        <v>C-arm 12</v>
      </c>
      <c r="B27" s="2">
        <f t="shared" si="12"/>
        <v>30.5</v>
      </c>
      <c r="C27" s="3">
        <f t="shared" si="13"/>
        <v>7.97</v>
      </c>
      <c r="D27" s="4">
        <f t="shared" si="14"/>
        <v>3.3500000000000002E-2</v>
      </c>
      <c r="E27" s="3">
        <f t="shared" si="15"/>
        <v>237.91044776119401</v>
      </c>
      <c r="G27">
        <v>335.35714285714289</v>
      </c>
      <c r="L27" s="1" t="s">
        <v>17</v>
      </c>
      <c r="M27" s="1">
        <v>30.5</v>
      </c>
      <c r="N27" s="1">
        <v>80</v>
      </c>
      <c r="O27" s="1">
        <v>2.1</v>
      </c>
      <c r="P27" s="1">
        <v>7.97</v>
      </c>
      <c r="Q27">
        <v>69</v>
      </c>
      <c r="R27">
        <v>1.5</v>
      </c>
      <c r="S27">
        <v>33.5</v>
      </c>
    </row>
    <row r="28" spans="1:19" x14ac:dyDescent="0.25">
      <c r="A28" s="5" t="str">
        <f t="shared" si="11"/>
        <v>C-arm 18</v>
      </c>
      <c r="B28" s="2">
        <f t="shared" si="12"/>
        <v>30.5</v>
      </c>
      <c r="C28" s="3">
        <f t="shared" si="13"/>
        <v>8.5280000000000005</v>
      </c>
      <c r="D28" s="4">
        <f t="shared" si="14"/>
        <v>3.5000000000000003E-2</v>
      </c>
      <c r="E28" s="3">
        <f t="shared" si="15"/>
        <v>243.65714285714284</v>
      </c>
      <c r="G28">
        <v>394.61538461538464</v>
      </c>
      <c r="L28" s="1" t="s">
        <v>18</v>
      </c>
      <c r="M28" s="1">
        <v>30.5</v>
      </c>
      <c r="N28" s="1">
        <v>82</v>
      </c>
      <c r="O28" s="1">
        <v>2.35</v>
      </c>
      <c r="P28" s="1">
        <v>8.5280000000000005</v>
      </c>
      <c r="Q28">
        <v>70</v>
      </c>
      <c r="R28">
        <v>1.57</v>
      </c>
      <c r="S28">
        <v>35</v>
      </c>
    </row>
    <row r="29" spans="1:19" x14ac:dyDescent="0.25">
      <c r="A29" s="5" t="str">
        <f t="shared" si="11"/>
        <v>C-arm 19</v>
      </c>
      <c r="B29" s="2">
        <f t="shared" si="12"/>
        <v>30.5</v>
      </c>
      <c r="C29" s="3">
        <f t="shared" si="13"/>
        <v>8.1999999999999993</v>
      </c>
      <c r="D29" s="4">
        <f t="shared" si="14"/>
        <v>2.7800000000000002E-2</v>
      </c>
      <c r="E29" s="3">
        <f t="shared" si="15"/>
        <v>294.96402877697835</v>
      </c>
      <c r="G29">
        <v>445</v>
      </c>
      <c r="L29" s="1" t="s">
        <v>19</v>
      </c>
      <c r="M29" s="1">
        <v>30.5</v>
      </c>
      <c r="N29" s="1">
        <v>80</v>
      </c>
      <c r="O29" s="1">
        <v>2.1</v>
      </c>
      <c r="P29" s="1">
        <v>8.1999999999999993</v>
      </c>
      <c r="Q29">
        <v>68</v>
      </c>
      <c r="R29">
        <v>1.5</v>
      </c>
      <c r="S29">
        <v>27.8</v>
      </c>
    </row>
    <row r="30" spans="1:19" x14ac:dyDescent="0.25">
      <c r="A30" s="5" t="str">
        <f t="shared" si="11"/>
        <v>ART C-arm 1</v>
      </c>
      <c r="B30" s="2">
        <f t="shared" si="12"/>
        <v>33</v>
      </c>
      <c r="C30" s="3">
        <f t="shared" si="13"/>
        <v>15.96</v>
      </c>
      <c r="D30" s="4">
        <f t="shared" si="14"/>
        <v>2.52E-2</v>
      </c>
      <c r="E30" s="3">
        <f t="shared" si="15"/>
        <v>633.33333333333337</v>
      </c>
      <c r="G30">
        <v>1016</v>
      </c>
      <c r="L30" s="1" t="s">
        <v>20</v>
      </c>
      <c r="M30" s="1">
        <v>33</v>
      </c>
      <c r="N30" s="1">
        <v>68</v>
      </c>
      <c r="O30" s="1">
        <v>6.1</v>
      </c>
      <c r="P30" s="1">
        <v>15.96</v>
      </c>
      <c r="Q30">
        <v>62</v>
      </c>
      <c r="R30">
        <v>2.9</v>
      </c>
      <c r="S30">
        <v>25.2</v>
      </c>
    </row>
    <row r="31" spans="1:19" x14ac:dyDescent="0.25">
      <c r="A31" s="5" t="str">
        <f t="shared" si="11"/>
        <v>ART C-arm 3</v>
      </c>
      <c r="B31" s="2">
        <f t="shared" si="12"/>
        <v>33</v>
      </c>
      <c r="C31" s="3">
        <f t="shared" si="13"/>
        <v>13.4</v>
      </c>
      <c r="D31" s="4">
        <f t="shared" si="14"/>
        <v>3.9600000000000003E-2</v>
      </c>
      <c r="E31" s="3">
        <f t="shared" si="15"/>
        <v>338.38383838383834</v>
      </c>
      <c r="G31">
        <v>132.77421594074127</v>
      </c>
      <c r="L31" s="1" t="s">
        <v>21</v>
      </c>
      <c r="M31" s="1">
        <v>33</v>
      </c>
      <c r="N31" s="1">
        <v>68</v>
      </c>
      <c r="O31" s="1">
        <v>5.8</v>
      </c>
      <c r="P31" s="1">
        <v>13.4</v>
      </c>
      <c r="Q31">
        <v>63</v>
      </c>
      <c r="R31">
        <v>3.3</v>
      </c>
      <c r="S31">
        <v>39.6</v>
      </c>
    </row>
    <row r="32" spans="1:19" x14ac:dyDescent="0.25">
      <c r="A32" s="5" t="str">
        <f t="shared" si="11"/>
        <v>ART C-arm 4</v>
      </c>
      <c r="B32" s="2">
        <f t="shared" si="12"/>
        <v>33</v>
      </c>
      <c r="C32" s="3">
        <f t="shared" si="13"/>
        <v>10.342637150302032</v>
      </c>
      <c r="D32" s="4">
        <f t="shared" si="14"/>
        <v>2.471232013789704E-2</v>
      </c>
      <c r="E32" s="3">
        <f t="shared" si="15"/>
        <v>418.52149424210904</v>
      </c>
      <c r="G32">
        <v>270.55099095852472</v>
      </c>
      <c r="L32" s="1" t="s">
        <v>22</v>
      </c>
      <c r="M32" s="1">
        <v>33</v>
      </c>
      <c r="N32" s="1">
        <v>68</v>
      </c>
      <c r="O32" s="1">
        <v>5.8</v>
      </c>
      <c r="P32" s="1">
        <v>10.342637150302032</v>
      </c>
      <c r="Q32">
        <v>62</v>
      </c>
      <c r="R32">
        <v>2.8</v>
      </c>
      <c r="S32">
        <v>24.712320137897041</v>
      </c>
    </row>
    <row r="33" spans="1:19" x14ac:dyDescent="0.25">
      <c r="A33" s="5" t="str">
        <f t="shared" si="11"/>
        <v>RT Uro</v>
      </c>
      <c r="B33" s="2">
        <f t="shared" si="12"/>
        <v>30.5</v>
      </c>
      <c r="C33" s="3">
        <f t="shared" si="13"/>
        <v>22</v>
      </c>
      <c r="D33" s="4">
        <f t="shared" si="14"/>
        <v>4.4444444444444446E-2</v>
      </c>
      <c r="E33" s="3">
        <f t="shared" si="15"/>
        <v>495</v>
      </c>
      <c r="G33">
        <v>422.42424242424238</v>
      </c>
      <c r="L33" s="1" t="s">
        <v>23</v>
      </c>
      <c r="M33" s="1">
        <v>30.5</v>
      </c>
      <c r="N33" s="1">
        <v>90</v>
      </c>
      <c r="O33" s="1">
        <v>2.9</v>
      </c>
      <c r="P33" s="1">
        <v>22</v>
      </c>
      <c r="Q33">
        <v>74</v>
      </c>
      <c r="R33">
        <v>1.8</v>
      </c>
      <c r="S33">
        <v>44.444444444444443</v>
      </c>
    </row>
    <row r="34" spans="1:19" x14ac:dyDescent="0.25">
      <c r="A34" s="5" t="str">
        <f t="shared" si="11"/>
        <v>EC1</v>
      </c>
      <c r="B34" s="2">
        <f t="shared" si="12"/>
        <v>33</v>
      </c>
      <c r="C34" s="3">
        <f t="shared" si="13"/>
        <v>12.59</v>
      </c>
      <c r="D34" s="4">
        <f t="shared" si="14"/>
        <v>3.15E-2</v>
      </c>
      <c r="E34" s="3">
        <f t="shared" si="15"/>
        <v>399.6825396825397</v>
      </c>
      <c r="G34">
        <v>285</v>
      </c>
      <c r="L34" s="1" t="s">
        <v>24</v>
      </c>
      <c r="M34" s="1">
        <v>33</v>
      </c>
      <c r="N34" s="1">
        <v>67</v>
      </c>
      <c r="O34" s="1">
        <v>5.6</v>
      </c>
      <c r="P34" s="1">
        <v>12.59</v>
      </c>
      <c r="Q34">
        <v>62</v>
      </c>
      <c r="R34">
        <v>2.8</v>
      </c>
      <c r="S34">
        <v>31.5</v>
      </c>
    </row>
    <row r="35" spans="1:19" x14ac:dyDescent="0.25">
      <c r="A35" s="5" t="str">
        <f t="shared" si="11"/>
        <v>EC2</v>
      </c>
      <c r="B35" s="2">
        <f t="shared" si="12"/>
        <v>33</v>
      </c>
      <c r="C35" s="3">
        <f t="shared" si="13"/>
        <v>26.82</v>
      </c>
      <c r="D35" s="4">
        <f t="shared" si="14"/>
        <v>3.27E-2</v>
      </c>
      <c r="E35" s="3">
        <f t="shared" si="15"/>
        <v>820.18348623853217</v>
      </c>
      <c r="G35">
        <v>443.58974358974359</v>
      </c>
      <c r="L35" s="1" t="s">
        <v>25</v>
      </c>
      <c r="M35" s="1">
        <v>33</v>
      </c>
      <c r="N35" s="1">
        <v>75</v>
      </c>
      <c r="O35" s="1">
        <v>7.3</v>
      </c>
      <c r="P35" s="1">
        <v>26.82</v>
      </c>
      <c r="Q35">
        <v>63</v>
      </c>
      <c r="R35">
        <v>3.1</v>
      </c>
      <c r="S35">
        <v>32.700000000000003</v>
      </c>
    </row>
    <row r="36" spans="1:19" x14ac:dyDescent="0.25">
      <c r="A36" s="5" t="str">
        <f t="shared" si="11"/>
        <v>EC Neuro</v>
      </c>
      <c r="B36" s="2">
        <f t="shared" si="12"/>
        <v>23</v>
      </c>
      <c r="C36" s="3">
        <f t="shared" si="13"/>
        <v>22.6</v>
      </c>
      <c r="D36" s="4">
        <f t="shared" si="14"/>
        <v>4.5600000000000002E-2</v>
      </c>
      <c r="E36" s="3">
        <f t="shared" si="15"/>
        <v>495.61403508771929</v>
      </c>
      <c r="G36">
        <v>506.47058823529403</v>
      </c>
      <c r="L36" s="1" t="s">
        <v>26</v>
      </c>
      <c r="M36" s="1">
        <v>23</v>
      </c>
      <c r="N36" s="1">
        <v>80</v>
      </c>
      <c r="O36" s="1">
        <v>3</v>
      </c>
      <c r="P36" s="1">
        <v>22.6</v>
      </c>
      <c r="Q36">
        <v>68</v>
      </c>
      <c r="R36">
        <v>2</v>
      </c>
      <c r="S36">
        <v>45.6</v>
      </c>
    </row>
    <row r="37" spans="1:19" x14ac:dyDescent="0.25">
      <c r="A37" s="5" t="str">
        <f t="shared" si="11"/>
        <v>Neuro</v>
      </c>
      <c r="B37" s="2">
        <f t="shared" si="12"/>
        <v>30.5</v>
      </c>
      <c r="C37" s="3">
        <f t="shared" si="13"/>
        <v>7.1913547227281311</v>
      </c>
      <c r="D37" s="4">
        <f t="shared" si="14"/>
        <v>3.1560369165929879E-2</v>
      </c>
      <c r="E37" s="3">
        <f t="shared" si="15"/>
        <v>227.86028531286505</v>
      </c>
      <c r="G37">
        <v>115.45225065692368</v>
      </c>
      <c r="L37" s="1" t="s">
        <v>27</v>
      </c>
      <c r="M37" s="1">
        <v>30.5</v>
      </c>
      <c r="N37" s="1">
        <v>83</v>
      </c>
      <c r="O37" s="1">
        <v>2.4</v>
      </c>
      <c r="P37" s="1">
        <v>7.1913547227281311</v>
      </c>
      <c r="Q37">
        <v>70</v>
      </c>
      <c r="R37">
        <v>1.6</v>
      </c>
      <c r="S37">
        <v>31.560369165929881</v>
      </c>
    </row>
    <row r="38" spans="1:19" x14ac:dyDescent="0.25">
      <c r="A38" s="5" t="str">
        <f t="shared" si="11"/>
        <v>PICC</v>
      </c>
      <c r="B38" s="2">
        <f t="shared" si="12"/>
        <v>27</v>
      </c>
      <c r="C38" s="3">
        <f t="shared" si="13"/>
        <v>20.7</v>
      </c>
      <c r="D38" s="4">
        <f t="shared" si="14"/>
        <v>2.2499999999999999E-2</v>
      </c>
      <c r="E38" s="3">
        <f t="shared" si="15"/>
        <v>920</v>
      </c>
      <c r="G38">
        <v>487.87876263630915</v>
      </c>
      <c r="L38" s="1" t="s">
        <v>28</v>
      </c>
      <c r="M38" s="1">
        <v>27</v>
      </c>
      <c r="N38" s="1">
        <v>66</v>
      </c>
      <c r="O38" s="1">
        <v>3.1</v>
      </c>
      <c r="P38" s="1">
        <v>20.7</v>
      </c>
      <c r="Q38">
        <v>62</v>
      </c>
      <c r="R38">
        <v>1.8</v>
      </c>
      <c r="S38">
        <v>22.5</v>
      </c>
    </row>
    <row r="39" spans="1:19" x14ac:dyDescent="0.25">
      <c r="A39" s="5" t="str">
        <f t="shared" si="11"/>
        <v>Pain Mgmt</v>
      </c>
      <c r="B39" s="2">
        <f t="shared" si="12"/>
        <v>23</v>
      </c>
      <c r="C39" s="3">
        <f t="shared" si="13"/>
        <v>9.2199615861989965</v>
      </c>
      <c r="D39" s="4">
        <f t="shared" si="14"/>
        <v>5.4624131126927997E-3</v>
      </c>
      <c r="E39" s="3">
        <f t="shared" si="15"/>
        <v>1687.8916691187135</v>
      </c>
      <c r="G39">
        <v>271.84031079169341</v>
      </c>
      <c r="L39" s="1" t="s">
        <v>29</v>
      </c>
      <c r="M39" s="1">
        <v>23</v>
      </c>
      <c r="N39" s="1">
        <v>81</v>
      </c>
      <c r="O39" s="1">
        <v>3.1</v>
      </c>
      <c r="P39" s="1">
        <v>9.2199615861989965</v>
      </c>
      <c r="Q39">
        <v>70</v>
      </c>
      <c r="R39">
        <v>2.2000000000000002</v>
      </c>
      <c r="S39">
        <v>5.4624131126927997</v>
      </c>
    </row>
    <row r="40" spans="1:19" x14ac:dyDescent="0.25">
      <c r="A40" s="5"/>
      <c r="B40" s="2"/>
      <c r="C40" s="3"/>
      <c r="D40" s="4"/>
      <c r="E40" s="3"/>
      <c r="G40">
        <v>359.77358010994141</v>
      </c>
      <c r="L40" s="2"/>
      <c r="M40" s="2"/>
      <c r="N40" s="2"/>
      <c r="O40" s="2"/>
      <c r="P40" s="2"/>
    </row>
    <row r="41" spans="1:19" x14ac:dyDescent="0.25">
      <c r="A41" s="5" t="s">
        <v>64</v>
      </c>
      <c r="B41" s="3">
        <f>AVERAGE(B22:B39)</f>
        <v>28.916666666666668</v>
      </c>
      <c r="C41" s="3">
        <f>AVERAGE(C22:C39)</f>
        <v>13.062156247568561</v>
      </c>
      <c r="D41" s="4">
        <f>AVERAGE(D22:D39)</f>
        <v>3.2380388342032843E-2</v>
      </c>
      <c r="E41" s="3">
        <f>AVERAGE(E22:E39)</f>
        <v>478.41268007373634</v>
      </c>
      <c r="G41">
        <v>247.25353656767828</v>
      </c>
    </row>
    <row r="42" spans="1:19" x14ac:dyDescent="0.25">
      <c r="A42" s="5" t="s">
        <v>65</v>
      </c>
      <c r="B42" s="3">
        <f>STDEV(B22:B39)</f>
        <v>4.0556786622912702</v>
      </c>
      <c r="C42" s="3">
        <f>STDEV(C22:C39)</f>
        <v>6.0279769287705429</v>
      </c>
      <c r="D42" s="4">
        <f>STDEV(D22:D39)</f>
        <v>1.0174316893036887E-2</v>
      </c>
      <c r="E42" s="3">
        <f>STDEV(E22:E39)</f>
        <v>364.37406010988576</v>
      </c>
      <c r="G42">
        <v>514.03508771929819</v>
      </c>
    </row>
    <row r="43" spans="1:19" x14ac:dyDescent="0.25">
      <c r="A43" s="5" t="s">
        <v>66</v>
      </c>
      <c r="B43" s="3">
        <f>MIN(B22:B39)</f>
        <v>23</v>
      </c>
      <c r="C43" s="3">
        <f>MIN(C22:C39)</f>
        <v>7.1913547227281311</v>
      </c>
      <c r="D43" s="4">
        <f>MIN(D22:D39)</f>
        <v>5.4624131126927997E-3</v>
      </c>
      <c r="E43" s="3">
        <f>MIN(E22:E39)</f>
        <v>224.57142857142856</v>
      </c>
      <c r="G43">
        <v>301.05997858433216</v>
      </c>
    </row>
    <row r="44" spans="1:19" x14ac:dyDescent="0.25">
      <c r="A44" s="5">
        <v>10</v>
      </c>
      <c r="B44" s="3">
        <f t="shared" ref="B44:E48" si="16">PERCENTILE(B$22:B$39,$A44/100)</f>
        <v>23</v>
      </c>
      <c r="C44" s="3">
        <f t="shared" si="16"/>
        <v>7.93</v>
      </c>
      <c r="D44" s="4">
        <f t="shared" si="16"/>
        <v>2.4048624096527929E-2</v>
      </c>
      <c r="E44" s="3">
        <f t="shared" si="16"/>
        <v>234.89539902669532</v>
      </c>
      <c r="G44">
        <v>340.17978579825905</v>
      </c>
    </row>
    <row r="45" spans="1:19" x14ac:dyDescent="0.25">
      <c r="A45" s="5">
        <v>25</v>
      </c>
      <c r="B45" s="3">
        <f t="shared" si="16"/>
        <v>24</v>
      </c>
      <c r="C45" s="3">
        <f t="shared" si="16"/>
        <v>8.282</v>
      </c>
      <c r="D45" s="4">
        <f t="shared" si="16"/>
        <v>2.7625582471720173E-2</v>
      </c>
      <c r="E45" s="3">
        <f t="shared" si="16"/>
        <v>244.9690531950485</v>
      </c>
      <c r="G45">
        <v>514.03508771929819</v>
      </c>
    </row>
    <row r="46" spans="1:19" x14ac:dyDescent="0.25">
      <c r="A46" s="5">
        <v>50</v>
      </c>
      <c r="B46" s="3">
        <f t="shared" si="16"/>
        <v>30.5</v>
      </c>
      <c r="C46" s="3">
        <f t="shared" si="16"/>
        <v>10.913429498502476</v>
      </c>
      <c r="D46" s="4">
        <f t="shared" si="16"/>
        <v>3.2130184582964939E-2</v>
      </c>
      <c r="E46" s="3">
        <f t="shared" si="16"/>
        <v>369.03318903318905</v>
      </c>
      <c r="G46">
        <v>489.09090909090907</v>
      </c>
    </row>
    <row r="47" spans="1:19" x14ac:dyDescent="0.25">
      <c r="A47" s="5">
        <v>75</v>
      </c>
      <c r="B47" s="3">
        <f t="shared" si="16"/>
        <v>32.375</v>
      </c>
      <c r="C47" s="3">
        <f t="shared" si="16"/>
        <v>15.32</v>
      </c>
      <c r="D47" s="4">
        <f t="shared" si="16"/>
        <v>3.8450000000000005E-2</v>
      </c>
      <c r="E47" s="3">
        <f t="shared" si="16"/>
        <v>495.46052631578948</v>
      </c>
      <c r="G47">
        <v>421.31147540983608</v>
      </c>
    </row>
    <row r="48" spans="1:19" x14ac:dyDescent="0.25">
      <c r="A48" s="5">
        <v>90</v>
      </c>
      <c r="B48" s="3">
        <f t="shared" si="16"/>
        <v>33</v>
      </c>
      <c r="C48" s="3">
        <f t="shared" si="16"/>
        <v>22.18</v>
      </c>
      <c r="D48" s="4">
        <f t="shared" si="16"/>
        <v>4.4791111111111115E-2</v>
      </c>
      <c r="E48" s="3">
        <f t="shared" si="16"/>
        <v>850.12844036697254</v>
      </c>
      <c r="G48">
        <v>286.79999999999995</v>
      </c>
    </row>
    <row r="49" spans="1:19" x14ac:dyDescent="0.25">
      <c r="A49" s="5" t="s">
        <v>67</v>
      </c>
      <c r="B49" s="3">
        <f>MAX(B22:B39)</f>
        <v>33</v>
      </c>
      <c r="C49" s="3">
        <f>MAX(C22:C39)</f>
        <v>26.82</v>
      </c>
      <c r="D49" s="4">
        <f>MAX(D22:D39)</f>
        <v>4.9000000000000002E-2</v>
      </c>
      <c r="E49" s="3">
        <f>MAX(E22:E39)</f>
        <v>1687.8916691187135</v>
      </c>
      <c r="G49">
        <v>283.33333333333331</v>
      </c>
    </row>
    <row r="50" spans="1:19" x14ac:dyDescent="0.25">
      <c r="G50">
        <v>170.39393939393941</v>
      </c>
    </row>
    <row r="51" spans="1:19" x14ac:dyDescent="0.25">
      <c r="C51" t="s">
        <v>56</v>
      </c>
      <c r="D51" t="s">
        <v>57</v>
      </c>
      <c r="E51" t="s">
        <v>63</v>
      </c>
      <c r="G51">
        <v>342.22222222222223</v>
      </c>
    </row>
    <row r="52" spans="1:19" x14ac:dyDescent="0.25">
      <c r="A52" s="2" t="s">
        <v>0</v>
      </c>
      <c r="B52" s="2" t="s">
        <v>1</v>
      </c>
      <c r="C52" t="s">
        <v>62</v>
      </c>
      <c r="D52" t="s">
        <v>62</v>
      </c>
      <c r="E52" t="s">
        <v>61</v>
      </c>
      <c r="G52">
        <v>210.5263157894737</v>
      </c>
      <c r="P52" s="1" t="s">
        <v>60</v>
      </c>
      <c r="S52" t="s">
        <v>60</v>
      </c>
    </row>
    <row r="53" spans="1:19" x14ac:dyDescent="0.25">
      <c r="A53" s="5" t="str">
        <f t="shared" ref="A53:A63" si="17">L53</f>
        <v>HVC01</v>
      </c>
      <c r="B53" s="2">
        <f>M53</f>
        <v>48</v>
      </c>
      <c r="C53" s="3">
        <f t="shared" ref="C53:C63" si="18">IF(P53="","",P53)</f>
        <v>9.39</v>
      </c>
      <c r="D53" s="4">
        <f t="shared" ref="D53:D63" si="19">IF(S53="","",S53)</f>
        <v>2.8000000000000001E-2</v>
      </c>
      <c r="E53" s="3">
        <f t="shared" ref="E53:E63" si="20">IF(OR(P53="",S53=""),"",P53/S53)</f>
        <v>335.35714285714289</v>
      </c>
      <c r="L53" s="1" t="s">
        <v>30</v>
      </c>
      <c r="M53" s="1">
        <v>48</v>
      </c>
      <c r="N53" s="1">
        <v>66</v>
      </c>
      <c r="O53" s="1">
        <v>132.69999999999999</v>
      </c>
      <c r="P53" s="1">
        <v>9.39</v>
      </c>
      <c r="Q53">
        <v>66</v>
      </c>
      <c r="R53">
        <v>43.1</v>
      </c>
      <c r="S53">
        <v>2.8000000000000001E-2</v>
      </c>
    </row>
    <row r="54" spans="1:19" x14ac:dyDescent="0.25">
      <c r="A54" s="5" t="str">
        <f t="shared" si="17"/>
        <v>HVC02</v>
      </c>
      <c r="B54" s="2">
        <f t="shared" ref="B54:B63" si="21">M54</f>
        <v>40</v>
      </c>
      <c r="C54" s="3">
        <f t="shared" si="18"/>
        <v>5.13</v>
      </c>
      <c r="D54" s="4">
        <f t="shared" si="19"/>
        <v>1.2999999999999999E-2</v>
      </c>
      <c r="E54" s="3">
        <f t="shared" si="20"/>
        <v>394.61538461538464</v>
      </c>
      <c r="G54">
        <f>COUNT(G3:G52)</f>
        <v>50</v>
      </c>
      <c r="L54" s="1" t="s">
        <v>31</v>
      </c>
      <c r="M54" s="1">
        <v>40</v>
      </c>
      <c r="N54" s="1">
        <v>66</v>
      </c>
      <c r="O54" s="1">
        <v>58.1</v>
      </c>
      <c r="P54" s="1">
        <v>5.13</v>
      </c>
      <c r="Q54">
        <v>58</v>
      </c>
      <c r="R54">
        <v>86.1</v>
      </c>
      <c r="S54">
        <v>1.2999999999999999E-2</v>
      </c>
    </row>
    <row r="55" spans="1:19" x14ac:dyDescent="0.25">
      <c r="A55" s="5" t="str">
        <f t="shared" si="17"/>
        <v>HVC04</v>
      </c>
      <c r="B55" s="2">
        <f t="shared" si="21"/>
        <v>40</v>
      </c>
      <c r="C55" s="3">
        <f t="shared" si="18"/>
        <v>4.45</v>
      </c>
      <c r="D55" s="4">
        <f t="shared" si="19"/>
        <v>0.01</v>
      </c>
      <c r="E55" s="3">
        <f t="shared" si="20"/>
        <v>445</v>
      </c>
      <c r="G55">
        <f>AVERAGE(G3:G52)</f>
        <v>434.36420283732883</v>
      </c>
      <c r="H55">
        <f>G55/0.7</f>
        <v>620.52028976761267</v>
      </c>
      <c r="L55" s="1" t="s">
        <v>32</v>
      </c>
      <c r="M55" s="1">
        <v>40</v>
      </c>
      <c r="N55" s="1">
        <v>66</v>
      </c>
      <c r="O55" s="1">
        <v>53.6</v>
      </c>
      <c r="P55" s="1">
        <v>4.45</v>
      </c>
      <c r="Q55">
        <v>58</v>
      </c>
      <c r="R55">
        <v>77.400000000000006</v>
      </c>
      <c r="S55">
        <v>0.01</v>
      </c>
    </row>
    <row r="56" spans="1:19" x14ac:dyDescent="0.25">
      <c r="A56" s="5" t="str">
        <f t="shared" si="17"/>
        <v>HVC05</v>
      </c>
      <c r="B56" s="2">
        <f t="shared" si="21"/>
        <v>40</v>
      </c>
      <c r="C56" s="3">
        <f t="shared" si="18"/>
        <v>5.08</v>
      </c>
      <c r="D56" s="4">
        <f t="shared" si="19"/>
        <v>5.0000000000000001E-3</v>
      </c>
      <c r="E56" s="3">
        <f t="shared" si="20"/>
        <v>1016</v>
      </c>
      <c r="G56">
        <f>STDEV(G3:G52)</f>
        <v>268.67777244274936</v>
      </c>
      <c r="L56" s="1" t="s">
        <v>33</v>
      </c>
      <c r="M56" s="1">
        <v>40</v>
      </c>
      <c r="N56" s="1">
        <v>58.2</v>
      </c>
      <c r="O56" s="1">
        <v>169.8</v>
      </c>
      <c r="P56" s="1">
        <v>5.08</v>
      </c>
      <c r="Q56">
        <v>58</v>
      </c>
      <c r="R56">
        <v>75</v>
      </c>
      <c r="S56">
        <v>5.0000000000000001E-3</v>
      </c>
    </row>
    <row r="57" spans="1:19" x14ac:dyDescent="0.25">
      <c r="A57" s="5" t="str">
        <f t="shared" si="17"/>
        <v>Neuro1 AP</v>
      </c>
      <c r="B57" s="2">
        <f t="shared" si="21"/>
        <v>48</v>
      </c>
      <c r="C57" s="3">
        <f t="shared" si="18"/>
        <v>5.2591527675658112</v>
      </c>
      <c r="D57" s="4">
        <f t="shared" si="19"/>
        <v>3.96097444846749E-2</v>
      </c>
      <c r="E57" s="3">
        <f t="shared" si="20"/>
        <v>132.77421594074127</v>
      </c>
      <c r="G57">
        <f>MEDIAN(G3:G52)</f>
        <v>377.19448236266305</v>
      </c>
      <c r="H57">
        <f>G57/0.7</f>
        <v>538.84926051809009</v>
      </c>
      <c r="L57" s="1" t="s">
        <v>34</v>
      </c>
      <c r="M57" s="1">
        <v>48</v>
      </c>
      <c r="N57" s="1">
        <v>80</v>
      </c>
      <c r="O57" s="1">
        <v>20.9</v>
      </c>
      <c r="P57" s="1">
        <f>4.73323749080923/(15*60)*1000</f>
        <v>5.2591527675658112</v>
      </c>
      <c r="Q57">
        <v>74.099999999999994</v>
      </c>
      <c r="R57">
        <v>15</v>
      </c>
      <c r="S57">
        <f>39.6097444846749/1000</f>
        <v>3.96097444846749E-2</v>
      </c>
    </row>
    <row r="58" spans="1:19" x14ac:dyDescent="0.25">
      <c r="A58" s="5" t="str">
        <f t="shared" si="17"/>
        <v>Neuro1 Lat</v>
      </c>
      <c r="B58" s="2">
        <f t="shared" si="21"/>
        <v>25</v>
      </c>
      <c r="C58" s="3">
        <f t="shared" si="18"/>
        <v>11.457085184427001</v>
      </c>
      <c r="D58" s="4">
        <f t="shared" si="19"/>
        <v>4.2347230530688999E-2</v>
      </c>
      <c r="E58" s="3">
        <f t="shared" si="20"/>
        <v>270.55099095852472</v>
      </c>
      <c r="L58" s="1" t="s">
        <v>35</v>
      </c>
      <c r="M58" s="1">
        <v>25</v>
      </c>
      <c r="N58" s="1">
        <v>80</v>
      </c>
      <c r="O58" s="1">
        <v>33.6</v>
      </c>
      <c r="P58" s="1">
        <f>10.3113766659843/(15*60)*1000</f>
        <v>11.457085184427001</v>
      </c>
      <c r="Q58">
        <v>77.599999999999994</v>
      </c>
      <c r="R58">
        <v>15</v>
      </c>
      <c r="S58">
        <f>42.347230530689/1000</f>
        <v>4.2347230530688999E-2</v>
      </c>
    </row>
    <row r="59" spans="1:19" x14ac:dyDescent="0.25">
      <c r="A59" s="5" t="str">
        <f t="shared" si="17"/>
        <v>Neuro2 AP</v>
      </c>
      <c r="B59" s="2">
        <f t="shared" si="21"/>
        <v>48</v>
      </c>
      <c r="C59" s="3">
        <f t="shared" si="18"/>
        <v>13.94</v>
      </c>
      <c r="D59" s="4">
        <f t="shared" si="19"/>
        <v>3.3000000000000002E-2</v>
      </c>
      <c r="E59" s="3">
        <f t="shared" si="20"/>
        <v>422.42424242424238</v>
      </c>
      <c r="L59" s="1" t="s">
        <v>36</v>
      </c>
      <c r="M59" s="1">
        <v>48</v>
      </c>
      <c r="N59" s="1">
        <v>68.400000000000006</v>
      </c>
      <c r="O59" s="1">
        <v>39</v>
      </c>
      <c r="P59" s="1">
        <v>13.94</v>
      </c>
      <c r="Q59">
        <v>65</v>
      </c>
      <c r="R59">
        <v>39</v>
      </c>
      <c r="S59">
        <v>3.3000000000000002E-2</v>
      </c>
    </row>
    <row r="60" spans="1:19" x14ac:dyDescent="0.25">
      <c r="A60" s="5" t="str">
        <f t="shared" si="17"/>
        <v>Neuro2 Lat</v>
      </c>
      <c r="B60" s="2">
        <f t="shared" si="21"/>
        <v>25</v>
      </c>
      <c r="C60" s="3">
        <f t="shared" si="18"/>
        <v>16.53</v>
      </c>
      <c r="D60" s="4">
        <f t="shared" si="19"/>
        <v>5.8000000000000003E-2</v>
      </c>
      <c r="E60" s="3">
        <f t="shared" si="20"/>
        <v>285</v>
      </c>
      <c r="L60" s="1" t="s">
        <v>37</v>
      </c>
      <c r="M60" s="1">
        <v>25</v>
      </c>
      <c r="N60" s="1">
        <v>68.400000000000006</v>
      </c>
      <c r="O60" s="1">
        <v>52.7</v>
      </c>
      <c r="P60" s="1">
        <v>16.53</v>
      </c>
      <c r="Q60">
        <v>65</v>
      </c>
      <c r="R60">
        <v>39</v>
      </c>
      <c r="S60">
        <v>5.8000000000000003E-2</v>
      </c>
    </row>
    <row r="61" spans="1:19" x14ac:dyDescent="0.25">
      <c r="A61" s="5" t="str">
        <f t="shared" si="17"/>
        <v>ART Angio 2</v>
      </c>
      <c r="B61" s="2">
        <f t="shared" si="21"/>
        <v>48</v>
      </c>
      <c r="C61" s="3">
        <f t="shared" si="18"/>
        <v>17.3</v>
      </c>
      <c r="D61" s="4">
        <f t="shared" si="19"/>
        <v>3.9E-2</v>
      </c>
      <c r="E61" s="3">
        <f t="shared" si="20"/>
        <v>443.58974358974359</v>
      </c>
      <c r="L61" s="1" t="s">
        <v>38</v>
      </c>
      <c r="M61" s="1">
        <v>48</v>
      </c>
      <c r="N61" s="1">
        <v>65</v>
      </c>
      <c r="O61" s="1">
        <v>125</v>
      </c>
      <c r="P61" s="1">
        <v>17.3</v>
      </c>
      <c r="Q61">
        <v>66</v>
      </c>
      <c r="R61">
        <v>62.5</v>
      </c>
      <c r="S61">
        <v>3.9E-2</v>
      </c>
    </row>
    <row r="62" spans="1:19" x14ac:dyDescent="0.25">
      <c r="A62" s="5" t="str">
        <f t="shared" si="17"/>
        <v>ART Angio 3</v>
      </c>
      <c r="B62" s="2">
        <f t="shared" si="21"/>
        <v>48</v>
      </c>
      <c r="C62" s="3">
        <f t="shared" si="18"/>
        <v>17.22</v>
      </c>
      <c r="D62" s="4">
        <f t="shared" si="19"/>
        <v>3.4000000000000002E-2</v>
      </c>
      <c r="E62" s="3">
        <f t="shared" si="20"/>
        <v>506.47058823529403</v>
      </c>
      <c r="L62" s="1" t="s">
        <v>39</v>
      </c>
      <c r="M62" s="1">
        <v>48</v>
      </c>
      <c r="N62" s="1">
        <v>64.8</v>
      </c>
      <c r="O62" s="1">
        <v>121.9</v>
      </c>
      <c r="P62" s="1">
        <v>17.22</v>
      </c>
      <c r="Q62">
        <v>66</v>
      </c>
      <c r="R62">
        <v>52.8</v>
      </c>
      <c r="S62">
        <v>3.4000000000000002E-2</v>
      </c>
    </row>
    <row r="63" spans="1:19" x14ac:dyDescent="0.25">
      <c r="A63" s="5" t="str">
        <f t="shared" si="17"/>
        <v>ART OR 10</v>
      </c>
      <c r="B63" s="2">
        <f t="shared" si="21"/>
        <v>48</v>
      </c>
      <c r="C63" s="3">
        <f t="shared" si="18"/>
        <v>5.0245875432100942</v>
      </c>
      <c r="D63" s="4">
        <f t="shared" si="19"/>
        <v>4.3520914617256698E-2</v>
      </c>
      <c r="E63" s="3">
        <f t="shared" si="20"/>
        <v>115.45225065692368</v>
      </c>
      <c r="L63" s="1" t="s">
        <v>40</v>
      </c>
      <c r="M63" s="1">
        <v>48</v>
      </c>
      <c r="N63" s="1">
        <v>65</v>
      </c>
      <c r="O63" s="1">
        <v>107</v>
      </c>
      <c r="P63" s="1">
        <v>5.0245875432100942</v>
      </c>
      <c r="Q63">
        <v>65</v>
      </c>
      <c r="R63">
        <v>93</v>
      </c>
      <c r="S63">
        <f>43.5209146172567/1000</f>
        <v>4.3520914617256698E-2</v>
      </c>
    </row>
    <row r="64" spans="1:19" x14ac:dyDescent="0.25">
      <c r="A64" s="5"/>
      <c r="B64" s="2"/>
      <c r="C64" s="3"/>
      <c r="D64" s="4"/>
      <c r="E64" s="3"/>
      <c r="L64" s="2"/>
      <c r="M64" s="2"/>
      <c r="N64" s="2"/>
      <c r="O64" s="2"/>
      <c r="P64" s="2"/>
    </row>
    <row r="65" spans="1:19" x14ac:dyDescent="0.25">
      <c r="A65" s="5" t="s">
        <v>64</v>
      </c>
      <c r="B65" s="3">
        <f>AVERAGE(B53:B63)</f>
        <v>41.636363636363633</v>
      </c>
      <c r="C65" s="3">
        <f t="shared" ref="C65:E65" si="22">AVERAGE(C53:C63)</f>
        <v>10.070984135927535</v>
      </c>
      <c r="D65" s="4">
        <f t="shared" si="22"/>
        <v>3.1407080875692779E-2</v>
      </c>
      <c r="E65" s="3">
        <f t="shared" si="22"/>
        <v>397.02132357072702</v>
      </c>
    </row>
    <row r="66" spans="1:19" x14ac:dyDescent="0.25">
      <c r="A66" s="5" t="s">
        <v>65</v>
      </c>
      <c r="B66" s="3">
        <f>STDEV(B53:B63)</f>
        <v>8.9696457819997324</v>
      </c>
      <c r="C66" s="3">
        <f t="shared" ref="C66:E66" si="23">STDEV(C53:C63)</f>
        <v>5.4035065708116674</v>
      </c>
      <c r="D66" s="4">
        <f t="shared" si="23"/>
        <v>1.6167367690591197E-2</v>
      </c>
      <c r="E66" s="3">
        <f t="shared" si="23"/>
        <v>241.18231304021117</v>
      </c>
    </row>
    <row r="67" spans="1:19" x14ac:dyDescent="0.25">
      <c r="A67" s="5" t="s">
        <v>66</v>
      </c>
      <c r="B67" s="3">
        <f>MIN(B53:B63)</f>
        <v>25</v>
      </c>
      <c r="C67" s="3">
        <f t="shared" ref="C67:E67" si="24">MIN(C53:C63)</f>
        <v>4.45</v>
      </c>
      <c r="D67" s="4">
        <f t="shared" si="24"/>
        <v>5.0000000000000001E-3</v>
      </c>
      <c r="E67" s="3">
        <f t="shared" si="24"/>
        <v>115.45225065692368</v>
      </c>
    </row>
    <row r="68" spans="1:19" x14ac:dyDescent="0.25">
      <c r="A68" s="5">
        <v>10</v>
      </c>
      <c r="B68" s="3">
        <f>PERCENTILE(B$53:B$63,$A68/100)</f>
        <v>25</v>
      </c>
      <c r="C68" s="3">
        <f t="shared" ref="C68:E68" si="25">PERCENTILE(C$53:C$63,$A68/100)</f>
        <v>5.0245875432100942</v>
      </c>
      <c r="D68" s="4">
        <f t="shared" si="25"/>
        <v>0.01</v>
      </c>
      <c r="E68" s="3">
        <f t="shared" si="25"/>
        <v>132.77421594074127</v>
      </c>
    </row>
    <row r="69" spans="1:19" x14ac:dyDescent="0.25">
      <c r="A69" s="5">
        <v>25</v>
      </c>
      <c r="B69" s="3">
        <f t="shared" ref="B69:E72" si="26">PERCENTILE(B$53:B$63,$A69/100)</f>
        <v>40</v>
      </c>
      <c r="C69" s="3">
        <f t="shared" si="26"/>
        <v>5.1050000000000004</v>
      </c>
      <c r="D69" s="4">
        <f t="shared" si="26"/>
        <v>2.0500000000000001E-2</v>
      </c>
      <c r="E69" s="3">
        <f t="shared" si="26"/>
        <v>277.77549547926236</v>
      </c>
    </row>
    <row r="70" spans="1:19" x14ac:dyDescent="0.25">
      <c r="A70" s="5">
        <v>50</v>
      </c>
      <c r="B70" s="3">
        <f t="shared" si="26"/>
        <v>48</v>
      </c>
      <c r="C70" s="3">
        <f t="shared" si="26"/>
        <v>9.39</v>
      </c>
      <c r="D70" s="4">
        <f t="shared" si="26"/>
        <v>3.4000000000000002E-2</v>
      </c>
      <c r="E70" s="3">
        <f t="shared" si="26"/>
        <v>394.61538461538464</v>
      </c>
    </row>
    <row r="71" spans="1:19" x14ac:dyDescent="0.25">
      <c r="A71" s="5">
        <v>75</v>
      </c>
      <c r="B71" s="3">
        <f t="shared" si="26"/>
        <v>48</v>
      </c>
      <c r="C71" s="3">
        <f t="shared" si="26"/>
        <v>15.234999999999999</v>
      </c>
      <c r="D71" s="4">
        <f t="shared" si="26"/>
        <v>4.0978487507681946E-2</v>
      </c>
      <c r="E71" s="3">
        <f t="shared" si="26"/>
        <v>444.29487179487182</v>
      </c>
    </row>
    <row r="72" spans="1:19" x14ac:dyDescent="0.25">
      <c r="A72" s="5">
        <v>90</v>
      </c>
      <c r="B72" s="3">
        <f t="shared" si="26"/>
        <v>48</v>
      </c>
      <c r="C72" s="3">
        <f t="shared" si="26"/>
        <v>17.22</v>
      </c>
      <c r="D72" s="4">
        <f t="shared" si="26"/>
        <v>4.3520914617256698E-2</v>
      </c>
      <c r="E72" s="3">
        <f t="shared" si="26"/>
        <v>506.47058823529403</v>
      </c>
    </row>
    <row r="73" spans="1:19" x14ac:dyDescent="0.25">
      <c r="A73" s="5" t="s">
        <v>67</v>
      </c>
      <c r="B73" s="3">
        <f>MAX(B53:B63)</f>
        <v>48</v>
      </c>
      <c r="C73" s="3">
        <f t="shared" ref="C73:E73" si="27">MAX(C53:C63)</f>
        <v>17.3</v>
      </c>
      <c r="D73" s="4">
        <f t="shared" si="27"/>
        <v>5.8000000000000003E-2</v>
      </c>
      <c r="E73" s="3">
        <f t="shared" si="27"/>
        <v>1016</v>
      </c>
    </row>
    <row r="75" spans="1:19" x14ac:dyDescent="0.25">
      <c r="C75" t="s">
        <v>56</v>
      </c>
      <c r="D75" t="s">
        <v>57</v>
      </c>
      <c r="E75" t="s">
        <v>63</v>
      </c>
    </row>
    <row r="76" spans="1:19" x14ac:dyDescent="0.25">
      <c r="A76" s="2" t="s">
        <v>0</v>
      </c>
      <c r="B76" s="2" t="s">
        <v>1</v>
      </c>
      <c r="C76" t="s">
        <v>62</v>
      </c>
      <c r="D76" t="s">
        <v>62</v>
      </c>
      <c r="E76" t="s">
        <v>61</v>
      </c>
      <c r="P76" s="2" t="s">
        <v>60</v>
      </c>
      <c r="S76" t="s">
        <v>60</v>
      </c>
    </row>
    <row r="77" spans="1:19" x14ac:dyDescent="0.25">
      <c r="A77" s="5" t="str">
        <f t="shared" ref="A77:A91" si="28">L77</f>
        <v>ART EP 6</v>
      </c>
      <c r="B77" s="2">
        <f t="shared" ref="B77:B91" si="29">M77</f>
        <v>25</v>
      </c>
      <c r="C77" s="3">
        <f t="shared" ref="C77:C91" si="30">IF(P77="","",P77)</f>
        <v>31.480514223679165</v>
      </c>
      <c r="D77" s="4">
        <f t="shared" ref="D77:D91" si="31">IF(S77="","",S77)</f>
        <v>6.4525280939819102E-2</v>
      </c>
      <c r="E77" s="3">
        <f t="shared" ref="E77:E91" si="32">IF(OR(P77="",S77=""),"",P77/S77)</f>
        <v>487.87876263630915</v>
      </c>
      <c r="L77" s="1" t="s">
        <v>41</v>
      </c>
      <c r="M77" s="1">
        <v>25</v>
      </c>
      <c r="N77" s="1">
        <v>70</v>
      </c>
      <c r="O77" s="1">
        <v>166</v>
      </c>
      <c r="P77" s="1">
        <f>18.8883085342075/(10*60)*1000</f>
        <v>31.480514223679165</v>
      </c>
      <c r="Q77">
        <v>66</v>
      </c>
      <c r="R77">
        <v>102.8</v>
      </c>
      <c r="S77">
        <f>64.5252809398191/1000</f>
        <v>6.4525280939819102E-2</v>
      </c>
    </row>
    <row r="78" spans="1:19" x14ac:dyDescent="0.25">
      <c r="A78" s="5" t="str">
        <f t="shared" si="28"/>
        <v>ART EP 7 AP</v>
      </c>
      <c r="B78" s="2">
        <f t="shared" si="29"/>
        <v>48</v>
      </c>
      <c r="C78" s="3">
        <f t="shared" si="30"/>
        <v>13.22046571107709</v>
      </c>
      <c r="D78" s="4">
        <f t="shared" si="31"/>
        <v>4.8633205548413702E-2</v>
      </c>
      <c r="E78" s="3">
        <f t="shared" si="32"/>
        <v>271.84031079169341</v>
      </c>
      <c r="L78" s="1" t="s">
        <v>42</v>
      </c>
      <c r="M78" s="1">
        <v>48</v>
      </c>
      <c r="N78" s="1">
        <v>66.400000000000006</v>
      </c>
      <c r="O78" s="1">
        <v>98</v>
      </c>
      <c r="P78" s="1">
        <f>5.94920956998469/(7.5*60)*1000</f>
        <v>13.22046571107709</v>
      </c>
      <c r="Q78">
        <v>66.400000000000006</v>
      </c>
      <c r="R78">
        <v>62.1</v>
      </c>
      <c r="S78">
        <f>48.6332055484137/1000</f>
        <v>4.8633205548413702E-2</v>
      </c>
    </row>
    <row r="79" spans="1:19" x14ac:dyDescent="0.25">
      <c r="A79" s="5" t="str">
        <f t="shared" si="28"/>
        <v>ART EP 7 Lat</v>
      </c>
      <c r="B79" s="2">
        <f t="shared" si="29"/>
        <v>25</v>
      </c>
      <c r="C79" s="3">
        <f t="shared" si="30"/>
        <v>16.727274769280491</v>
      </c>
      <c r="D79" s="4">
        <f t="shared" si="31"/>
        <v>4.6493894199148497E-2</v>
      </c>
      <c r="E79" s="3">
        <f t="shared" si="32"/>
        <v>359.77358010994141</v>
      </c>
      <c r="L79" s="1" t="s">
        <v>43</v>
      </c>
      <c r="M79" s="1">
        <v>25</v>
      </c>
      <c r="N79" s="1">
        <v>66.400000000000006</v>
      </c>
      <c r="O79" s="1">
        <v>130.4</v>
      </c>
      <c r="P79" s="1">
        <f>7.52727364617622/(7.5*60)*1000</f>
        <v>16.727274769280491</v>
      </c>
      <c r="Q79">
        <v>66.400000000000006</v>
      </c>
      <c r="R79">
        <v>58.1</v>
      </c>
      <c r="S79">
        <f>46.4938941991485/1000</f>
        <v>4.6493894199148497E-2</v>
      </c>
    </row>
    <row r="80" spans="1:19" x14ac:dyDescent="0.25">
      <c r="A80" s="5" t="str">
        <f t="shared" si="28"/>
        <v>ART EP 8</v>
      </c>
      <c r="B80" s="2">
        <f t="shared" si="29"/>
        <v>25</v>
      </c>
      <c r="C80" s="3">
        <f t="shared" si="30"/>
        <v>10.451466351557311</v>
      </c>
      <c r="D80" s="4">
        <f t="shared" si="31"/>
        <v>4.2270240080859403E-2</v>
      </c>
      <c r="E80" s="3">
        <f t="shared" si="32"/>
        <v>247.25353656767828</v>
      </c>
      <c r="L80" s="1" t="s">
        <v>44</v>
      </c>
      <c r="M80" s="1">
        <v>25</v>
      </c>
      <c r="N80" s="1">
        <v>66</v>
      </c>
      <c r="O80" s="1">
        <v>151.4</v>
      </c>
      <c r="P80" s="1">
        <f>9.40631971640158/(15*60)*1000</f>
        <v>10.451466351557311</v>
      </c>
      <c r="Q80">
        <v>66</v>
      </c>
      <c r="R80">
        <v>57.3</v>
      </c>
      <c r="S80">
        <f>42.2702400808594/1000</f>
        <v>4.2270240080859403E-2</v>
      </c>
    </row>
    <row r="81" spans="1:19" x14ac:dyDescent="0.25">
      <c r="A81" s="5" t="str">
        <f t="shared" si="28"/>
        <v>ART Cath 10</v>
      </c>
      <c r="B81" s="2">
        <f t="shared" si="29"/>
        <v>25</v>
      </c>
      <c r="C81" s="3">
        <f t="shared" si="30"/>
        <v>29.3</v>
      </c>
      <c r="D81" s="4">
        <f t="shared" si="31"/>
        <v>5.7000000000000002E-2</v>
      </c>
      <c r="E81" s="3">
        <f t="shared" si="32"/>
        <v>514.03508771929819</v>
      </c>
      <c r="L81" s="1" t="s">
        <v>45</v>
      </c>
      <c r="M81" s="1">
        <v>25</v>
      </c>
      <c r="N81" s="1">
        <v>70</v>
      </c>
      <c r="O81" s="1">
        <v>113</v>
      </c>
      <c r="P81" s="1">
        <v>29.3</v>
      </c>
      <c r="Q81">
        <v>66</v>
      </c>
      <c r="R81">
        <v>90.4</v>
      </c>
      <c r="S81">
        <v>5.7000000000000002E-2</v>
      </c>
    </row>
    <row r="82" spans="1:19" x14ac:dyDescent="0.25">
      <c r="A82" s="5" t="str">
        <f t="shared" si="28"/>
        <v>ART Cath 11 AP</v>
      </c>
      <c r="B82" s="2">
        <f t="shared" si="29"/>
        <v>48</v>
      </c>
      <c r="C82" s="3">
        <f t="shared" si="30"/>
        <v>11.2653418715478</v>
      </c>
      <c r="D82" s="4">
        <f t="shared" si="31"/>
        <v>3.7418928694941699E-2</v>
      </c>
      <c r="E82" s="3">
        <f t="shared" si="32"/>
        <v>301.05997858433216</v>
      </c>
      <c r="L82" s="1" t="s">
        <v>46</v>
      </c>
      <c r="M82" s="1">
        <v>48</v>
      </c>
      <c r="N82" s="1">
        <v>66.400000000000006</v>
      </c>
      <c r="O82" s="1">
        <v>95.7</v>
      </c>
      <c r="P82" s="1">
        <f>5.06940384219651/(7.5*60)*1000</f>
        <v>11.2653418715478</v>
      </c>
      <c r="Q82">
        <v>66.400000000000006</v>
      </c>
      <c r="R82">
        <v>42.5</v>
      </c>
      <c r="S82">
        <f>37.4189286949417/1000</f>
        <v>3.7418928694941699E-2</v>
      </c>
    </row>
    <row r="83" spans="1:19" x14ac:dyDescent="0.25">
      <c r="A83" s="5" t="str">
        <f t="shared" si="28"/>
        <v>ART Cath 11 Lat</v>
      </c>
      <c r="B83" s="2">
        <f t="shared" si="29"/>
        <v>25</v>
      </c>
      <c r="C83" s="3">
        <f t="shared" si="30"/>
        <v>17.699349890393513</v>
      </c>
      <c r="D83" s="4">
        <f t="shared" si="31"/>
        <v>5.2029399245050893E-2</v>
      </c>
      <c r="E83" s="3">
        <f t="shared" si="32"/>
        <v>340.17978579825905</v>
      </c>
      <c r="L83" s="1" t="s">
        <v>47</v>
      </c>
      <c r="M83" s="1">
        <v>25</v>
      </c>
      <c r="N83" s="1">
        <v>66.400000000000006</v>
      </c>
      <c r="O83" s="1">
        <v>139.1</v>
      </c>
      <c r="P83" s="1">
        <f>7.96470745067708/(7.5*60)*1000</f>
        <v>17.699349890393513</v>
      </c>
      <c r="Q83">
        <v>66.400000000000006</v>
      </c>
      <c r="R83">
        <v>62.3</v>
      </c>
      <c r="S83">
        <f>52.0293992450509/1000</f>
        <v>5.2029399245050893E-2</v>
      </c>
    </row>
    <row r="84" spans="1:19" x14ac:dyDescent="0.25">
      <c r="A84" s="5" t="str">
        <f t="shared" si="28"/>
        <v>ART Cath 12</v>
      </c>
      <c r="B84" s="2">
        <f t="shared" si="29"/>
        <v>25</v>
      </c>
      <c r="C84" s="3">
        <f t="shared" si="30"/>
        <v>29.3</v>
      </c>
      <c r="D84" s="4">
        <f t="shared" si="31"/>
        <v>5.7000000000000002E-2</v>
      </c>
      <c r="E84" s="3">
        <f t="shared" si="32"/>
        <v>514.03508771929819</v>
      </c>
      <c r="L84" s="1" t="s">
        <v>48</v>
      </c>
      <c r="M84" s="1">
        <v>25</v>
      </c>
      <c r="N84" s="1">
        <v>70</v>
      </c>
      <c r="O84" s="1">
        <v>113</v>
      </c>
      <c r="P84" s="1">
        <v>29.3</v>
      </c>
      <c r="Q84">
        <v>66</v>
      </c>
      <c r="R84">
        <v>90.4</v>
      </c>
      <c r="S84">
        <v>5.7000000000000002E-2</v>
      </c>
    </row>
    <row r="85" spans="1:19" x14ac:dyDescent="0.25">
      <c r="A85" s="5" t="str">
        <f t="shared" si="28"/>
        <v>ART Cath 13</v>
      </c>
      <c r="B85" s="2">
        <f t="shared" si="29"/>
        <v>25</v>
      </c>
      <c r="C85" s="3">
        <f t="shared" si="30"/>
        <v>26.9</v>
      </c>
      <c r="D85" s="4">
        <f t="shared" si="31"/>
        <v>5.5E-2</v>
      </c>
      <c r="E85" s="3">
        <f t="shared" si="32"/>
        <v>489.09090909090907</v>
      </c>
      <c r="L85" s="1" t="s">
        <v>49</v>
      </c>
      <c r="M85" s="1">
        <v>25</v>
      </c>
      <c r="N85" s="1">
        <v>67</v>
      </c>
      <c r="O85" s="1">
        <v>155.6</v>
      </c>
      <c r="P85" s="1">
        <v>26.9</v>
      </c>
      <c r="Q85">
        <v>66</v>
      </c>
      <c r="R85">
        <v>85.9</v>
      </c>
      <c r="S85">
        <v>5.5E-2</v>
      </c>
    </row>
    <row r="86" spans="1:19" x14ac:dyDescent="0.25">
      <c r="A86" s="5" t="str">
        <f t="shared" si="28"/>
        <v>Ped Cath 1 AP</v>
      </c>
      <c r="B86" s="2">
        <f t="shared" si="29"/>
        <v>20</v>
      </c>
      <c r="C86" s="3">
        <f t="shared" si="30"/>
        <v>25.7</v>
      </c>
      <c r="D86" s="4">
        <f t="shared" si="31"/>
        <v>6.0999999999999999E-2</v>
      </c>
      <c r="E86" s="3">
        <f t="shared" si="32"/>
        <v>421.31147540983608</v>
      </c>
      <c r="L86" s="1" t="s">
        <v>50</v>
      </c>
      <c r="M86" s="1">
        <v>20</v>
      </c>
      <c r="N86" s="1">
        <v>64</v>
      </c>
      <c r="O86" s="1">
        <v>200</v>
      </c>
      <c r="P86" s="1">
        <v>25.7</v>
      </c>
      <c r="Q86">
        <v>60</v>
      </c>
      <c r="R86">
        <v>140</v>
      </c>
      <c r="S86">
        <v>6.0999999999999999E-2</v>
      </c>
    </row>
    <row r="87" spans="1:19" x14ac:dyDescent="0.25">
      <c r="A87" s="5" t="str">
        <f t="shared" si="28"/>
        <v>Ped Cath 1 Lat</v>
      </c>
      <c r="B87" s="2">
        <f t="shared" si="29"/>
        <v>20</v>
      </c>
      <c r="C87" s="3">
        <f t="shared" si="30"/>
        <v>14.34</v>
      </c>
      <c r="D87" s="4">
        <f t="shared" si="31"/>
        <v>0.05</v>
      </c>
      <c r="E87" s="3">
        <f t="shared" si="32"/>
        <v>286.79999999999995</v>
      </c>
      <c r="L87" s="1" t="s">
        <v>51</v>
      </c>
      <c r="M87" s="1">
        <v>20</v>
      </c>
      <c r="N87" s="1">
        <v>60</v>
      </c>
      <c r="O87" s="1">
        <v>194</v>
      </c>
      <c r="P87" s="1">
        <v>14.34</v>
      </c>
      <c r="Q87">
        <v>60</v>
      </c>
      <c r="R87">
        <v>98</v>
      </c>
      <c r="S87">
        <v>0.05</v>
      </c>
    </row>
    <row r="88" spans="1:19" x14ac:dyDescent="0.25">
      <c r="A88" s="5" t="str">
        <f t="shared" si="28"/>
        <v>Ped Cath 2 AP</v>
      </c>
      <c r="B88" s="2">
        <f t="shared" si="29"/>
        <v>30.5</v>
      </c>
      <c r="C88" s="3">
        <f t="shared" si="30"/>
        <v>9.52</v>
      </c>
      <c r="D88" s="4">
        <f t="shared" si="31"/>
        <v>3.3599999999999998E-2</v>
      </c>
      <c r="E88" s="3">
        <f t="shared" si="32"/>
        <v>283.33333333333331</v>
      </c>
      <c r="L88" s="1" t="s">
        <v>52</v>
      </c>
      <c r="M88" s="1">
        <v>30.5</v>
      </c>
      <c r="N88" s="1">
        <v>73</v>
      </c>
      <c r="O88" s="1">
        <v>200</v>
      </c>
      <c r="P88" s="1">
        <v>9.52</v>
      </c>
      <c r="Q88">
        <v>70</v>
      </c>
      <c r="R88">
        <v>61</v>
      </c>
      <c r="S88">
        <v>3.3599999999999998E-2</v>
      </c>
    </row>
    <row r="89" spans="1:19" x14ac:dyDescent="0.25">
      <c r="A89" s="5" t="str">
        <f t="shared" si="28"/>
        <v>Ped Cath 2 Lat</v>
      </c>
      <c r="B89" s="2">
        <f t="shared" si="29"/>
        <v>30.5</v>
      </c>
      <c r="C89" s="3">
        <f t="shared" si="30"/>
        <v>5.6230000000000002</v>
      </c>
      <c r="D89" s="4">
        <f t="shared" si="31"/>
        <v>3.3000000000000002E-2</v>
      </c>
      <c r="E89" s="3">
        <f t="shared" si="32"/>
        <v>170.39393939393941</v>
      </c>
      <c r="L89" s="1" t="s">
        <v>53</v>
      </c>
      <c r="M89" s="1">
        <v>30.5</v>
      </c>
      <c r="N89" s="1">
        <v>70</v>
      </c>
      <c r="O89" s="1">
        <v>172</v>
      </c>
      <c r="P89" s="1">
        <v>5.6230000000000002</v>
      </c>
      <c r="Q89">
        <v>70</v>
      </c>
      <c r="R89">
        <v>41</v>
      </c>
      <c r="S89">
        <v>3.3000000000000002E-2</v>
      </c>
    </row>
    <row r="90" spans="1:19" x14ac:dyDescent="0.25">
      <c r="A90" s="5" t="str">
        <f t="shared" si="28"/>
        <v>HVC 11 AP</v>
      </c>
      <c r="B90" s="2">
        <f t="shared" si="29"/>
        <v>23</v>
      </c>
      <c r="C90" s="3">
        <f t="shared" si="30"/>
        <v>15.4</v>
      </c>
      <c r="D90" s="4">
        <f t="shared" si="31"/>
        <v>4.4999999999999998E-2</v>
      </c>
      <c r="E90" s="3">
        <f t="shared" si="32"/>
        <v>342.22222222222223</v>
      </c>
      <c r="L90" s="1" t="s">
        <v>54</v>
      </c>
      <c r="M90" s="1">
        <v>23</v>
      </c>
      <c r="N90" s="1">
        <v>66</v>
      </c>
      <c r="O90" s="1">
        <v>130.30000000000001</v>
      </c>
      <c r="P90" s="1">
        <v>15.4</v>
      </c>
      <c r="Q90">
        <v>59.7</v>
      </c>
      <c r="R90">
        <v>169.8</v>
      </c>
      <c r="S90">
        <v>4.4999999999999998E-2</v>
      </c>
    </row>
    <row r="91" spans="1:19" x14ac:dyDescent="0.25">
      <c r="A91" s="5" t="str">
        <f t="shared" si="28"/>
        <v>HVC 11 Lat</v>
      </c>
      <c r="B91" s="2">
        <f t="shared" si="29"/>
        <v>23</v>
      </c>
      <c r="C91" s="3">
        <f t="shared" si="30"/>
        <v>8</v>
      </c>
      <c r="D91" s="4">
        <f t="shared" si="31"/>
        <v>3.7999999999999999E-2</v>
      </c>
      <c r="E91" s="3">
        <f t="shared" si="32"/>
        <v>210.5263157894737</v>
      </c>
      <c r="L91" s="1" t="s">
        <v>55</v>
      </c>
      <c r="M91" s="1">
        <v>23</v>
      </c>
      <c r="N91" s="1">
        <v>66</v>
      </c>
      <c r="O91" s="1">
        <v>126</v>
      </c>
      <c r="P91" s="1">
        <v>8</v>
      </c>
      <c r="Q91">
        <v>66</v>
      </c>
      <c r="R91">
        <v>56.2</v>
      </c>
      <c r="S91">
        <v>3.7999999999999999E-2</v>
      </c>
    </row>
    <row r="92" spans="1:19" x14ac:dyDescent="0.25">
      <c r="A92" s="5"/>
      <c r="B92" s="2"/>
      <c r="C92" s="3"/>
      <c r="D92" s="4"/>
      <c r="E92" s="3"/>
      <c r="L92" s="2"/>
      <c r="M92" s="2"/>
      <c r="N92" s="2"/>
      <c r="O92" s="2"/>
      <c r="P92" s="2"/>
    </row>
    <row r="93" spans="1:19" x14ac:dyDescent="0.25">
      <c r="A93" s="5" t="s">
        <v>64</v>
      </c>
      <c r="B93" s="3">
        <f>AVERAGE(B77:B91)</f>
        <v>27.866666666666667</v>
      </c>
      <c r="C93" s="3">
        <f t="shared" ref="C93:E93" si="33">AVERAGE(C77:C91)</f>
        <v>17.661827521169023</v>
      </c>
      <c r="D93" s="4">
        <f t="shared" si="33"/>
        <v>4.806472991388222E-2</v>
      </c>
      <c r="E93" s="3">
        <f t="shared" si="33"/>
        <v>349.31562167776815</v>
      </c>
    </row>
    <row r="94" spans="1:19" x14ac:dyDescent="0.25">
      <c r="A94" s="5" t="s">
        <v>65</v>
      </c>
      <c r="B94" s="3">
        <f>STDEV(B77:B91)</f>
        <v>8.6735778304545352</v>
      </c>
      <c r="C94" s="3">
        <f t="shared" ref="C94:E94" si="34">STDEV(C77:C91)</f>
        <v>8.6438877319771095</v>
      </c>
      <c r="D94" s="4">
        <f t="shared" si="34"/>
        <v>9.8636295899680749E-3</v>
      </c>
      <c r="E94" s="3">
        <f t="shared" si="34"/>
        <v>112.34940298188329</v>
      </c>
    </row>
    <row r="95" spans="1:19" x14ac:dyDescent="0.25">
      <c r="A95" s="5" t="s">
        <v>66</v>
      </c>
      <c r="B95" s="3">
        <f>MIN(B77:B91)</f>
        <v>20</v>
      </c>
      <c r="C95" s="3">
        <f t="shared" ref="C95:E95" si="35">MIN(C77:C91)</f>
        <v>5.6230000000000002</v>
      </c>
      <c r="D95" s="4">
        <f t="shared" si="35"/>
        <v>3.3000000000000002E-2</v>
      </c>
      <c r="E95" s="3">
        <f t="shared" si="35"/>
        <v>170.39393939393941</v>
      </c>
    </row>
    <row r="96" spans="1:19" x14ac:dyDescent="0.25">
      <c r="A96" s="5">
        <v>10</v>
      </c>
      <c r="B96" s="3">
        <f>PERCENTILE(B$77:B$91,$A96/100)</f>
        <v>21.200000000000003</v>
      </c>
      <c r="C96" s="3">
        <f t="shared" ref="C96:E96" si="36">PERCENTILE(C$77:C$91,$A96/100)</f>
        <v>8.6080000000000005</v>
      </c>
      <c r="D96" s="4">
        <f t="shared" si="36"/>
        <v>3.5127571477976682E-2</v>
      </c>
      <c r="E96" s="3">
        <f t="shared" si="36"/>
        <v>225.21720410075554</v>
      </c>
    </row>
    <row r="97" spans="1:5" x14ac:dyDescent="0.25">
      <c r="A97" s="5">
        <v>25</v>
      </c>
      <c r="B97" s="3">
        <f t="shared" ref="B97:E100" si="37">PERCENTILE(B$77:B$91,$A97/100)</f>
        <v>24</v>
      </c>
      <c r="C97" s="3">
        <f t="shared" si="37"/>
        <v>10.858404111552556</v>
      </c>
      <c r="D97" s="4">
        <f t="shared" si="37"/>
        <v>4.0135120040429698E-2</v>
      </c>
      <c r="E97" s="3">
        <f t="shared" si="37"/>
        <v>277.58682206251336</v>
      </c>
    </row>
    <row r="98" spans="1:5" x14ac:dyDescent="0.25">
      <c r="A98" s="5">
        <v>50</v>
      </c>
      <c r="B98" s="3">
        <f t="shared" si="37"/>
        <v>25</v>
      </c>
      <c r="C98" s="3">
        <f t="shared" si="37"/>
        <v>15.4</v>
      </c>
      <c r="D98" s="4">
        <f t="shared" si="37"/>
        <v>4.8633205548413702E-2</v>
      </c>
      <c r="E98" s="3">
        <f t="shared" si="37"/>
        <v>340.17978579825905</v>
      </c>
    </row>
    <row r="99" spans="1:5" x14ac:dyDescent="0.25">
      <c r="A99" s="5">
        <v>75</v>
      </c>
      <c r="B99" s="3">
        <f t="shared" si="37"/>
        <v>27.75</v>
      </c>
      <c r="C99" s="3">
        <f t="shared" si="37"/>
        <v>26.299999999999997</v>
      </c>
      <c r="D99" s="4">
        <f t="shared" si="37"/>
        <v>5.6000000000000001E-2</v>
      </c>
      <c r="E99" s="3">
        <f t="shared" si="37"/>
        <v>454.59511902307258</v>
      </c>
    </row>
    <row r="100" spans="1:5" x14ac:dyDescent="0.25">
      <c r="A100" s="5">
        <v>90</v>
      </c>
      <c r="B100" s="3">
        <f t="shared" si="37"/>
        <v>40.999999999999993</v>
      </c>
      <c r="C100" s="3">
        <f t="shared" si="37"/>
        <v>29.3</v>
      </c>
      <c r="D100" s="4">
        <f t="shared" si="37"/>
        <v>5.9400000000000001E-2</v>
      </c>
      <c r="E100" s="3">
        <f t="shared" si="37"/>
        <v>504.05741626794253</v>
      </c>
    </row>
    <row r="101" spans="1:5" x14ac:dyDescent="0.25">
      <c r="A101" s="5" t="s">
        <v>67</v>
      </c>
      <c r="B101" s="3">
        <f>MAX(B77:B91)</f>
        <v>48</v>
      </c>
      <c r="C101" s="3">
        <f t="shared" ref="C101:E101" si="38">MAX(C77:C91)</f>
        <v>31.480514223679165</v>
      </c>
      <c r="D101" s="4">
        <f t="shared" si="38"/>
        <v>6.4525280939819102E-2</v>
      </c>
      <c r="E101" s="3">
        <f t="shared" si="38"/>
        <v>514.03508771929819</v>
      </c>
    </row>
    <row r="103" spans="1:5" x14ac:dyDescent="0.25">
      <c r="A103" t="s">
        <v>68</v>
      </c>
    </row>
    <row r="104" spans="1:5" x14ac:dyDescent="0.25">
      <c r="A104" t="s">
        <v>64</v>
      </c>
      <c r="B104" s="7">
        <f>AVERAGE(B3:B8,B22:B39,B53:B63,B77:B91)</f>
        <v>32.436</v>
      </c>
      <c r="C104" s="7">
        <f t="shared" ref="C104:E104" si="39">AVERAGE(C3:C8,C22:C39,C53:C63,C77:C91)</f>
        <v>14.467541015379446</v>
      </c>
      <c r="D104" s="7">
        <f t="shared" si="39"/>
        <v>3.7115116569948897E-2</v>
      </c>
      <c r="E104" s="7">
        <f t="shared" si="39"/>
        <v>434.36420283732883</v>
      </c>
    </row>
    <row r="105" spans="1:5" x14ac:dyDescent="0.25">
      <c r="A105" t="s">
        <v>65</v>
      </c>
      <c r="B105" s="7">
        <f>STDEV(B3:B8,B22:B39,B53:B63,B77:B91)</f>
        <v>8.8847900300204703</v>
      </c>
      <c r="C105" s="7">
        <f t="shared" ref="C105:E105" si="40">STDEV(C3:C8,C22:C39,C53:C63,C77:C91)</f>
        <v>7.5780165196692053</v>
      </c>
      <c r="D105" s="7">
        <f t="shared" si="40"/>
        <v>1.3922252240694521E-2</v>
      </c>
      <c r="E105" s="7">
        <f t="shared" si="40"/>
        <v>268.67777244274936</v>
      </c>
    </row>
  </sheetData>
  <mergeCells count="4">
    <mergeCell ref="N1:P1"/>
    <mergeCell ref="Q1:S1"/>
    <mergeCell ref="N20:P20"/>
    <mergeCell ref="Q20:S2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Medical University of South Carolina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Mah</dc:creator>
  <cp:lastModifiedBy>Eugene Mah</cp:lastModifiedBy>
  <dcterms:created xsi:type="dcterms:W3CDTF">2014-05-16T19:13:17Z</dcterms:created>
  <dcterms:modified xsi:type="dcterms:W3CDTF">2014-05-20T15:29:55Z</dcterms:modified>
</cp:coreProperties>
</file>