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m\Documents\Projects\XRAY\Fluoro\FluoroReceptorDose\"/>
    </mc:Choice>
  </mc:AlternateContent>
  <bookViews>
    <workbookView xWindow="0" yWindow="0" windowWidth="20490" windowHeight="9630"/>
  </bookViews>
  <sheets>
    <sheet name="Fluoro" sheetId="1" r:id="rId1"/>
    <sheet name="Pulse" sheetId="2" r:id="rId2"/>
    <sheet name="Spo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3" l="1"/>
  <c r="T11" i="3"/>
  <c r="I11" i="3" s="1"/>
  <c r="P11" i="3"/>
  <c r="E11" i="3" s="1"/>
  <c r="J11" i="3"/>
  <c r="H11" i="3"/>
  <c r="G11" i="3"/>
  <c r="F11" i="3"/>
  <c r="D11" i="3"/>
  <c r="C11" i="3"/>
  <c r="B11" i="3"/>
  <c r="A11" i="3"/>
  <c r="H9" i="3" l="1"/>
  <c r="G9" i="3"/>
  <c r="F9" i="3"/>
  <c r="E9" i="3"/>
  <c r="D9" i="3"/>
  <c r="C9" i="3"/>
  <c r="B9" i="3"/>
  <c r="A9" i="3"/>
  <c r="U9" i="3"/>
  <c r="J9" i="3" s="1"/>
  <c r="T9" i="3"/>
  <c r="I9" i="3" s="1"/>
  <c r="P9" i="3"/>
  <c r="I10" i="3" l="1"/>
  <c r="H10" i="3"/>
  <c r="G10" i="3"/>
  <c r="D10" i="3"/>
  <c r="C10" i="3"/>
  <c r="B10" i="3"/>
  <c r="A10" i="3"/>
  <c r="U10" i="3"/>
  <c r="J10" i="3" s="1"/>
  <c r="T10" i="3"/>
  <c r="F10" i="3"/>
  <c r="P10" i="3"/>
  <c r="E10" i="3" s="1"/>
  <c r="F20" i="3" l="1"/>
  <c r="F19" i="3"/>
  <c r="F18" i="3"/>
  <c r="F17" i="3"/>
  <c r="F16" i="3"/>
  <c r="F15" i="3"/>
  <c r="F14" i="3"/>
  <c r="F13" i="3"/>
  <c r="F8" i="3"/>
  <c r="F7" i="3"/>
  <c r="F6" i="3"/>
  <c r="F5" i="3"/>
  <c r="F4" i="3"/>
  <c r="F3" i="3"/>
  <c r="U21" i="3"/>
  <c r="T21" i="3"/>
  <c r="S21" i="3"/>
  <c r="R21" i="3"/>
  <c r="P21" i="3"/>
  <c r="E21" i="3" s="1"/>
  <c r="F47" i="3" l="1"/>
  <c r="F46" i="3"/>
  <c r="B47" i="2"/>
  <c r="J43" i="2"/>
  <c r="I43" i="2"/>
  <c r="H43" i="2"/>
  <c r="G43" i="2"/>
  <c r="J42" i="2"/>
  <c r="I42" i="2"/>
  <c r="H42" i="2"/>
  <c r="G42" i="2"/>
  <c r="E43" i="2"/>
  <c r="D43" i="2"/>
  <c r="C43" i="2"/>
  <c r="B43" i="2"/>
  <c r="E42" i="2"/>
  <c r="D42" i="2"/>
  <c r="C42" i="2"/>
  <c r="B42" i="2"/>
  <c r="F43" i="2"/>
  <c r="F42" i="2"/>
  <c r="A43" i="2"/>
  <c r="A42" i="2"/>
  <c r="F38" i="2" l="1"/>
  <c r="F32" i="3" l="1"/>
  <c r="F31" i="3"/>
  <c r="F30" i="3"/>
  <c r="F29" i="3"/>
  <c r="F28" i="3"/>
  <c r="F27" i="3"/>
  <c r="F26" i="3"/>
  <c r="F25" i="3"/>
  <c r="F24" i="3"/>
  <c r="F23" i="3"/>
  <c r="F22" i="3"/>
  <c r="F21" i="3"/>
  <c r="F12" i="3"/>
  <c r="F45" i="2"/>
  <c r="F44" i="2"/>
  <c r="F41" i="2"/>
  <c r="F40" i="2"/>
  <c r="F39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55" i="3" l="1"/>
  <c r="F54" i="3"/>
  <c r="F50" i="3"/>
  <c r="F51" i="3"/>
  <c r="F59" i="3"/>
  <c r="F58" i="3"/>
  <c r="J8" i="3"/>
  <c r="I8" i="3"/>
  <c r="H8" i="3"/>
  <c r="G8" i="3"/>
  <c r="E8" i="3"/>
  <c r="D8" i="3"/>
  <c r="C8" i="3"/>
  <c r="B8" i="3"/>
  <c r="A8" i="3"/>
  <c r="J8" i="2"/>
  <c r="I8" i="2"/>
  <c r="H8" i="2"/>
  <c r="G8" i="2"/>
  <c r="E8" i="2"/>
  <c r="D8" i="2"/>
  <c r="C8" i="2"/>
  <c r="B8" i="2"/>
  <c r="A8" i="2"/>
  <c r="C32" i="1" l="1"/>
  <c r="C28" i="1"/>
  <c r="J32" i="3"/>
  <c r="I32" i="3"/>
  <c r="H32" i="3"/>
  <c r="G32" i="3"/>
  <c r="E32" i="3"/>
  <c r="D32" i="3"/>
  <c r="C32" i="3"/>
  <c r="B32" i="3"/>
  <c r="A32" i="3"/>
  <c r="J31" i="3"/>
  <c r="I31" i="3"/>
  <c r="H31" i="3"/>
  <c r="G31" i="3"/>
  <c r="E31" i="3"/>
  <c r="D31" i="3"/>
  <c r="C31" i="3"/>
  <c r="B31" i="3"/>
  <c r="A31" i="3"/>
  <c r="J30" i="3"/>
  <c r="I30" i="3"/>
  <c r="H30" i="3"/>
  <c r="G30" i="3"/>
  <c r="E30" i="3"/>
  <c r="D30" i="3"/>
  <c r="C30" i="3"/>
  <c r="B30" i="3"/>
  <c r="A30" i="3"/>
  <c r="J29" i="3"/>
  <c r="I29" i="3"/>
  <c r="H29" i="3"/>
  <c r="G29" i="3"/>
  <c r="E29" i="3"/>
  <c r="D29" i="3"/>
  <c r="C29" i="3"/>
  <c r="B29" i="3"/>
  <c r="A29" i="3"/>
  <c r="J28" i="3"/>
  <c r="I28" i="3"/>
  <c r="H28" i="3"/>
  <c r="G28" i="3"/>
  <c r="E28" i="3"/>
  <c r="D28" i="3"/>
  <c r="C28" i="3"/>
  <c r="B28" i="3"/>
  <c r="A28" i="3"/>
  <c r="J27" i="3"/>
  <c r="I27" i="3"/>
  <c r="H27" i="3"/>
  <c r="G27" i="3"/>
  <c r="E27" i="3"/>
  <c r="D27" i="3"/>
  <c r="C27" i="3"/>
  <c r="B27" i="3"/>
  <c r="A27" i="3"/>
  <c r="J26" i="3"/>
  <c r="I26" i="3"/>
  <c r="H26" i="3"/>
  <c r="G26" i="3"/>
  <c r="E26" i="3"/>
  <c r="D26" i="3"/>
  <c r="C26" i="3"/>
  <c r="B26" i="3"/>
  <c r="A26" i="3"/>
  <c r="J25" i="3"/>
  <c r="I25" i="3"/>
  <c r="H25" i="3"/>
  <c r="G25" i="3"/>
  <c r="E25" i="3"/>
  <c r="D25" i="3"/>
  <c r="C25" i="3"/>
  <c r="B25" i="3"/>
  <c r="A25" i="3"/>
  <c r="J24" i="3"/>
  <c r="I24" i="3"/>
  <c r="H24" i="3"/>
  <c r="G24" i="3"/>
  <c r="E24" i="3"/>
  <c r="D24" i="3"/>
  <c r="C24" i="3"/>
  <c r="B24" i="3"/>
  <c r="A24" i="3"/>
  <c r="J23" i="3"/>
  <c r="I23" i="3"/>
  <c r="H23" i="3"/>
  <c r="G23" i="3"/>
  <c r="E23" i="3"/>
  <c r="D23" i="3"/>
  <c r="C23" i="3"/>
  <c r="B23" i="3"/>
  <c r="A23" i="3"/>
  <c r="J22" i="3"/>
  <c r="I22" i="3"/>
  <c r="H22" i="3"/>
  <c r="G22" i="3"/>
  <c r="E22" i="3"/>
  <c r="D22" i="3"/>
  <c r="C22" i="3"/>
  <c r="B22" i="3"/>
  <c r="A22" i="3"/>
  <c r="J21" i="3"/>
  <c r="I21" i="3"/>
  <c r="H21" i="3"/>
  <c r="G21" i="3"/>
  <c r="D21" i="3"/>
  <c r="C21" i="3"/>
  <c r="B21" i="3"/>
  <c r="A21" i="3"/>
  <c r="J20" i="3"/>
  <c r="I20" i="3"/>
  <c r="H20" i="3"/>
  <c r="G20" i="3"/>
  <c r="E20" i="3"/>
  <c r="D20" i="3"/>
  <c r="C20" i="3"/>
  <c r="B20" i="3"/>
  <c r="A20" i="3"/>
  <c r="J19" i="3"/>
  <c r="I19" i="3"/>
  <c r="H19" i="3"/>
  <c r="G19" i="3"/>
  <c r="E19" i="3"/>
  <c r="D19" i="3"/>
  <c r="C19" i="3"/>
  <c r="B19" i="3"/>
  <c r="A19" i="3"/>
  <c r="J18" i="3"/>
  <c r="I18" i="3"/>
  <c r="H18" i="3"/>
  <c r="G18" i="3"/>
  <c r="E18" i="3"/>
  <c r="D18" i="3"/>
  <c r="C18" i="3"/>
  <c r="B18" i="3"/>
  <c r="A18" i="3"/>
  <c r="J17" i="3"/>
  <c r="I17" i="3"/>
  <c r="H17" i="3"/>
  <c r="G17" i="3"/>
  <c r="E17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H12" i="3"/>
  <c r="G12" i="3"/>
  <c r="D12" i="3"/>
  <c r="C12" i="3"/>
  <c r="B12" i="3"/>
  <c r="A12" i="3"/>
  <c r="H7" i="3"/>
  <c r="G7" i="3"/>
  <c r="D7" i="3"/>
  <c r="C7" i="3"/>
  <c r="B7" i="3"/>
  <c r="A7" i="3"/>
  <c r="H6" i="3"/>
  <c r="G6" i="3"/>
  <c r="D6" i="3"/>
  <c r="C6" i="3"/>
  <c r="B6" i="3"/>
  <c r="A6" i="3"/>
  <c r="G5" i="3"/>
  <c r="D5" i="3"/>
  <c r="C5" i="3"/>
  <c r="B5" i="3"/>
  <c r="A5" i="3"/>
  <c r="H4" i="3"/>
  <c r="D4" i="3"/>
  <c r="C4" i="3"/>
  <c r="B4" i="3"/>
  <c r="A4" i="3"/>
  <c r="H3" i="3"/>
  <c r="G3" i="3"/>
  <c r="D3" i="3"/>
  <c r="C3" i="3"/>
  <c r="B3" i="3"/>
  <c r="A3" i="3"/>
  <c r="J45" i="2"/>
  <c r="I45" i="2"/>
  <c r="H45" i="2"/>
  <c r="G45" i="2"/>
  <c r="E45" i="2"/>
  <c r="D45" i="2"/>
  <c r="C45" i="2"/>
  <c r="B45" i="2"/>
  <c r="A45" i="2"/>
  <c r="J44" i="2"/>
  <c r="I44" i="2"/>
  <c r="H44" i="2"/>
  <c r="G44" i="2"/>
  <c r="E44" i="2"/>
  <c r="D44" i="2"/>
  <c r="C44" i="2"/>
  <c r="B44" i="2"/>
  <c r="A44" i="2"/>
  <c r="J41" i="2"/>
  <c r="I41" i="2"/>
  <c r="H41" i="2"/>
  <c r="G41" i="2"/>
  <c r="E41" i="2"/>
  <c r="D41" i="2"/>
  <c r="C41" i="2"/>
  <c r="B41" i="2"/>
  <c r="A41" i="2"/>
  <c r="J40" i="2"/>
  <c r="I40" i="2"/>
  <c r="H40" i="2"/>
  <c r="G40" i="2"/>
  <c r="E40" i="2"/>
  <c r="D40" i="2"/>
  <c r="C40" i="2"/>
  <c r="B40" i="2"/>
  <c r="A40" i="2"/>
  <c r="J39" i="2"/>
  <c r="I39" i="2"/>
  <c r="H39" i="2"/>
  <c r="G39" i="2"/>
  <c r="E39" i="2"/>
  <c r="D39" i="2"/>
  <c r="C39" i="2"/>
  <c r="B39" i="2"/>
  <c r="A39" i="2"/>
  <c r="J38" i="2"/>
  <c r="I38" i="2"/>
  <c r="H38" i="2"/>
  <c r="G38" i="2"/>
  <c r="E38" i="2"/>
  <c r="D38" i="2"/>
  <c r="C38" i="2"/>
  <c r="B38" i="2"/>
  <c r="A38" i="2"/>
  <c r="J37" i="2"/>
  <c r="I37" i="2"/>
  <c r="H37" i="2"/>
  <c r="G37" i="2"/>
  <c r="E37" i="2"/>
  <c r="D37" i="2"/>
  <c r="C37" i="2"/>
  <c r="B37" i="2"/>
  <c r="A37" i="2"/>
  <c r="J36" i="2"/>
  <c r="I36" i="2"/>
  <c r="H36" i="2"/>
  <c r="G36" i="2"/>
  <c r="E36" i="2"/>
  <c r="D36" i="2"/>
  <c r="C36" i="2"/>
  <c r="B36" i="2"/>
  <c r="A36" i="2"/>
  <c r="J35" i="2"/>
  <c r="I35" i="2"/>
  <c r="H35" i="2"/>
  <c r="G35" i="2"/>
  <c r="E35" i="2"/>
  <c r="D35" i="2"/>
  <c r="C35" i="2"/>
  <c r="B35" i="2"/>
  <c r="A35" i="2"/>
  <c r="J34" i="2"/>
  <c r="I34" i="2"/>
  <c r="H34" i="2"/>
  <c r="G34" i="2"/>
  <c r="E34" i="2"/>
  <c r="D34" i="2"/>
  <c r="C34" i="2"/>
  <c r="B34" i="2"/>
  <c r="A34" i="2"/>
  <c r="J33" i="2"/>
  <c r="I33" i="2"/>
  <c r="H33" i="2"/>
  <c r="G33" i="2"/>
  <c r="E33" i="2"/>
  <c r="D33" i="2"/>
  <c r="C33" i="2"/>
  <c r="B33" i="2"/>
  <c r="A33" i="2"/>
  <c r="J32" i="2"/>
  <c r="I32" i="2"/>
  <c r="H32" i="2"/>
  <c r="G32" i="2"/>
  <c r="E32" i="2"/>
  <c r="D32" i="2"/>
  <c r="C32" i="2"/>
  <c r="B32" i="2"/>
  <c r="A32" i="2"/>
  <c r="J31" i="2"/>
  <c r="I31" i="2"/>
  <c r="H31" i="2"/>
  <c r="G31" i="2"/>
  <c r="E31" i="2"/>
  <c r="D31" i="2"/>
  <c r="C31" i="2"/>
  <c r="B31" i="2"/>
  <c r="A31" i="2"/>
  <c r="J30" i="2"/>
  <c r="I30" i="2"/>
  <c r="H30" i="2"/>
  <c r="G30" i="2"/>
  <c r="E30" i="2"/>
  <c r="D30" i="2"/>
  <c r="C30" i="2"/>
  <c r="B30" i="2"/>
  <c r="A30" i="2"/>
  <c r="J29" i="2"/>
  <c r="I29" i="2"/>
  <c r="H29" i="2"/>
  <c r="G29" i="2"/>
  <c r="E29" i="2"/>
  <c r="D29" i="2"/>
  <c r="C29" i="2"/>
  <c r="B29" i="2"/>
  <c r="A29" i="2"/>
  <c r="J28" i="2"/>
  <c r="I28" i="2"/>
  <c r="H28" i="2"/>
  <c r="G28" i="2"/>
  <c r="E28" i="2"/>
  <c r="D28" i="2"/>
  <c r="C28" i="2"/>
  <c r="B28" i="2"/>
  <c r="A28" i="2"/>
  <c r="J27" i="2"/>
  <c r="I27" i="2"/>
  <c r="H27" i="2"/>
  <c r="G27" i="2"/>
  <c r="E27" i="2"/>
  <c r="D27" i="2"/>
  <c r="C27" i="2"/>
  <c r="B27" i="2"/>
  <c r="A27" i="2"/>
  <c r="J26" i="2"/>
  <c r="I26" i="2"/>
  <c r="H26" i="2"/>
  <c r="G26" i="2"/>
  <c r="E26" i="2"/>
  <c r="D26" i="2"/>
  <c r="C26" i="2"/>
  <c r="B26" i="2"/>
  <c r="A26" i="2"/>
  <c r="J25" i="2"/>
  <c r="I25" i="2"/>
  <c r="H25" i="2"/>
  <c r="G25" i="2"/>
  <c r="E25" i="2"/>
  <c r="D25" i="2"/>
  <c r="C25" i="2"/>
  <c r="B25" i="2"/>
  <c r="A25" i="2"/>
  <c r="J24" i="2"/>
  <c r="I24" i="2"/>
  <c r="H24" i="2"/>
  <c r="G24" i="2"/>
  <c r="E24" i="2"/>
  <c r="D24" i="2"/>
  <c r="C24" i="2"/>
  <c r="B24" i="2"/>
  <c r="A24" i="2"/>
  <c r="J23" i="2"/>
  <c r="I23" i="2"/>
  <c r="H23" i="2"/>
  <c r="G23" i="2"/>
  <c r="E23" i="2"/>
  <c r="D23" i="2"/>
  <c r="C23" i="2"/>
  <c r="B23" i="2"/>
  <c r="A23" i="2"/>
  <c r="J22" i="2"/>
  <c r="I22" i="2"/>
  <c r="H22" i="2"/>
  <c r="G22" i="2"/>
  <c r="E22" i="2"/>
  <c r="D22" i="2"/>
  <c r="C22" i="2"/>
  <c r="B22" i="2"/>
  <c r="A22" i="2"/>
  <c r="J21" i="2"/>
  <c r="I21" i="2"/>
  <c r="H21" i="2"/>
  <c r="G21" i="2"/>
  <c r="E21" i="2"/>
  <c r="D21" i="2"/>
  <c r="C21" i="2"/>
  <c r="B21" i="2"/>
  <c r="A21" i="2"/>
  <c r="J20" i="2"/>
  <c r="I20" i="2"/>
  <c r="H20" i="2"/>
  <c r="G20" i="2"/>
  <c r="E20" i="2"/>
  <c r="D20" i="2"/>
  <c r="C20" i="2"/>
  <c r="B20" i="2"/>
  <c r="A20" i="2"/>
  <c r="J19" i="2"/>
  <c r="I19" i="2"/>
  <c r="H19" i="2"/>
  <c r="G19" i="2"/>
  <c r="E19" i="2"/>
  <c r="D19" i="2"/>
  <c r="C19" i="2"/>
  <c r="B19" i="2"/>
  <c r="A19" i="2"/>
  <c r="J18" i="2"/>
  <c r="I18" i="2"/>
  <c r="H18" i="2"/>
  <c r="G18" i="2"/>
  <c r="E18" i="2"/>
  <c r="D18" i="2"/>
  <c r="C18" i="2"/>
  <c r="B18" i="2"/>
  <c r="A18" i="2"/>
  <c r="J17" i="2"/>
  <c r="I17" i="2"/>
  <c r="H17" i="2"/>
  <c r="G17" i="2"/>
  <c r="E17" i="2"/>
  <c r="D17" i="2"/>
  <c r="C17" i="2"/>
  <c r="B17" i="2"/>
  <c r="A17" i="2"/>
  <c r="J16" i="2"/>
  <c r="I16" i="2"/>
  <c r="H16" i="2"/>
  <c r="G16" i="2"/>
  <c r="E16" i="2"/>
  <c r="D16" i="2"/>
  <c r="C16" i="2"/>
  <c r="B16" i="2"/>
  <c r="A16" i="2"/>
  <c r="J15" i="2"/>
  <c r="I15" i="2"/>
  <c r="H15" i="2"/>
  <c r="G15" i="2"/>
  <c r="E15" i="2"/>
  <c r="D15" i="2"/>
  <c r="C15" i="2"/>
  <c r="B15" i="2"/>
  <c r="A15" i="2"/>
  <c r="J14" i="2"/>
  <c r="I14" i="2"/>
  <c r="H14" i="2"/>
  <c r="G14" i="2"/>
  <c r="E14" i="2"/>
  <c r="D14" i="2"/>
  <c r="C14" i="2"/>
  <c r="B14" i="2"/>
  <c r="A14" i="2"/>
  <c r="J13" i="2"/>
  <c r="I13" i="2"/>
  <c r="H13" i="2"/>
  <c r="G13" i="2"/>
  <c r="E13" i="2"/>
  <c r="D13" i="2"/>
  <c r="C13" i="2"/>
  <c r="B13" i="2"/>
  <c r="A13" i="2"/>
  <c r="J12" i="2"/>
  <c r="I12" i="2"/>
  <c r="H12" i="2"/>
  <c r="G12" i="2"/>
  <c r="E12" i="2"/>
  <c r="D12" i="2"/>
  <c r="C12" i="2"/>
  <c r="B12" i="2"/>
  <c r="A12" i="2"/>
  <c r="J11" i="2"/>
  <c r="I11" i="2"/>
  <c r="H11" i="2"/>
  <c r="G11" i="2"/>
  <c r="E11" i="2"/>
  <c r="D11" i="2"/>
  <c r="C11" i="2"/>
  <c r="B11" i="2"/>
  <c r="A11" i="2"/>
  <c r="J10" i="2"/>
  <c r="I10" i="2"/>
  <c r="H10" i="2"/>
  <c r="G10" i="2"/>
  <c r="E10" i="2"/>
  <c r="D10" i="2"/>
  <c r="C10" i="2"/>
  <c r="B10" i="2"/>
  <c r="A10" i="2"/>
  <c r="J9" i="2"/>
  <c r="I9" i="2"/>
  <c r="H9" i="2"/>
  <c r="G9" i="2"/>
  <c r="E9" i="2"/>
  <c r="D9" i="2"/>
  <c r="C9" i="2"/>
  <c r="B9" i="2"/>
  <c r="A9" i="2"/>
  <c r="J7" i="2"/>
  <c r="I7" i="2"/>
  <c r="H7" i="2"/>
  <c r="G7" i="2"/>
  <c r="E7" i="2"/>
  <c r="D7" i="2"/>
  <c r="C7" i="2"/>
  <c r="B7" i="2"/>
  <c r="A7" i="2"/>
  <c r="J6" i="2"/>
  <c r="I6" i="2"/>
  <c r="H6" i="2"/>
  <c r="G6" i="2"/>
  <c r="E6" i="2"/>
  <c r="D6" i="2"/>
  <c r="C6" i="2"/>
  <c r="B6" i="2"/>
  <c r="A6" i="2"/>
  <c r="J5" i="2"/>
  <c r="I5" i="2"/>
  <c r="H5" i="2"/>
  <c r="G5" i="2"/>
  <c r="E5" i="2"/>
  <c r="D5" i="2"/>
  <c r="C5" i="2"/>
  <c r="B5" i="2"/>
  <c r="A5" i="2"/>
  <c r="J4" i="2"/>
  <c r="I4" i="2"/>
  <c r="H4" i="2"/>
  <c r="G4" i="2"/>
  <c r="E4" i="2"/>
  <c r="D4" i="2"/>
  <c r="C4" i="2"/>
  <c r="B4" i="2"/>
  <c r="A4" i="2"/>
  <c r="D3" i="2"/>
  <c r="C3" i="2"/>
  <c r="B3" i="2"/>
  <c r="A3" i="2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E34" i="1" s="1"/>
  <c r="D3" i="1"/>
  <c r="C3" i="1"/>
  <c r="C35" i="1" s="1"/>
  <c r="B3" i="1"/>
  <c r="B32" i="1" s="1"/>
  <c r="I25" i="1"/>
  <c r="H25" i="1"/>
  <c r="G25" i="1"/>
  <c r="F25" i="1"/>
  <c r="A25" i="1"/>
  <c r="I24" i="1"/>
  <c r="H24" i="1"/>
  <c r="G24" i="1"/>
  <c r="F24" i="1"/>
  <c r="A24" i="1"/>
  <c r="I23" i="1"/>
  <c r="H23" i="1"/>
  <c r="G23" i="1"/>
  <c r="F23" i="1"/>
  <c r="A23" i="1"/>
  <c r="I22" i="1"/>
  <c r="H22" i="1"/>
  <c r="G22" i="1"/>
  <c r="F22" i="1"/>
  <c r="A22" i="1"/>
  <c r="I21" i="1"/>
  <c r="H21" i="1"/>
  <c r="G21" i="1"/>
  <c r="F21" i="1"/>
  <c r="A21" i="1"/>
  <c r="I20" i="1"/>
  <c r="H20" i="1"/>
  <c r="G20" i="1"/>
  <c r="F20" i="1"/>
  <c r="A20" i="1"/>
  <c r="I19" i="1"/>
  <c r="H19" i="1"/>
  <c r="G19" i="1"/>
  <c r="F19" i="1"/>
  <c r="A19" i="1"/>
  <c r="I18" i="1"/>
  <c r="H18" i="1"/>
  <c r="G18" i="1"/>
  <c r="F18" i="1"/>
  <c r="A18" i="1"/>
  <c r="I17" i="1"/>
  <c r="H17" i="1"/>
  <c r="G17" i="1"/>
  <c r="F17" i="1"/>
  <c r="A17" i="1"/>
  <c r="I16" i="1"/>
  <c r="H16" i="1"/>
  <c r="G16" i="1"/>
  <c r="F16" i="1"/>
  <c r="A16" i="1"/>
  <c r="I15" i="1"/>
  <c r="H15" i="1"/>
  <c r="G15" i="1"/>
  <c r="F15" i="1"/>
  <c r="A15" i="1"/>
  <c r="I14" i="1"/>
  <c r="H14" i="1"/>
  <c r="G14" i="1"/>
  <c r="F14" i="1"/>
  <c r="A14" i="1"/>
  <c r="I13" i="1"/>
  <c r="H13" i="1"/>
  <c r="G13" i="1"/>
  <c r="F13" i="1"/>
  <c r="A13" i="1"/>
  <c r="I12" i="1"/>
  <c r="H12" i="1"/>
  <c r="G12" i="1"/>
  <c r="F12" i="1"/>
  <c r="A12" i="1"/>
  <c r="I11" i="1"/>
  <c r="H11" i="1"/>
  <c r="G11" i="1"/>
  <c r="F11" i="1"/>
  <c r="A11" i="1"/>
  <c r="I10" i="1"/>
  <c r="H10" i="1"/>
  <c r="G10" i="1"/>
  <c r="F10" i="1"/>
  <c r="A10" i="1"/>
  <c r="I9" i="1"/>
  <c r="H9" i="1"/>
  <c r="G9" i="1"/>
  <c r="F9" i="1"/>
  <c r="A9" i="1"/>
  <c r="I8" i="1"/>
  <c r="H8" i="1"/>
  <c r="G8" i="1"/>
  <c r="F8" i="1"/>
  <c r="A8" i="1"/>
  <c r="I7" i="1"/>
  <c r="H7" i="1"/>
  <c r="G7" i="1"/>
  <c r="F7" i="1"/>
  <c r="A7" i="1"/>
  <c r="I6" i="1"/>
  <c r="H6" i="1"/>
  <c r="G6" i="1"/>
  <c r="F6" i="1"/>
  <c r="A6" i="1"/>
  <c r="I5" i="1"/>
  <c r="H5" i="1"/>
  <c r="G5" i="1"/>
  <c r="F5" i="1"/>
  <c r="A5" i="1"/>
  <c r="I4" i="1"/>
  <c r="H4" i="1"/>
  <c r="G4" i="1"/>
  <c r="F4" i="1"/>
  <c r="A4" i="1"/>
  <c r="I3" i="1"/>
  <c r="H3" i="1"/>
  <c r="G3" i="1"/>
  <c r="F3" i="1"/>
  <c r="D59" i="3" l="1"/>
  <c r="D58" i="3"/>
  <c r="I59" i="3"/>
  <c r="I58" i="3"/>
  <c r="G50" i="3"/>
  <c r="G51" i="3"/>
  <c r="C55" i="3"/>
  <c r="C54" i="3"/>
  <c r="E59" i="3"/>
  <c r="E58" i="3"/>
  <c r="J59" i="3"/>
  <c r="J58" i="3"/>
  <c r="D51" i="3"/>
  <c r="D50" i="3"/>
  <c r="B47" i="3"/>
  <c r="B46" i="3"/>
  <c r="H50" i="3"/>
  <c r="H51" i="3"/>
  <c r="B59" i="3"/>
  <c r="B58" i="3"/>
  <c r="D47" i="3"/>
  <c r="D46" i="3"/>
  <c r="B55" i="3"/>
  <c r="B54" i="3"/>
  <c r="B50" i="3"/>
  <c r="B51" i="3"/>
  <c r="D55" i="3"/>
  <c r="D54" i="3"/>
  <c r="G59" i="3"/>
  <c r="G58" i="3"/>
  <c r="C47" i="3"/>
  <c r="C46" i="3"/>
  <c r="C50" i="3"/>
  <c r="C51" i="3"/>
  <c r="C58" i="3"/>
  <c r="C59" i="3"/>
  <c r="H59" i="3"/>
  <c r="H58" i="3"/>
  <c r="B43" i="3"/>
  <c r="B38" i="3"/>
  <c r="B35" i="3"/>
  <c r="B34" i="3"/>
  <c r="B41" i="3"/>
  <c r="B37" i="3"/>
  <c r="B40" i="3"/>
  <c r="B42" i="3"/>
  <c r="B39" i="3"/>
  <c r="B36" i="3"/>
  <c r="C42" i="3"/>
  <c r="C38" i="3"/>
  <c r="C34" i="3"/>
  <c r="C39" i="3"/>
  <c r="C35" i="3"/>
  <c r="C40" i="3"/>
  <c r="C36" i="3"/>
  <c r="C41" i="3"/>
  <c r="C37" i="3"/>
  <c r="D39" i="3"/>
  <c r="D35" i="3"/>
  <c r="D40" i="3"/>
  <c r="D36" i="3"/>
  <c r="D41" i="3"/>
  <c r="D37" i="3"/>
  <c r="D42" i="3"/>
  <c r="D38" i="3"/>
  <c r="D34" i="3"/>
  <c r="D51" i="2"/>
  <c r="C50" i="2"/>
  <c r="I33" i="1"/>
  <c r="H35" i="1"/>
  <c r="E28" i="1"/>
  <c r="E32" i="1"/>
  <c r="F34" i="1"/>
  <c r="C30" i="1"/>
  <c r="C34" i="1"/>
  <c r="F33" i="1"/>
  <c r="E30" i="1"/>
  <c r="E76" i="2"/>
  <c r="E72" i="2"/>
  <c r="E78" i="2"/>
  <c r="E74" i="2"/>
  <c r="E70" i="2"/>
  <c r="E75" i="2"/>
  <c r="E71" i="2"/>
  <c r="E73" i="2"/>
  <c r="E77" i="2"/>
  <c r="J76" i="2"/>
  <c r="J72" i="2"/>
  <c r="J78" i="2"/>
  <c r="J74" i="2"/>
  <c r="J70" i="2"/>
  <c r="J75" i="2"/>
  <c r="J71" i="2"/>
  <c r="J73" i="2"/>
  <c r="J77" i="2"/>
  <c r="B88" i="2"/>
  <c r="B89" i="2"/>
  <c r="B81" i="2"/>
  <c r="B86" i="2"/>
  <c r="B83" i="2"/>
  <c r="B85" i="2"/>
  <c r="B82" i="2"/>
  <c r="B87" i="2"/>
  <c r="B84" i="2"/>
  <c r="C80" i="2"/>
  <c r="G89" i="2"/>
  <c r="G85" i="2"/>
  <c r="G81" i="2"/>
  <c r="G87" i="2"/>
  <c r="G83" i="2"/>
  <c r="G88" i="2"/>
  <c r="G84" i="2"/>
  <c r="G86" i="2"/>
  <c r="G82" i="2"/>
  <c r="C98" i="2"/>
  <c r="C94" i="2"/>
  <c r="C99" i="2"/>
  <c r="C95" i="2"/>
  <c r="C100" i="2"/>
  <c r="C96" i="2"/>
  <c r="C92" i="2"/>
  <c r="C97" i="2"/>
  <c r="C93" i="2"/>
  <c r="H98" i="2"/>
  <c r="H94" i="2"/>
  <c r="H100" i="2"/>
  <c r="H96" i="2"/>
  <c r="H92" i="2"/>
  <c r="H99" i="2"/>
  <c r="H97" i="2"/>
  <c r="H93" i="2"/>
  <c r="H95" i="2"/>
  <c r="C53" i="2"/>
  <c r="C66" i="2"/>
  <c r="C62" i="2"/>
  <c r="C64" i="2"/>
  <c r="C60" i="2"/>
  <c r="C65" i="2"/>
  <c r="C61" i="2"/>
  <c r="C59" i="2"/>
  <c r="C63" i="2"/>
  <c r="C67" i="2"/>
  <c r="B74" i="2"/>
  <c r="B71" i="2"/>
  <c r="B76" i="2"/>
  <c r="B78" i="2"/>
  <c r="C69" i="2"/>
  <c r="B75" i="2"/>
  <c r="B72" i="2"/>
  <c r="B73" i="2"/>
  <c r="B70" i="2"/>
  <c r="B77" i="2"/>
  <c r="G77" i="2"/>
  <c r="G73" i="2"/>
  <c r="G75" i="2"/>
  <c r="G71" i="2"/>
  <c r="G76" i="2"/>
  <c r="G72" i="2"/>
  <c r="G78" i="2"/>
  <c r="G70" i="2"/>
  <c r="G74" i="2"/>
  <c r="C86" i="2"/>
  <c r="C82" i="2"/>
  <c r="C88" i="2"/>
  <c r="C84" i="2"/>
  <c r="C87" i="2"/>
  <c r="C89" i="2"/>
  <c r="C85" i="2"/>
  <c r="C81" i="2"/>
  <c r="C83" i="2"/>
  <c r="H86" i="2"/>
  <c r="H82" i="2"/>
  <c r="H87" i="2"/>
  <c r="H88" i="2"/>
  <c r="H84" i="2"/>
  <c r="H89" i="2"/>
  <c r="H85" i="2"/>
  <c r="H81" i="2"/>
  <c r="H83" i="2"/>
  <c r="D99" i="2"/>
  <c r="D95" i="2"/>
  <c r="D97" i="2"/>
  <c r="D93" i="2"/>
  <c r="D96" i="2"/>
  <c r="D98" i="2"/>
  <c r="D94" i="2"/>
  <c r="D100" i="2"/>
  <c r="D92" i="2"/>
  <c r="I99" i="2"/>
  <c r="I95" i="2"/>
  <c r="I97" i="2"/>
  <c r="I93" i="2"/>
  <c r="I100" i="2"/>
  <c r="I92" i="2"/>
  <c r="I98" i="2"/>
  <c r="I94" i="2"/>
  <c r="I96" i="2"/>
  <c r="B53" i="2"/>
  <c r="B64" i="2"/>
  <c r="B61" i="2"/>
  <c r="B66" i="2"/>
  <c r="B67" i="2"/>
  <c r="B59" i="2"/>
  <c r="B56" i="2"/>
  <c r="B65" i="2"/>
  <c r="B62" i="2"/>
  <c r="C58" i="2"/>
  <c r="B63" i="2"/>
  <c r="B60" i="2"/>
  <c r="D54" i="2"/>
  <c r="D67" i="2"/>
  <c r="D63" i="2"/>
  <c r="D59" i="2"/>
  <c r="D65" i="2"/>
  <c r="D61" i="2"/>
  <c r="D66" i="2"/>
  <c r="D62" i="2"/>
  <c r="D64" i="2"/>
  <c r="D60" i="2"/>
  <c r="C78" i="2"/>
  <c r="C74" i="2"/>
  <c r="C70" i="2"/>
  <c r="C76" i="2"/>
  <c r="C72" i="2"/>
  <c r="C77" i="2"/>
  <c r="C73" i="2"/>
  <c r="C71" i="2"/>
  <c r="C75" i="2"/>
  <c r="H78" i="2"/>
  <c r="H74" i="2"/>
  <c r="H70" i="2"/>
  <c r="H76" i="2"/>
  <c r="H72" i="2"/>
  <c r="H77" i="2"/>
  <c r="H73" i="2"/>
  <c r="H71" i="2"/>
  <c r="H75" i="2"/>
  <c r="D87" i="2"/>
  <c r="D83" i="2"/>
  <c r="D84" i="2"/>
  <c r="D89" i="2"/>
  <c r="D85" i="2"/>
  <c r="D81" i="2"/>
  <c r="D86" i="2"/>
  <c r="D82" i="2"/>
  <c r="D88" i="2"/>
  <c r="I87" i="2"/>
  <c r="I83" i="2"/>
  <c r="I89" i="2"/>
  <c r="I85" i="2"/>
  <c r="I81" i="2"/>
  <c r="I88" i="2"/>
  <c r="I86" i="2"/>
  <c r="I82" i="2"/>
  <c r="I84" i="2"/>
  <c r="E100" i="2"/>
  <c r="E96" i="2"/>
  <c r="E92" i="2"/>
  <c r="E93" i="2"/>
  <c r="E98" i="2"/>
  <c r="E94" i="2"/>
  <c r="E97" i="2"/>
  <c r="E99" i="2"/>
  <c r="E95" i="2"/>
  <c r="J100" i="2"/>
  <c r="J96" i="2"/>
  <c r="J92" i="2"/>
  <c r="J98" i="2"/>
  <c r="J94" i="2"/>
  <c r="J97" i="2"/>
  <c r="J99" i="2"/>
  <c r="J95" i="2"/>
  <c r="J93" i="2"/>
  <c r="D75" i="2"/>
  <c r="D71" i="2"/>
  <c r="D77" i="2"/>
  <c r="D73" i="2"/>
  <c r="D78" i="2"/>
  <c r="D74" i="2"/>
  <c r="D70" i="2"/>
  <c r="D76" i="2"/>
  <c r="D72" i="2"/>
  <c r="I75" i="2"/>
  <c r="I71" i="2"/>
  <c r="I77" i="2"/>
  <c r="I73" i="2"/>
  <c r="I78" i="2"/>
  <c r="I74" i="2"/>
  <c r="I70" i="2"/>
  <c r="I72" i="2"/>
  <c r="I76" i="2"/>
  <c r="E88" i="2"/>
  <c r="E84" i="2"/>
  <c r="E89" i="2"/>
  <c r="E86" i="2"/>
  <c r="E82" i="2"/>
  <c r="E85" i="2"/>
  <c r="E87" i="2"/>
  <c r="E83" i="2"/>
  <c r="E81" i="2"/>
  <c r="J88" i="2"/>
  <c r="J84" i="2"/>
  <c r="J85" i="2"/>
  <c r="J86" i="2"/>
  <c r="J82" i="2"/>
  <c r="J87" i="2"/>
  <c r="J83" i="2"/>
  <c r="J89" i="2"/>
  <c r="J81" i="2"/>
  <c r="B98" i="2"/>
  <c r="B100" i="2"/>
  <c r="C91" i="2"/>
  <c r="B94" i="2"/>
  <c r="B96" i="2"/>
  <c r="B93" i="2"/>
  <c r="B97" i="2"/>
  <c r="B99" i="2"/>
  <c r="B95" i="2"/>
  <c r="B92" i="2"/>
  <c r="G97" i="2"/>
  <c r="G93" i="2"/>
  <c r="G99" i="2"/>
  <c r="G95" i="2"/>
  <c r="G94" i="2"/>
  <c r="G100" i="2"/>
  <c r="G96" i="2"/>
  <c r="G92" i="2"/>
  <c r="G98" i="2"/>
  <c r="G44" i="1"/>
  <c r="G40" i="1"/>
  <c r="G45" i="1"/>
  <c r="G41" i="1"/>
  <c r="G46" i="1"/>
  <c r="G42" i="1"/>
  <c r="G47" i="1"/>
  <c r="G43" i="1"/>
  <c r="G39" i="1"/>
  <c r="F55" i="1"/>
  <c r="F51" i="1"/>
  <c r="F56" i="1"/>
  <c r="F52" i="1"/>
  <c r="F57" i="1"/>
  <c r="F53" i="1"/>
  <c r="F58" i="1"/>
  <c r="F54" i="1"/>
  <c r="F50" i="1"/>
  <c r="D45" i="1"/>
  <c r="D41" i="1"/>
  <c r="D46" i="1"/>
  <c r="D42" i="1"/>
  <c r="D47" i="1"/>
  <c r="D43" i="1"/>
  <c r="D39" i="1"/>
  <c r="D44" i="1"/>
  <c r="D40" i="1"/>
  <c r="D57" i="1"/>
  <c r="D53" i="1"/>
  <c r="D58" i="1"/>
  <c r="D54" i="1"/>
  <c r="D50" i="1"/>
  <c r="D55" i="1"/>
  <c r="D51" i="1"/>
  <c r="D56" i="1"/>
  <c r="D52" i="1"/>
  <c r="B27" i="1"/>
  <c r="B31" i="1"/>
  <c r="B35" i="1"/>
  <c r="F27" i="1"/>
  <c r="G28" i="1"/>
  <c r="D29" i="1"/>
  <c r="H29" i="1"/>
  <c r="I30" i="1"/>
  <c r="F31" i="1"/>
  <c r="G32" i="1"/>
  <c r="D33" i="1"/>
  <c r="H33" i="1"/>
  <c r="I34" i="1"/>
  <c r="F35" i="1"/>
  <c r="H45" i="1"/>
  <c r="H41" i="1"/>
  <c r="H46" i="1"/>
  <c r="H42" i="1"/>
  <c r="H47" i="1"/>
  <c r="H43" i="1"/>
  <c r="H39" i="1"/>
  <c r="H44" i="1"/>
  <c r="H40" i="1"/>
  <c r="G56" i="1"/>
  <c r="G52" i="1"/>
  <c r="G57" i="1"/>
  <c r="G53" i="1"/>
  <c r="G58" i="1"/>
  <c r="G54" i="1"/>
  <c r="G50" i="1"/>
  <c r="G55" i="1"/>
  <c r="G51" i="1"/>
  <c r="E46" i="1"/>
  <c r="E42" i="1"/>
  <c r="E47" i="1"/>
  <c r="E43" i="1"/>
  <c r="E39" i="1"/>
  <c r="E44" i="1"/>
  <c r="E40" i="1"/>
  <c r="E45" i="1"/>
  <c r="E41" i="1"/>
  <c r="E58" i="1"/>
  <c r="E54" i="1"/>
  <c r="E50" i="1"/>
  <c r="E55" i="1"/>
  <c r="E51" i="1"/>
  <c r="E56" i="1"/>
  <c r="E52" i="1"/>
  <c r="E57" i="1"/>
  <c r="E53" i="1"/>
  <c r="B28" i="1"/>
  <c r="C27" i="1"/>
  <c r="G27" i="1"/>
  <c r="D28" i="1"/>
  <c r="H28" i="1"/>
  <c r="E29" i="1"/>
  <c r="I29" i="1"/>
  <c r="F30" i="1"/>
  <c r="C31" i="1"/>
  <c r="G31" i="1"/>
  <c r="D32" i="1"/>
  <c r="H32" i="1"/>
  <c r="E33" i="1"/>
  <c r="G35" i="1"/>
  <c r="I46" i="1"/>
  <c r="I42" i="1"/>
  <c r="I47" i="1"/>
  <c r="I43" i="1"/>
  <c r="I39" i="1"/>
  <c r="I44" i="1"/>
  <c r="I40" i="1"/>
  <c r="I45" i="1"/>
  <c r="I41" i="1"/>
  <c r="H57" i="1"/>
  <c r="H53" i="1"/>
  <c r="H58" i="1"/>
  <c r="H54" i="1"/>
  <c r="H50" i="1"/>
  <c r="H55" i="1"/>
  <c r="H51" i="1"/>
  <c r="H56" i="1"/>
  <c r="H52" i="1"/>
  <c r="B46" i="1"/>
  <c r="B42" i="1"/>
  <c r="B39" i="1"/>
  <c r="B45" i="1"/>
  <c r="B47" i="1"/>
  <c r="C38" i="1"/>
  <c r="B36" i="1"/>
  <c r="B44" i="1"/>
  <c r="B41" i="1"/>
  <c r="B43" i="1"/>
  <c r="B40" i="1"/>
  <c r="B56" i="1"/>
  <c r="B52" i="1"/>
  <c r="C49" i="1"/>
  <c r="B55" i="1"/>
  <c r="B58" i="1"/>
  <c r="B54" i="1"/>
  <c r="B51" i="1"/>
  <c r="B57" i="1"/>
  <c r="B53" i="1"/>
  <c r="B50" i="1"/>
  <c r="B29" i="1"/>
  <c r="B33" i="1"/>
  <c r="D27" i="1"/>
  <c r="H27" i="1"/>
  <c r="I28" i="1"/>
  <c r="F29" i="1"/>
  <c r="G30" i="1"/>
  <c r="D31" i="1"/>
  <c r="H31" i="1"/>
  <c r="I32" i="1"/>
  <c r="G34" i="1"/>
  <c r="D35" i="1"/>
  <c r="F47" i="1"/>
  <c r="F43" i="1"/>
  <c r="F39" i="1"/>
  <c r="F44" i="1"/>
  <c r="F40" i="1"/>
  <c r="F45" i="1"/>
  <c r="F41" i="1"/>
  <c r="F46" i="1"/>
  <c r="F42" i="1"/>
  <c r="I58" i="1"/>
  <c r="I54" i="1"/>
  <c r="I50" i="1"/>
  <c r="I55" i="1"/>
  <c r="I51" i="1"/>
  <c r="I56" i="1"/>
  <c r="I52" i="1"/>
  <c r="I57" i="1"/>
  <c r="I53" i="1"/>
  <c r="C44" i="1"/>
  <c r="C40" i="1"/>
  <c r="C45" i="1"/>
  <c r="C41" i="1"/>
  <c r="C46" i="1"/>
  <c r="C42" i="1"/>
  <c r="C47" i="1"/>
  <c r="C43" i="1"/>
  <c r="C39" i="1"/>
  <c r="C56" i="1"/>
  <c r="C52" i="1"/>
  <c r="C57" i="1"/>
  <c r="C53" i="1"/>
  <c r="C58" i="1"/>
  <c r="C54" i="1"/>
  <c r="C50" i="1"/>
  <c r="C55" i="1"/>
  <c r="C51" i="1"/>
  <c r="B30" i="1"/>
  <c r="B34" i="1"/>
  <c r="E27" i="1"/>
  <c r="I27" i="1"/>
  <c r="F28" i="1"/>
  <c r="C29" i="1"/>
  <c r="G29" i="1"/>
  <c r="D30" i="1"/>
  <c r="H30" i="1"/>
  <c r="E31" i="1"/>
  <c r="I31" i="1"/>
  <c r="F32" i="1"/>
  <c r="C33" i="1"/>
  <c r="G33" i="1"/>
  <c r="D34" i="1"/>
  <c r="H34" i="1"/>
  <c r="E35" i="1"/>
  <c r="I35" i="1"/>
  <c r="B49" i="2"/>
  <c r="B50" i="2"/>
  <c r="B54" i="2"/>
  <c r="C48" i="2"/>
  <c r="D49" i="2"/>
  <c r="C52" i="2"/>
  <c r="D53" i="2"/>
  <c r="B52" i="2"/>
  <c r="C54" i="2"/>
  <c r="D55" i="2"/>
  <c r="B48" i="2"/>
  <c r="B51" i="2"/>
  <c r="C47" i="2"/>
  <c r="D48" i="2"/>
  <c r="C51" i="2"/>
  <c r="D52" i="2"/>
  <c r="C55" i="2"/>
  <c r="D47" i="2"/>
  <c r="B55" i="2"/>
  <c r="C49" i="2"/>
  <c r="D50" i="2"/>
  <c r="U16" i="3"/>
  <c r="T16" i="3"/>
  <c r="S16" i="3"/>
  <c r="R16" i="3"/>
  <c r="P16" i="3"/>
  <c r="E16" i="3" s="1"/>
  <c r="U15" i="3"/>
  <c r="T15" i="3"/>
  <c r="S15" i="3"/>
  <c r="R15" i="3"/>
  <c r="P15" i="3"/>
  <c r="E15" i="3" s="1"/>
  <c r="U14" i="3"/>
  <c r="T14" i="3"/>
  <c r="S14" i="3"/>
  <c r="R14" i="3"/>
  <c r="P14" i="3"/>
  <c r="E14" i="3" s="1"/>
  <c r="U13" i="3"/>
  <c r="T13" i="3"/>
  <c r="I13" i="3" s="1"/>
  <c r="S13" i="3"/>
  <c r="H13" i="3" s="1"/>
  <c r="R13" i="3"/>
  <c r="P13" i="3"/>
  <c r="E13" i="3" s="1"/>
  <c r="G15" i="3" l="1"/>
  <c r="E55" i="3"/>
  <c r="E54" i="3"/>
  <c r="G13" i="3"/>
  <c r="I15" i="3"/>
  <c r="J14" i="3"/>
  <c r="H16" i="3"/>
  <c r="H14" i="3"/>
  <c r="H54" i="3" s="1"/>
  <c r="J16" i="3"/>
  <c r="J13" i="3"/>
  <c r="I14" i="3"/>
  <c r="I54" i="3" s="1"/>
  <c r="H15" i="3"/>
  <c r="G16" i="3"/>
  <c r="G14" i="3"/>
  <c r="J15" i="3"/>
  <c r="I16" i="3"/>
  <c r="I55" i="3" s="1"/>
  <c r="U12" i="3"/>
  <c r="T12" i="3"/>
  <c r="P12" i="3"/>
  <c r="E12" i="3" s="1"/>
  <c r="H55" i="3" l="1"/>
  <c r="G55" i="3"/>
  <c r="G54" i="3"/>
  <c r="E51" i="3"/>
  <c r="E50" i="3"/>
  <c r="J55" i="3"/>
  <c r="J54" i="3"/>
  <c r="I12" i="3"/>
  <c r="J12" i="3"/>
  <c r="I50" i="3" l="1"/>
  <c r="I51" i="3"/>
  <c r="J51" i="3"/>
  <c r="J50" i="3"/>
  <c r="U7" i="3"/>
  <c r="T7" i="3"/>
  <c r="P7" i="3"/>
  <c r="E7" i="3" s="1"/>
  <c r="I7" i="3" l="1"/>
  <c r="J7" i="3"/>
  <c r="U6" i="3"/>
  <c r="J6" i="3" s="1"/>
  <c r="T6" i="3"/>
  <c r="I6" i="3" s="1"/>
  <c r="P6" i="3"/>
  <c r="E6" i="3" s="1"/>
  <c r="U5" i="3" l="1"/>
  <c r="T5" i="3"/>
  <c r="S5" i="3"/>
  <c r="P5" i="3"/>
  <c r="E5" i="3" s="1"/>
  <c r="I5" i="3" l="1"/>
  <c r="H5" i="3"/>
  <c r="J5" i="3"/>
  <c r="R4" i="3"/>
  <c r="H47" i="3" l="1"/>
  <c r="H46" i="3"/>
  <c r="H42" i="3"/>
  <c r="H35" i="3"/>
  <c r="H37" i="3"/>
  <c r="H38" i="3"/>
  <c r="H40" i="3"/>
  <c r="H34" i="3"/>
  <c r="H36" i="3"/>
  <c r="H39" i="3"/>
  <c r="H41" i="3"/>
  <c r="P3" i="2"/>
  <c r="J3" i="2" l="1"/>
  <c r="E3" i="2"/>
  <c r="I3" i="2"/>
  <c r="G3" i="2"/>
  <c r="H3" i="2"/>
  <c r="U4" i="3"/>
  <c r="T4" i="3"/>
  <c r="P4" i="3"/>
  <c r="U3" i="3"/>
  <c r="T3" i="3"/>
  <c r="P3" i="3"/>
  <c r="E3" i="3" s="1"/>
  <c r="E4" i="3" l="1"/>
  <c r="E46" i="3" s="1"/>
  <c r="G4" i="3"/>
  <c r="E41" i="3"/>
  <c r="E37" i="3"/>
  <c r="E42" i="3"/>
  <c r="E38" i="3"/>
  <c r="E34" i="3"/>
  <c r="E39" i="3"/>
  <c r="E35" i="3"/>
  <c r="I4" i="3"/>
  <c r="J4" i="3"/>
  <c r="I3" i="3"/>
  <c r="J3" i="3"/>
  <c r="G52" i="2"/>
  <c r="G65" i="2"/>
  <c r="G61" i="2"/>
  <c r="G67" i="2"/>
  <c r="G63" i="2"/>
  <c r="G59" i="2"/>
  <c r="G64" i="2"/>
  <c r="G60" i="2"/>
  <c r="G66" i="2"/>
  <c r="G62" i="2"/>
  <c r="G50" i="2"/>
  <c r="G53" i="2"/>
  <c r="G48" i="2"/>
  <c r="G55" i="2"/>
  <c r="G47" i="2"/>
  <c r="G49" i="2"/>
  <c r="G51" i="2"/>
  <c r="G54" i="2"/>
  <c r="I54" i="2"/>
  <c r="I67" i="2"/>
  <c r="I63" i="2"/>
  <c r="I59" i="2"/>
  <c r="I65" i="2"/>
  <c r="I61" i="2"/>
  <c r="I66" i="2"/>
  <c r="I62" i="2"/>
  <c r="I60" i="2"/>
  <c r="I64" i="2"/>
  <c r="I51" i="2"/>
  <c r="I48" i="2"/>
  <c r="I49" i="2"/>
  <c r="I50" i="2"/>
  <c r="I55" i="2"/>
  <c r="I47" i="2"/>
  <c r="I53" i="2"/>
  <c r="I52" i="2"/>
  <c r="E55" i="2"/>
  <c r="E64" i="2"/>
  <c r="E60" i="2"/>
  <c r="E66" i="2"/>
  <c r="E62" i="2"/>
  <c r="E67" i="2"/>
  <c r="E63" i="2"/>
  <c r="E59" i="2"/>
  <c r="E61" i="2"/>
  <c r="E65" i="2"/>
  <c r="E50" i="2"/>
  <c r="E53" i="2"/>
  <c r="E51" i="2"/>
  <c r="E49" i="2"/>
  <c r="E47" i="2"/>
  <c r="E52" i="2"/>
  <c r="E48" i="2"/>
  <c r="E54" i="2"/>
  <c r="H53" i="2"/>
  <c r="H66" i="2"/>
  <c r="H62" i="2"/>
  <c r="H64" i="2"/>
  <c r="H60" i="2"/>
  <c r="H65" i="2"/>
  <c r="H61" i="2"/>
  <c r="H59" i="2"/>
  <c r="H63" i="2"/>
  <c r="H67" i="2"/>
  <c r="H50" i="2"/>
  <c r="H52" i="2"/>
  <c r="H55" i="2"/>
  <c r="H48" i="2"/>
  <c r="H51" i="2"/>
  <c r="H49" i="2"/>
  <c r="H47" i="2"/>
  <c r="H54" i="2"/>
  <c r="J55" i="2"/>
  <c r="J64" i="2"/>
  <c r="J60" i="2"/>
  <c r="J66" i="2"/>
  <c r="J62" i="2"/>
  <c r="J67" i="2"/>
  <c r="J63" i="2"/>
  <c r="J59" i="2"/>
  <c r="J61" i="2"/>
  <c r="J65" i="2"/>
  <c r="J54" i="2"/>
  <c r="J48" i="2"/>
  <c r="J50" i="2"/>
  <c r="J53" i="2"/>
  <c r="J51" i="2"/>
  <c r="J49" i="2"/>
  <c r="J47" i="2"/>
  <c r="J52" i="2"/>
  <c r="A3" i="1"/>
  <c r="I46" i="3" l="1"/>
  <c r="I47" i="3"/>
  <c r="E36" i="3"/>
  <c r="E47" i="3"/>
  <c r="G47" i="3"/>
  <c r="G46" i="3"/>
  <c r="J47" i="3"/>
  <c r="J46" i="3"/>
  <c r="E40" i="3"/>
  <c r="J40" i="3"/>
  <c r="J36" i="3"/>
  <c r="J41" i="3"/>
  <c r="J37" i="3"/>
  <c r="J42" i="3"/>
  <c r="J38" i="3"/>
  <c r="J34" i="3"/>
  <c r="J39" i="3"/>
  <c r="J35" i="3"/>
  <c r="G42" i="3"/>
  <c r="G35" i="3"/>
  <c r="G38" i="3"/>
  <c r="G40" i="3"/>
  <c r="G41" i="3"/>
  <c r="G34" i="3"/>
  <c r="G36" i="3"/>
  <c r="G37" i="3"/>
  <c r="G39" i="3"/>
  <c r="I39" i="3"/>
  <c r="I35" i="3"/>
  <c r="I40" i="3"/>
  <c r="I36" i="3"/>
  <c r="I41" i="3"/>
  <c r="I37" i="3"/>
  <c r="I42" i="3"/>
  <c r="I38" i="3"/>
  <c r="I34" i="3"/>
</calcChain>
</file>

<file path=xl/sharedStrings.xml><?xml version="1.0" encoding="utf-8"?>
<sst xmlns="http://schemas.openxmlformats.org/spreadsheetml/2006/main" count="241" uniqueCount="80">
  <si>
    <t>Room</t>
  </si>
  <si>
    <t>II Size (cm)</t>
  </si>
  <si>
    <t>kV</t>
  </si>
  <si>
    <t>mA</t>
  </si>
  <si>
    <t>nGy/frame</t>
  </si>
  <si>
    <t>NT04</t>
  </si>
  <si>
    <t>NT03</t>
  </si>
  <si>
    <t>Ped02</t>
  </si>
  <si>
    <t>Ped03</t>
  </si>
  <si>
    <t>RT761</t>
  </si>
  <si>
    <t>ART2205</t>
  </si>
  <si>
    <t>ART2208</t>
  </si>
  <si>
    <t>Pulse</t>
  </si>
  <si>
    <t>Spot</t>
  </si>
  <si>
    <t>C-arm 7</t>
  </si>
  <si>
    <t>C-arm 8</t>
  </si>
  <si>
    <t>C-arm 9</t>
  </si>
  <si>
    <t>C-arm 10</t>
  </si>
  <si>
    <t>C-arm 11</t>
  </si>
  <si>
    <t>C-arm 12</t>
  </si>
  <si>
    <t>C-arm 18</t>
  </si>
  <si>
    <t>C-arm 19</t>
  </si>
  <si>
    <t>ART C-arm 1</t>
  </si>
  <si>
    <t>ART C-arm 2</t>
  </si>
  <si>
    <t>ART C-arm 3</t>
  </si>
  <si>
    <t>ART C-arm 4</t>
  </si>
  <si>
    <t>RT Uro</t>
  </si>
  <si>
    <t>EC1</t>
  </si>
  <si>
    <t>EC2</t>
  </si>
  <si>
    <t>EC Neuro</t>
  </si>
  <si>
    <t>Neuro</t>
  </si>
  <si>
    <t>PICC</t>
  </si>
  <si>
    <t>Pain Mgmt</t>
  </si>
  <si>
    <t>Normal</t>
  </si>
  <si>
    <t>Mag 1</t>
  </si>
  <si>
    <t>Low dose</t>
  </si>
  <si>
    <t>High dose</t>
  </si>
  <si>
    <t>Mag 2</t>
  </si>
  <si>
    <t>HVC01</t>
  </si>
  <si>
    <t>HVC02</t>
  </si>
  <si>
    <t>HVC04</t>
  </si>
  <si>
    <t>HVC05</t>
  </si>
  <si>
    <t>Neuro1 AP</t>
  </si>
  <si>
    <t>Neuro1 Lat</t>
  </si>
  <si>
    <t>Neuro2 AP</t>
  </si>
  <si>
    <t>Neuro2 Lat</t>
  </si>
  <si>
    <t>ART Angio 2</t>
  </si>
  <si>
    <t>ART Angio 3</t>
  </si>
  <si>
    <t>ART OR 10</t>
  </si>
  <si>
    <t>ART EP 6</t>
  </si>
  <si>
    <t>ART EP 7 AP</t>
  </si>
  <si>
    <t>ART EP 7 Lat</t>
  </si>
  <si>
    <t>ART EP 8</t>
  </si>
  <si>
    <t>ART Cath 10</t>
  </si>
  <si>
    <t>ART Cath 11 AP</t>
  </si>
  <si>
    <t>ART Cath 11 Lat</t>
  </si>
  <si>
    <t>ART Cath 12</t>
  </si>
  <si>
    <t>ART Cath 13</t>
  </si>
  <si>
    <t>Ped Cath 1 AP</t>
  </si>
  <si>
    <t>Ped Cath 2 AP</t>
  </si>
  <si>
    <t>HVC 11 AP</t>
  </si>
  <si>
    <t>HVC 11 Lat</t>
  </si>
  <si>
    <t>Low</t>
  </si>
  <si>
    <t>High</t>
  </si>
  <si>
    <t>Dose level</t>
  </si>
  <si>
    <t>Mag mode</t>
  </si>
  <si>
    <t>Average</t>
  </si>
  <si>
    <t>SD</t>
  </si>
  <si>
    <t>Min</t>
  </si>
  <si>
    <t>Max</t>
  </si>
  <si>
    <t>Peds Proc 7</t>
  </si>
  <si>
    <t>N</t>
  </si>
  <si>
    <t>RF</t>
  </si>
  <si>
    <t>C-arm</t>
  </si>
  <si>
    <t>Angio</t>
  </si>
  <si>
    <t>Cath Lab</t>
  </si>
  <si>
    <t>frame/s</t>
  </si>
  <si>
    <t>Ped Cath 1 Lat</t>
  </si>
  <si>
    <t>Ped Cath 2 Lat</t>
  </si>
  <si>
    <t>C-Arm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</si>
</sst>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>
      <alignment horizont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4" workbookViewId="0">
      <selection activeCell="E27" sqref="E27"/>
    </sheetView>
  </sheetViews>
  <sheetFormatPr defaultRowHeight="15" x14ac:dyDescent="0.25"/>
  <cols>
    <col min="1" max="1" width="11.5703125" bestFit="1" customWidth="1"/>
  </cols>
  <sheetData>
    <row r="1" spans="1:19" x14ac:dyDescent="0.25">
      <c r="E1" t="s">
        <v>33</v>
      </c>
      <c r="F1" s="13" t="s">
        <v>64</v>
      </c>
      <c r="G1" s="13"/>
      <c r="H1" s="13" t="s">
        <v>65</v>
      </c>
      <c r="I1" s="13"/>
      <c r="M1" s="13" t="s">
        <v>33</v>
      </c>
      <c r="N1" s="13"/>
      <c r="O1" s="13"/>
      <c r="P1" s="6" t="s">
        <v>62</v>
      </c>
      <c r="Q1" s="6" t="s">
        <v>63</v>
      </c>
      <c r="R1" s="6" t="s">
        <v>34</v>
      </c>
      <c r="S1" s="6" t="s">
        <v>37</v>
      </c>
    </row>
    <row r="2" spans="1:19" x14ac:dyDescent="0.25">
      <c r="A2" t="s">
        <v>0</v>
      </c>
      <c r="B2" s="1" t="s">
        <v>1</v>
      </c>
      <c r="C2" s="1" t="s">
        <v>2</v>
      </c>
      <c r="D2" s="1" t="s">
        <v>3</v>
      </c>
      <c r="E2" s="6" t="s">
        <v>4</v>
      </c>
      <c r="F2" s="6" t="s">
        <v>62</v>
      </c>
      <c r="G2" s="6" t="s">
        <v>63</v>
      </c>
      <c r="H2" s="6" t="s">
        <v>34</v>
      </c>
      <c r="I2" s="6" t="s">
        <v>37</v>
      </c>
      <c r="K2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3" t="s">
        <v>4</v>
      </c>
      <c r="Q2" s="3" t="s">
        <v>4</v>
      </c>
      <c r="R2" s="3" t="s">
        <v>4</v>
      </c>
      <c r="S2" s="3" t="s">
        <v>4</v>
      </c>
    </row>
    <row r="3" spans="1:19" x14ac:dyDescent="0.25">
      <c r="A3" t="str">
        <f>K3</f>
        <v>NT04</v>
      </c>
      <c r="B3" s="6">
        <f>IF(L3="","",L3)</f>
        <v>40</v>
      </c>
      <c r="C3" s="6">
        <f t="shared" ref="C3:E3" si="0">IF(M3="","",M3)</f>
        <v>63</v>
      </c>
      <c r="D3" s="6">
        <f t="shared" si="0"/>
        <v>0.9</v>
      </c>
      <c r="E3" s="8">
        <f t="shared" si="0"/>
        <v>6.4444444444444446</v>
      </c>
      <c r="F3" s="8">
        <f>IF(P3="","",P3/$O3)</f>
        <v>0.76724137931034486</v>
      </c>
      <c r="G3" s="8">
        <f>IF(Q3="","",Q3/$O3)</f>
        <v>1.7931034482758619</v>
      </c>
      <c r="H3" s="8">
        <f t="shared" ref="H3:I3" si="1">IF(R3="","",R3/$O3)</f>
        <v>1.2758620689655171</v>
      </c>
      <c r="I3" s="8">
        <f t="shared" si="1"/>
        <v>2.5172413793103448</v>
      </c>
      <c r="K3" s="5" t="s">
        <v>5</v>
      </c>
      <c r="L3">
        <v>40</v>
      </c>
      <c r="M3">
        <v>63</v>
      </c>
      <c r="N3">
        <v>0.9</v>
      </c>
      <c r="O3" s="2">
        <v>6.4444444444444446</v>
      </c>
      <c r="P3">
        <v>4.9444444444444446</v>
      </c>
      <c r="Q3">
        <v>11.555555555555555</v>
      </c>
      <c r="R3" s="2">
        <v>8.2222222222222214</v>
      </c>
      <c r="S3" s="2">
        <v>16.222222222222221</v>
      </c>
    </row>
    <row r="4" spans="1:19" x14ac:dyDescent="0.25">
      <c r="A4" t="str">
        <f t="shared" ref="A4:A25" si="2">K4</f>
        <v>Ped02</v>
      </c>
      <c r="B4" s="6">
        <f t="shared" ref="B4:B25" si="3">IF(L4="","",L4)</f>
        <v>30.48</v>
      </c>
      <c r="C4" s="6">
        <f t="shared" ref="C4:C25" si="4">IF(M4="","",M4)</f>
        <v>73</v>
      </c>
      <c r="D4" s="6">
        <f t="shared" ref="D4:D25" si="5">IF(N4="","",N4)</f>
        <v>1.3</v>
      </c>
      <c r="E4" s="8">
        <f t="shared" ref="E4:E25" si="6">IF(O4="","",O4)</f>
        <v>39.1</v>
      </c>
      <c r="F4" s="8" t="str">
        <f t="shared" ref="F4:F25" si="7">IF(P4="","",P4/$O4)</f>
        <v/>
      </c>
      <c r="G4" s="8">
        <f t="shared" ref="G4:G25" si="8">IF(Q4="","",Q4/$O4)</f>
        <v>0.74680306905370841</v>
      </c>
      <c r="H4" s="8">
        <f t="shared" ref="H4:H25" si="9">IF(R4="","",R4/$O4)</f>
        <v>1.0792838874680308</v>
      </c>
      <c r="I4" s="8">
        <f t="shared" ref="I4:I25" si="10">IF(S4="","",S4/$O4)</f>
        <v>1.7135549872122762</v>
      </c>
      <c r="K4" s="5" t="s">
        <v>7</v>
      </c>
      <c r="L4">
        <v>30.48</v>
      </c>
      <c r="M4">
        <v>73</v>
      </c>
      <c r="N4">
        <v>1.3</v>
      </c>
      <c r="O4">
        <v>39.1</v>
      </c>
      <c r="Q4">
        <v>29.2</v>
      </c>
      <c r="R4">
        <v>42.2</v>
      </c>
      <c r="S4">
        <v>67</v>
      </c>
    </row>
    <row r="5" spans="1:19" x14ac:dyDescent="0.25">
      <c r="A5" t="str">
        <f t="shared" si="2"/>
        <v>Ped03</v>
      </c>
      <c r="B5" s="6">
        <f t="shared" si="3"/>
        <v>33</v>
      </c>
      <c r="C5" s="6">
        <f t="shared" si="4"/>
        <v>70</v>
      </c>
      <c r="D5" s="6">
        <f t="shared" si="5"/>
        <v>1.3</v>
      </c>
      <c r="E5" s="8">
        <f t="shared" si="6"/>
        <v>26.277777777777779</v>
      </c>
      <c r="F5" s="8">
        <f t="shared" si="7"/>
        <v>0.5137420718816067</v>
      </c>
      <c r="G5" s="8">
        <f t="shared" si="8"/>
        <v>2.2917547568710357</v>
      </c>
      <c r="H5" s="8">
        <f t="shared" si="9"/>
        <v>2.4799154334038058</v>
      </c>
      <c r="I5" s="8">
        <f t="shared" si="10"/>
        <v>4.6490486257928119</v>
      </c>
      <c r="K5" s="5" t="s">
        <v>8</v>
      </c>
      <c r="L5">
        <v>33</v>
      </c>
      <c r="M5">
        <v>70</v>
      </c>
      <c r="N5">
        <v>1.3</v>
      </c>
      <c r="O5">
        <v>26.277777777777779</v>
      </c>
      <c r="P5">
        <v>13.5</v>
      </c>
      <c r="Q5">
        <v>60.222222222222221</v>
      </c>
      <c r="R5">
        <v>65.166666666666671</v>
      </c>
      <c r="S5">
        <v>122.16666666666667</v>
      </c>
    </row>
    <row r="6" spans="1:19" x14ac:dyDescent="0.25">
      <c r="A6" t="str">
        <f t="shared" si="2"/>
        <v>ART2205</v>
      </c>
      <c r="B6" s="6">
        <f t="shared" si="3"/>
        <v>40</v>
      </c>
      <c r="C6" s="6">
        <f t="shared" si="4"/>
        <v>65</v>
      </c>
      <c r="D6" s="6">
        <f t="shared" si="5"/>
        <v>1</v>
      </c>
      <c r="E6" s="8">
        <f t="shared" si="6"/>
        <v>13.055555555555555</v>
      </c>
      <c r="F6" s="8">
        <f t="shared" si="7"/>
        <v>0.68085106382978733</v>
      </c>
      <c r="G6" s="8">
        <f t="shared" si="8"/>
        <v>1.5787234042553191</v>
      </c>
      <c r="H6" s="8">
        <f t="shared" si="9"/>
        <v>1.3191489361702127</v>
      </c>
      <c r="I6" s="8">
        <f t="shared" si="10"/>
        <v>2.1787234042553192</v>
      </c>
      <c r="K6" s="5" t="s">
        <v>10</v>
      </c>
      <c r="L6">
        <v>40</v>
      </c>
      <c r="M6">
        <v>65</v>
      </c>
      <c r="N6">
        <v>1</v>
      </c>
      <c r="O6" s="2">
        <v>13.055555555555555</v>
      </c>
      <c r="P6">
        <v>8.8888888888888893</v>
      </c>
      <c r="Q6">
        <v>20.611111111111111</v>
      </c>
      <c r="R6">
        <v>17.222222222222221</v>
      </c>
      <c r="S6">
        <v>28.444444444444443</v>
      </c>
    </row>
    <row r="7" spans="1:19" x14ac:dyDescent="0.25">
      <c r="A7" t="str">
        <f t="shared" si="2"/>
        <v>ART2208</v>
      </c>
      <c r="B7" s="6">
        <f t="shared" si="3"/>
        <v>40</v>
      </c>
      <c r="C7" s="6">
        <f t="shared" si="4"/>
        <v>65</v>
      </c>
      <c r="D7" s="6">
        <f t="shared" si="5"/>
        <v>1</v>
      </c>
      <c r="E7" s="8">
        <f t="shared" si="6"/>
        <v>10.888888888888889</v>
      </c>
      <c r="F7" s="8">
        <f t="shared" si="7"/>
        <v>0.80102040816326525</v>
      </c>
      <c r="G7" s="8">
        <f t="shared" si="8"/>
        <v>1.8316326530612244</v>
      </c>
      <c r="H7" s="8">
        <f t="shared" si="9"/>
        <v>1.0765306122448979</v>
      </c>
      <c r="I7" s="8">
        <f t="shared" si="10"/>
        <v>2.704081632653061</v>
      </c>
      <c r="K7" s="5" t="s">
        <v>11</v>
      </c>
      <c r="L7">
        <v>40</v>
      </c>
      <c r="M7">
        <v>65</v>
      </c>
      <c r="N7">
        <v>1</v>
      </c>
      <c r="O7" s="2">
        <v>10.888888888888889</v>
      </c>
      <c r="P7">
        <v>8.7222222222222214</v>
      </c>
      <c r="Q7">
        <v>19.944444444444443</v>
      </c>
      <c r="R7">
        <v>11.722222222222221</v>
      </c>
      <c r="S7">
        <v>29.444444444444443</v>
      </c>
    </row>
    <row r="8" spans="1:19" x14ac:dyDescent="0.25">
      <c r="A8" t="str">
        <f t="shared" si="2"/>
        <v>C-arm 7</v>
      </c>
      <c r="B8" s="6">
        <f t="shared" si="3"/>
        <v>31</v>
      </c>
      <c r="C8" s="6">
        <f t="shared" si="4"/>
        <v>66</v>
      </c>
      <c r="D8" s="6">
        <f t="shared" si="5"/>
        <v>1.4</v>
      </c>
      <c r="E8" s="8">
        <f t="shared" si="6"/>
        <v>16.111111111111111</v>
      </c>
      <c r="F8" s="8">
        <f t="shared" si="7"/>
        <v>0.5</v>
      </c>
      <c r="G8" s="8">
        <f t="shared" si="8"/>
        <v>1.7827586206896551</v>
      </c>
      <c r="H8" s="8">
        <f t="shared" si="9"/>
        <v>2.0689655172413794</v>
      </c>
      <c r="I8" s="8">
        <f t="shared" si="10"/>
        <v>2.9586206896551723</v>
      </c>
      <c r="K8" s="5" t="s">
        <v>14</v>
      </c>
      <c r="L8">
        <v>31</v>
      </c>
      <c r="M8">
        <v>66</v>
      </c>
      <c r="N8">
        <v>1.4</v>
      </c>
      <c r="O8">
        <v>16.111111111111111</v>
      </c>
      <c r="P8">
        <v>8.0555555555555554</v>
      </c>
      <c r="Q8">
        <v>28.722222222222221</v>
      </c>
      <c r="R8">
        <v>33.333333333333336</v>
      </c>
      <c r="S8">
        <v>47.666666666666664</v>
      </c>
    </row>
    <row r="9" spans="1:19" x14ac:dyDescent="0.25">
      <c r="A9" t="str">
        <f t="shared" si="2"/>
        <v>C-arm 8</v>
      </c>
      <c r="B9" s="6">
        <f t="shared" si="3"/>
        <v>23</v>
      </c>
      <c r="C9" s="6">
        <f t="shared" si="4"/>
        <v>68</v>
      </c>
      <c r="D9" s="6">
        <f t="shared" si="5"/>
        <v>2</v>
      </c>
      <c r="E9" s="8">
        <f t="shared" si="6"/>
        <v>15.315246275348276</v>
      </c>
      <c r="F9" s="8" t="str">
        <f t="shared" si="7"/>
        <v/>
      </c>
      <c r="G9" s="8">
        <f t="shared" si="8"/>
        <v>0.99095658333055336</v>
      </c>
      <c r="H9" s="8">
        <f t="shared" si="9"/>
        <v>2.7094450315314687</v>
      </c>
      <c r="I9" s="8">
        <f t="shared" si="10"/>
        <v>3.4320914217648428</v>
      </c>
      <c r="K9" s="5" t="s">
        <v>15</v>
      </c>
      <c r="L9">
        <v>23</v>
      </c>
      <c r="M9">
        <v>68</v>
      </c>
      <c r="N9">
        <v>2</v>
      </c>
      <c r="O9">
        <v>15.315246275348276</v>
      </c>
      <c r="Q9">
        <v>15.176744121885111</v>
      </c>
      <c r="R9">
        <v>41.495817927423218</v>
      </c>
      <c r="S9">
        <v>52.563325363838779</v>
      </c>
    </row>
    <row r="10" spans="1:19" x14ac:dyDescent="0.25">
      <c r="A10" t="str">
        <f t="shared" si="2"/>
        <v>C-arm 9</v>
      </c>
      <c r="B10" s="6">
        <f t="shared" si="3"/>
        <v>23</v>
      </c>
      <c r="C10" s="6">
        <f t="shared" si="4"/>
        <v>68</v>
      </c>
      <c r="D10" s="6">
        <f t="shared" si="5"/>
        <v>2.0699999999999998</v>
      </c>
      <c r="E10" s="8">
        <f t="shared" si="6"/>
        <v>27.222222222222221</v>
      </c>
      <c r="F10" s="8">
        <f t="shared" si="7"/>
        <v>0.47551020408163269</v>
      </c>
      <c r="G10" s="8">
        <f t="shared" si="8"/>
        <v>1.6204081632653062</v>
      </c>
      <c r="H10" s="8">
        <f t="shared" si="9"/>
        <v>1.7285714285714286</v>
      </c>
      <c r="I10" s="8">
        <f t="shared" si="10"/>
        <v>2.4551020408163264</v>
      </c>
      <c r="K10" s="5" t="s">
        <v>16</v>
      </c>
      <c r="L10">
        <v>23</v>
      </c>
      <c r="M10">
        <v>68</v>
      </c>
      <c r="N10">
        <v>2.0699999999999998</v>
      </c>
      <c r="O10">
        <v>27.222222222222221</v>
      </c>
      <c r="P10">
        <v>12.944444444444445</v>
      </c>
      <c r="Q10">
        <v>44.111111111111114</v>
      </c>
      <c r="R10">
        <v>47.055555555555557</v>
      </c>
      <c r="S10">
        <v>66.833333333333329</v>
      </c>
    </row>
    <row r="11" spans="1:19" x14ac:dyDescent="0.25">
      <c r="A11" t="str">
        <f t="shared" si="2"/>
        <v>C-arm 10</v>
      </c>
      <c r="B11" s="6">
        <f t="shared" si="3"/>
        <v>23</v>
      </c>
      <c r="C11" s="6">
        <f t="shared" si="4"/>
        <v>67</v>
      </c>
      <c r="D11" s="6">
        <f t="shared" si="5"/>
        <v>2</v>
      </c>
      <c r="E11" s="8">
        <f t="shared" si="6"/>
        <v>23.722222222222221</v>
      </c>
      <c r="F11" s="8">
        <f t="shared" si="7"/>
        <v>0.52459016393442626</v>
      </c>
      <c r="G11" s="8">
        <f t="shared" si="8"/>
        <v>1.6533957845433256</v>
      </c>
      <c r="H11" s="8">
        <f t="shared" si="9"/>
        <v>1.5831381733021079</v>
      </c>
      <c r="I11" s="8">
        <f t="shared" si="10"/>
        <v>2.0562060889929743</v>
      </c>
      <c r="K11" s="5" t="s">
        <v>17</v>
      </c>
      <c r="L11">
        <v>23</v>
      </c>
      <c r="M11">
        <v>67</v>
      </c>
      <c r="N11">
        <v>2</v>
      </c>
      <c r="O11">
        <v>23.722222222222221</v>
      </c>
      <c r="P11">
        <v>12.444444444444445</v>
      </c>
      <c r="Q11">
        <v>39.222222222222221</v>
      </c>
      <c r="R11">
        <v>37.555555555555557</v>
      </c>
      <c r="S11">
        <v>48.777777777777779</v>
      </c>
    </row>
    <row r="12" spans="1:19" x14ac:dyDescent="0.25">
      <c r="A12" t="str">
        <f t="shared" si="2"/>
        <v>C-arm 11</v>
      </c>
      <c r="B12" s="6">
        <f t="shared" si="3"/>
        <v>31</v>
      </c>
      <c r="C12" s="6">
        <f t="shared" si="4"/>
        <v>68</v>
      </c>
      <c r="D12" s="6">
        <f t="shared" si="5"/>
        <v>1.4</v>
      </c>
      <c r="E12" s="8">
        <f t="shared" si="6"/>
        <v>19.444444444444443</v>
      </c>
      <c r="F12" s="8">
        <f t="shared" si="7"/>
        <v>0.52571428571428569</v>
      </c>
      <c r="G12" s="8">
        <f t="shared" si="8"/>
        <v>1.662857142857143</v>
      </c>
      <c r="H12" s="8">
        <f t="shared" si="9"/>
        <v>1.5571428571428574</v>
      </c>
      <c r="I12" s="8">
        <f t="shared" si="10"/>
        <v>2.7942857142857145</v>
      </c>
      <c r="K12" s="5" t="s">
        <v>18</v>
      </c>
      <c r="L12">
        <v>31</v>
      </c>
      <c r="M12">
        <v>68</v>
      </c>
      <c r="N12">
        <v>1.4</v>
      </c>
      <c r="O12">
        <v>19.444444444444443</v>
      </c>
      <c r="P12">
        <v>10.222222222222221</v>
      </c>
      <c r="Q12">
        <v>32.333333333333336</v>
      </c>
      <c r="R12">
        <v>30.277777777777779</v>
      </c>
      <c r="S12">
        <v>54.333333333333336</v>
      </c>
    </row>
    <row r="13" spans="1:19" x14ac:dyDescent="0.25">
      <c r="A13" t="str">
        <f t="shared" si="2"/>
        <v>C-arm 12</v>
      </c>
      <c r="B13" s="6">
        <f t="shared" si="3"/>
        <v>31</v>
      </c>
      <c r="C13" s="6">
        <f t="shared" si="4"/>
        <v>69</v>
      </c>
      <c r="D13" s="6">
        <f t="shared" si="5"/>
        <v>1.5</v>
      </c>
      <c r="E13" s="8">
        <f t="shared" si="6"/>
        <v>18.611111111111111</v>
      </c>
      <c r="F13" s="8">
        <f t="shared" si="7"/>
        <v>0.5044776119402985</v>
      </c>
      <c r="G13" s="8">
        <f t="shared" si="8"/>
        <v>1.8089552238805968</v>
      </c>
      <c r="H13" s="8">
        <f t="shared" si="9"/>
        <v>1.7820895522388058</v>
      </c>
      <c r="I13" s="8">
        <f t="shared" si="10"/>
        <v>2.8597014925373134</v>
      </c>
      <c r="K13" s="5" t="s">
        <v>19</v>
      </c>
      <c r="L13">
        <v>31</v>
      </c>
      <c r="M13">
        <v>69</v>
      </c>
      <c r="N13">
        <v>1.5</v>
      </c>
      <c r="O13">
        <v>18.611111111111111</v>
      </c>
      <c r="P13">
        <v>9.3888888888888893</v>
      </c>
      <c r="Q13">
        <v>33.666666666666664</v>
      </c>
      <c r="R13">
        <v>33.166666666666664</v>
      </c>
      <c r="S13">
        <v>53.222222222222221</v>
      </c>
    </row>
    <row r="14" spans="1:19" x14ac:dyDescent="0.25">
      <c r="A14" t="str">
        <f t="shared" si="2"/>
        <v>C-arm 18</v>
      </c>
      <c r="B14" s="6">
        <f t="shared" si="3"/>
        <v>30.48</v>
      </c>
      <c r="C14" s="6">
        <f t="shared" si="4"/>
        <v>70</v>
      </c>
      <c r="D14" s="6">
        <f t="shared" si="5"/>
        <v>1.57</v>
      </c>
      <c r="E14" s="8">
        <f t="shared" si="6"/>
        <v>19.444444444444443</v>
      </c>
      <c r="F14" s="8">
        <f t="shared" si="7"/>
        <v>0.52857142857142869</v>
      </c>
      <c r="G14" s="8">
        <f t="shared" si="8"/>
        <v>1.9171428571428573</v>
      </c>
      <c r="H14" s="8">
        <f t="shared" si="9"/>
        <v>1.7857142857142858</v>
      </c>
      <c r="I14" s="8">
        <f t="shared" si="10"/>
        <v>3.4457142857142862</v>
      </c>
      <c r="K14" s="5" t="s">
        <v>20</v>
      </c>
      <c r="L14">
        <v>30.48</v>
      </c>
      <c r="M14">
        <v>70</v>
      </c>
      <c r="N14">
        <v>1.57</v>
      </c>
      <c r="O14">
        <v>19.444444444444443</v>
      </c>
      <c r="P14">
        <v>10.277777777777779</v>
      </c>
      <c r="Q14">
        <v>37.277777777777779</v>
      </c>
      <c r="R14">
        <v>34.722222222222221</v>
      </c>
      <c r="S14">
        <v>67</v>
      </c>
    </row>
    <row r="15" spans="1:19" x14ac:dyDescent="0.25">
      <c r="A15" t="str">
        <f t="shared" si="2"/>
        <v>C-arm 19</v>
      </c>
      <c r="B15" s="6">
        <f t="shared" si="3"/>
        <v>30.48</v>
      </c>
      <c r="C15" s="6">
        <f t="shared" si="4"/>
        <v>68</v>
      </c>
      <c r="D15" s="6">
        <f t="shared" si="5"/>
        <v>1.5</v>
      </c>
      <c r="E15" s="8">
        <f t="shared" si="6"/>
        <v>15.444444444444445</v>
      </c>
      <c r="F15" s="8">
        <f t="shared" si="7"/>
        <v>0.56834532374100721</v>
      </c>
      <c r="G15" s="8">
        <f t="shared" si="8"/>
        <v>1.989208633093525</v>
      </c>
      <c r="H15" s="8">
        <f t="shared" si="9"/>
        <v>1.7410071942446044</v>
      </c>
      <c r="I15" s="8">
        <f t="shared" si="10"/>
        <v>4.1834532374100721</v>
      </c>
      <c r="K15" s="5" t="s">
        <v>21</v>
      </c>
      <c r="L15">
        <v>30.48</v>
      </c>
      <c r="M15">
        <v>68</v>
      </c>
      <c r="N15">
        <v>1.5</v>
      </c>
      <c r="O15">
        <v>15.444444444444445</v>
      </c>
      <c r="P15">
        <v>8.7777777777777786</v>
      </c>
      <c r="Q15">
        <v>30.722222222222221</v>
      </c>
      <c r="R15">
        <v>26.888888888888889</v>
      </c>
      <c r="S15">
        <v>64.611111111111114</v>
      </c>
    </row>
    <row r="16" spans="1:19" x14ac:dyDescent="0.25">
      <c r="A16" t="str">
        <f t="shared" si="2"/>
        <v>ART C-arm 1</v>
      </c>
      <c r="B16" s="6">
        <f t="shared" si="3"/>
        <v>33</v>
      </c>
      <c r="C16" s="6">
        <f t="shared" si="4"/>
        <v>62</v>
      </c>
      <c r="D16" s="6">
        <f t="shared" si="5"/>
        <v>2.9</v>
      </c>
      <c r="E16" s="8">
        <f t="shared" si="6"/>
        <v>14</v>
      </c>
      <c r="F16" s="8">
        <f t="shared" si="7"/>
        <v>0.3531746031746032</v>
      </c>
      <c r="G16" s="8">
        <f t="shared" si="8"/>
        <v>1.0158730158730158</v>
      </c>
      <c r="H16" s="8">
        <f t="shared" si="9"/>
        <v>0.90476190476190477</v>
      </c>
      <c r="I16" s="8">
        <f t="shared" si="10"/>
        <v>1.4920634920634921</v>
      </c>
      <c r="K16" s="5" t="s">
        <v>22</v>
      </c>
      <c r="L16">
        <v>33</v>
      </c>
      <c r="M16">
        <v>62</v>
      </c>
      <c r="N16">
        <v>2.9</v>
      </c>
      <c r="O16">
        <v>14</v>
      </c>
      <c r="P16">
        <v>4.9444444444444446</v>
      </c>
      <c r="Q16">
        <v>14.222222222222221</v>
      </c>
      <c r="R16">
        <v>12.666666666666666</v>
      </c>
      <c r="S16">
        <v>20.888888888888889</v>
      </c>
    </row>
    <row r="17" spans="1:19" x14ac:dyDescent="0.25">
      <c r="A17" t="str">
        <f t="shared" si="2"/>
        <v>ART C-arm 3</v>
      </c>
      <c r="B17" s="6">
        <f t="shared" si="3"/>
        <v>33</v>
      </c>
      <c r="C17" s="6">
        <f t="shared" si="4"/>
        <v>63</v>
      </c>
      <c r="D17" s="6">
        <f t="shared" si="5"/>
        <v>2.9</v>
      </c>
      <c r="E17" s="8">
        <f t="shared" si="6"/>
        <v>17.944444444444443</v>
      </c>
      <c r="F17" s="8">
        <f t="shared" si="7"/>
        <v>0.34055727554179566</v>
      </c>
      <c r="G17" s="8">
        <f t="shared" si="8"/>
        <v>1.0371517027863777</v>
      </c>
      <c r="H17" s="8">
        <f t="shared" si="9"/>
        <v>1.2260061919504646</v>
      </c>
      <c r="I17" s="8">
        <f t="shared" si="10"/>
        <v>1.5944272445820435</v>
      </c>
      <c r="K17" s="5" t="s">
        <v>24</v>
      </c>
      <c r="L17">
        <v>33</v>
      </c>
      <c r="M17">
        <v>63</v>
      </c>
      <c r="N17">
        <v>2.9</v>
      </c>
      <c r="O17" s="2">
        <v>17.944444444444443</v>
      </c>
      <c r="P17">
        <v>6.1111111111111107</v>
      </c>
      <c r="Q17">
        <v>18.611111111111111</v>
      </c>
      <c r="R17">
        <v>22</v>
      </c>
      <c r="S17">
        <v>28.611111111111111</v>
      </c>
    </row>
    <row r="18" spans="1:19" x14ac:dyDescent="0.25">
      <c r="A18" t="str">
        <f t="shared" si="2"/>
        <v>ART C-arm 4</v>
      </c>
      <c r="B18" s="6">
        <f t="shared" si="3"/>
        <v>33</v>
      </c>
      <c r="C18" s="6">
        <f t="shared" si="4"/>
        <v>62</v>
      </c>
      <c r="D18" s="6">
        <f t="shared" si="5"/>
        <v>2.8</v>
      </c>
      <c r="E18" s="8">
        <f t="shared" si="6"/>
        <v>13.729066743276134</v>
      </c>
      <c r="F18" s="8" t="str">
        <f t="shared" si="7"/>
        <v/>
      </c>
      <c r="G18" s="8">
        <f t="shared" si="8"/>
        <v>1.0581798438956209</v>
      </c>
      <c r="H18" s="8">
        <f t="shared" si="9"/>
        <v>0.96784459367191067</v>
      </c>
      <c r="I18" s="8">
        <f t="shared" si="10"/>
        <v>1.5164919544649502</v>
      </c>
      <c r="K18" s="5" t="s">
        <v>25</v>
      </c>
      <c r="L18">
        <v>33</v>
      </c>
      <c r="M18">
        <v>62</v>
      </c>
      <c r="N18">
        <v>2.8</v>
      </c>
      <c r="O18">
        <v>13.729066743276134</v>
      </c>
      <c r="Q18">
        <v>14.527821703232499</v>
      </c>
      <c r="R18">
        <v>13.287603023640632</v>
      </c>
      <c r="S18">
        <v>20.820019258490571</v>
      </c>
    </row>
    <row r="19" spans="1:19" x14ac:dyDescent="0.25">
      <c r="A19" t="str">
        <f t="shared" si="2"/>
        <v>RT Uro</v>
      </c>
      <c r="B19" s="6">
        <f t="shared" si="3"/>
        <v>30.48</v>
      </c>
      <c r="C19" s="6">
        <f t="shared" si="4"/>
        <v>74</v>
      </c>
      <c r="D19" s="6">
        <f t="shared" si="5"/>
        <v>1.8</v>
      </c>
      <c r="E19" s="8">
        <f t="shared" si="6"/>
        <v>44.444444444444443</v>
      </c>
      <c r="F19" s="8">
        <f t="shared" si="7"/>
        <v>0.49625000000000008</v>
      </c>
      <c r="G19" s="8">
        <f t="shared" si="8"/>
        <v>1.665</v>
      </c>
      <c r="H19" s="8">
        <f t="shared" si="9"/>
        <v>1.5650000000000002</v>
      </c>
      <c r="I19" s="8">
        <f t="shared" si="10"/>
        <v>2.2625000000000002</v>
      </c>
      <c r="K19" s="5" t="s">
        <v>26</v>
      </c>
      <c r="L19">
        <v>30.48</v>
      </c>
      <c r="M19">
        <v>74</v>
      </c>
      <c r="N19">
        <v>1.8</v>
      </c>
      <c r="O19">
        <v>44.444444444444443</v>
      </c>
      <c r="P19">
        <v>22.055555555555557</v>
      </c>
      <c r="Q19">
        <v>74</v>
      </c>
      <c r="R19">
        <v>69.555555555555557</v>
      </c>
      <c r="S19">
        <v>100.55555555555556</v>
      </c>
    </row>
    <row r="20" spans="1:19" x14ac:dyDescent="0.25">
      <c r="A20" t="str">
        <f t="shared" si="2"/>
        <v>EC1</v>
      </c>
      <c r="B20" s="6">
        <f t="shared" si="3"/>
        <v>33</v>
      </c>
      <c r="C20" s="6">
        <f t="shared" si="4"/>
        <v>62</v>
      </c>
      <c r="D20" s="6">
        <f t="shared" si="5"/>
        <v>2.8</v>
      </c>
      <c r="E20" s="8">
        <f t="shared" si="6"/>
        <v>17.5</v>
      </c>
      <c r="F20" s="8">
        <f t="shared" si="7"/>
        <v>0.43492063492063487</v>
      </c>
      <c r="G20" s="8">
        <f t="shared" si="8"/>
        <v>1</v>
      </c>
      <c r="H20" s="8">
        <f t="shared" si="9"/>
        <v>1.3650793650793651</v>
      </c>
      <c r="I20" s="8">
        <f t="shared" si="10"/>
        <v>2.8031746031746034</v>
      </c>
      <c r="K20" s="5" t="s">
        <v>27</v>
      </c>
      <c r="L20">
        <v>33</v>
      </c>
      <c r="M20">
        <v>62</v>
      </c>
      <c r="N20">
        <v>2.8</v>
      </c>
      <c r="O20">
        <v>17.5</v>
      </c>
      <c r="P20">
        <v>7.6111111111111107</v>
      </c>
      <c r="Q20">
        <v>17.5</v>
      </c>
      <c r="R20">
        <v>23.888888888888889</v>
      </c>
      <c r="S20">
        <v>49.055555555555557</v>
      </c>
    </row>
    <row r="21" spans="1:19" x14ac:dyDescent="0.25">
      <c r="A21" t="str">
        <f t="shared" si="2"/>
        <v>EC2</v>
      </c>
      <c r="B21" s="6">
        <f t="shared" si="3"/>
        <v>33</v>
      </c>
      <c r="C21" s="6">
        <f t="shared" si="4"/>
        <v>63</v>
      </c>
      <c r="D21" s="6">
        <f t="shared" si="5"/>
        <v>3.1</v>
      </c>
      <c r="E21" s="8">
        <f t="shared" si="6"/>
        <v>18.166666666666668</v>
      </c>
      <c r="F21" s="8">
        <f t="shared" si="7"/>
        <v>0.31192660550458717</v>
      </c>
      <c r="G21" s="8">
        <f t="shared" si="8"/>
        <v>1.058103975535168</v>
      </c>
      <c r="H21" s="8">
        <f t="shared" si="9"/>
        <v>2.2110091743119265</v>
      </c>
      <c r="I21" s="8">
        <f t="shared" si="10"/>
        <v>2.8348623853211006</v>
      </c>
      <c r="K21" s="5" t="s">
        <v>28</v>
      </c>
      <c r="L21">
        <v>33</v>
      </c>
      <c r="M21">
        <v>63</v>
      </c>
      <c r="N21">
        <v>3.1</v>
      </c>
      <c r="O21" s="2">
        <v>18.166666666666668</v>
      </c>
      <c r="P21">
        <v>5.666666666666667</v>
      </c>
      <c r="Q21">
        <v>19.222222222222221</v>
      </c>
      <c r="R21">
        <v>40.166666666666664</v>
      </c>
      <c r="S21">
        <v>51.5</v>
      </c>
    </row>
    <row r="22" spans="1:19" x14ac:dyDescent="0.25">
      <c r="A22" t="str">
        <f t="shared" si="2"/>
        <v>EC Neuro</v>
      </c>
      <c r="B22" s="6">
        <f t="shared" si="3"/>
        <v>22.86</v>
      </c>
      <c r="C22" s="6">
        <f t="shared" si="4"/>
        <v>68</v>
      </c>
      <c r="D22" s="6">
        <f t="shared" si="5"/>
        <v>2</v>
      </c>
      <c r="E22" s="8">
        <f t="shared" si="6"/>
        <v>25.333333333333332</v>
      </c>
      <c r="F22" s="8">
        <f t="shared" si="7"/>
        <v>0.42543859649122812</v>
      </c>
      <c r="G22" s="8">
        <f t="shared" si="8"/>
        <v>1.3552631578947369</v>
      </c>
      <c r="H22" s="8">
        <f t="shared" si="9"/>
        <v>1.7236842105263157</v>
      </c>
      <c r="I22" s="8">
        <f t="shared" si="10"/>
        <v>2.013157894736842</v>
      </c>
      <c r="K22" s="5" t="s">
        <v>29</v>
      </c>
      <c r="L22">
        <v>22.86</v>
      </c>
      <c r="M22">
        <v>68</v>
      </c>
      <c r="N22">
        <v>2</v>
      </c>
      <c r="O22" s="2">
        <v>25.333333333333332</v>
      </c>
      <c r="P22">
        <v>10.777777777777779</v>
      </c>
      <c r="Q22">
        <v>34.333333333333336</v>
      </c>
      <c r="R22">
        <v>43.666666666666664</v>
      </c>
      <c r="S22">
        <v>51</v>
      </c>
    </row>
    <row r="23" spans="1:19" x14ac:dyDescent="0.25">
      <c r="A23" t="str">
        <f t="shared" si="2"/>
        <v>Neuro</v>
      </c>
      <c r="B23" s="6">
        <f t="shared" si="3"/>
        <v>30.48</v>
      </c>
      <c r="C23" s="6">
        <f t="shared" si="4"/>
        <v>70</v>
      </c>
      <c r="D23" s="6">
        <f t="shared" si="5"/>
        <v>1.6</v>
      </c>
      <c r="E23" s="8">
        <f t="shared" si="6"/>
        <v>17.5335384255166</v>
      </c>
      <c r="F23" s="8">
        <f t="shared" si="7"/>
        <v>0.51649928162024217</v>
      </c>
      <c r="G23" s="8">
        <f t="shared" si="8"/>
        <v>1.7680401552538663</v>
      </c>
      <c r="H23" s="8">
        <f t="shared" si="9"/>
        <v>1.8781451161999765</v>
      </c>
      <c r="I23" s="8">
        <f t="shared" si="10"/>
        <v>3.0680430131091492</v>
      </c>
      <c r="K23" s="5" t="s">
        <v>30</v>
      </c>
      <c r="L23">
        <v>30.48</v>
      </c>
      <c r="M23">
        <v>70</v>
      </c>
      <c r="N23">
        <v>1.6</v>
      </c>
      <c r="O23">
        <v>17.5335384255166</v>
      </c>
      <c r="P23">
        <v>9.056060001040235</v>
      </c>
      <c r="Q23">
        <v>31</v>
      </c>
      <c r="R23">
        <v>32.930529563588628</v>
      </c>
      <c r="S23">
        <v>53.793650061486993</v>
      </c>
    </row>
    <row r="24" spans="1:19" x14ac:dyDescent="0.25">
      <c r="A24" t="str">
        <f t="shared" si="2"/>
        <v>PICC</v>
      </c>
      <c r="B24" s="6">
        <f t="shared" si="3"/>
        <v>27</v>
      </c>
      <c r="C24" s="6">
        <f t="shared" si="4"/>
        <v>62</v>
      </c>
      <c r="D24" s="6">
        <f t="shared" si="5"/>
        <v>1.8</v>
      </c>
      <c r="E24" s="8">
        <f t="shared" si="6"/>
        <v>12.5</v>
      </c>
      <c r="F24" s="8" t="str">
        <f t="shared" si="7"/>
        <v/>
      </c>
      <c r="G24" s="8">
        <f t="shared" si="8"/>
        <v>0.91555555555555557</v>
      </c>
      <c r="H24" s="8">
        <f t="shared" si="9"/>
        <v>1.8177777777777777</v>
      </c>
      <c r="I24" s="8" t="str">
        <f t="shared" si="10"/>
        <v/>
      </c>
      <c r="K24" s="5" t="s">
        <v>31</v>
      </c>
      <c r="L24">
        <v>27</v>
      </c>
      <c r="M24">
        <v>62</v>
      </c>
      <c r="N24">
        <v>1.8</v>
      </c>
      <c r="O24">
        <v>12.5</v>
      </c>
      <c r="Q24">
        <v>11.444444444444445</v>
      </c>
      <c r="R24">
        <v>22.722222222222221</v>
      </c>
    </row>
    <row r="25" spans="1:19" x14ac:dyDescent="0.25">
      <c r="A25" t="str">
        <f t="shared" si="2"/>
        <v>Pain Mgmt</v>
      </c>
      <c r="B25" s="6">
        <f t="shared" si="3"/>
        <v>23</v>
      </c>
      <c r="C25" s="6">
        <f t="shared" si="4"/>
        <v>69</v>
      </c>
      <c r="D25" s="6">
        <f t="shared" si="5"/>
        <v>2.1</v>
      </c>
      <c r="E25" s="8">
        <f t="shared" si="6"/>
        <v>26.444444444444443</v>
      </c>
      <c r="F25" s="8">
        <f t="shared" si="7"/>
        <v>0.44957983193277318</v>
      </c>
      <c r="G25" s="8">
        <f t="shared" si="8"/>
        <v>1.6323529411764706</v>
      </c>
      <c r="H25" s="8">
        <f t="shared" si="9"/>
        <v>0.88235294117647056</v>
      </c>
      <c r="I25" s="8">
        <f t="shared" si="10"/>
        <v>2.1008403361344539</v>
      </c>
      <c r="K25" s="5" t="s">
        <v>32</v>
      </c>
      <c r="L25">
        <v>23</v>
      </c>
      <c r="M25">
        <v>69</v>
      </c>
      <c r="N25">
        <v>2.1</v>
      </c>
      <c r="O25">
        <v>26.444444444444443</v>
      </c>
      <c r="P25">
        <v>11.888888888888889</v>
      </c>
      <c r="Q25">
        <v>43.166666666666664</v>
      </c>
      <c r="R25">
        <v>23.333333333333332</v>
      </c>
      <c r="S25">
        <v>55.555555555555557</v>
      </c>
    </row>
    <row r="26" spans="1:19" x14ac:dyDescent="0.25">
      <c r="K26" s="5"/>
    </row>
    <row r="27" spans="1:19" x14ac:dyDescent="0.25">
      <c r="A27" s="5" t="s">
        <v>66</v>
      </c>
      <c r="B27" s="8">
        <f t="shared" ref="B27:I27" si="11">AVERAGE(B3:B25)</f>
        <v>30.663478260869571</v>
      </c>
      <c r="C27" s="8">
        <f t="shared" si="11"/>
        <v>66.739130434782609</v>
      </c>
      <c r="D27" s="8">
        <f t="shared" si="11"/>
        <v>1.8582608695652174</v>
      </c>
      <c r="E27" s="8">
        <f t="shared" si="11"/>
        <v>19.942515280180043</v>
      </c>
      <c r="F27" s="8">
        <f t="shared" si="11"/>
        <v>0.51149530370283924</v>
      </c>
      <c r="G27" s="8">
        <f t="shared" si="11"/>
        <v>1.4857922038387359</v>
      </c>
      <c r="H27" s="8">
        <f t="shared" si="11"/>
        <v>1.5968902718998048</v>
      </c>
      <c r="I27" s="8">
        <f t="shared" si="11"/>
        <v>2.6196993601812344</v>
      </c>
      <c r="K27" s="5"/>
    </row>
    <row r="28" spans="1:19" x14ac:dyDescent="0.25">
      <c r="A28" s="5" t="s">
        <v>67</v>
      </c>
      <c r="B28" s="8">
        <f t="shared" ref="B28:I28" si="12">STDEV(B3:B25)</f>
        <v>5.2397385506388536</v>
      </c>
      <c r="C28" s="8">
        <f t="shared" si="12"/>
        <v>3.5702990873486398</v>
      </c>
      <c r="D28" s="8">
        <f t="shared" si="12"/>
        <v>0.6570502414297138</v>
      </c>
      <c r="E28" s="8">
        <f t="shared" si="12"/>
        <v>8.6982784333648109</v>
      </c>
      <c r="F28" s="8">
        <f t="shared" si="12"/>
        <v>0.12796789837405767</v>
      </c>
      <c r="G28" s="8">
        <f t="shared" si="12"/>
        <v>0.41953638901003226</v>
      </c>
      <c r="H28" s="8">
        <f t="shared" si="12"/>
        <v>0.48466552070766206</v>
      </c>
      <c r="I28" s="8">
        <f t="shared" si="12"/>
        <v>0.81859603061953823</v>
      </c>
      <c r="K28" s="5"/>
    </row>
    <row r="29" spans="1:19" x14ac:dyDescent="0.25">
      <c r="A29" s="5" t="s">
        <v>68</v>
      </c>
      <c r="B29" s="8">
        <f t="shared" ref="B29:I29" si="13">MIN(B3:B25)</f>
        <v>22.86</v>
      </c>
      <c r="C29" s="8">
        <f t="shared" si="13"/>
        <v>62</v>
      </c>
      <c r="D29" s="8">
        <f t="shared" si="13"/>
        <v>0.9</v>
      </c>
      <c r="E29" s="8">
        <f t="shared" si="13"/>
        <v>6.4444444444444446</v>
      </c>
      <c r="F29" s="8">
        <f t="shared" si="13"/>
        <v>0.31192660550458717</v>
      </c>
      <c r="G29" s="8">
        <f t="shared" si="13"/>
        <v>0.74680306905370841</v>
      </c>
      <c r="H29" s="8">
        <f t="shared" si="13"/>
        <v>0.88235294117647056</v>
      </c>
      <c r="I29" s="8">
        <f t="shared" si="13"/>
        <v>1.4920634920634921</v>
      </c>
      <c r="K29" s="5"/>
    </row>
    <row r="30" spans="1:19" x14ac:dyDescent="0.25">
      <c r="A30" s="5">
        <v>10</v>
      </c>
      <c r="B30" s="8">
        <f t="shared" ref="B30:I34" si="14">PERCENTILE(B$3:B$25,$A30/100)</f>
        <v>23</v>
      </c>
      <c r="C30" s="8">
        <f t="shared" si="14"/>
        <v>62</v>
      </c>
      <c r="D30" s="8">
        <f t="shared" si="14"/>
        <v>1.06</v>
      </c>
      <c r="E30" s="8">
        <f t="shared" si="14"/>
        <v>12.611111111111111</v>
      </c>
      <c r="F30" s="8">
        <f t="shared" si="14"/>
        <v>0.35065113764804168</v>
      </c>
      <c r="G30" s="8">
        <f t="shared" si="14"/>
        <v>0.99276526666444265</v>
      </c>
      <c r="H30" s="8">
        <f t="shared" si="14"/>
        <v>0.98958179738650809</v>
      </c>
      <c r="I30" s="8">
        <f t="shared" si="14"/>
        <v>1.6063400188450667</v>
      </c>
      <c r="K30" s="5"/>
    </row>
    <row r="31" spans="1:19" x14ac:dyDescent="0.25">
      <c r="A31" s="5">
        <v>25</v>
      </c>
      <c r="B31" s="8">
        <f t="shared" si="14"/>
        <v>28.740000000000002</v>
      </c>
      <c r="C31" s="8">
        <f t="shared" si="14"/>
        <v>63</v>
      </c>
      <c r="D31" s="8">
        <f t="shared" si="14"/>
        <v>1.4</v>
      </c>
      <c r="E31" s="8">
        <f t="shared" si="14"/>
        <v>14.657623137674138</v>
      </c>
      <c r="F31" s="8">
        <f t="shared" si="14"/>
        <v>0.442250233426704</v>
      </c>
      <c r="G31" s="8">
        <f t="shared" si="14"/>
        <v>1.0476278391607727</v>
      </c>
      <c r="H31" s="8">
        <f t="shared" si="14"/>
        <v>1.2509341304579908</v>
      </c>
      <c r="I31" s="8">
        <f t="shared" si="14"/>
        <v>2.0673646507783441</v>
      </c>
      <c r="K31" s="5"/>
    </row>
    <row r="32" spans="1:19" x14ac:dyDescent="0.25">
      <c r="A32" s="5">
        <v>50</v>
      </c>
      <c r="B32" s="8">
        <f t="shared" si="14"/>
        <v>31</v>
      </c>
      <c r="C32" s="8">
        <f t="shared" si="14"/>
        <v>68</v>
      </c>
      <c r="D32" s="8">
        <f t="shared" si="14"/>
        <v>1.8</v>
      </c>
      <c r="E32" s="8">
        <f t="shared" si="14"/>
        <v>17.944444444444443</v>
      </c>
      <c r="F32" s="8">
        <f t="shared" si="14"/>
        <v>0.5044776119402985</v>
      </c>
      <c r="G32" s="8">
        <f t="shared" si="14"/>
        <v>1.6323529411764706</v>
      </c>
      <c r="H32" s="8">
        <f t="shared" si="14"/>
        <v>1.5831381733021079</v>
      </c>
      <c r="I32" s="8">
        <f t="shared" si="14"/>
        <v>2.6106615059817031</v>
      </c>
      <c r="K32" s="5"/>
    </row>
    <row r="33" spans="1:11" x14ac:dyDescent="0.25">
      <c r="A33" s="5">
        <v>75</v>
      </c>
      <c r="B33" s="8">
        <f t="shared" si="14"/>
        <v>33</v>
      </c>
      <c r="C33" s="8">
        <f t="shared" si="14"/>
        <v>69</v>
      </c>
      <c r="D33" s="8">
        <f t="shared" si="14"/>
        <v>2.085</v>
      </c>
      <c r="E33" s="8">
        <f t="shared" si="14"/>
        <v>24.527777777777779</v>
      </c>
      <c r="F33" s="8">
        <f t="shared" si="14"/>
        <v>0.52714285714285714</v>
      </c>
      <c r="G33" s="8">
        <f t="shared" si="14"/>
        <v>1.7879310344827584</v>
      </c>
      <c r="H33" s="8">
        <f t="shared" si="14"/>
        <v>1.8017460317460317</v>
      </c>
      <c r="I33" s="8">
        <f t="shared" si="14"/>
        <v>2.9338908903757077</v>
      </c>
      <c r="K33" s="5"/>
    </row>
    <row r="34" spans="1:11" x14ac:dyDescent="0.25">
      <c r="A34" s="5">
        <v>90</v>
      </c>
      <c r="B34" s="8">
        <f t="shared" si="14"/>
        <v>38.600000000000009</v>
      </c>
      <c r="C34" s="8">
        <f t="shared" si="14"/>
        <v>70</v>
      </c>
      <c r="D34" s="8">
        <f t="shared" si="14"/>
        <v>2.88</v>
      </c>
      <c r="E34" s="8">
        <f t="shared" si="14"/>
        <v>27.066666666666666</v>
      </c>
      <c r="F34" s="8">
        <f t="shared" si="14"/>
        <v>0.69812912692589879</v>
      </c>
      <c r="G34" s="8">
        <f t="shared" si="14"/>
        <v>1.9000408163265308</v>
      </c>
      <c r="H34" s="8">
        <f t="shared" si="14"/>
        <v>2.182600442897817</v>
      </c>
      <c r="I34" s="8">
        <f t="shared" si="14"/>
        <v>3.4443519993193417</v>
      </c>
      <c r="K34" s="5"/>
    </row>
    <row r="35" spans="1:11" x14ac:dyDescent="0.25">
      <c r="A35" s="5" t="s">
        <v>69</v>
      </c>
      <c r="B35" s="8">
        <f t="shared" ref="B35:I35" si="15">MAX(B3:B25)</f>
        <v>40</v>
      </c>
      <c r="C35" s="8">
        <f t="shared" si="15"/>
        <v>74</v>
      </c>
      <c r="D35" s="8">
        <f t="shared" si="15"/>
        <v>3.1</v>
      </c>
      <c r="E35" s="8">
        <f t="shared" si="15"/>
        <v>44.444444444444443</v>
      </c>
      <c r="F35" s="8">
        <f t="shared" si="15"/>
        <v>0.80102040816326525</v>
      </c>
      <c r="G35" s="8">
        <f t="shared" si="15"/>
        <v>2.2917547568710357</v>
      </c>
      <c r="H35" s="8">
        <f t="shared" si="15"/>
        <v>2.7094450315314687</v>
      </c>
      <c r="I35" s="8">
        <f t="shared" si="15"/>
        <v>4.6490486257928119</v>
      </c>
      <c r="K35" s="5"/>
    </row>
    <row r="36" spans="1:11" x14ac:dyDescent="0.25">
      <c r="A36" s="5" t="s">
        <v>71</v>
      </c>
      <c r="B36" s="11">
        <f>COUNT(B3:B25)</f>
        <v>23</v>
      </c>
      <c r="K36" s="5"/>
    </row>
    <row r="37" spans="1:11" x14ac:dyDescent="0.25">
      <c r="K37" s="5"/>
    </row>
    <row r="38" spans="1:11" x14ac:dyDescent="0.25">
      <c r="A38" t="s">
        <v>72</v>
      </c>
      <c r="B38" s="5" t="s">
        <v>71</v>
      </c>
      <c r="C38" s="7">
        <f>COUNT(B3:B7)</f>
        <v>5</v>
      </c>
      <c r="K38" s="5"/>
    </row>
    <row r="39" spans="1:11" x14ac:dyDescent="0.25">
      <c r="A39" s="5" t="s">
        <v>66</v>
      </c>
      <c r="B39" s="8">
        <f t="shared" ref="B39:I39" si="16">AVERAGE(B3:B7)</f>
        <v>36.696000000000005</v>
      </c>
      <c r="C39" s="8">
        <f t="shared" si="16"/>
        <v>67.2</v>
      </c>
      <c r="D39" s="8">
        <f t="shared" si="16"/>
        <v>1.1000000000000001</v>
      </c>
      <c r="E39" s="8">
        <f t="shared" si="16"/>
        <v>19.153333333333332</v>
      </c>
      <c r="F39" s="8">
        <f t="shared" si="16"/>
        <v>0.69071373079625098</v>
      </c>
      <c r="G39" s="8">
        <f t="shared" si="16"/>
        <v>1.6484034663034297</v>
      </c>
      <c r="H39" s="8">
        <f t="shared" si="16"/>
        <v>1.4461481876504927</v>
      </c>
      <c r="I39" s="8">
        <f t="shared" si="16"/>
        <v>2.7525300058447626</v>
      </c>
      <c r="K39" s="5"/>
    </row>
    <row r="40" spans="1:11" x14ac:dyDescent="0.25">
      <c r="A40" s="5" t="s">
        <v>67</v>
      </c>
      <c r="B40" s="8">
        <f t="shared" ref="B40:I40" si="17">STDEV(B3:B7)</f>
        <v>4.6110823024534611</v>
      </c>
      <c r="C40" s="8">
        <f t="shared" si="17"/>
        <v>4.1472882706655438</v>
      </c>
      <c r="D40" s="8">
        <f t="shared" si="17"/>
        <v>0.18708286933869744</v>
      </c>
      <c r="E40" s="8">
        <f t="shared" si="17"/>
        <v>13.375602905529899</v>
      </c>
      <c r="F40" s="8">
        <f t="shared" si="17"/>
        <v>0.12837482141180739</v>
      </c>
      <c r="G40" s="8">
        <f t="shared" si="17"/>
        <v>0.56704287538634046</v>
      </c>
      <c r="H40" s="8">
        <f t="shared" si="17"/>
        <v>0.58843169894279523</v>
      </c>
      <c r="I40" s="8">
        <f t="shared" si="17"/>
        <v>1.1250793265166936</v>
      </c>
      <c r="K40" s="5"/>
    </row>
    <row r="41" spans="1:11" x14ac:dyDescent="0.25">
      <c r="A41" s="5" t="s">
        <v>68</v>
      </c>
      <c r="B41" s="8">
        <f t="shared" ref="B41:I41" si="18">MIN(B3:B7)</f>
        <v>30.48</v>
      </c>
      <c r="C41" s="8">
        <f t="shared" si="18"/>
        <v>63</v>
      </c>
      <c r="D41" s="8">
        <f t="shared" si="18"/>
        <v>0.9</v>
      </c>
      <c r="E41" s="8">
        <f t="shared" si="18"/>
        <v>6.4444444444444446</v>
      </c>
      <c r="F41" s="8">
        <f t="shared" si="18"/>
        <v>0.5137420718816067</v>
      </c>
      <c r="G41" s="8">
        <f t="shared" si="18"/>
        <v>0.74680306905370841</v>
      </c>
      <c r="H41" s="8">
        <f t="shared" si="18"/>
        <v>1.0765306122448979</v>
      </c>
      <c r="I41" s="8">
        <f t="shared" si="18"/>
        <v>1.7135549872122762</v>
      </c>
      <c r="K41" s="5"/>
    </row>
    <row r="42" spans="1:11" x14ac:dyDescent="0.25">
      <c r="A42" s="5">
        <v>10</v>
      </c>
      <c r="B42" s="8">
        <f>PERCENTILE(B$3:B$7,$A42/100)</f>
        <v>31.488</v>
      </c>
      <c r="C42" s="8">
        <f t="shared" ref="C42:I42" si="19">PERCENTILE(C$3:C$7,$A42/100)</f>
        <v>63.8</v>
      </c>
      <c r="D42" s="8">
        <f t="shared" si="19"/>
        <v>0.94</v>
      </c>
      <c r="E42" s="8">
        <f t="shared" si="19"/>
        <v>8.2222222222222214</v>
      </c>
      <c r="F42" s="8">
        <f t="shared" si="19"/>
        <v>0.56387476946606085</v>
      </c>
      <c r="G42" s="8">
        <f t="shared" si="19"/>
        <v>1.0795712031343525</v>
      </c>
      <c r="H42" s="8">
        <f t="shared" si="19"/>
        <v>1.0776319223341511</v>
      </c>
      <c r="I42" s="8">
        <f t="shared" si="19"/>
        <v>1.8996223540294934</v>
      </c>
      <c r="K42" s="5"/>
    </row>
    <row r="43" spans="1:11" x14ac:dyDescent="0.25">
      <c r="A43" s="5">
        <v>25</v>
      </c>
      <c r="B43" s="8">
        <f t="shared" ref="B43:I46" si="20">PERCENTILE(B$3:B$7,$A43/100)</f>
        <v>33</v>
      </c>
      <c r="C43" s="8">
        <f t="shared" si="20"/>
        <v>65</v>
      </c>
      <c r="D43" s="8">
        <f t="shared" si="20"/>
        <v>1</v>
      </c>
      <c r="E43" s="8">
        <f t="shared" si="20"/>
        <v>10.888888888888889</v>
      </c>
      <c r="F43" s="8">
        <f t="shared" si="20"/>
        <v>0.63907381584274214</v>
      </c>
      <c r="G43" s="8">
        <f t="shared" si="20"/>
        <v>1.5787234042553191</v>
      </c>
      <c r="H43" s="8">
        <f t="shared" si="20"/>
        <v>1.0792838874680308</v>
      </c>
      <c r="I43" s="8">
        <f t="shared" si="20"/>
        <v>2.1787234042553192</v>
      </c>
      <c r="K43" s="5"/>
    </row>
    <row r="44" spans="1:11" x14ac:dyDescent="0.25">
      <c r="A44" s="5">
        <v>50</v>
      </c>
      <c r="B44" s="8">
        <f t="shared" si="20"/>
        <v>40</v>
      </c>
      <c r="C44" s="8">
        <f t="shared" si="20"/>
        <v>65</v>
      </c>
      <c r="D44" s="8">
        <f t="shared" si="20"/>
        <v>1</v>
      </c>
      <c r="E44" s="8">
        <f t="shared" si="20"/>
        <v>13.055555555555555</v>
      </c>
      <c r="F44" s="8">
        <f t="shared" si="20"/>
        <v>0.72404622157006604</v>
      </c>
      <c r="G44" s="8">
        <f t="shared" si="20"/>
        <v>1.7931034482758619</v>
      </c>
      <c r="H44" s="8">
        <f t="shared" si="20"/>
        <v>1.2758620689655171</v>
      </c>
      <c r="I44" s="8">
        <f t="shared" si="20"/>
        <v>2.5172413793103448</v>
      </c>
      <c r="K44" s="5"/>
    </row>
    <row r="45" spans="1:11" x14ac:dyDescent="0.25">
      <c r="A45" s="5">
        <v>75</v>
      </c>
      <c r="B45" s="8">
        <f t="shared" si="20"/>
        <v>40</v>
      </c>
      <c r="C45" s="8">
        <f t="shared" si="20"/>
        <v>70</v>
      </c>
      <c r="D45" s="8">
        <f t="shared" si="20"/>
        <v>1.3</v>
      </c>
      <c r="E45" s="8">
        <f t="shared" si="20"/>
        <v>26.277777777777779</v>
      </c>
      <c r="F45" s="8">
        <f t="shared" si="20"/>
        <v>0.77568613652357499</v>
      </c>
      <c r="G45" s="8">
        <f t="shared" si="20"/>
        <v>1.8316326530612244</v>
      </c>
      <c r="H45" s="8">
        <f t="shared" si="20"/>
        <v>1.3191489361702127</v>
      </c>
      <c r="I45" s="8">
        <f t="shared" si="20"/>
        <v>2.704081632653061</v>
      </c>
      <c r="K45" s="5"/>
    </row>
    <row r="46" spans="1:11" x14ac:dyDescent="0.25">
      <c r="A46" s="5">
        <v>90</v>
      </c>
      <c r="B46" s="8">
        <f t="shared" si="20"/>
        <v>40</v>
      </c>
      <c r="C46" s="8">
        <f t="shared" si="20"/>
        <v>71.8</v>
      </c>
      <c r="D46" s="8">
        <f t="shared" si="20"/>
        <v>1.3</v>
      </c>
      <c r="E46" s="8">
        <f t="shared" si="20"/>
        <v>33.971111111111107</v>
      </c>
      <c r="F46" s="8">
        <f t="shared" si="20"/>
        <v>0.7908866995073891</v>
      </c>
      <c r="G46" s="8">
        <f t="shared" si="20"/>
        <v>2.1077059153471112</v>
      </c>
      <c r="H46" s="8">
        <f t="shared" si="20"/>
        <v>2.0156088345103682</v>
      </c>
      <c r="I46" s="8">
        <f t="shared" si="20"/>
        <v>3.8710618285369107</v>
      </c>
      <c r="K46" s="5"/>
    </row>
    <row r="47" spans="1:11" x14ac:dyDescent="0.25">
      <c r="A47" s="5" t="s">
        <v>69</v>
      </c>
      <c r="B47" s="8">
        <f t="shared" ref="B47:I47" si="21">MAX(B3:B7)</f>
        <v>40</v>
      </c>
      <c r="C47" s="8">
        <f t="shared" si="21"/>
        <v>73</v>
      </c>
      <c r="D47" s="8">
        <f t="shared" si="21"/>
        <v>1.3</v>
      </c>
      <c r="E47" s="8">
        <f t="shared" si="21"/>
        <v>39.1</v>
      </c>
      <c r="F47" s="8">
        <f t="shared" si="21"/>
        <v>0.80102040816326525</v>
      </c>
      <c r="G47" s="8">
        <f t="shared" si="21"/>
        <v>2.2917547568710357</v>
      </c>
      <c r="H47" s="8">
        <f t="shared" si="21"/>
        <v>2.4799154334038058</v>
      </c>
      <c r="I47" s="8">
        <f t="shared" si="21"/>
        <v>4.6490486257928119</v>
      </c>
      <c r="K47" s="5"/>
    </row>
    <row r="48" spans="1:11" x14ac:dyDescent="0.25">
      <c r="K48" s="5"/>
    </row>
    <row r="49" spans="1:11" x14ac:dyDescent="0.25">
      <c r="A49" t="s">
        <v>73</v>
      </c>
      <c r="B49" s="5" t="s">
        <v>71</v>
      </c>
      <c r="C49" s="7">
        <f>COUNT(B8:B25)</f>
        <v>18</v>
      </c>
      <c r="K49" s="5"/>
    </row>
    <row r="50" spans="1:11" x14ac:dyDescent="0.25">
      <c r="A50" s="5" t="s">
        <v>66</v>
      </c>
      <c r="B50" s="8">
        <f t="shared" ref="B50:I50" si="22">AVERAGE(B8:B25)</f>
        <v>28.987777777777776</v>
      </c>
      <c r="C50" s="8">
        <f t="shared" si="22"/>
        <v>66.611111111111114</v>
      </c>
      <c r="D50" s="8">
        <f t="shared" si="22"/>
        <v>2.068888888888889</v>
      </c>
      <c r="E50" s="8">
        <f t="shared" si="22"/>
        <v>20.161732487637465</v>
      </c>
      <c r="F50" s="8">
        <f t="shared" si="22"/>
        <v>0.46370372314459624</v>
      </c>
      <c r="G50" s="8">
        <f t="shared" si="22"/>
        <v>1.4406224087096544</v>
      </c>
      <c r="H50" s="8">
        <f t="shared" si="22"/>
        <v>1.6387630730801694</v>
      </c>
      <c r="I50" s="8">
        <f t="shared" si="22"/>
        <v>2.5806315232213728</v>
      </c>
      <c r="K50" s="5"/>
    </row>
    <row r="51" spans="1:11" x14ac:dyDescent="0.25">
      <c r="A51" s="5" t="s">
        <v>67</v>
      </c>
      <c r="B51" s="8">
        <f t="shared" ref="B51:I51" si="23">STDEV(B8:B25)</f>
        <v>4.1049361327059426</v>
      </c>
      <c r="C51" s="8">
        <f t="shared" si="23"/>
        <v>3.5169988691712195</v>
      </c>
      <c r="D51" s="8">
        <f t="shared" si="23"/>
        <v>0.57825181659783165</v>
      </c>
      <c r="E51" s="8">
        <f t="shared" si="23"/>
        <v>7.4554164483470453</v>
      </c>
      <c r="F51" s="8">
        <f t="shared" si="23"/>
        <v>7.6805089078134506E-2</v>
      </c>
      <c r="G51" s="8">
        <f t="shared" si="23"/>
        <v>0.37707457578162523</v>
      </c>
      <c r="H51" s="8">
        <f t="shared" si="23"/>
        <v>0.46257790246705061</v>
      </c>
      <c r="I51" s="8">
        <f t="shared" si="23"/>
        <v>0.74559991752736743</v>
      </c>
      <c r="K51" s="5"/>
    </row>
    <row r="52" spans="1:11" x14ac:dyDescent="0.25">
      <c r="A52" s="5" t="s">
        <v>68</v>
      </c>
      <c r="B52" s="8">
        <f t="shared" ref="B52:I52" si="24">MIN(B8:B25)</f>
        <v>22.86</v>
      </c>
      <c r="C52" s="8">
        <f t="shared" si="24"/>
        <v>62</v>
      </c>
      <c r="D52" s="8">
        <f t="shared" si="24"/>
        <v>1.4</v>
      </c>
      <c r="E52" s="8">
        <f t="shared" si="24"/>
        <v>12.5</v>
      </c>
      <c r="F52" s="8">
        <f t="shared" si="24"/>
        <v>0.31192660550458717</v>
      </c>
      <c r="G52" s="8">
        <f t="shared" si="24"/>
        <v>0.91555555555555557</v>
      </c>
      <c r="H52" s="8">
        <f t="shared" si="24"/>
        <v>0.88235294117647056</v>
      </c>
      <c r="I52" s="8">
        <f t="shared" si="24"/>
        <v>1.4920634920634921</v>
      </c>
    </row>
    <row r="53" spans="1:11" x14ac:dyDescent="0.25">
      <c r="A53" s="5">
        <v>10</v>
      </c>
      <c r="B53" s="8">
        <f t="shared" ref="B53:I57" si="25">PERCENTILE(B$8:B$25,$A53/100)</f>
        <v>23</v>
      </c>
      <c r="C53" s="8">
        <f t="shared" si="25"/>
        <v>62</v>
      </c>
      <c r="D53" s="8">
        <f t="shared" si="25"/>
        <v>1.47</v>
      </c>
      <c r="E53" s="8">
        <f t="shared" si="25"/>
        <v>13.918720022982841</v>
      </c>
      <c r="F53" s="8">
        <f t="shared" si="25"/>
        <v>0.34560420659491869</v>
      </c>
      <c r="G53" s="8">
        <f t="shared" si="25"/>
        <v>0.99728697499916596</v>
      </c>
      <c r="H53" s="8">
        <f t="shared" si="25"/>
        <v>0.94891978699890889</v>
      </c>
      <c r="I53" s="8">
        <f t="shared" si="25"/>
        <v>1.5632531285352063</v>
      </c>
    </row>
    <row r="54" spans="1:11" x14ac:dyDescent="0.25">
      <c r="A54" s="5">
        <v>25</v>
      </c>
      <c r="B54" s="8">
        <f t="shared" si="25"/>
        <v>24</v>
      </c>
      <c r="C54" s="8">
        <f t="shared" si="25"/>
        <v>63</v>
      </c>
      <c r="D54" s="8">
        <f t="shared" si="25"/>
        <v>1.5775000000000001</v>
      </c>
      <c r="E54" s="8">
        <f t="shared" si="25"/>
        <v>15.611111111111111</v>
      </c>
      <c r="F54" s="8">
        <f t="shared" si="25"/>
        <v>0.4301796157059315</v>
      </c>
      <c r="G54" s="8">
        <f t="shared" si="25"/>
        <v>1.0423897709735752</v>
      </c>
      <c r="H54" s="8">
        <f t="shared" si="25"/>
        <v>1.4130952380952382</v>
      </c>
      <c r="I54" s="8">
        <f t="shared" si="25"/>
        <v>2.0562060889929743</v>
      </c>
    </row>
    <row r="55" spans="1:11" x14ac:dyDescent="0.25">
      <c r="A55" s="5">
        <v>50</v>
      </c>
      <c r="B55" s="8">
        <f t="shared" si="25"/>
        <v>30.48</v>
      </c>
      <c r="C55" s="8">
        <f t="shared" si="25"/>
        <v>68</v>
      </c>
      <c r="D55" s="8">
        <f t="shared" si="25"/>
        <v>2</v>
      </c>
      <c r="E55" s="8">
        <f t="shared" si="25"/>
        <v>18.055555555555557</v>
      </c>
      <c r="F55" s="8">
        <f t="shared" si="25"/>
        <v>0.49625000000000008</v>
      </c>
      <c r="G55" s="8">
        <f t="shared" si="25"/>
        <v>1.6263805522208883</v>
      </c>
      <c r="H55" s="8">
        <f t="shared" si="25"/>
        <v>1.7261278195488723</v>
      </c>
      <c r="I55" s="8">
        <f t="shared" si="25"/>
        <v>2.7942857142857145</v>
      </c>
    </row>
    <row r="56" spans="1:11" x14ac:dyDescent="0.25">
      <c r="A56" s="5">
        <v>75</v>
      </c>
      <c r="B56" s="8">
        <f t="shared" si="25"/>
        <v>32.5</v>
      </c>
      <c r="C56" s="8">
        <f t="shared" si="25"/>
        <v>68.75</v>
      </c>
      <c r="D56" s="8">
        <f t="shared" si="25"/>
        <v>2.625</v>
      </c>
      <c r="E56" s="8">
        <f t="shared" si="25"/>
        <v>22.652777777777779</v>
      </c>
      <c r="F56" s="8">
        <f t="shared" si="25"/>
        <v>0.52054472277733421</v>
      </c>
      <c r="G56" s="8">
        <f t="shared" si="25"/>
        <v>1.7422801164403996</v>
      </c>
      <c r="H56" s="8">
        <f t="shared" si="25"/>
        <v>1.8097619047619047</v>
      </c>
      <c r="I56" s="8">
        <f t="shared" si="25"/>
        <v>2.9586206896551723</v>
      </c>
    </row>
    <row r="57" spans="1:11" x14ac:dyDescent="0.25">
      <c r="A57" s="5">
        <v>90</v>
      </c>
      <c r="B57" s="8">
        <f t="shared" si="25"/>
        <v>33</v>
      </c>
      <c r="C57" s="8">
        <f t="shared" si="25"/>
        <v>70</v>
      </c>
      <c r="D57" s="8">
        <f t="shared" si="25"/>
        <v>2.9</v>
      </c>
      <c r="E57" s="8">
        <f t="shared" si="25"/>
        <v>26.677777777777777</v>
      </c>
      <c r="F57" s="8">
        <f t="shared" si="25"/>
        <v>0.52742857142857147</v>
      </c>
      <c r="G57" s="8">
        <f t="shared" si="25"/>
        <v>1.841411513859275</v>
      </c>
      <c r="H57" s="8">
        <f t="shared" si="25"/>
        <v>2.1115786143625437</v>
      </c>
      <c r="I57" s="8">
        <f t="shared" si="25"/>
        <v>3.43754056734462</v>
      </c>
    </row>
    <row r="58" spans="1:11" x14ac:dyDescent="0.25">
      <c r="A58" s="5" t="s">
        <v>69</v>
      </c>
      <c r="B58" s="8">
        <f>MAX(B8:B25)</f>
        <v>33</v>
      </c>
      <c r="C58" s="8">
        <f t="shared" ref="C58:I58" si="26">MAX(C8:C25)</f>
        <v>74</v>
      </c>
      <c r="D58" s="8">
        <f t="shared" si="26"/>
        <v>3.1</v>
      </c>
      <c r="E58" s="8">
        <f t="shared" si="26"/>
        <v>44.444444444444443</v>
      </c>
      <c r="F58" s="8">
        <f t="shared" si="26"/>
        <v>0.56834532374100721</v>
      </c>
      <c r="G58" s="8">
        <f t="shared" si="26"/>
        <v>1.989208633093525</v>
      </c>
      <c r="H58" s="8">
        <f t="shared" si="26"/>
        <v>2.7094450315314687</v>
      </c>
      <c r="I58" s="8">
        <f t="shared" si="26"/>
        <v>4.1834532374100721</v>
      </c>
    </row>
  </sheetData>
  <mergeCells count="3">
    <mergeCell ref="F1:G1"/>
    <mergeCell ref="H1:I1"/>
    <mergeCell ref="M1:O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A22" workbookViewId="0">
      <selection sqref="A1:J45"/>
    </sheetView>
  </sheetViews>
  <sheetFormatPr defaultRowHeight="15" x14ac:dyDescent="0.25"/>
  <cols>
    <col min="1" max="1" width="14.42578125" bestFit="1" customWidth="1"/>
  </cols>
  <sheetData>
    <row r="1" spans="1:22" x14ac:dyDescent="0.25">
      <c r="B1" s="7"/>
      <c r="C1" s="7"/>
      <c r="D1" s="7"/>
      <c r="E1" s="7" t="s">
        <v>33</v>
      </c>
      <c r="F1" s="9"/>
      <c r="G1" s="13" t="s">
        <v>64</v>
      </c>
      <c r="H1" s="13"/>
      <c r="I1" s="13" t="s">
        <v>65</v>
      </c>
      <c r="J1" s="13"/>
      <c r="N1" s="13" t="s">
        <v>12</v>
      </c>
      <c r="O1" s="13"/>
      <c r="P1" s="13"/>
      <c r="Q1" s="9"/>
      <c r="R1" s="4" t="s">
        <v>35</v>
      </c>
      <c r="S1" s="4" t="s">
        <v>36</v>
      </c>
      <c r="T1" s="4" t="s">
        <v>34</v>
      </c>
      <c r="U1" s="4" t="s">
        <v>37</v>
      </c>
      <c r="V1" s="4"/>
    </row>
    <row r="2" spans="1:22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9" t="s">
        <v>76</v>
      </c>
      <c r="G2" s="7" t="s">
        <v>62</v>
      </c>
      <c r="H2" s="7" t="s">
        <v>63</v>
      </c>
      <c r="I2" s="7" t="s">
        <v>34</v>
      </c>
      <c r="J2" s="7" t="s">
        <v>37</v>
      </c>
      <c r="L2" t="s">
        <v>0</v>
      </c>
      <c r="M2" s="3" t="s">
        <v>1</v>
      </c>
      <c r="N2" s="1" t="s">
        <v>2</v>
      </c>
      <c r="O2" s="1" t="s">
        <v>3</v>
      </c>
      <c r="P2" s="1" t="s">
        <v>4</v>
      </c>
      <c r="Q2" s="9" t="s">
        <v>76</v>
      </c>
      <c r="R2" s="3" t="s">
        <v>4</v>
      </c>
      <c r="S2" s="3" t="s">
        <v>4</v>
      </c>
      <c r="T2" s="3" t="s">
        <v>4</v>
      </c>
      <c r="U2" s="3" t="s">
        <v>4</v>
      </c>
    </row>
    <row r="3" spans="1:22" x14ac:dyDescent="0.25">
      <c r="A3" t="str">
        <f t="shared" ref="A3:A26" si="0">L3</f>
        <v>NT04</v>
      </c>
      <c r="B3" s="7">
        <f t="shared" ref="B3:B26" si="1">IF(M3="","",M3)</f>
        <v>40</v>
      </c>
      <c r="C3" s="7">
        <f t="shared" ref="C3:F18" si="2">IF(N3="","",N3)</f>
        <v>62</v>
      </c>
      <c r="D3" s="7">
        <f t="shared" si="2"/>
        <v>0.8</v>
      </c>
      <c r="E3" s="8">
        <f t="shared" si="2"/>
        <v>5</v>
      </c>
      <c r="F3" s="8">
        <f t="shared" si="2"/>
        <v>12.5</v>
      </c>
      <c r="G3" s="8">
        <f t="shared" ref="G3:G26" si="3">IF(R3="","",R3/$P3)</f>
        <v>0.6</v>
      </c>
      <c r="H3" s="8">
        <f t="shared" ref="H3:H26" si="4">IF(S3="","",S3/$P3)</f>
        <v>3</v>
      </c>
      <c r="I3" s="8">
        <f t="shared" ref="I3:J7" si="5">IF(T3="","",T3/$P3)</f>
        <v>1.2</v>
      </c>
      <c r="J3" s="8">
        <f t="shared" si="5"/>
        <v>3</v>
      </c>
      <c r="L3" s="5" t="s">
        <v>5</v>
      </c>
      <c r="M3">
        <v>40</v>
      </c>
      <c r="N3" s="2">
        <v>62</v>
      </c>
      <c r="O3">
        <v>0.8</v>
      </c>
      <c r="P3" s="2">
        <f>1000*0.005</f>
        <v>5</v>
      </c>
      <c r="Q3" s="2">
        <v>12.5</v>
      </c>
      <c r="R3">
        <v>3</v>
      </c>
      <c r="S3">
        <v>15</v>
      </c>
      <c r="T3" s="2">
        <v>6</v>
      </c>
      <c r="U3" s="2">
        <v>15</v>
      </c>
    </row>
    <row r="4" spans="1:22" x14ac:dyDescent="0.25">
      <c r="A4" t="str">
        <f t="shared" si="0"/>
        <v>NT03</v>
      </c>
      <c r="B4" s="7">
        <f t="shared" si="1"/>
        <v>40</v>
      </c>
      <c r="C4" s="7">
        <f t="shared" si="2"/>
        <v>62</v>
      </c>
      <c r="D4" s="7">
        <f t="shared" si="2"/>
        <v>2.2999999999999998</v>
      </c>
      <c r="E4" s="8">
        <f t="shared" si="2"/>
        <v>32.777777777777779</v>
      </c>
      <c r="F4" s="8">
        <f t="shared" si="2"/>
        <v>15</v>
      </c>
      <c r="G4" s="8">
        <f t="shared" si="3"/>
        <v>1.2542372881355932</v>
      </c>
      <c r="H4" s="8">
        <f t="shared" si="4"/>
        <v>0.67288135593220344</v>
      </c>
      <c r="I4" s="8">
        <f t="shared" si="5"/>
        <v>1.2677966101694915</v>
      </c>
      <c r="J4" s="8">
        <f t="shared" si="5"/>
        <v>2.4644067796610165</v>
      </c>
      <c r="L4" s="5" t="s">
        <v>6</v>
      </c>
      <c r="M4">
        <v>40</v>
      </c>
      <c r="N4" s="2">
        <v>62</v>
      </c>
      <c r="O4">
        <v>2.2999999999999998</v>
      </c>
      <c r="P4">
        <v>32.777777777777779</v>
      </c>
      <c r="Q4">
        <v>15</v>
      </c>
      <c r="R4">
        <v>41.111111111111114</v>
      </c>
      <c r="S4">
        <v>22.055555555555557</v>
      </c>
      <c r="T4">
        <v>41.555555555555557</v>
      </c>
      <c r="U4">
        <v>80.777777777777771</v>
      </c>
    </row>
    <row r="5" spans="1:22" x14ac:dyDescent="0.25">
      <c r="A5" t="str">
        <f t="shared" si="0"/>
        <v>Ped02</v>
      </c>
      <c r="B5" s="7">
        <f t="shared" si="1"/>
        <v>30.48</v>
      </c>
      <c r="C5" s="7">
        <f t="shared" si="2"/>
        <v>70</v>
      </c>
      <c r="D5" s="7">
        <f t="shared" si="2"/>
        <v>1.1000000000000001</v>
      </c>
      <c r="E5" s="8">
        <f t="shared" si="2"/>
        <v>80</v>
      </c>
      <c r="F5" s="8">
        <f t="shared" si="2"/>
        <v>7.5</v>
      </c>
      <c r="G5" s="8">
        <f t="shared" si="3"/>
        <v>1.2124999999999999</v>
      </c>
      <c r="H5" s="8">
        <f t="shared" si="4"/>
        <v>0.77500000000000002</v>
      </c>
      <c r="I5" s="8">
        <f t="shared" si="5"/>
        <v>1.1625000000000001</v>
      </c>
      <c r="J5" s="8">
        <f t="shared" si="5"/>
        <v>1.6625000000000001</v>
      </c>
      <c r="L5" s="5" t="s">
        <v>7</v>
      </c>
      <c r="M5">
        <v>30.48</v>
      </c>
      <c r="N5">
        <v>70</v>
      </c>
      <c r="O5">
        <v>1.1000000000000001</v>
      </c>
      <c r="P5">
        <v>80</v>
      </c>
      <c r="Q5">
        <v>7.5</v>
      </c>
      <c r="R5">
        <v>97</v>
      </c>
      <c r="S5">
        <v>62</v>
      </c>
      <c r="T5">
        <v>93</v>
      </c>
      <c r="U5">
        <v>133</v>
      </c>
    </row>
    <row r="6" spans="1:22" x14ac:dyDescent="0.25">
      <c r="A6" t="str">
        <f t="shared" si="0"/>
        <v>Ped03</v>
      </c>
      <c r="B6" s="7">
        <f t="shared" si="1"/>
        <v>33</v>
      </c>
      <c r="C6" s="7">
        <f t="shared" si="2"/>
        <v>69</v>
      </c>
      <c r="D6" s="7">
        <f t="shared" si="2"/>
        <v>1.5</v>
      </c>
      <c r="E6" s="8">
        <f t="shared" si="2"/>
        <v>35</v>
      </c>
      <c r="F6" s="8">
        <f t="shared" si="2"/>
        <v>12.5</v>
      </c>
      <c r="G6" s="8">
        <f t="shared" si="3"/>
        <v>0.65714285714285714</v>
      </c>
      <c r="H6" s="8">
        <f t="shared" si="4"/>
        <v>2.6857142857142855</v>
      </c>
      <c r="I6" s="8">
        <f t="shared" si="5"/>
        <v>2.2571428571428571</v>
      </c>
      <c r="J6" s="8">
        <f t="shared" si="5"/>
        <v>4</v>
      </c>
      <c r="L6" s="5" t="s">
        <v>8</v>
      </c>
      <c r="M6">
        <v>33</v>
      </c>
      <c r="N6">
        <v>69</v>
      </c>
      <c r="O6">
        <v>1.5</v>
      </c>
      <c r="P6">
        <v>35</v>
      </c>
      <c r="Q6">
        <v>12.5</v>
      </c>
      <c r="R6">
        <v>23</v>
      </c>
      <c r="S6">
        <v>94</v>
      </c>
      <c r="T6">
        <v>79</v>
      </c>
      <c r="U6">
        <v>140</v>
      </c>
    </row>
    <row r="7" spans="1:22" x14ac:dyDescent="0.25">
      <c r="A7" t="str">
        <f t="shared" si="0"/>
        <v>RT761</v>
      </c>
      <c r="B7" s="7">
        <f t="shared" si="1"/>
        <v>41.8</v>
      </c>
      <c r="C7" s="7">
        <f t="shared" si="2"/>
        <v>73</v>
      </c>
      <c r="D7" s="7">
        <f t="shared" si="2"/>
        <v>11.5</v>
      </c>
      <c r="E7" s="8">
        <f t="shared" si="2"/>
        <v>27</v>
      </c>
      <c r="F7" s="8">
        <f t="shared" si="2"/>
        <v>15</v>
      </c>
      <c r="G7" s="8">
        <f t="shared" si="3"/>
        <v>1.037037037037037</v>
      </c>
      <c r="H7" s="8">
        <f t="shared" si="4"/>
        <v>1.4444444444444444</v>
      </c>
      <c r="I7" s="8">
        <f t="shared" si="5"/>
        <v>1.1481481481481481</v>
      </c>
      <c r="J7" s="8">
        <f t="shared" si="5"/>
        <v>1.6296296296296295</v>
      </c>
      <c r="L7" s="5" t="s">
        <v>9</v>
      </c>
      <c r="M7">
        <v>41.8</v>
      </c>
      <c r="N7">
        <v>73</v>
      </c>
      <c r="O7">
        <v>11.5</v>
      </c>
      <c r="P7">
        <v>27</v>
      </c>
      <c r="Q7">
        <v>15</v>
      </c>
      <c r="R7">
        <v>28</v>
      </c>
      <c r="S7">
        <v>39</v>
      </c>
      <c r="T7">
        <v>31</v>
      </c>
      <c r="U7">
        <v>44</v>
      </c>
    </row>
    <row r="8" spans="1:22" x14ac:dyDescent="0.25">
      <c r="A8" t="str">
        <f t="shared" si="0"/>
        <v>Peds Proc 7</v>
      </c>
      <c r="B8" s="7">
        <f t="shared" ref="B8" si="6">IF(M8="","",M8)</f>
        <v>58</v>
      </c>
      <c r="C8" s="7">
        <f t="shared" ref="C8" si="7">IF(N8="","",N8)</f>
        <v>43.3</v>
      </c>
      <c r="D8" s="7">
        <f t="shared" ref="D8" si="8">IF(O8="","",O8)</f>
        <v>0.89999999999999991</v>
      </c>
      <c r="E8" s="8">
        <f t="shared" ref="E8" si="9">IF(P8="","",P8)</f>
        <v>5</v>
      </c>
      <c r="F8" s="8">
        <f t="shared" si="2"/>
        <v>7.5</v>
      </c>
      <c r="G8" s="8">
        <f t="shared" ref="G8" si="10">IF(R8="","",R8/$P8)</f>
        <v>0.8</v>
      </c>
      <c r="H8" s="8">
        <f t="shared" ref="H8" si="11">IF(S8="","",S8/$P8)</f>
        <v>2</v>
      </c>
      <c r="I8" s="8">
        <f t="shared" ref="I8" si="12">IF(T8="","",T8/$P8)</f>
        <v>2.6</v>
      </c>
      <c r="J8" s="8">
        <f t="shared" ref="J8" si="13">IF(U8="","",U8/$P8)</f>
        <v>5.8</v>
      </c>
      <c r="L8" s="5" t="s">
        <v>70</v>
      </c>
      <c r="M8">
        <v>58</v>
      </c>
      <c r="N8">
        <v>43.3</v>
      </c>
      <c r="O8">
        <v>0.89999999999999991</v>
      </c>
      <c r="P8">
        <v>5</v>
      </c>
      <c r="Q8">
        <v>7.5</v>
      </c>
      <c r="R8">
        <v>4</v>
      </c>
      <c r="S8">
        <v>10</v>
      </c>
      <c r="T8">
        <v>13</v>
      </c>
      <c r="U8">
        <v>29</v>
      </c>
    </row>
    <row r="9" spans="1:22" x14ac:dyDescent="0.25">
      <c r="A9" t="str">
        <f t="shared" si="0"/>
        <v>C-arm 7</v>
      </c>
      <c r="B9" s="7">
        <f t="shared" si="1"/>
        <v>31</v>
      </c>
      <c r="C9" s="7">
        <f t="shared" si="2"/>
        <v>69</v>
      </c>
      <c r="D9" s="7">
        <f t="shared" si="2"/>
        <v>1.5</v>
      </c>
      <c r="E9" s="8">
        <f t="shared" si="2"/>
        <v>14</v>
      </c>
      <c r="F9" s="8">
        <f t="shared" si="2"/>
        <v>8</v>
      </c>
      <c r="G9" s="8">
        <f t="shared" si="3"/>
        <v>0.5</v>
      </c>
      <c r="H9" s="8">
        <f t="shared" si="4"/>
        <v>6.5</v>
      </c>
      <c r="I9" s="8">
        <f t="shared" ref="I9:I41" si="14">IF(T9="","",T9/$P9)</f>
        <v>1.9285714285714286</v>
      </c>
      <c r="J9" s="8">
        <f t="shared" ref="J9:J41" si="15">IF(U9="","",U9/$P9)</f>
        <v>3.0714285714285716</v>
      </c>
      <c r="L9" s="5" t="s">
        <v>14</v>
      </c>
      <c r="M9">
        <v>31</v>
      </c>
      <c r="N9">
        <v>69</v>
      </c>
      <c r="O9">
        <v>1.5</v>
      </c>
      <c r="P9">
        <v>14</v>
      </c>
      <c r="Q9">
        <v>8</v>
      </c>
      <c r="R9">
        <v>7</v>
      </c>
      <c r="S9">
        <v>91</v>
      </c>
      <c r="T9">
        <v>27</v>
      </c>
      <c r="U9">
        <v>43</v>
      </c>
    </row>
    <row r="10" spans="1:22" x14ac:dyDescent="0.25">
      <c r="A10" t="str">
        <f t="shared" si="0"/>
        <v>C-arm 9</v>
      </c>
      <c r="B10" s="7">
        <f t="shared" si="1"/>
        <v>23</v>
      </c>
      <c r="C10" s="7">
        <f t="shared" si="2"/>
        <v>71</v>
      </c>
      <c r="D10" s="7">
        <f t="shared" si="2"/>
        <v>2.27</v>
      </c>
      <c r="E10" s="8">
        <f t="shared" si="2"/>
        <v>27</v>
      </c>
      <c r="F10" s="8">
        <f t="shared" si="2"/>
        <v>8</v>
      </c>
      <c r="G10" s="8">
        <f t="shared" si="3"/>
        <v>0.40740740740740738</v>
      </c>
      <c r="H10" s="8">
        <f t="shared" si="4"/>
        <v>5.7407407407407405</v>
      </c>
      <c r="I10" s="8">
        <f t="shared" si="14"/>
        <v>1.6666666666666667</v>
      </c>
      <c r="J10" s="8">
        <f t="shared" si="15"/>
        <v>2.3703703703703702</v>
      </c>
      <c r="L10" s="5" t="s">
        <v>16</v>
      </c>
      <c r="M10">
        <v>23</v>
      </c>
      <c r="N10">
        <v>71</v>
      </c>
      <c r="O10">
        <v>2.27</v>
      </c>
      <c r="P10">
        <v>27</v>
      </c>
      <c r="Q10">
        <v>8</v>
      </c>
      <c r="R10">
        <v>11</v>
      </c>
      <c r="S10">
        <v>155</v>
      </c>
      <c r="T10">
        <v>45</v>
      </c>
      <c r="U10">
        <v>64</v>
      </c>
    </row>
    <row r="11" spans="1:22" x14ac:dyDescent="0.25">
      <c r="A11" t="str">
        <f t="shared" si="0"/>
        <v>C-arm 18</v>
      </c>
      <c r="B11" s="7">
        <f t="shared" si="1"/>
        <v>30.48</v>
      </c>
      <c r="C11" s="7">
        <f t="shared" si="2"/>
        <v>73</v>
      </c>
      <c r="D11" s="7">
        <f t="shared" si="2"/>
        <v>1.75</v>
      </c>
      <c r="E11" s="8">
        <f t="shared" si="2"/>
        <v>21</v>
      </c>
      <c r="F11" s="8">
        <f t="shared" si="2"/>
        <v>8</v>
      </c>
      <c r="G11" s="8">
        <f t="shared" si="3"/>
        <v>0.42857142857142855</v>
      </c>
      <c r="H11" s="8">
        <f t="shared" si="4"/>
        <v>6.666666666666667</v>
      </c>
      <c r="I11" s="8">
        <f t="shared" si="14"/>
        <v>1.7619047619047619</v>
      </c>
      <c r="J11" s="8">
        <f t="shared" si="15"/>
        <v>2.8571428571428572</v>
      </c>
      <c r="L11" s="5" t="s">
        <v>20</v>
      </c>
      <c r="M11">
        <v>30.48</v>
      </c>
      <c r="N11">
        <v>73</v>
      </c>
      <c r="O11">
        <v>1.75</v>
      </c>
      <c r="P11">
        <v>21</v>
      </c>
      <c r="Q11">
        <v>8</v>
      </c>
      <c r="R11">
        <v>9</v>
      </c>
      <c r="S11">
        <v>140</v>
      </c>
      <c r="T11">
        <v>37</v>
      </c>
      <c r="U11">
        <v>60</v>
      </c>
    </row>
    <row r="12" spans="1:22" x14ac:dyDescent="0.25">
      <c r="A12" t="str">
        <f t="shared" si="0"/>
        <v>C-arm 19</v>
      </c>
      <c r="B12" s="7">
        <f t="shared" si="1"/>
        <v>30.48</v>
      </c>
      <c r="C12" s="7">
        <f t="shared" si="2"/>
        <v>71</v>
      </c>
      <c r="D12" s="7">
        <f t="shared" si="2"/>
        <v>17</v>
      </c>
      <c r="E12" s="8">
        <f t="shared" si="2"/>
        <v>14</v>
      </c>
      <c r="F12" s="8">
        <f t="shared" si="2"/>
        <v>8</v>
      </c>
      <c r="G12" s="8">
        <f t="shared" si="3"/>
        <v>0.5</v>
      </c>
      <c r="H12" s="8">
        <f t="shared" si="4"/>
        <v>8.1428571428571423</v>
      </c>
      <c r="I12" s="8">
        <f t="shared" si="14"/>
        <v>1.7857142857142858</v>
      </c>
      <c r="J12" s="8">
        <f t="shared" si="15"/>
        <v>4.2142857142857144</v>
      </c>
      <c r="L12" s="5" t="s">
        <v>21</v>
      </c>
      <c r="M12">
        <v>30.48</v>
      </c>
      <c r="N12">
        <v>71</v>
      </c>
      <c r="O12">
        <v>17</v>
      </c>
      <c r="P12">
        <v>14</v>
      </c>
      <c r="Q12">
        <v>8</v>
      </c>
      <c r="R12">
        <v>7</v>
      </c>
      <c r="S12">
        <v>114</v>
      </c>
      <c r="T12">
        <v>25</v>
      </c>
      <c r="U12">
        <v>59</v>
      </c>
    </row>
    <row r="13" spans="1:22" x14ac:dyDescent="0.25">
      <c r="A13" t="str">
        <f t="shared" si="0"/>
        <v>ART C-arm 1</v>
      </c>
      <c r="B13" s="7">
        <f t="shared" si="1"/>
        <v>33</v>
      </c>
      <c r="C13" s="7">
        <f t="shared" si="2"/>
        <v>60</v>
      </c>
      <c r="D13" s="7">
        <f t="shared" si="2"/>
        <v>22.7</v>
      </c>
      <c r="E13" s="8">
        <f t="shared" si="2"/>
        <v>14.888888888888889</v>
      </c>
      <c r="F13" s="8">
        <f t="shared" si="2"/>
        <v>15</v>
      </c>
      <c r="G13" s="8">
        <f t="shared" si="3"/>
        <v>0.55223880597014918</v>
      </c>
      <c r="H13" s="8">
        <f t="shared" si="4"/>
        <v>1.9253731343283582</v>
      </c>
      <c r="I13" s="8">
        <f t="shared" si="14"/>
        <v>0.89552238805970152</v>
      </c>
      <c r="J13" s="8">
        <f t="shared" si="15"/>
        <v>1.5298507462686568</v>
      </c>
      <c r="L13" s="5" t="s">
        <v>22</v>
      </c>
      <c r="M13">
        <v>33</v>
      </c>
      <c r="N13">
        <v>60</v>
      </c>
      <c r="O13">
        <v>22.7</v>
      </c>
      <c r="P13">
        <v>14.888888888888889</v>
      </c>
      <c r="Q13">
        <v>15</v>
      </c>
      <c r="R13">
        <v>8.2222222222222214</v>
      </c>
      <c r="S13">
        <v>28.666666666666668</v>
      </c>
      <c r="T13">
        <v>13.333333333333334</v>
      </c>
      <c r="U13">
        <v>22.777777777777779</v>
      </c>
    </row>
    <row r="14" spans="1:22" x14ac:dyDescent="0.25">
      <c r="A14" t="str">
        <f t="shared" si="0"/>
        <v>ART C-arm 2</v>
      </c>
      <c r="B14" s="7">
        <f t="shared" si="1"/>
        <v>33</v>
      </c>
      <c r="C14" s="7">
        <f t="shared" si="2"/>
        <v>66</v>
      </c>
      <c r="D14" s="7">
        <f t="shared" si="2"/>
        <v>9.3000000000000007</v>
      </c>
      <c r="E14" s="8">
        <f t="shared" si="2"/>
        <v>16.055823398039333</v>
      </c>
      <c r="F14" s="8">
        <f t="shared" si="2"/>
        <v>15</v>
      </c>
      <c r="G14" s="8">
        <f t="shared" si="3"/>
        <v>0.57306775640600671</v>
      </c>
      <c r="H14" s="8">
        <f t="shared" si="4"/>
        <v>1.9427352043472934</v>
      </c>
      <c r="I14" s="8">
        <f t="shared" si="14"/>
        <v>1.0445300428548669</v>
      </c>
      <c r="J14" s="8">
        <f t="shared" si="15"/>
        <v>1.6697765253552057</v>
      </c>
      <c r="L14" s="5" t="s">
        <v>23</v>
      </c>
      <c r="M14">
        <v>33</v>
      </c>
      <c r="N14">
        <v>66</v>
      </c>
      <c r="O14">
        <v>9.3000000000000007</v>
      </c>
      <c r="P14">
        <v>16.055823398039333</v>
      </c>
      <c r="Q14">
        <v>15</v>
      </c>
      <c r="R14">
        <v>9.2010746919654682</v>
      </c>
      <c r="S14">
        <v>31.192213350153999</v>
      </c>
      <c r="T14">
        <v>16.770789902024202</v>
      </c>
      <c r="U14">
        <v>26.809637005294931</v>
      </c>
    </row>
    <row r="15" spans="1:22" x14ac:dyDescent="0.25">
      <c r="A15" t="str">
        <f t="shared" si="0"/>
        <v>ART C-arm 3</v>
      </c>
      <c r="B15" s="7">
        <f t="shared" si="1"/>
        <v>33</v>
      </c>
      <c r="C15" s="7">
        <f t="shared" ref="C15:F45" si="16">IF(N15="","",N15)</f>
        <v>60</v>
      </c>
      <c r="D15" s="7">
        <f t="shared" si="16"/>
        <v>23</v>
      </c>
      <c r="E15" s="8">
        <f t="shared" si="16"/>
        <v>18.444444444444443</v>
      </c>
      <c r="F15" s="8">
        <f t="shared" si="2"/>
        <v>15</v>
      </c>
      <c r="G15" s="8">
        <f t="shared" si="3"/>
        <v>0.60843373493975905</v>
      </c>
      <c r="H15" s="8">
        <f t="shared" si="4"/>
        <v>1.9096385542168677</v>
      </c>
      <c r="I15" s="8">
        <f t="shared" si="14"/>
        <v>1.2710843373493976</v>
      </c>
      <c r="J15" s="8">
        <f t="shared" si="15"/>
        <v>1.63855421686747</v>
      </c>
      <c r="L15" s="5" t="s">
        <v>24</v>
      </c>
      <c r="M15">
        <v>33</v>
      </c>
      <c r="N15">
        <v>60</v>
      </c>
      <c r="O15">
        <v>23</v>
      </c>
      <c r="P15">
        <v>18.444444444444443</v>
      </c>
      <c r="Q15">
        <v>15</v>
      </c>
      <c r="R15">
        <v>11.222222222222221</v>
      </c>
      <c r="S15">
        <v>35.222222222222221</v>
      </c>
      <c r="T15">
        <v>23.444444444444443</v>
      </c>
      <c r="U15">
        <v>30.222222222222221</v>
      </c>
    </row>
    <row r="16" spans="1:22" x14ac:dyDescent="0.25">
      <c r="A16" t="str">
        <f t="shared" si="0"/>
        <v>ART C-arm 4</v>
      </c>
      <c r="B16" s="7">
        <f t="shared" si="1"/>
        <v>33</v>
      </c>
      <c r="C16" s="7">
        <f t="shared" si="16"/>
        <v>60</v>
      </c>
      <c r="D16" s="7">
        <f t="shared" si="16"/>
        <v>22.7</v>
      </c>
      <c r="E16" s="8">
        <f t="shared" si="16"/>
        <v>14.955207965390001</v>
      </c>
      <c r="F16" s="8">
        <f t="shared" si="2"/>
        <v>15</v>
      </c>
      <c r="G16" s="8">
        <f t="shared" si="3"/>
        <v>0.29687932941478984</v>
      </c>
      <c r="H16" s="8">
        <f t="shared" si="4"/>
        <v>1.8587834940003127</v>
      </c>
      <c r="I16" s="8">
        <f t="shared" si="14"/>
        <v>0.9866970836342398</v>
      </c>
      <c r="J16" s="8">
        <f t="shared" si="15"/>
        <v>1.4632480831084047</v>
      </c>
      <c r="L16" s="5" t="s">
        <v>25</v>
      </c>
      <c r="M16">
        <v>33</v>
      </c>
      <c r="N16">
        <v>60</v>
      </c>
      <c r="O16">
        <v>22.7</v>
      </c>
      <c r="P16">
        <v>14.955207965390001</v>
      </c>
      <c r="Q16">
        <v>15</v>
      </c>
      <c r="R16">
        <v>4.4398921120237071</v>
      </c>
      <c r="S16">
        <v>27.798493715408934</v>
      </c>
      <c r="T16">
        <v>14.756260084593867</v>
      </c>
      <c r="U16">
        <v>21.883179387844464</v>
      </c>
    </row>
    <row r="17" spans="1:21" x14ac:dyDescent="0.25">
      <c r="A17" t="str">
        <f t="shared" si="0"/>
        <v>RT Uro</v>
      </c>
      <c r="B17" s="7">
        <f t="shared" si="1"/>
        <v>30.48</v>
      </c>
      <c r="C17" s="7">
        <f t="shared" si="16"/>
        <v>76</v>
      </c>
      <c r="D17" s="7">
        <f t="shared" si="16"/>
        <v>2</v>
      </c>
      <c r="E17" s="8">
        <f t="shared" si="16"/>
        <v>43</v>
      </c>
      <c r="F17" s="8">
        <f t="shared" si="2"/>
        <v>8</v>
      </c>
      <c r="G17" s="8">
        <f t="shared" si="3"/>
        <v>0.46511627906976744</v>
      </c>
      <c r="H17" s="8">
        <f t="shared" si="4"/>
        <v>5.1627906976744189</v>
      </c>
      <c r="I17" s="8">
        <f t="shared" si="14"/>
        <v>1.5348837209302326</v>
      </c>
      <c r="J17" s="8">
        <f t="shared" si="15"/>
        <v>2.1627906976744184</v>
      </c>
      <c r="L17" s="5" t="s">
        <v>26</v>
      </c>
      <c r="M17">
        <v>30.48</v>
      </c>
      <c r="N17">
        <v>76</v>
      </c>
      <c r="O17">
        <v>2</v>
      </c>
      <c r="P17">
        <v>43</v>
      </c>
      <c r="Q17">
        <v>8</v>
      </c>
      <c r="R17">
        <v>20</v>
      </c>
      <c r="S17">
        <v>222</v>
      </c>
      <c r="T17">
        <v>66</v>
      </c>
      <c r="U17">
        <v>93</v>
      </c>
    </row>
    <row r="18" spans="1:21" x14ac:dyDescent="0.25">
      <c r="A18" t="str">
        <f t="shared" si="0"/>
        <v>EC1</v>
      </c>
      <c r="B18" s="7">
        <f t="shared" si="1"/>
        <v>33</v>
      </c>
      <c r="C18" s="7">
        <f t="shared" si="16"/>
        <v>59</v>
      </c>
      <c r="D18" s="7">
        <f t="shared" si="16"/>
        <v>27.8</v>
      </c>
      <c r="E18" s="8">
        <f t="shared" si="16"/>
        <v>18.333333333333332</v>
      </c>
      <c r="F18" s="8">
        <f t="shared" si="2"/>
        <v>8</v>
      </c>
      <c r="G18" s="8">
        <f t="shared" si="3"/>
        <v>0.61363636363636365</v>
      </c>
      <c r="H18" s="8">
        <f t="shared" si="4"/>
        <v>1.7954545454545454</v>
      </c>
      <c r="I18" s="8">
        <f t="shared" si="14"/>
        <v>1.3295454545454546</v>
      </c>
      <c r="J18" s="8">
        <f t="shared" si="15"/>
        <v>2.8750000000000004</v>
      </c>
      <c r="L18" s="5" t="s">
        <v>27</v>
      </c>
      <c r="M18">
        <v>33</v>
      </c>
      <c r="N18">
        <v>59</v>
      </c>
      <c r="O18">
        <v>27.8</v>
      </c>
      <c r="P18">
        <v>18.333333333333332</v>
      </c>
      <c r="Q18">
        <v>8</v>
      </c>
      <c r="R18">
        <v>11.25</v>
      </c>
      <c r="S18">
        <v>32.916666666666664</v>
      </c>
      <c r="T18">
        <v>24.375</v>
      </c>
      <c r="U18">
        <v>52.708333333333336</v>
      </c>
    </row>
    <row r="19" spans="1:21" x14ac:dyDescent="0.25">
      <c r="A19" t="str">
        <f t="shared" si="0"/>
        <v>EC2</v>
      </c>
      <c r="B19" s="7">
        <f t="shared" si="1"/>
        <v>33</v>
      </c>
      <c r="C19" s="7">
        <f t="shared" si="16"/>
        <v>59</v>
      </c>
      <c r="D19" s="7">
        <f t="shared" si="16"/>
        <v>30.3</v>
      </c>
      <c r="E19" s="8">
        <f t="shared" si="16"/>
        <v>18.958333333333332</v>
      </c>
      <c r="F19" s="8">
        <f t="shared" si="16"/>
        <v>8</v>
      </c>
      <c r="G19" s="8">
        <f t="shared" si="3"/>
        <v>0.63736263736263743</v>
      </c>
      <c r="H19" s="8">
        <f t="shared" si="4"/>
        <v>1.6923076923076925</v>
      </c>
      <c r="I19" s="8">
        <f t="shared" si="14"/>
        <v>2.2747252747252751</v>
      </c>
      <c r="J19" s="8">
        <f t="shared" si="15"/>
        <v>2.7362637362637363</v>
      </c>
      <c r="L19" s="5" t="s">
        <v>28</v>
      </c>
      <c r="M19">
        <v>33</v>
      </c>
      <c r="N19">
        <v>59</v>
      </c>
      <c r="O19">
        <v>30.3</v>
      </c>
      <c r="P19">
        <v>18.958333333333332</v>
      </c>
      <c r="Q19">
        <v>8</v>
      </c>
      <c r="R19">
        <v>12.083333333333334</v>
      </c>
      <c r="S19">
        <v>32.083333333333336</v>
      </c>
      <c r="T19">
        <v>43.125</v>
      </c>
      <c r="U19">
        <v>51.875</v>
      </c>
    </row>
    <row r="20" spans="1:21" x14ac:dyDescent="0.25">
      <c r="A20" t="str">
        <f t="shared" si="0"/>
        <v>HVC01</v>
      </c>
      <c r="B20" s="7">
        <f t="shared" si="1"/>
        <v>48</v>
      </c>
      <c r="C20" s="7">
        <f t="shared" si="16"/>
        <v>66</v>
      </c>
      <c r="D20" s="7">
        <f t="shared" si="16"/>
        <v>43.1</v>
      </c>
      <c r="E20" s="8">
        <f t="shared" si="16"/>
        <v>28</v>
      </c>
      <c r="F20" s="8">
        <f t="shared" si="16"/>
        <v>7.5</v>
      </c>
      <c r="G20" s="8">
        <f t="shared" si="3"/>
        <v>1</v>
      </c>
      <c r="H20" s="8">
        <f t="shared" si="4"/>
        <v>1.2142857142857142</v>
      </c>
      <c r="I20" s="8">
        <f t="shared" si="14"/>
        <v>1.3928571428571428</v>
      </c>
      <c r="J20" s="8">
        <f t="shared" si="15"/>
        <v>1.8571428571428572</v>
      </c>
      <c r="L20" s="5" t="s">
        <v>38</v>
      </c>
      <c r="M20">
        <v>48</v>
      </c>
      <c r="N20">
        <v>66</v>
      </c>
      <c r="O20">
        <v>43.1</v>
      </c>
      <c r="P20">
        <v>28</v>
      </c>
      <c r="Q20">
        <v>7.5</v>
      </c>
      <c r="R20">
        <v>28</v>
      </c>
      <c r="S20">
        <v>34</v>
      </c>
      <c r="T20">
        <v>39</v>
      </c>
      <c r="U20">
        <v>52</v>
      </c>
    </row>
    <row r="21" spans="1:21" x14ac:dyDescent="0.25">
      <c r="A21" t="str">
        <f t="shared" si="0"/>
        <v>HVC02</v>
      </c>
      <c r="B21" s="7">
        <f t="shared" si="1"/>
        <v>40</v>
      </c>
      <c r="C21" s="7">
        <f t="shared" si="16"/>
        <v>58</v>
      </c>
      <c r="D21" s="7">
        <f t="shared" si="16"/>
        <v>86.1</v>
      </c>
      <c r="E21" s="8">
        <f t="shared" si="16"/>
        <v>13</v>
      </c>
      <c r="F21" s="8">
        <f t="shared" si="16"/>
        <v>7.5</v>
      </c>
      <c r="G21" s="8">
        <f t="shared" si="3"/>
        <v>1</v>
      </c>
      <c r="H21" s="8">
        <f t="shared" si="4"/>
        <v>1.7692307692307692</v>
      </c>
      <c r="I21" s="8">
        <f t="shared" si="14"/>
        <v>2.3846153846153846</v>
      </c>
      <c r="J21" s="8">
        <f t="shared" si="15"/>
        <v>5.2307692307692308</v>
      </c>
      <c r="L21" s="5" t="s">
        <v>39</v>
      </c>
      <c r="M21">
        <v>40</v>
      </c>
      <c r="N21">
        <v>58</v>
      </c>
      <c r="O21">
        <v>86.1</v>
      </c>
      <c r="P21">
        <v>13</v>
      </c>
      <c r="Q21">
        <v>7.5</v>
      </c>
      <c r="R21">
        <v>13</v>
      </c>
      <c r="S21">
        <v>23</v>
      </c>
      <c r="T21">
        <v>31</v>
      </c>
      <c r="U21">
        <v>68</v>
      </c>
    </row>
    <row r="22" spans="1:21" x14ac:dyDescent="0.25">
      <c r="A22" t="str">
        <f t="shared" si="0"/>
        <v>HVC04</v>
      </c>
      <c r="B22" s="7">
        <f t="shared" si="1"/>
        <v>40</v>
      </c>
      <c r="C22" s="7">
        <f t="shared" si="16"/>
        <v>58</v>
      </c>
      <c r="D22" s="7">
        <f t="shared" si="16"/>
        <v>77.400000000000006</v>
      </c>
      <c r="E22" s="8">
        <f t="shared" si="16"/>
        <v>10</v>
      </c>
      <c r="F22" s="8">
        <f t="shared" si="16"/>
        <v>7.5</v>
      </c>
      <c r="G22" s="8">
        <f t="shared" si="3"/>
        <v>0.8</v>
      </c>
      <c r="H22" s="8">
        <f t="shared" si="4"/>
        <v>1.6</v>
      </c>
      <c r="I22" s="8">
        <f t="shared" si="14"/>
        <v>2.1</v>
      </c>
      <c r="J22" s="8">
        <f t="shared" si="15"/>
        <v>4.4000000000000004</v>
      </c>
      <c r="L22" s="5" t="s">
        <v>40</v>
      </c>
      <c r="M22">
        <v>40</v>
      </c>
      <c r="N22">
        <v>58</v>
      </c>
      <c r="O22">
        <v>77.400000000000006</v>
      </c>
      <c r="P22">
        <v>10</v>
      </c>
      <c r="Q22">
        <v>7.5</v>
      </c>
      <c r="R22">
        <v>8</v>
      </c>
      <c r="S22">
        <v>16</v>
      </c>
      <c r="T22">
        <v>21</v>
      </c>
      <c r="U22">
        <v>44</v>
      </c>
    </row>
    <row r="23" spans="1:21" x14ac:dyDescent="0.25">
      <c r="A23" t="str">
        <f t="shared" si="0"/>
        <v>HVC05</v>
      </c>
      <c r="B23" s="7">
        <f t="shared" si="1"/>
        <v>40</v>
      </c>
      <c r="C23" s="7">
        <f t="shared" si="16"/>
        <v>58</v>
      </c>
      <c r="D23" s="7">
        <f t="shared" si="16"/>
        <v>75</v>
      </c>
      <c r="E23" s="8">
        <f t="shared" si="16"/>
        <v>5</v>
      </c>
      <c r="F23" s="8">
        <f t="shared" si="16"/>
        <v>7.5</v>
      </c>
      <c r="G23" s="8">
        <f t="shared" si="3"/>
        <v>0.6</v>
      </c>
      <c r="H23" s="8">
        <f t="shared" si="4"/>
        <v>2.8</v>
      </c>
      <c r="I23" s="8">
        <f t="shared" si="14"/>
        <v>2.2000000000000002</v>
      </c>
      <c r="J23" s="8">
        <f t="shared" si="15"/>
        <v>5.2</v>
      </c>
      <c r="L23" s="5" t="s">
        <v>41</v>
      </c>
      <c r="M23">
        <v>40</v>
      </c>
      <c r="N23">
        <v>58</v>
      </c>
      <c r="O23">
        <v>75</v>
      </c>
      <c r="P23">
        <v>5</v>
      </c>
      <c r="Q23">
        <v>7.5</v>
      </c>
      <c r="R23">
        <v>3</v>
      </c>
      <c r="S23">
        <v>14</v>
      </c>
      <c r="T23">
        <v>11</v>
      </c>
      <c r="U23">
        <v>26</v>
      </c>
    </row>
    <row r="24" spans="1:21" x14ac:dyDescent="0.25">
      <c r="A24" t="str">
        <f t="shared" si="0"/>
        <v>Neuro1 AP</v>
      </c>
      <c r="B24" s="7">
        <f t="shared" si="1"/>
        <v>48</v>
      </c>
      <c r="C24" s="7">
        <f t="shared" si="16"/>
        <v>71.400000000000006</v>
      </c>
      <c r="D24" s="7">
        <f t="shared" si="16"/>
        <v>15</v>
      </c>
      <c r="E24" s="8">
        <f t="shared" si="16"/>
        <v>29.696384655253134</v>
      </c>
      <c r="F24" s="8">
        <f t="shared" si="16"/>
        <v>15</v>
      </c>
      <c r="G24" s="8">
        <f t="shared" si="3"/>
        <v>1.1386196913752287</v>
      </c>
      <c r="H24" s="8">
        <f t="shared" si="4"/>
        <v>0.98331122491135303</v>
      </c>
      <c r="I24" s="8">
        <f t="shared" si="14"/>
        <v>1.3338237952028991</v>
      </c>
      <c r="J24" s="8">
        <f t="shared" si="15"/>
        <v>1.9064795058475874</v>
      </c>
      <c r="L24" s="5" t="s">
        <v>42</v>
      </c>
      <c r="M24">
        <v>48</v>
      </c>
      <c r="N24">
        <v>71.400000000000006</v>
      </c>
      <c r="O24">
        <v>15</v>
      </c>
      <c r="P24">
        <v>29.696384655253134</v>
      </c>
      <c r="Q24">
        <v>15</v>
      </c>
      <c r="R24">
        <v>33.812888331124398</v>
      </c>
      <c r="S24">
        <v>29.200788370795667</v>
      </c>
      <c r="T24">
        <v>39.60974448467487</v>
      </c>
      <c r="U24">
        <v>56.615548743006869</v>
      </c>
    </row>
    <row r="25" spans="1:21" x14ac:dyDescent="0.25">
      <c r="A25" t="str">
        <f t="shared" si="0"/>
        <v>Neuro1 Lat</v>
      </c>
      <c r="B25" s="7">
        <f t="shared" si="1"/>
        <v>25</v>
      </c>
      <c r="C25" s="7">
        <f t="shared" si="16"/>
        <v>77.599999999999994</v>
      </c>
      <c r="D25" s="7">
        <f t="shared" si="16"/>
        <v>15</v>
      </c>
      <c r="E25" s="8">
        <f t="shared" si="16"/>
        <v>42.347230530688996</v>
      </c>
      <c r="F25" s="8">
        <f t="shared" si="16"/>
        <v>15</v>
      </c>
      <c r="G25" s="8">
        <f t="shared" si="3"/>
        <v>1.0491522318850033</v>
      </c>
      <c r="H25" s="8">
        <f t="shared" si="4"/>
        <v>0.99394388673683753</v>
      </c>
      <c r="I25" s="8">
        <f t="shared" si="14"/>
        <v>1.3584621337232785</v>
      </c>
      <c r="J25" s="8">
        <f t="shared" si="15"/>
        <v>1.8067590752352101</v>
      </c>
      <c r="L25" s="5" t="s">
        <v>43</v>
      </c>
      <c r="M25">
        <v>25</v>
      </c>
      <c r="N25">
        <v>77.599999999999994</v>
      </c>
      <c r="O25">
        <v>15</v>
      </c>
      <c r="P25">
        <v>42.347230530688996</v>
      </c>
      <c r="Q25">
        <v>15</v>
      </c>
      <c r="R25">
        <v>44.428691425421114</v>
      </c>
      <c r="S25">
        <v>42.090770906213891</v>
      </c>
      <c r="T25">
        <v>57.527109143991339</v>
      </c>
      <c r="U25">
        <v>76.511243072399907</v>
      </c>
    </row>
    <row r="26" spans="1:21" x14ac:dyDescent="0.25">
      <c r="A26" t="str">
        <f t="shared" si="0"/>
        <v>Neuro2 AP</v>
      </c>
      <c r="B26" s="7">
        <f t="shared" si="1"/>
        <v>48</v>
      </c>
      <c r="C26" s="7">
        <f t="shared" si="16"/>
        <v>65</v>
      </c>
      <c r="D26" s="7">
        <f t="shared" si="16"/>
        <v>39</v>
      </c>
      <c r="E26" s="8">
        <f t="shared" si="16"/>
        <v>33</v>
      </c>
      <c r="F26" s="8">
        <f t="shared" si="16"/>
        <v>15</v>
      </c>
      <c r="G26" s="8">
        <f t="shared" si="3"/>
        <v>0.66666666666666663</v>
      </c>
      <c r="H26" s="8">
        <f t="shared" si="4"/>
        <v>1.2121212121212122</v>
      </c>
      <c r="I26" s="8">
        <f t="shared" si="14"/>
        <v>1.5151515151515151</v>
      </c>
      <c r="J26" s="8">
        <f t="shared" si="15"/>
        <v>2.1212121212121211</v>
      </c>
      <c r="L26" s="5" t="s">
        <v>44</v>
      </c>
      <c r="M26">
        <v>48</v>
      </c>
      <c r="N26">
        <v>65</v>
      </c>
      <c r="O26">
        <v>39</v>
      </c>
      <c r="P26">
        <v>33</v>
      </c>
      <c r="Q26">
        <v>15</v>
      </c>
      <c r="R26">
        <v>22</v>
      </c>
      <c r="S26">
        <v>40</v>
      </c>
      <c r="T26">
        <v>50</v>
      </c>
      <c r="U26">
        <v>70</v>
      </c>
    </row>
    <row r="27" spans="1:21" x14ac:dyDescent="0.25">
      <c r="A27" t="str">
        <f t="shared" ref="A27:A45" si="17">L27</f>
        <v>Neuro2 Lat</v>
      </c>
      <c r="B27" s="7">
        <f t="shared" ref="B27:B45" si="18">IF(M27="","",M27)</f>
        <v>25</v>
      </c>
      <c r="C27" s="7">
        <f t="shared" si="16"/>
        <v>65</v>
      </c>
      <c r="D27" s="7">
        <f t="shared" si="16"/>
        <v>39</v>
      </c>
      <c r="E27" s="8">
        <f t="shared" si="16"/>
        <v>58</v>
      </c>
      <c r="F27" s="8">
        <f t="shared" si="16"/>
        <v>15</v>
      </c>
      <c r="G27" s="8">
        <f t="shared" ref="G27:G45" si="19">IF(R27="","",R27/$P27)</f>
        <v>0.68965517241379315</v>
      </c>
      <c r="H27" s="8">
        <f t="shared" ref="H27:H45" si="20">IF(S27="","",S27/$P27)</f>
        <v>1.1896551724137931</v>
      </c>
      <c r="I27" s="8">
        <f t="shared" si="14"/>
        <v>1.3103448275862069</v>
      </c>
      <c r="J27" s="8">
        <f t="shared" si="15"/>
        <v>1.6896551724137931</v>
      </c>
      <c r="L27" s="5" t="s">
        <v>45</v>
      </c>
      <c r="M27">
        <v>25</v>
      </c>
      <c r="N27">
        <v>65</v>
      </c>
      <c r="O27">
        <v>39</v>
      </c>
      <c r="P27">
        <v>58</v>
      </c>
      <c r="Q27">
        <v>15</v>
      </c>
      <c r="R27">
        <v>40</v>
      </c>
      <c r="S27">
        <v>69</v>
      </c>
      <c r="T27">
        <v>76</v>
      </c>
      <c r="U27">
        <v>98</v>
      </c>
    </row>
    <row r="28" spans="1:21" x14ac:dyDescent="0.25">
      <c r="A28" t="str">
        <f t="shared" si="17"/>
        <v>ART Angio 2</v>
      </c>
      <c r="B28" s="7">
        <f t="shared" si="18"/>
        <v>48</v>
      </c>
      <c r="C28" s="7">
        <f t="shared" si="16"/>
        <v>66</v>
      </c>
      <c r="D28" s="7">
        <f t="shared" si="16"/>
        <v>62.5</v>
      </c>
      <c r="E28" s="8">
        <f t="shared" si="16"/>
        <v>39</v>
      </c>
      <c r="F28" s="8">
        <f t="shared" si="16"/>
        <v>7.5</v>
      </c>
      <c r="G28" s="8">
        <f t="shared" si="19"/>
        <v>0.71794871794871795</v>
      </c>
      <c r="H28" s="8">
        <f t="shared" si="20"/>
        <v>1</v>
      </c>
      <c r="I28" s="8">
        <f t="shared" si="14"/>
        <v>1.3333333333333333</v>
      </c>
      <c r="J28" s="8">
        <f t="shared" si="15"/>
        <v>1.8461538461538463</v>
      </c>
      <c r="L28" s="5" t="s">
        <v>46</v>
      </c>
      <c r="M28">
        <v>48</v>
      </c>
      <c r="N28">
        <v>66</v>
      </c>
      <c r="O28">
        <v>62.5</v>
      </c>
      <c r="P28">
        <v>39</v>
      </c>
      <c r="Q28">
        <v>7.5</v>
      </c>
      <c r="R28">
        <v>28</v>
      </c>
      <c r="S28">
        <v>39</v>
      </c>
      <c r="T28">
        <v>52</v>
      </c>
      <c r="U28">
        <v>72</v>
      </c>
    </row>
    <row r="29" spans="1:21" x14ac:dyDescent="0.25">
      <c r="A29" t="str">
        <f t="shared" si="17"/>
        <v>ART Angio 3</v>
      </c>
      <c r="B29" s="7">
        <f t="shared" si="18"/>
        <v>48</v>
      </c>
      <c r="C29" s="7">
        <f t="shared" si="16"/>
        <v>66</v>
      </c>
      <c r="D29" s="7">
        <f t="shared" si="16"/>
        <v>52.8</v>
      </c>
      <c r="E29" s="8">
        <f t="shared" si="16"/>
        <v>34</v>
      </c>
      <c r="F29" s="8">
        <f t="shared" si="16"/>
        <v>7.5</v>
      </c>
      <c r="G29" s="8">
        <f t="shared" si="19"/>
        <v>0.67647058823529416</v>
      </c>
      <c r="H29" s="8">
        <f t="shared" si="20"/>
        <v>1</v>
      </c>
      <c r="I29" s="8">
        <f t="shared" si="14"/>
        <v>1.3823529411764706</v>
      </c>
      <c r="J29" s="8">
        <f t="shared" si="15"/>
        <v>1.7352941176470589</v>
      </c>
      <c r="L29" s="5" t="s">
        <v>47</v>
      </c>
      <c r="M29">
        <v>48</v>
      </c>
      <c r="N29">
        <v>66</v>
      </c>
      <c r="O29">
        <v>52.8</v>
      </c>
      <c r="P29">
        <v>34</v>
      </c>
      <c r="Q29">
        <v>7.5</v>
      </c>
      <c r="R29">
        <v>23</v>
      </c>
      <c r="S29">
        <v>34</v>
      </c>
      <c r="T29">
        <v>47</v>
      </c>
      <c r="U29">
        <v>59</v>
      </c>
    </row>
    <row r="30" spans="1:21" x14ac:dyDescent="0.25">
      <c r="A30" t="str">
        <f t="shared" si="17"/>
        <v>ART OR 10</v>
      </c>
      <c r="B30" s="7">
        <f t="shared" si="18"/>
        <v>48</v>
      </c>
      <c r="C30" s="7">
        <f t="shared" si="16"/>
        <v>65</v>
      </c>
      <c r="D30" s="7">
        <f t="shared" si="16"/>
        <v>93</v>
      </c>
      <c r="E30" s="8">
        <f t="shared" si="16"/>
        <v>43.520914617256736</v>
      </c>
      <c r="F30" s="8">
        <f t="shared" si="16"/>
        <v>7.5</v>
      </c>
      <c r="G30" s="8">
        <f t="shared" si="19"/>
        <v>1.167617754292779</v>
      </c>
      <c r="H30" s="8">
        <f t="shared" si="20"/>
        <v>1.0941826109065453</v>
      </c>
      <c r="I30" s="8">
        <f t="shared" si="14"/>
        <v>1.3241478213917515</v>
      </c>
      <c r="J30" s="8">
        <f t="shared" si="15"/>
        <v>1.6769744512483473</v>
      </c>
      <c r="L30" s="5" t="s">
        <v>48</v>
      </c>
      <c r="M30">
        <v>48</v>
      </c>
      <c r="N30">
        <v>65</v>
      </c>
      <c r="O30">
        <v>93</v>
      </c>
      <c r="P30">
        <v>43.520914617256736</v>
      </c>
      <c r="Q30">
        <v>7.5</v>
      </c>
      <c r="R30">
        <v>50.815792590169089</v>
      </c>
      <c r="S30">
        <v>47.61982798495081</v>
      </c>
      <c r="T30">
        <v>57.628124275416937</v>
      </c>
      <c r="U30">
        <v>72.983461908100296</v>
      </c>
    </row>
    <row r="31" spans="1:21" x14ac:dyDescent="0.25">
      <c r="A31" t="str">
        <f t="shared" si="17"/>
        <v>ART EP 6</v>
      </c>
      <c r="B31" s="7">
        <f t="shared" si="18"/>
        <v>25</v>
      </c>
      <c r="C31" s="7">
        <f t="shared" si="16"/>
        <v>66</v>
      </c>
      <c r="D31" s="7">
        <f t="shared" si="16"/>
        <v>102.8</v>
      </c>
      <c r="E31" s="8">
        <f t="shared" si="16"/>
        <v>64.525280939819098</v>
      </c>
      <c r="F31" s="8">
        <f t="shared" si="16"/>
        <v>10</v>
      </c>
      <c r="G31" s="8">
        <f t="shared" si="19"/>
        <v>0.6573490831204386</v>
      </c>
      <c r="H31" s="8">
        <f t="shared" si="20"/>
        <v>1.23411637397314</v>
      </c>
      <c r="I31" s="8">
        <f t="shared" si="14"/>
        <v>1.3224532218619356</v>
      </c>
      <c r="J31" s="8">
        <f t="shared" si="15"/>
        <v>1.7659527268326138</v>
      </c>
      <c r="L31" s="5" t="s">
        <v>49</v>
      </c>
      <c r="M31">
        <v>25</v>
      </c>
      <c r="N31">
        <v>66</v>
      </c>
      <c r="O31">
        <v>102.8</v>
      </c>
      <c r="P31">
        <v>64.525280939819098</v>
      </c>
      <c r="Q31">
        <v>10</v>
      </c>
      <c r="R31">
        <v>42.415634263878793</v>
      </c>
      <c r="S31">
        <v>79.631705743047704</v>
      </c>
      <c r="T31">
        <v>85.331665670410302</v>
      </c>
      <c r="U31">
        <v>113.94859582531402</v>
      </c>
    </row>
    <row r="32" spans="1:21" x14ac:dyDescent="0.25">
      <c r="A32" t="str">
        <f t="shared" si="17"/>
        <v>ART EP 7 AP</v>
      </c>
      <c r="B32" s="7">
        <f t="shared" si="18"/>
        <v>48</v>
      </c>
      <c r="C32" s="7">
        <f t="shared" si="16"/>
        <v>66.400000000000006</v>
      </c>
      <c r="D32" s="7">
        <f t="shared" si="16"/>
        <v>62.1</v>
      </c>
      <c r="E32" s="8">
        <f t="shared" si="16"/>
        <v>48.633205548413734</v>
      </c>
      <c r="F32" s="8">
        <f t="shared" si="16"/>
        <v>7.5</v>
      </c>
      <c r="G32" s="8">
        <f t="shared" si="19"/>
        <v>0.73273543052133128</v>
      </c>
      <c r="H32" s="8">
        <f t="shared" si="20"/>
        <v>1.3203919407039038</v>
      </c>
      <c r="I32" s="8">
        <f t="shared" si="14"/>
        <v>1.0384650001565294</v>
      </c>
      <c r="J32" s="8">
        <f t="shared" si="15"/>
        <v>1.3469480793914166</v>
      </c>
      <c r="L32" s="5" t="s">
        <v>50</v>
      </c>
      <c r="M32">
        <v>48</v>
      </c>
      <c r="N32">
        <v>66.400000000000006</v>
      </c>
      <c r="O32">
        <v>62.1</v>
      </c>
      <c r="P32">
        <v>48.633205548413734</v>
      </c>
      <c r="Q32">
        <v>7.5</v>
      </c>
      <c r="R32">
        <v>35.635272805149334</v>
      </c>
      <c r="S32">
        <v>64.214892656721872</v>
      </c>
      <c r="T32">
        <v>50.503881807446</v>
      </c>
      <c r="U32">
        <v>65.506402808083863</v>
      </c>
    </row>
    <row r="33" spans="1:21" x14ac:dyDescent="0.25">
      <c r="A33" t="str">
        <f t="shared" si="17"/>
        <v>ART EP 7 Lat</v>
      </c>
      <c r="B33" s="7">
        <f t="shared" si="18"/>
        <v>25</v>
      </c>
      <c r="C33" s="7">
        <f t="shared" si="16"/>
        <v>66.400000000000006</v>
      </c>
      <c r="D33" s="7">
        <f t="shared" si="16"/>
        <v>58.1</v>
      </c>
      <c r="E33" s="8">
        <f t="shared" si="16"/>
        <v>46.493894199148528</v>
      </c>
      <c r="F33" s="8">
        <f t="shared" si="16"/>
        <v>7.5</v>
      </c>
      <c r="G33" s="8">
        <f t="shared" si="19"/>
        <v>0.79237303332591191</v>
      </c>
      <c r="H33" s="8">
        <f t="shared" si="20"/>
        <v>1.4328764714848554</v>
      </c>
      <c r="I33" s="8">
        <f t="shared" si="14"/>
        <v>1.3659956159039059</v>
      </c>
      <c r="J33" s="8">
        <f t="shared" si="15"/>
        <v>1.7235612223854737</v>
      </c>
      <c r="L33" s="5" t="s">
        <v>51</v>
      </c>
      <c r="M33">
        <v>25</v>
      </c>
      <c r="N33">
        <v>66.400000000000006</v>
      </c>
      <c r="O33">
        <v>58.1</v>
      </c>
      <c r="P33">
        <v>46.493894199148528</v>
      </c>
      <c r="Q33">
        <v>7.5</v>
      </c>
      <c r="R33">
        <v>36.840507977713337</v>
      </c>
      <c r="S33">
        <v>66.62000706566613</v>
      </c>
      <c r="T33">
        <v>63.510455642336936</v>
      </c>
      <c r="U33">
        <v>80.135073119345321</v>
      </c>
    </row>
    <row r="34" spans="1:21" x14ac:dyDescent="0.25">
      <c r="A34" t="str">
        <f t="shared" si="17"/>
        <v>ART EP 8</v>
      </c>
      <c r="B34" s="7">
        <f t="shared" si="18"/>
        <v>25</v>
      </c>
      <c r="C34" s="7">
        <f t="shared" si="16"/>
        <v>66</v>
      </c>
      <c r="D34" s="7">
        <f t="shared" si="16"/>
        <v>57.3</v>
      </c>
      <c r="E34" s="8">
        <f t="shared" si="16"/>
        <v>42.270240080859402</v>
      </c>
      <c r="F34" s="8">
        <f t="shared" si="16"/>
        <v>15</v>
      </c>
      <c r="G34" s="8" t="str">
        <f t="shared" si="19"/>
        <v/>
      </c>
      <c r="H34" s="8">
        <f t="shared" si="20"/>
        <v>1.2557700201112554</v>
      </c>
      <c r="I34" s="8">
        <f t="shared" si="14"/>
        <v>1.3083613662790168</v>
      </c>
      <c r="J34" s="8">
        <f t="shared" si="15"/>
        <v>1.6994152503155011</v>
      </c>
      <c r="L34" s="5" t="s">
        <v>52</v>
      </c>
      <c r="M34">
        <v>25</v>
      </c>
      <c r="N34">
        <v>66</v>
      </c>
      <c r="O34">
        <v>57.3</v>
      </c>
      <c r="P34">
        <v>42.270240080859402</v>
      </c>
      <c r="Q34">
        <v>15</v>
      </c>
      <c r="S34">
        <v>53.081700236448405</v>
      </c>
      <c r="T34">
        <v>55.304749065135262</v>
      </c>
      <c r="U34">
        <v>71.834690627910007</v>
      </c>
    </row>
    <row r="35" spans="1:21" x14ac:dyDescent="0.25">
      <c r="A35" t="str">
        <f t="shared" si="17"/>
        <v>ART Cath 10</v>
      </c>
      <c r="B35" s="7">
        <f t="shared" si="18"/>
        <v>25</v>
      </c>
      <c r="C35" s="7">
        <f t="shared" si="16"/>
        <v>66</v>
      </c>
      <c r="D35" s="7">
        <f t="shared" si="16"/>
        <v>88.3</v>
      </c>
      <c r="E35" s="8">
        <f t="shared" si="16"/>
        <v>65</v>
      </c>
      <c r="F35" s="8">
        <f t="shared" si="16"/>
        <v>7.5</v>
      </c>
      <c r="G35" s="8">
        <f t="shared" si="19"/>
        <v>1</v>
      </c>
      <c r="H35" s="8">
        <f t="shared" si="20"/>
        <v>1.2307692307692308</v>
      </c>
      <c r="I35" s="8">
        <f t="shared" si="14"/>
        <v>1.3076923076923077</v>
      </c>
      <c r="J35" s="8">
        <f t="shared" si="15"/>
        <v>1.7076923076923076</v>
      </c>
      <c r="L35" s="5" t="s">
        <v>53</v>
      </c>
      <c r="M35">
        <v>25</v>
      </c>
      <c r="N35">
        <v>66</v>
      </c>
      <c r="O35">
        <v>88.3</v>
      </c>
      <c r="P35">
        <v>65</v>
      </c>
      <c r="Q35">
        <v>7.5</v>
      </c>
      <c r="R35">
        <v>65</v>
      </c>
      <c r="S35">
        <v>80</v>
      </c>
      <c r="T35">
        <v>85</v>
      </c>
      <c r="U35">
        <v>111</v>
      </c>
    </row>
    <row r="36" spans="1:21" x14ac:dyDescent="0.25">
      <c r="A36" t="str">
        <f t="shared" si="17"/>
        <v>ART Cath 11 AP</v>
      </c>
      <c r="B36" s="7">
        <f t="shared" si="18"/>
        <v>48</v>
      </c>
      <c r="C36" s="7">
        <f t="shared" si="16"/>
        <v>66.400000000000006</v>
      </c>
      <c r="D36" s="7">
        <f t="shared" si="16"/>
        <v>42.5</v>
      </c>
      <c r="E36" s="8">
        <f t="shared" si="16"/>
        <v>37.418928694941734</v>
      </c>
      <c r="F36" s="8">
        <f>IF(Q38="","",Q38)</f>
        <v>7.5</v>
      </c>
      <c r="G36" s="8">
        <f t="shared" si="19"/>
        <v>0.78317577347224021</v>
      </c>
      <c r="H36" s="8">
        <f t="shared" si="20"/>
        <v>1.4251087661045139</v>
      </c>
      <c r="I36" s="8">
        <f t="shared" si="14"/>
        <v>1.2732144603290934</v>
      </c>
      <c r="J36" s="8">
        <f t="shared" si="15"/>
        <v>1.5778388702553832</v>
      </c>
      <c r="L36" s="5" t="s">
        <v>54</v>
      </c>
      <c r="M36">
        <v>48</v>
      </c>
      <c r="N36">
        <v>66.400000000000006</v>
      </c>
      <c r="O36">
        <v>42.5</v>
      </c>
      <c r="P36">
        <v>37.418928694941734</v>
      </c>
      <c r="Q36">
        <v>7.5</v>
      </c>
      <c r="R36">
        <v>29.305598423163598</v>
      </c>
      <c r="S36">
        <v>53.326043301401199</v>
      </c>
      <c r="T36">
        <v>47.642321104423068</v>
      </c>
      <c r="U36">
        <v>59.041040178193605</v>
      </c>
    </row>
    <row r="37" spans="1:21" x14ac:dyDescent="0.25">
      <c r="A37" t="str">
        <f t="shared" si="17"/>
        <v>ART Cath 11 Lat</v>
      </c>
      <c r="B37" s="7">
        <f t="shared" si="18"/>
        <v>25</v>
      </c>
      <c r="C37" s="7">
        <f t="shared" si="16"/>
        <v>66.400000000000006</v>
      </c>
      <c r="D37" s="7">
        <f t="shared" si="16"/>
        <v>62.3</v>
      </c>
      <c r="E37" s="8">
        <f t="shared" si="16"/>
        <v>52.02939924505089</v>
      </c>
      <c r="F37" s="8">
        <f t="shared" si="16"/>
        <v>7.5</v>
      </c>
      <c r="G37" s="8">
        <f t="shared" si="19"/>
        <v>0.73950696342465583</v>
      </c>
      <c r="H37" s="8">
        <f t="shared" si="20"/>
        <v>1.4119981331352542</v>
      </c>
      <c r="I37" s="8">
        <f t="shared" si="14"/>
        <v>1.2729588613065614</v>
      </c>
      <c r="J37" s="8">
        <f t="shared" si="15"/>
        <v>1.6835782700636335</v>
      </c>
      <c r="L37" s="5" t="s">
        <v>55</v>
      </c>
      <c r="M37">
        <v>25</v>
      </c>
      <c r="N37">
        <v>66.400000000000006</v>
      </c>
      <c r="O37">
        <v>62.3</v>
      </c>
      <c r="P37">
        <v>52.02939924505089</v>
      </c>
      <c r="Q37">
        <v>7.5</v>
      </c>
      <c r="R37">
        <v>38.476103044516663</v>
      </c>
      <c r="S37">
        <v>73.465414602160664</v>
      </c>
      <c r="T37">
        <v>66.231284817444447</v>
      </c>
      <c r="U37">
        <v>87.595565973432898</v>
      </c>
    </row>
    <row r="38" spans="1:21" x14ac:dyDescent="0.25">
      <c r="A38" t="str">
        <f t="shared" si="17"/>
        <v>ART Cath 12</v>
      </c>
      <c r="B38" s="7">
        <f t="shared" si="18"/>
        <v>25</v>
      </c>
      <c r="C38" s="7">
        <f t="shared" si="16"/>
        <v>66</v>
      </c>
      <c r="D38" s="7">
        <f t="shared" si="16"/>
        <v>90.4</v>
      </c>
      <c r="E38" s="8">
        <f t="shared" si="16"/>
        <v>57</v>
      </c>
      <c r="F38" s="8">
        <f t="shared" si="16"/>
        <v>7.5</v>
      </c>
      <c r="G38" s="8">
        <f t="shared" si="19"/>
        <v>1.2280701754385965</v>
      </c>
      <c r="H38" s="8">
        <f t="shared" si="20"/>
        <v>1.5263157894736843</v>
      </c>
      <c r="I38" s="8">
        <f t="shared" si="14"/>
        <v>1.3157894736842106</v>
      </c>
      <c r="J38" s="8">
        <f t="shared" si="15"/>
        <v>1.6842105263157894</v>
      </c>
      <c r="L38" s="5" t="s">
        <v>56</v>
      </c>
      <c r="M38">
        <v>25</v>
      </c>
      <c r="N38">
        <v>66</v>
      </c>
      <c r="O38">
        <v>90.4</v>
      </c>
      <c r="P38">
        <v>57</v>
      </c>
      <c r="Q38">
        <v>7.5</v>
      </c>
      <c r="R38">
        <v>70</v>
      </c>
      <c r="S38">
        <v>87</v>
      </c>
      <c r="T38">
        <v>75</v>
      </c>
      <c r="U38">
        <v>96</v>
      </c>
    </row>
    <row r="39" spans="1:21" x14ac:dyDescent="0.25">
      <c r="A39" t="str">
        <f t="shared" si="17"/>
        <v>ART Cath 13</v>
      </c>
      <c r="B39" s="7">
        <f t="shared" si="18"/>
        <v>25</v>
      </c>
      <c r="C39" s="7">
        <f t="shared" si="16"/>
        <v>66</v>
      </c>
      <c r="D39" s="7">
        <f t="shared" si="16"/>
        <v>85.9</v>
      </c>
      <c r="E39" s="8">
        <f t="shared" si="16"/>
        <v>55</v>
      </c>
      <c r="F39" s="8">
        <f t="shared" si="16"/>
        <v>7.5</v>
      </c>
      <c r="G39" s="8">
        <f t="shared" si="19"/>
        <v>1.1818181818181819</v>
      </c>
      <c r="H39" s="8">
        <f t="shared" si="20"/>
        <v>1.490909090909091</v>
      </c>
      <c r="I39" s="8">
        <f t="shared" si="14"/>
        <v>1.3272727272727274</v>
      </c>
      <c r="J39" s="8">
        <f t="shared" si="15"/>
        <v>1.7454545454545454</v>
      </c>
      <c r="L39" s="5" t="s">
        <v>57</v>
      </c>
      <c r="M39">
        <v>25</v>
      </c>
      <c r="N39">
        <v>66</v>
      </c>
      <c r="O39">
        <v>85.9</v>
      </c>
      <c r="P39">
        <v>55</v>
      </c>
      <c r="Q39">
        <v>7.5</v>
      </c>
      <c r="R39">
        <v>65</v>
      </c>
      <c r="S39">
        <v>82</v>
      </c>
      <c r="T39">
        <v>73</v>
      </c>
      <c r="U39">
        <v>96</v>
      </c>
    </row>
    <row r="40" spans="1:21" x14ac:dyDescent="0.25">
      <c r="A40" t="str">
        <f t="shared" si="17"/>
        <v>Ped Cath 1 AP</v>
      </c>
      <c r="B40" s="7">
        <f t="shared" si="18"/>
        <v>30.48</v>
      </c>
      <c r="C40" s="7">
        <f t="shared" si="16"/>
        <v>60</v>
      </c>
      <c r="D40" s="7">
        <f t="shared" si="16"/>
        <v>140</v>
      </c>
      <c r="E40" s="8">
        <f t="shared" si="16"/>
        <v>61</v>
      </c>
      <c r="F40" s="8">
        <f t="shared" si="16"/>
        <v>15</v>
      </c>
      <c r="G40" s="8">
        <f t="shared" si="19"/>
        <v>0.68852459016393441</v>
      </c>
      <c r="H40" s="8">
        <f t="shared" si="20"/>
        <v>1.3114754098360655</v>
      </c>
      <c r="I40" s="8">
        <f t="shared" si="14"/>
        <v>1</v>
      </c>
      <c r="J40" s="8">
        <f t="shared" si="15"/>
        <v>1.5901639344262295</v>
      </c>
      <c r="L40" s="5" t="s">
        <v>58</v>
      </c>
      <c r="M40">
        <v>30.48</v>
      </c>
      <c r="N40">
        <v>60</v>
      </c>
      <c r="O40">
        <v>140</v>
      </c>
      <c r="P40">
        <v>61</v>
      </c>
      <c r="Q40">
        <v>15</v>
      </c>
      <c r="R40">
        <v>42</v>
      </c>
      <c r="S40">
        <v>80</v>
      </c>
      <c r="T40">
        <v>61</v>
      </c>
      <c r="U40">
        <v>97</v>
      </c>
    </row>
    <row r="41" spans="1:21" x14ac:dyDescent="0.25">
      <c r="A41" t="str">
        <f t="shared" si="17"/>
        <v>Ped Cath 1 Lat</v>
      </c>
      <c r="B41" s="7">
        <f t="shared" si="18"/>
        <v>30.48</v>
      </c>
      <c r="C41" s="7">
        <f t="shared" si="16"/>
        <v>60</v>
      </c>
      <c r="D41" s="7">
        <f t="shared" si="16"/>
        <v>98</v>
      </c>
      <c r="E41" s="8">
        <f t="shared" si="16"/>
        <v>50</v>
      </c>
      <c r="F41" s="8">
        <f t="shared" si="16"/>
        <v>15</v>
      </c>
      <c r="G41" s="8">
        <f t="shared" si="19"/>
        <v>0.68</v>
      </c>
      <c r="H41" s="8">
        <f t="shared" si="20"/>
        <v>1.24</v>
      </c>
      <c r="I41" s="8">
        <f t="shared" si="14"/>
        <v>0.98</v>
      </c>
      <c r="J41" s="8">
        <f t="shared" si="15"/>
        <v>1.62</v>
      </c>
      <c r="L41" s="5" t="s">
        <v>77</v>
      </c>
      <c r="M41">
        <v>30.48</v>
      </c>
      <c r="N41">
        <v>60</v>
      </c>
      <c r="O41">
        <v>98</v>
      </c>
      <c r="P41">
        <v>50</v>
      </c>
      <c r="Q41">
        <v>15</v>
      </c>
      <c r="R41">
        <v>34</v>
      </c>
      <c r="S41">
        <v>62</v>
      </c>
      <c r="T41">
        <v>49</v>
      </c>
      <c r="U41">
        <v>81</v>
      </c>
    </row>
    <row r="42" spans="1:21" x14ac:dyDescent="0.25">
      <c r="A42" t="str">
        <f t="shared" si="17"/>
        <v>Ped Cath 2 AP</v>
      </c>
      <c r="B42" s="9">
        <f t="shared" ref="B42:B43" si="21">IF(M42="","",M42)</f>
        <v>20.32</v>
      </c>
      <c r="C42" s="9">
        <f t="shared" ref="C42:C43" si="22">IF(N42="","",N42)</f>
        <v>70</v>
      </c>
      <c r="D42" s="9">
        <f t="shared" ref="D42:D43" si="23">IF(O42="","",O42)</f>
        <v>61</v>
      </c>
      <c r="E42" s="8">
        <f t="shared" ref="E42:E43" si="24">IF(P42="","",P42)</f>
        <v>33.6</v>
      </c>
      <c r="F42" s="8">
        <f t="shared" si="16"/>
        <v>30</v>
      </c>
      <c r="G42" s="8">
        <f t="shared" ref="G42:G43" si="25">IF(R42="","",R42/$P42)</f>
        <v>0.6428571428571429</v>
      </c>
      <c r="H42" s="8">
        <f t="shared" ref="H42:H43" si="26">IF(S42="","",S42/$P42)</f>
        <v>0.89285714285714279</v>
      </c>
      <c r="I42" s="8">
        <f t="shared" ref="I42:I43" si="27">IF(T42="","",T42/$P42)</f>
        <v>1.3749999999999998</v>
      </c>
      <c r="J42" s="8">
        <f t="shared" ref="J42:J43" si="28">IF(U42="","",U42/$P42)</f>
        <v>1.625</v>
      </c>
      <c r="L42" s="5" t="s">
        <v>59</v>
      </c>
      <c r="M42">
        <v>20.32</v>
      </c>
      <c r="N42">
        <v>70</v>
      </c>
      <c r="O42">
        <v>61</v>
      </c>
      <c r="P42">
        <v>33.6</v>
      </c>
      <c r="Q42">
        <v>30</v>
      </c>
      <c r="R42">
        <v>21.6</v>
      </c>
      <c r="S42">
        <v>30</v>
      </c>
      <c r="T42">
        <v>46.199999999999996</v>
      </c>
      <c r="U42">
        <v>54.6</v>
      </c>
    </row>
    <row r="43" spans="1:21" x14ac:dyDescent="0.25">
      <c r="A43" t="str">
        <f t="shared" si="17"/>
        <v>Ped Cath 2 Lat</v>
      </c>
      <c r="B43" s="9">
        <f t="shared" si="21"/>
        <v>20.32</v>
      </c>
      <c r="C43" s="9">
        <f t="shared" si="22"/>
        <v>70</v>
      </c>
      <c r="D43" s="9">
        <f t="shared" si="23"/>
        <v>41</v>
      </c>
      <c r="E43" s="8">
        <f t="shared" si="24"/>
        <v>33</v>
      </c>
      <c r="F43" s="8">
        <f t="shared" si="16"/>
        <v>30</v>
      </c>
      <c r="G43" s="8">
        <f t="shared" si="25"/>
        <v>0.67272727272727273</v>
      </c>
      <c r="H43" s="8">
        <f t="shared" si="26"/>
        <v>1.5272727272727273</v>
      </c>
      <c r="I43" s="8">
        <f t="shared" si="27"/>
        <v>1.3818181818181818</v>
      </c>
      <c r="J43" s="8">
        <f t="shared" si="28"/>
        <v>1.6545454545454545</v>
      </c>
      <c r="L43" s="5" t="s">
        <v>78</v>
      </c>
      <c r="M43">
        <v>20.32</v>
      </c>
      <c r="N43">
        <v>70</v>
      </c>
      <c r="O43">
        <v>41</v>
      </c>
      <c r="P43">
        <v>33</v>
      </c>
      <c r="Q43">
        <v>30</v>
      </c>
      <c r="R43">
        <v>22.2</v>
      </c>
      <c r="S43">
        <v>50.4</v>
      </c>
      <c r="T43">
        <v>45.6</v>
      </c>
      <c r="U43">
        <v>54.6</v>
      </c>
    </row>
    <row r="44" spans="1:21" x14ac:dyDescent="0.25">
      <c r="A44" t="str">
        <f t="shared" si="17"/>
        <v>HVC 11 AP</v>
      </c>
      <c r="B44" s="7">
        <f t="shared" si="18"/>
        <v>23</v>
      </c>
      <c r="C44" s="7">
        <f t="shared" si="16"/>
        <v>59.7</v>
      </c>
      <c r="D44" s="7">
        <f t="shared" si="16"/>
        <v>169.8</v>
      </c>
      <c r="E44" s="8">
        <f t="shared" si="16"/>
        <v>45</v>
      </c>
      <c r="F44" s="8">
        <f t="shared" si="16"/>
        <v>15</v>
      </c>
      <c r="G44" s="8">
        <f t="shared" si="19"/>
        <v>0.97777777777777775</v>
      </c>
      <c r="H44" s="8">
        <f t="shared" si="20"/>
        <v>1.2444444444444445</v>
      </c>
      <c r="I44" s="8">
        <f>IF(T44="","",T44/$P44)</f>
        <v>1.6444444444444444</v>
      </c>
      <c r="J44" s="8">
        <f>IF(U44="","",U44/$P44)</f>
        <v>2.8666666666666667</v>
      </c>
      <c r="L44" s="5" t="s">
        <v>60</v>
      </c>
      <c r="M44">
        <v>23</v>
      </c>
      <c r="N44">
        <v>59.7</v>
      </c>
      <c r="O44">
        <v>169.8</v>
      </c>
      <c r="P44">
        <v>45</v>
      </c>
      <c r="Q44">
        <v>15</v>
      </c>
      <c r="R44">
        <v>44</v>
      </c>
      <c r="S44">
        <v>56</v>
      </c>
      <c r="T44">
        <v>74</v>
      </c>
      <c r="U44">
        <v>129</v>
      </c>
    </row>
    <row r="45" spans="1:21" x14ac:dyDescent="0.25">
      <c r="A45" t="str">
        <f t="shared" si="17"/>
        <v>HVC 11 Lat</v>
      </c>
      <c r="B45" s="7">
        <f t="shared" si="18"/>
        <v>23</v>
      </c>
      <c r="C45" s="7">
        <f t="shared" si="16"/>
        <v>66</v>
      </c>
      <c r="D45" s="7">
        <f t="shared" si="16"/>
        <v>56.2</v>
      </c>
      <c r="E45" s="8">
        <f t="shared" si="16"/>
        <v>38</v>
      </c>
      <c r="F45" s="8">
        <f t="shared" si="16"/>
        <v>15</v>
      </c>
      <c r="G45" s="8">
        <f t="shared" si="19"/>
        <v>0.89473684210526316</v>
      </c>
      <c r="H45" s="8">
        <f t="shared" si="20"/>
        <v>1.1842105263157894</v>
      </c>
      <c r="I45" s="8">
        <f>IF(T45="","",T45/$P45)</f>
        <v>1.6052631578947369</v>
      </c>
      <c r="J45" s="8">
        <f>IF(U45="","",U45/$P45)</f>
        <v>2.9736842105263159</v>
      </c>
      <c r="L45" s="5" t="s">
        <v>61</v>
      </c>
      <c r="M45">
        <v>23</v>
      </c>
      <c r="N45">
        <v>66</v>
      </c>
      <c r="O45">
        <v>56.2</v>
      </c>
      <c r="P45">
        <v>38</v>
      </c>
      <c r="Q45">
        <v>15</v>
      </c>
      <c r="R45">
        <v>34</v>
      </c>
      <c r="S45">
        <v>45</v>
      </c>
      <c r="T45">
        <v>61</v>
      </c>
      <c r="U45">
        <v>113</v>
      </c>
    </row>
    <row r="47" spans="1:21" x14ac:dyDescent="0.25">
      <c r="A47" s="5" t="s">
        <v>66</v>
      </c>
      <c r="B47" s="8">
        <f>AVERAGE(B3:B45)</f>
        <v>34.030697674418604</v>
      </c>
      <c r="C47" s="8">
        <f t="shared" ref="C47:J47" si="29">AVERAGE(C3:C45)</f>
        <v>65.130232558139539</v>
      </c>
      <c r="D47" s="8">
        <f t="shared" si="29"/>
        <v>46.326046511627908</v>
      </c>
      <c r="E47" s="8">
        <f t="shared" si="29"/>
        <v>34.184867154712542</v>
      </c>
      <c r="F47" s="8"/>
      <c r="G47" s="8">
        <f t="shared" si="29"/>
        <v>0.7695574765396197</v>
      </c>
      <c r="H47" s="8">
        <f t="shared" si="29"/>
        <v>2.0581542934112158</v>
      </c>
      <c r="I47" s="8">
        <f t="shared" si="29"/>
        <v>1.4713779249790335</v>
      </c>
      <c r="J47" s="8">
        <f t="shared" si="29"/>
        <v>2.3693116365255213</v>
      </c>
    </row>
    <row r="48" spans="1:21" x14ac:dyDescent="0.25">
      <c r="A48" s="5" t="s">
        <v>67</v>
      </c>
      <c r="B48" s="8">
        <f t="shared" ref="B48:J48" si="30">STDEV(B3:B45)</f>
        <v>9.68728508710279</v>
      </c>
      <c r="C48" s="8">
        <f t="shared" si="30"/>
        <v>5.9877070451813799</v>
      </c>
      <c r="D48" s="8">
        <f t="shared" si="30"/>
        <v>40.218807560851829</v>
      </c>
      <c r="E48" s="8">
        <f t="shared" si="30"/>
        <v>18.35288943920331</v>
      </c>
      <c r="F48" s="8"/>
      <c r="G48" s="8">
        <f t="shared" si="30"/>
        <v>0.24655281007126978</v>
      </c>
      <c r="H48" s="8">
        <f t="shared" si="30"/>
        <v>1.7172422959702582</v>
      </c>
      <c r="I48" s="8">
        <f t="shared" si="30"/>
        <v>0.40519951859014708</v>
      </c>
      <c r="J48" s="8">
        <f t="shared" si="30"/>
        <v>1.1266168728906842</v>
      </c>
    </row>
    <row r="49" spans="1:10" x14ac:dyDescent="0.25">
      <c r="A49" s="5" t="s">
        <v>68</v>
      </c>
      <c r="B49" s="8">
        <f t="shared" ref="B49:J49" si="31">MIN(B3:B45)</f>
        <v>20.32</v>
      </c>
      <c r="C49" s="8">
        <f t="shared" si="31"/>
        <v>43.3</v>
      </c>
      <c r="D49" s="8">
        <f t="shared" si="31"/>
        <v>0.8</v>
      </c>
      <c r="E49" s="8">
        <f t="shared" si="31"/>
        <v>5</v>
      </c>
      <c r="F49" s="8"/>
      <c r="G49" s="8">
        <f t="shared" si="31"/>
        <v>0.29687932941478984</v>
      </c>
      <c r="H49" s="8">
        <f t="shared" si="31"/>
        <v>0.67288135593220344</v>
      </c>
      <c r="I49" s="8">
        <f t="shared" si="31"/>
        <v>0.89552238805970152</v>
      </c>
      <c r="J49" s="8">
        <f t="shared" si="31"/>
        <v>1.3469480793914166</v>
      </c>
    </row>
    <row r="50" spans="1:10" x14ac:dyDescent="0.25">
      <c r="A50" s="5">
        <v>10</v>
      </c>
      <c r="B50" s="8">
        <f t="shared" ref="B50:E54" si="32">PERCENTILE(B$3:B$45,$A50/100)</f>
        <v>23.4</v>
      </c>
      <c r="C50" s="8">
        <f t="shared" si="32"/>
        <v>59</v>
      </c>
      <c r="D50" s="8">
        <f t="shared" si="32"/>
        <v>1.55</v>
      </c>
      <c r="E50" s="8">
        <f t="shared" si="32"/>
        <v>13.2</v>
      </c>
      <c r="F50" s="8"/>
      <c r="G50" s="8">
        <f t="shared" ref="G50:J54" si="33">PERCENTILE(G$3:G$45,$A50/100)</f>
        <v>0.5</v>
      </c>
      <c r="H50" s="8">
        <f t="shared" si="33"/>
        <v>0.99515510938947005</v>
      </c>
      <c r="I50" s="8">
        <f t="shared" si="33"/>
        <v>1.039678008696197</v>
      </c>
      <c r="J50" s="8">
        <f t="shared" si="33"/>
        <v>1.5961311475409836</v>
      </c>
    </row>
    <row r="51" spans="1:10" x14ac:dyDescent="0.25">
      <c r="A51" s="5">
        <v>25</v>
      </c>
      <c r="B51" s="8">
        <f t="shared" si="32"/>
        <v>25</v>
      </c>
      <c r="C51" s="8">
        <f t="shared" si="32"/>
        <v>60</v>
      </c>
      <c r="D51" s="8">
        <f t="shared" si="32"/>
        <v>13.25</v>
      </c>
      <c r="E51" s="8">
        <f t="shared" si="32"/>
        <v>18.388888888888886</v>
      </c>
      <c r="F51" s="8"/>
      <c r="G51" s="8">
        <f t="shared" si="33"/>
        <v>0.60973439211391023</v>
      </c>
      <c r="H51" s="8">
        <f t="shared" si="33"/>
        <v>1.2132034632034632</v>
      </c>
      <c r="I51" s="8">
        <f t="shared" si="33"/>
        <v>1.2720215993279795</v>
      </c>
      <c r="J51" s="8">
        <f t="shared" si="33"/>
        <v>1.6661382626776029</v>
      </c>
    </row>
    <row r="52" spans="1:10" x14ac:dyDescent="0.25">
      <c r="A52" s="5">
        <v>50</v>
      </c>
      <c r="B52" s="8">
        <f t="shared" si="32"/>
        <v>33</v>
      </c>
      <c r="C52" s="8">
        <f t="shared" si="32"/>
        <v>66</v>
      </c>
      <c r="D52" s="8">
        <f t="shared" si="32"/>
        <v>41</v>
      </c>
      <c r="E52" s="8">
        <f t="shared" si="32"/>
        <v>33.6</v>
      </c>
      <c r="F52" s="8"/>
      <c r="G52" s="8">
        <f t="shared" si="33"/>
        <v>0.68908988128886373</v>
      </c>
      <c r="H52" s="8">
        <f t="shared" si="33"/>
        <v>1.4328764714848554</v>
      </c>
      <c r="I52" s="8">
        <f t="shared" si="33"/>
        <v>1.3333333333333333</v>
      </c>
      <c r="J52" s="8">
        <f t="shared" si="33"/>
        <v>1.7659527268326138</v>
      </c>
    </row>
    <row r="53" spans="1:10" x14ac:dyDescent="0.25">
      <c r="A53" s="5">
        <v>75</v>
      </c>
      <c r="B53" s="8">
        <f t="shared" si="32"/>
        <v>40</v>
      </c>
      <c r="C53" s="8">
        <f t="shared" si="32"/>
        <v>69</v>
      </c>
      <c r="D53" s="8">
        <f t="shared" si="32"/>
        <v>68.75</v>
      </c>
      <c r="E53" s="8">
        <f t="shared" si="32"/>
        <v>45.746947099574264</v>
      </c>
      <c r="F53" s="8"/>
      <c r="G53" s="8">
        <f t="shared" si="33"/>
        <v>0.99444444444444446</v>
      </c>
      <c r="H53" s="8">
        <f t="shared" si="33"/>
        <v>1.9175058442726129</v>
      </c>
      <c r="I53" s="8">
        <f t="shared" si="33"/>
        <v>1.6248538011695906</v>
      </c>
      <c r="J53" s="8">
        <f t="shared" si="33"/>
        <v>2.861904761904762</v>
      </c>
    </row>
    <row r="54" spans="1:10" x14ac:dyDescent="0.25">
      <c r="A54" s="5">
        <v>90</v>
      </c>
      <c r="B54" s="8">
        <f t="shared" si="32"/>
        <v>48</v>
      </c>
      <c r="C54" s="8">
        <f t="shared" si="32"/>
        <v>71.320000000000007</v>
      </c>
      <c r="D54" s="8">
        <f t="shared" si="32"/>
        <v>92.480000000000018</v>
      </c>
      <c r="E54" s="8">
        <f t="shared" si="32"/>
        <v>57.800000000000004</v>
      </c>
      <c r="F54" s="8"/>
      <c r="G54" s="8">
        <f t="shared" si="33"/>
        <v>1.1647179480010239</v>
      </c>
      <c r="H54" s="8">
        <f t="shared" si="33"/>
        <v>4.7302325581395444</v>
      </c>
      <c r="I54" s="8">
        <f t="shared" si="33"/>
        <v>2.1800000000000006</v>
      </c>
      <c r="J54" s="8">
        <f t="shared" si="33"/>
        <v>4.1714285714285726</v>
      </c>
    </row>
    <row r="55" spans="1:10" x14ac:dyDescent="0.25">
      <c r="A55" s="5" t="s">
        <v>69</v>
      </c>
      <c r="B55" s="8">
        <f t="shared" ref="B55:J55" si="34">MAX(B3:B45)</f>
        <v>58</v>
      </c>
      <c r="C55" s="8">
        <f t="shared" si="34"/>
        <v>77.599999999999994</v>
      </c>
      <c r="D55" s="8">
        <f t="shared" si="34"/>
        <v>169.8</v>
      </c>
      <c r="E55" s="8">
        <f t="shared" si="34"/>
        <v>80</v>
      </c>
      <c r="F55" s="8"/>
      <c r="G55" s="8">
        <f t="shared" si="34"/>
        <v>1.2542372881355932</v>
      </c>
      <c r="H55" s="8">
        <f t="shared" si="34"/>
        <v>8.1428571428571423</v>
      </c>
      <c r="I55" s="8">
        <f t="shared" si="34"/>
        <v>2.6</v>
      </c>
      <c r="J55" s="8">
        <f t="shared" si="34"/>
        <v>5.8</v>
      </c>
    </row>
    <row r="56" spans="1:10" x14ac:dyDescent="0.25">
      <c r="A56" s="5" t="s">
        <v>71</v>
      </c>
      <c r="B56" s="11">
        <f>COUNT(B3:B45)</f>
        <v>43</v>
      </c>
    </row>
    <row r="58" spans="1:10" x14ac:dyDescent="0.25">
      <c r="A58" t="s">
        <v>72</v>
      </c>
      <c r="B58" s="5" t="s">
        <v>71</v>
      </c>
      <c r="C58" s="7">
        <f>COUNT(B3:B8)</f>
        <v>6</v>
      </c>
    </row>
    <row r="59" spans="1:10" x14ac:dyDescent="0.25">
      <c r="A59" s="5" t="s">
        <v>66</v>
      </c>
      <c r="B59" s="8">
        <f t="shared" ref="B59:J59" si="35">AVERAGE(B3:B8)</f>
        <v>40.546666666666674</v>
      </c>
      <c r="C59" s="8">
        <f t="shared" si="35"/>
        <v>63.216666666666669</v>
      </c>
      <c r="D59" s="8">
        <f t="shared" si="35"/>
        <v>3.0166666666666662</v>
      </c>
      <c r="E59" s="8">
        <f t="shared" si="35"/>
        <v>30.796296296296294</v>
      </c>
      <c r="F59" s="8"/>
      <c r="G59" s="8">
        <f t="shared" si="35"/>
        <v>0.92681953038591447</v>
      </c>
      <c r="H59" s="8">
        <f t="shared" si="35"/>
        <v>1.7630066810151555</v>
      </c>
      <c r="I59" s="8">
        <f t="shared" si="35"/>
        <v>1.6059312692434162</v>
      </c>
      <c r="J59" s="8">
        <f t="shared" si="35"/>
        <v>3.0927560682151078</v>
      </c>
    </row>
    <row r="60" spans="1:10" x14ac:dyDescent="0.25">
      <c r="A60" s="5" t="s">
        <v>67</v>
      </c>
      <c r="B60" s="8">
        <f t="shared" ref="B60:J60" si="36">STDEV(B3:B8)</f>
        <v>9.6444526369652621</v>
      </c>
      <c r="C60" s="8">
        <f t="shared" si="36"/>
        <v>10.722017844914554</v>
      </c>
      <c r="D60" s="8">
        <f t="shared" si="36"/>
        <v>4.1916186213283604</v>
      </c>
      <c r="E60" s="8">
        <f t="shared" si="36"/>
        <v>27.52421305917299</v>
      </c>
      <c r="F60" s="8"/>
      <c r="G60" s="8">
        <f t="shared" si="36"/>
        <v>0.28163214461476466</v>
      </c>
      <c r="H60" s="8">
        <f t="shared" si="36"/>
        <v>0.96991957944078333</v>
      </c>
      <c r="I60" s="8">
        <f t="shared" si="36"/>
        <v>0.64769762902170303</v>
      </c>
      <c r="J60" s="8">
        <f t="shared" si="36"/>
        <v>1.596374590784867</v>
      </c>
    </row>
    <row r="61" spans="1:10" x14ac:dyDescent="0.25">
      <c r="A61" s="5" t="s">
        <v>68</v>
      </c>
      <c r="B61" s="8">
        <f t="shared" ref="B61:J61" si="37">MIN(B3:B8)</f>
        <v>30.48</v>
      </c>
      <c r="C61" s="8">
        <f t="shared" si="37"/>
        <v>43.3</v>
      </c>
      <c r="D61" s="8">
        <f t="shared" si="37"/>
        <v>0.8</v>
      </c>
      <c r="E61" s="8">
        <f t="shared" si="37"/>
        <v>5</v>
      </c>
      <c r="F61" s="8"/>
      <c r="G61" s="8">
        <f t="shared" si="37"/>
        <v>0.6</v>
      </c>
      <c r="H61" s="8">
        <f t="shared" si="37"/>
        <v>0.67288135593220344</v>
      </c>
      <c r="I61" s="8">
        <f t="shared" si="37"/>
        <v>1.1481481481481481</v>
      </c>
      <c r="J61" s="8">
        <f t="shared" si="37"/>
        <v>1.6296296296296295</v>
      </c>
    </row>
    <row r="62" spans="1:10" x14ac:dyDescent="0.25">
      <c r="A62" s="5">
        <v>10</v>
      </c>
      <c r="B62" s="8">
        <f>PERCENTILE(B$3:B$8,$A62/100)</f>
        <v>31.740000000000002</v>
      </c>
      <c r="C62" s="8">
        <f t="shared" ref="C62:J62" si="38">PERCENTILE(C$3:C$8,$A62/100)</f>
        <v>52.65</v>
      </c>
      <c r="D62" s="8">
        <f t="shared" si="38"/>
        <v>0.85</v>
      </c>
      <c r="E62" s="8">
        <f t="shared" si="38"/>
        <v>5</v>
      </c>
      <c r="F62" s="8"/>
      <c r="G62" s="8">
        <f t="shared" si="38"/>
        <v>0.62857142857142856</v>
      </c>
      <c r="H62" s="8">
        <f t="shared" si="38"/>
        <v>0.72394067796610173</v>
      </c>
      <c r="I62" s="8">
        <f t="shared" si="38"/>
        <v>1.1553240740740742</v>
      </c>
      <c r="J62" s="8">
        <f t="shared" si="38"/>
        <v>1.6460648148148147</v>
      </c>
    </row>
    <row r="63" spans="1:10" x14ac:dyDescent="0.25">
      <c r="A63" s="5">
        <v>25</v>
      </c>
      <c r="B63" s="8">
        <f t="shared" ref="B63:J66" si="39">PERCENTILE(B$3:B$8,$A63/100)</f>
        <v>34.75</v>
      </c>
      <c r="C63" s="8">
        <f t="shared" si="39"/>
        <v>62</v>
      </c>
      <c r="D63" s="8">
        <f t="shared" si="39"/>
        <v>0.95</v>
      </c>
      <c r="E63" s="8">
        <f t="shared" si="39"/>
        <v>10.5</v>
      </c>
      <c r="F63" s="8"/>
      <c r="G63" s="8">
        <f t="shared" si="39"/>
        <v>0.69285714285714284</v>
      </c>
      <c r="H63" s="8">
        <f t="shared" si="39"/>
        <v>0.94236111111111109</v>
      </c>
      <c r="I63" s="8">
        <f t="shared" si="39"/>
        <v>1.171875</v>
      </c>
      <c r="J63" s="8">
        <f t="shared" si="39"/>
        <v>1.8629766949152542</v>
      </c>
    </row>
    <row r="64" spans="1:10" x14ac:dyDescent="0.25">
      <c r="A64" s="5">
        <v>50</v>
      </c>
      <c r="B64" s="8">
        <f t="shared" si="39"/>
        <v>40</v>
      </c>
      <c r="C64" s="8">
        <f t="shared" si="39"/>
        <v>65.5</v>
      </c>
      <c r="D64" s="8">
        <f t="shared" si="39"/>
        <v>1.3</v>
      </c>
      <c r="E64" s="8">
        <f t="shared" si="39"/>
        <v>29.888888888888889</v>
      </c>
      <c r="F64" s="8"/>
      <c r="G64" s="8">
        <f t="shared" si="39"/>
        <v>0.91851851851851851</v>
      </c>
      <c r="H64" s="8">
        <f t="shared" si="39"/>
        <v>1.7222222222222223</v>
      </c>
      <c r="I64" s="8">
        <f t="shared" si="39"/>
        <v>1.2338983050847459</v>
      </c>
      <c r="J64" s="8">
        <f t="shared" si="39"/>
        <v>2.7322033898305085</v>
      </c>
    </row>
    <row r="65" spans="1:10" x14ac:dyDescent="0.25">
      <c r="A65" s="5">
        <v>75</v>
      </c>
      <c r="B65" s="8">
        <f t="shared" si="39"/>
        <v>41.349999999999994</v>
      </c>
      <c r="C65" s="8">
        <f t="shared" si="39"/>
        <v>69.75</v>
      </c>
      <c r="D65" s="8">
        <f t="shared" si="39"/>
        <v>2.0999999999999996</v>
      </c>
      <c r="E65" s="8">
        <f t="shared" si="39"/>
        <v>34.444444444444443</v>
      </c>
      <c r="F65" s="8"/>
      <c r="G65" s="8">
        <f t="shared" si="39"/>
        <v>1.1686342592592591</v>
      </c>
      <c r="H65" s="8">
        <f t="shared" si="39"/>
        <v>2.5142857142857142</v>
      </c>
      <c r="I65" s="8">
        <f t="shared" si="39"/>
        <v>2.0098062953995157</v>
      </c>
      <c r="J65" s="8">
        <f t="shared" si="39"/>
        <v>3.75</v>
      </c>
    </row>
    <row r="66" spans="1:10" x14ac:dyDescent="0.25">
      <c r="A66" s="5">
        <v>90</v>
      </c>
      <c r="B66" s="8">
        <f t="shared" si="39"/>
        <v>49.9</v>
      </c>
      <c r="C66" s="8">
        <f t="shared" si="39"/>
        <v>71.5</v>
      </c>
      <c r="D66" s="8">
        <f t="shared" si="39"/>
        <v>6.8999999999999995</v>
      </c>
      <c r="E66" s="8">
        <f t="shared" si="39"/>
        <v>57.5</v>
      </c>
      <c r="F66" s="8"/>
      <c r="G66" s="8">
        <f t="shared" si="39"/>
        <v>1.2333686440677964</v>
      </c>
      <c r="H66" s="8">
        <f t="shared" si="39"/>
        <v>2.8428571428571425</v>
      </c>
      <c r="I66" s="8">
        <f t="shared" si="39"/>
        <v>2.4285714285714288</v>
      </c>
      <c r="J66" s="8">
        <f t="shared" si="39"/>
        <v>4.9000000000000004</v>
      </c>
    </row>
    <row r="67" spans="1:10" x14ac:dyDescent="0.25">
      <c r="A67" s="5" t="s">
        <v>69</v>
      </c>
      <c r="B67" s="8">
        <f t="shared" ref="B67:J67" si="40">MAX(B3:B8)</f>
        <v>58</v>
      </c>
      <c r="C67" s="8">
        <f t="shared" si="40"/>
        <v>73</v>
      </c>
      <c r="D67" s="8">
        <f t="shared" si="40"/>
        <v>11.5</v>
      </c>
      <c r="E67" s="8">
        <f t="shared" si="40"/>
        <v>80</v>
      </c>
      <c r="F67" s="8"/>
      <c r="G67" s="8">
        <f t="shared" si="40"/>
        <v>1.2542372881355932</v>
      </c>
      <c r="H67" s="8">
        <f t="shared" si="40"/>
        <v>3</v>
      </c>
      <c r="I67" s="8">
        <f t="shared" si="40"/>
        <v>2.6</v>
      </c>
      <c r="J67" s="8">
        <f t="shared" si="40"/>
        <v>5.8</v>
      </c>
    </row>
    <row r="69" spans="1:10" x14ac:dyDescent="0.25">
      <c r="A69" t="s">
        <v>73</v>
      </c>
      <c r="B69" s="5" t="s">
        <v>71</v>
      </c>
      <c r="C69" s="7">
        <f>COUNT(B9:B19)</f>
        <v>11</v>
      </c>
    </row>
    <row r="70" spans="1:10" x14ac:dyDescent="0.25">
      <c r="A70" s="5" t="s">
        <v>66</v>
      </c>
      <c r="B70" s="8">
        <f t="shared" ref="B70:J70" si="41">AVERAGE(B9:B19)</f>
        <v>31.221818181818183</v>
      </c>
      <c r="C70" s="8">
        <f t="shared" si="41"/>
        <v>65.818181818181813</v>
      </c>
      <c r="D70" s="8">
        <f t="shared" si="41"/>
        <v>14.574545454545456</v>
      </c>
      <c r="E70" s="8">
        <f t="shared" si="41"/>
        <v>20.05782103303903</v>
      </c>
      <c r="F70" s="8"/>
      <c r="G70" s="8">
        <f t="shared" si="41"/>
        <v>0.50751943116166442</v>
      </c>
      <c r="H70" s="8">
        <f t="shared" si="41"/>
        <v>3.9397588975085487</v>
      </c>
      <c r="I70" s="8">
        <f t="shared" si="41"/>
        <v>1.4981677677233014</v>
      </c>
      <c r="J70" s="8">
        <f t="shared" si="41"/>
        <v>2.4171555926150368</v>
      </c>
    </row>
    <row r="71" spans="1:10" x14ac:dyDescent="0.25">
      <c r="A71" s="5" t="s">
        <v>67</v>
      </c>
      <c r="B71" s="8">
        <f t="shared" ref="B71:J71" si="42">STDEV(B9:B19)</f>
        <v>2.9710261465756851</v>
      </c>
      <c r="C71" s="8">
        <f t="shared" si="42"/>
        <v>6.4314567839359968</v>
      </c>
      <c r="D71" s="8">
        <f t="shared" si="42"/>
        <v>11.418731421341304</v>
      </c>
      <c r="E71" s="8">
        <f t="shared" si="42"/>
        <v>8.5110265940614056</v>
      </c>
      <c r="F71" s="8"/>
      <c r="G71" s="8">
        <f t="shared" si="42"/>
        <v>0.10350639186128506</v>
      </c>
      <c r="H71" s="8">
        <f t="shared" si="42"/>
        <v>2.5008601855062378</v>
      </c>
      <c r="I71" s="8">
        <f t="shared" si="42"/>
        <v>0.43368655545385099</v>
      </c>
      <c r="J71" s="8">
        <f t="shared" si="42"/>
        <v>0.84212383074109765</v>
      </c>
    </row>
    <row r="72" spans="1:10" x14ac:dyDescent="0.25">
      <c r="A72" s="5" t="s">
        <v>68</v>
      </c>
      <c r="B72" s="8">
        <f t="shared" ref="B72:J72" si="43">MIN(B9:B19)</f>
        <v>23</v>
      </c>
      <c r="C72" s="8">
        <f t="shared" si="43"/>
        <v>59</v>
      </c>
      <c r="D72" s="8">
        <f t="shared" si="43"/>
        <v>1.5</v>
      </c>
      <c r="E72" s="8">
        <f t="shared" si="43"/>
        <v>14</v>
      </c>
      <c r="F72" s="8"/>
      <c r="G72" s="8">
        <f t="shared" si="43"/>
        <v>0.29687932941478984</v>
      </c>
      <c r="H72" s="8">
        <f t="shared" si="43"/>
        <v>1.6923076923076925</v>
      </c>
      <c r="I72" s="8">
        <f t="shared" si="43"/>
        <v>0.89552238805970152</v>
      </c>
      <c r="J72" s="8">
        <f t="shared" si="43"/>
        <v>1.4632480831084047</v>
      </c>
    </row>
    <row r="73" spans="1:10" x14ac:dyDescent="0.25">
      <c r="A73" s="5">
        <v>10</v>
      </c>
      <c r="B73" s="8">
        <f t="shared" ref="B73:J77" si="44">PERCENTILE(B$9:B$19,$A73/100)</f>
        <v>30.48</v>
      </c>
      <c r="C73" s="8">
        <f t="shared" si="44"/>
        <v>59</v>
      </c>
      <c r="D73" s="8">
        <f t="shared" si="44"/>
        <v>1.75</v>
      </c>
      <c r="E73" s="8">
        <f t="shared" si="44"/>
        <v>14</v>
      </c>
      <c r="F73" s="8"/>
      <c r="G73" s="8">
        <f t="shared" si="44"/>
        <v>0.40740740740740738</v>
      </c>
      <c r="H73" s="8">
        <f t="shared" si="44"/>
        <v>1.7954545454545454</v>
      </c>
      <c r="I73" s="8">
        <f t="shared" si="44"/>
        <v>0.9866970836342398</v>
      </c>
      <c r="J73" s="8">
        <f t="shared" si="44"/>
        <v>1.5298507462686568</v>
      </c>
    </row>
    <row r="74" spans="1:10" x14ac:dyDescent="0.25">
      <c r="A74" s="5">
        <v>25</v>
      </c>
      <c r="B74" s="8">
        <f t="shared" si="44"/>
        <v>30.48</v>
      </c>
      <c r="C74" s="8">
        <f t="shared" si="44"/>
        <v>60</v>
      </c>
      <c r="D74" s="8">
        <f t="shared" si="44"/>
        <v>2.1349999999999998</v>
      </c>
      <c r="E74" s="8">
        <f t="shared" si="44"/>
        <v>14.922048427139444</v>
      </c>
      <c r="F74" s="8"/>
      <c r="G74" s="8">
        <f t="shared" si="44"/>
        <v>0.44684385382059799</v>
      </c>
      <c r="H74" s="8">
        <f t="shared" si="44"/>
        <v>1.8842110241085903</v>
      </c>
      <c r="I74" s="8">
        <f t="shared" si="44"/>
        <v>1.1578071901021323</v>
      </c>
      <c r="J74" s="8">
        <f t="shared" si="44"/>
        <v>1.654165371111338</v>
      </c>
    </row>
    <row r="75" spans="1:10" x14ac:dyDescent="0.25">
      <c r="A75" s="5">
        <v>50</v>
      </c>
      <c r="B75" s="8">
        <f t="shared" si="44"/>
        <v>33</v>
      </c>
      <c r="C75" s="8">
        <f t="shared" si="44"/>
        <v>66</v>
      </c>
      <c r="D75" s="8">
        <f t="shared" si="44"/>
        <v>17</v>
      </c>
      <c r="E75" s="8">
        <f t="shared" si="44"/>
        <v>18.333333333333332</v>
      </c>
      <c r="F75" s="8"/>
      <c r="G75" s="8">
        <f t="shared" si="44"/>
        <v>0.5</v>
      </c>
      <c r="H75" s="8">
        <f t="shared" si="44"/>
        <v>1.9427352043472934</v>
      </c>
      <c r="I75" s="8">
        <f t="shared" si="44"/>
        <v>1.5348837209302326</v>
      </c>
      <c r="J75" s="8">
        <f t="shared" si="44"/>
        <v>2.3703703703703702</v>
      </c>
    </row>
    <row r="76" spans="1:10" x14ac:dyDescent="0.25">
      <c r="A76" s="5">
        <v>75</v>
      </c>
      <c r="B76" s="8">
        <f t="shared" si="44"/>
        <v>33</v>
      </c>
      <c r="C76" s="8">
        <f t="shared" si="44"/>
        <v>71</v>
      </c>
      <c r="D76" s="8">
        <f t="shared" si="44"/>
        <v>22.85</v>
      </c>
      <c r="E76" s="8">
        <f t="shared" si="44"/>
        <v>19.979166666666664</v>
      </c>
      <c r="F76" s="8"/>
      <c r="G76" s="8">
        <f t="shared" si="44"/>
        <v>0.59075074567288288</v>
      </c>
      <c r="H76" s="8">
        <f t="shared" si="44"/>
        <v>6.1203703703703702</v>
      </c>
      <c r="I76" s="8">
        <f t="shared" si="44"/>
        <v>1.7738095238095237</v>
      </c>
      <c r="J76" s="8">
        <f t="shared" si="44"/>
        <v>2.8660714285714288</v>
      </c>
    </row>
    <row r="77" spans="1:10" x14ac:dyDescent="0.25">
      <c r="A77" s="5">
        <v>90</v>
      </c>
      <c r="B77" s="8">
        <f t="shared" si="44"/>
        <v>33</v>
      </c>
      <c r="C77" s="8">
        <f t="shared" si="44"/>
        <v>73</v>
      </c>
      <c r="D77" s="8">
        <f t="shared" si="44"/>
        <v>27.8</v>
      </c>
      <c r="E77" s="8">
        <f t="shared" si="44"/>
        <v>27</v>
      </c>
      <c r="F77" s="8"/>
      <c r="G77" s="8">
        <f t="shared" si="44"/>
        <v>0.61363636363636365</v>
      </c>
      <c r="H77" s="8">
        <f t="shared" si="44"/>
        <v>6.666666666666667</v>
      </c>
      <c r="I77" s="8">
        <f t="shared" si="44"/>
        <v>1.9285714285714286</v>
      </c>
      <c r="J77" s="8">
        <f t="shared" si="44"/>
        <v>3.0714285714285716</v>
      </c>
    </row>
    <row r="78" spans="1:10" x14ac:dyDescent="0.25">
      <c r="A78" s="5" t="s">
        <v>69</v>
      </c>
      <c r="B78" s="8">
        <f t="shared" ref="B78:J78" si="45">MAX(B9:B19)</f>
        <v>33</v>
      </c>
      <c r="C78" s="8">
        <f t="shared" si="45"/>
        <v>76</v>
      </c>
      <c r="D78" s="8">
        <f t="shared" si="45"/>
        <v>30.3</v>
      </c>
      <c r="E78" s="8">
        <f t="shared" si="45"/>
        <v>43</v>
      </c>
      <c r="F78" s="8"/>
      <c r="G78" s="8">
        <f t="shared" si="45"/>
        <v>0.63736263736263743</v>
      </c>
      <c r="H78" s="8">
        <f t="shared" si="45"/>
        <v>8.1428571428571423</v>
      </c>
      <c r="I78" s="8">
        <f t="shared" si="45"/>
        <v>2.2747252747252751</v>
      </c>
      <c r="J78" s="8">
        <f t="shared" si="45"/>
        <v>4.2142857142857144</v>
      </c>
    </row>
    <row r="80" spans="1:10" x14ac:dyDescent="0.25">
      <c r="A80" t="s">
        <v>74</v>
      </c>
      <c r="B80" s="5" t="s">
        <v>71</v>
      </c>
      <c r="C80" s="7">
        <f>COUNT(B20:B30)</f>
        <v>11</v>
      </c>
    </row>
    <row r="81" spans="1:10" x14ac:dyDescent="0.25">
      <c r="A81" s="5" t="s">
        <v>66</v>
      </c>
      <c r="B81" s="8">
        <f t="shared" ref="B81:J81" si="46">AVERAGE(B20:B30)</f>
        <v>41.636363636363633</v>
      </c>
      <c r="C81" s="8">
        <f t="shared" si="46"/>
        <v>65.090909090909093</v>
      </c>
      <c r="D81" s="8">
        <f t="shared" si="46"/>
        <v>54.354545454545466</v>
      </c>
      <c r="E81" s="8">
        <f t="shared" si="46"/>
        <v>30.50586634574535</v>
      </c>
      <c r="F81" s="8"/>
      <c r="G81" s="8">
        <f t="shared" si="46"/>
        <v>0.86419371116522581</v>
      </c>
      <c r="H81" s="8">
        <f t="shared" si="46"/>
        <v>1.3506118718732933</v>
      </c>
      <c r="I81" s="8">
        <f t="shared" si="46"/>
        <v>1.6031898995489073</v>
      </c>
      <c r="J81" s="8">
        <f t="shared" si="46"/>
        <v>2.6791309434245503</v>
      </c>
    </row>
    <row r="82" spans="1:10" x14ac:dyDescent="0.25">
      <c r="A82" s="5" t="s">
        <v>67</v>
      </c>
      <c r="B82" s="8">
        <f t="shared" ref="B82:J82" si="47">STDEV(B20:B30)</f>
        <v>8.9696457819997324</v>
      </c>
      <c r="C82" s="8">
        <f t="shared" si="47"/>
        <v>5.9129441981900248</v>
      </c>
      <c r="D82" s="8">
        <f t="shared" si="47"/>
        <v>26.875801890785066</v>
      </c>
      <c r="E82" s="8">
        <f t="shared" si="47"/>
        <v>15.93909190570578</v>
      </c>
      <c r="F82" s="8"/>
      <c r="G82" s="8">
        <f t="shared" si="47"/>
        <v>0.20940378994583417</v>
      </c>
      <c r="H82" s="8">
        <f t="shared" si="47"/>
        <v>0.54548775063872146</v>
      </c>
      <c r="I82" s="8">
        <f t="shared" si="47"/>
        <v>0.41027832137360259</v>
      </c>
      <c r="J82" s="8">
        <f t="shared" si="47"/>
        <v>1.4744506957096633</v>
      </c>
    </row>
    <row r="83" spans="1:10" x14ac:dyDescent="0.25">
      <c r="A83" s="5" t="s">
        <v>68</v>
      </c>
      <c r="B83" s="8">
        <f t="shared" ref="B83:J83" si="48">MIN(B20:B30)</f>
        <v>25</v>
      </c>
      <c r="C83" s="8">
        <f t="shared" si="48"/>
        <v>58</v>
      </c>
      <c r="D83" s="8">
        <f t="shared" si="48"/>
        <v>15</v>
      </c>
      <c r="E83" s="8">
        <f t="shared" si="48"/>
        <v>5</v>
      </c>
      <c r="F83" s="8"/>
      <c r="G83" s="8">
        <f t="shared" si="48"/>
        <v>0.6</v>
      </c>
      <c r="H83" s="8">
        <f t="shared" si="48"/>
        <v>0.98331122491135303</v>
      </c>
      <c r="I83" s="8">
        <f t="shared" si="48"/>
        <v>1.3103448275862069</v>
      </c>
      <c r="J83" s="8">
        <f t="shared" si="48"/>
        <v>1.6769744512483473</v>
      </c>
    </row>
    <row r="84" spans="1:10" x14ac:dyDescent="0.25">
      <c r="A84" s="5">
        <v>10</v>
      </c>
      <c r="B84" s="8">
        <f>PERCENTILE(B$20:B$30,$A84/100)</f>
        <v>25</v>
      </c>
      <c r="C84" s="8">
        <f t="shared" ref="C84:J84" si="49">PERCENTILE(C$20:C$30,$A84/100)</f>
        <v>58</v>
      </c>
      <c r="D84" s="8">
        <f t="shared" si="49"/>
        <v>15</v>
      </c>
      <c r="E84" s="8">
        <f t="shared" si="49"/>
        <v>10</v>
      </c>
      <c r="F84" s="8"/>
      <c r="G84" s="8">
        <f t="shared" si="49"/>
        <v>0.66666666666666663</v>
      </c>
      <c r="H84" s="8">
        <f t="shared" si="49"/>
        <v>0.99394388673683753</v>
      </c>
      <c r="I84" s="8">
        <f t="shared" si="49"/>
        <v>1.3241478213917515</v>
      </c>
      <c r="J84" s="8">
        <f t="shared" si="49"/>
        <v>1.6896551724137931</v>
      </c>
    </row>
    <row r="85" spans="1:10" x14ac:dyDescent="0.25">
      <c r="A85" s="5">
        <v>25</v>
      </c>
      <c r="B85" s="8">
        <f t="shared" ref="B85:J88" si="50">PERCENTILE(B$20:B$30,$A85/100)</f>
        <v>40</v>
      </c>
      <c r="C85" s="8">
        <f t="shared" si="50"/>
        <v>61.5</v>
      </c>
      <c r="D85" s="8">
        <f t="shared" si="50"/>
        <v>39</v>
      </c>
      <c r="E85" s="8">
        <f t="shared" si="50"/>
        <v>20.5</v>
      </c>
      <c r="F85" s="8"/>
      <c r="G85" s="8">
        <f t="shared" si="50"/>
        <v>0.68306288032454365</v>
      </c>
      <c r="H85" s="8">
        <f t="shared" si="50"/>
        <v>1</v>
      </c>
      <c r="I85" s="8">
        <f t="shared" si="50"/>
        <v>1.3335785642681162</v>
      </c>
      <c r="J85" s="8">
        <f t="shared" si="50"/>
        <v>1.7710265964411345</v>
      </c>
    </row>
    <row r="86" spans="1:10" x14ac:dyDescent="0.25">
      <c r="A86" s="5">
        <v>50</v>
      </c>
      <c r="B86" s="8">
        <f t="shared" si="50"/>
        <v>48</v>
      </c>
      <c r="C86" s="8">
        <f t="shared" si="50"/>
        <v>65</v>
      </c>
      <c r="D86" s="8">
        <f t="shared" si="50"/>
        <v>52.8</v>
      </c>
      <c r="E86" s="8">
        <f t="shared" si="50"/>
        <v>33</v>
      </c>
      <c r="F86" s="8"/>
      <c r="G86" s="8">
        <f t="shared" si="50"/>
        <v>0.8</v>
      </c>
      <c r="H86" s="8">
        <f t="shared" si="50"/>
        <v>1.1896551724137931</v>
      </c>
      <c r="I86" s="8">
        <f t="shared" si="50"/>
        <v>1.3823529411764706</v>
      </c>
      <c r="J86" s="8">
        <f t="shared" si="50"/>
        <v>1.8571428571428572</v>
      </c>
    </row>
    <row r="87" spans="1:10" x14ac:dyDescent="0.25">
      <c r="A87" s="5">
        <v>75</v>
      </c>
      <c r="B87" s="8">
        <f t="shared" si="50"/>
        <v>48</v>
      </c>
      <c r="C87" s="8">
        <f t="shared" si="50"/>
        <v>66</v>
      </c>
      <c r="D87" s="8">
        <f t="shared" si="50"/>
        <v>76.2</v>
      </c>
      <c r="E87" s="8">
        <f t="shared" si="50"/>
        <v>40.673615265344495</v>
      </c>
      <c r="F87" s="8"/>
      <c r="G87" s="8">
        <f t="shared" si="50"/>
        <v>1.0245761159425015</v>
      </c>
      <c r="H87" s="8">
        <f t="shared" si="50"/>
        <v>1.407142857142857</v>
      </c>
      <c r="I87" s="8">
        <f t="shared" si="50"/>
        <v>1.8075757575757576</v>
      </c>
      <c r="J87" s="8">
        <f t="shared" si="50"/>
        <v>3.2606060606060607</v>
      </c>
    </row>
    <row r="88" spans="1:10" x14ac:dyDescent="0.25">
      <c r="A88" s="5">
        <v>90</v>
      </c>
      <c r="B88" s="8">
        <f t="shared" si="50"/>
        <v>48</v>
      </c>
      <c r="C88" s="8">
        <f t="shared" si="50"/>
        <v>71.400000000000006</v>
      </c>
      <c r="D88" s="8">
        <f t="shared" si="50"/>
        <v>86.1</v>
      </c>
      <c r="E88" s="8">
        <f t="shared" si="50"/>
        <v>43.520914617256736</v>
      </c>
      <c r="F88" s="8"/>
      <c r="G88" s="8">
        <f t="shared" si="50"/>
        <v>1.1386196913752287</v>
      </c>
      <c r="H88" s="8">
        <f t="shared" si="50"/>
        <v>1.7692307692307692</v>
      </c>
      <c r="I88" s="8">
        <f t="shared" si="50"/>
        <v>2.2000000000000002</v>
      </c>
      <c r="J88" s="8">
        <f t="shared" si="50"/>
        <v>5.2</v>
      </c>
    </row>
    <row r="89" spans="1:10" x14ac:dyDescent="0.25">
      <c r="A89" s="5" t="s">
        <v>69</v>
      </c>
      <c r="B89" s="8">
        <f t="shared" ref="B89:J89" si="51">MAX(B20:B30)</f>
        <v>48</v>
      </c>
      <c r="C89" s="8">
        <f t="shared" si="51"/>
        <v>77.599999999999994</v>
      </c>
      <c r="D89" s="8">
        <f t="shared" si="51"/>
        <v>93</v>
      </c>
      <c r="E89" s="8">
        <f t="shared" si="51"/>
        <v>58</v>
      </c>
      <c r="F89" s="8"/>
      <c r="G89" s="8">
        <f t="shared" si="51"/>
        <v>1.167617754292779</v>
      </c>
      <c r="H89" s="8">
        <f t="shared" si="51"/>
        <v>2.8</v>
      </c>
      <c r="I89" s="8">
        <f t="shared" si="51"/>
        <v>2.3846153846153846</v>
      </c>
      <c r="J89" s="8">
        <f t="shared" si="51"/>
        <v>5.2307692307692308</v>
      </c>
    </row>
    <row r="91" spans="1:10" x14ac:dyDescent="0.25">
      <c r="A91" t="s">
        <v>75</v>
      </c>
      <c r="B91" s="5" t="s">
        <v>71</v>
      </c>
      <c r="C91" s="7">
        <f>COUNT(B31:B45)</f>
        <v>15</v>
      </c>
    </row>
    <row r="92" spans="1:10" x14ac:dyDescent="0.25">
      <c r="A92" s="5" t="s">
        <v>66</v>
      </c>
      <c r="B92" s="8">
        <f t="shared" ref="B92:J92" si="52">AVERAGE(B31:B45)</f>
        <v>27.90666666666667</v>
      </c>
      <c r="C92" s="8">
        <f t="shared" si="52"/>
        <v>65.42</v>
      </c>
      <c r="D92" s="8">
        <f t="shared" si="52"/>
        <v>81.046666666666667</v>
      </c>
      <c r="E92" s="8">
        <f t="shared" si="52"/>
        <v>48.598063247215563</v>
      </c>
      <c r="F92" s="8"/>
      <c r="G92" s="8">
        <f t="shared" si="52"/>
        <v>0.83368944762519626</v>
      </c>
      <c r="H92" s="8">
        <f t="shared" si="52"/>
        <v>1.3152344044927398</v>
      </c>
      <c r="I92" s="8">
        <f t="shared" si="52"/>
        <v>1.3012485879095768</v>
      </c>
      <c r="J92" s="8">
        <f t="shared" si="52"/>
        <v>1.8176474709914223</v>
      </c>
    </row>
    <row r="93" spans="1:10" x14ac:dyDescent="0.25">
      <c r="A93" s="5" t="s">
        <v>67</v>
      </c>
      <c r="B93" s="8">
        <f t="shared" ref="B93:J93" si="53">STDEV(B31:B45)</f>
        <v>8.6318965526260829</v>
      </c>
      <c r="C93" s="8">
        <f t="shared" si="53"/>
        <v>3.1541808988796354</v>
      </c>
      <c r="D93" s="8">
        <f t="shared" si="53"/>
        <v>36.042234484929857</v>
      </c>
      <c r="E93" s="8">
        <f t="shared" si="53"/>
        <v>10.572113913311645</v>
      </c>
      <c r="F93" s="8"/>
      <c r="G93" s="8">
        <f t="shared" si="53"/>
        <v>0.1942070530676557</v>
      </c>
      <c r="H93" s="8">
        <f t="shared" si="53"/>
        <v>0.16457411114909437</v>
      </c>
      <c r="I93" s="8">
        <f t="shared" si="53"/>
        <v>0.18753178917238897</v>
      </c>
      <c r="J93" s="8">
        <f t="shared" si="53"/>
        <v>0.45896173575074189</v>
      </c>
    </row>
    <row r="94" spans="1:10" x14ac:dyDescent="0.25">
      <c r="A94" s="5" t="s">
        <v>68</v>
      </c>
      <c r="B94" s="8">
        <f t="shared" ref="B94:J94" si="54">MIN(B31:B45)</f>
        <v>20.32</v>
      </c>
      <c r="C94" s="8">
        <f t="shared" si="54"/>
        <v>59.7</v>
      </c>
      <c r="D94" s="8">
        <f t="shared" si="54"/>
        <v>41</v>
      </c>
      <c r="E94" s="8">
        <f t="shared" si="54"/>
        <v>33</v>
      </c>
      <c r="F94" s="8"/>
      <c r="G94" s="8">
        <f t="shared" si="54"/>
        <v>0.6428571428571429</v>
      </c>
      <c r="H94" s="8">
        <f t="shared" si="54"/>
        <v>0.89285714285714279</v>
      </c>
      <c r="I94" s="8">
        <f t="shared" si="54"/>
        <v>0.98</v>
      </c>
      <c r="J94" s="8">
        <f t="shared" si="54"/>
        <v>1.3469480793914166</v>
      </c>
    </row>
    <row r="95" spans="1:10" x14ac:dyDescent="0.25">
      <c r="A95" s="5">
        <v>10</v>
      </c>
      <c r="B95" s="8">
        <f t="shared" ref="B95:E99" si="55">PERCENTILE(B$31:B$45,$A95/100)</f>
        <v>21.391999999999999</v>
      </c>
      <c r="C95" s="8">
        <f t="shared" si="55"/>
        <v>60</v>
      </c>
      <c r="D95" s="8">
        <f t="shared" si="55"/>
        <v>47.980000000000004</v>
      </c>
      <c r="E95" s="8">
        <f t="shared" si="55"/>
        <v>35.127571477976694</v>
      </c>
      <c r="F95" s="8"/>
      <c r="G95" s="8">
        <f t="shared" ref="G95:J99" si="56">PERCENTILE(G$31:G$45,$A95/100)</f>
        <v>0.66196254000248889</v>
      </c>
      <c r="H95" s="8">
        <f t="shared" si="56"/>
        <v>1.202834008097166</v>
      </c>
      <c r="I95" s="8">
        <f t="shared" si="56"/>
        <v>1.0153860000626118</v>
      </c>
      <c r="J95" s="8">
        <f t="shared" si="56"/>
        <v>1.5827688959237216</v>
      </c>
    </row>
    <row r="96" spans="1:10" x14ac:dyDescent="0.25">
      <c r="A96" s="5">
        <v>25</v>
      </c>
      <c r="B96" s="8">
        <f t="shared" si="55"/>
        <v>24</v>
      </c>
      <c r="C96" s="8">
        <f t="shared" si="55"/>
        <v>66</v>
      </c>
      <c r="D96" s="8">
        <f t="shared" si="55"/>
        <v>57.7</v>
      </c>
      <c r="E96" s="8">
        <f t="shared" si="55"/>
        <v>40.135120040429697</v>
      </c>
      <c r="F96" s="8"/>
      <c r="G96" s="8">
        <f t="shared" si="56"/>
        <v>0.6821311475409837</v>
      </c>
      <c r="H96" s="8">
        <f t="shared" si="56"/>
        <v>1.23705818698657</v>
      </c>
      <c r="I96" s="8">
        <f t="shared" si="56"/>
        <v>1.2730866608178273</v>
      </c>
      <c r="J96" s="8">
        <f t="shared" si="56"/>
        <v>1.6225000000000001</v>
      </c>
    </row>
    <row r="97" spans="1:10" x14ac:dyDescent="0.25">
      <c r="A97" s="5">
        <v>50</v>
      </c>
      <c r="B97" s="8">
        <f t="shared" si="55"/>
        <v>25</v>
      </c>
      <c r="C97" s="8">
        <f t="shared" si="55"/>
        <v>66</v>
      </c>
      <c r="D97" s="8">
        <f t="shared" si="55"/>
        <v>62.3</v>
      </c>
      <c r="E97" s="8">
        <f t="shared" si="55"/>
        <v>48.633205548413734</v>
      </c>
      <c r="F97" s="8"/>
      <c r="G97" s="8">
        <f t="shared" si="56"/>
        <v>0.76134136844844802</v>
      </c>
      <c r="H97" s="8">
        <f t="shared" si="56"/>
        <v>1.3114754098360655</v>
      </c>
      <c r="I97" s="8">
        <f t="shared" si="56"/>
        <v>1.3157894736842106</v>
      </c>
      <c r="J97" s="8">
        <f t="shared" si="56"/>
        <v>1.6842105263157894</v>
      </c>
    </row>
    <row r="98" spans="1:10" x14ac:dyDescent="0.25">
      <c r="A98" s="5">
        <v>75</v>
      </c>
      <c r="B98" s="8">
        <f t="shared" si="55"/>
        <v>27.740000000000002</v>
      </c>
      <c r="C98" s="8">
        <f t="shared" si="55"/>
        <v>66.400000000000006</v>
      </c>
      <c r="D98" s="8">
        <f t="shared" si="55"/>
        <v>94.2</v>
      </c>
      <c r="E98" s="8">
        <f t="shared" si="55"/>
        <v>56</v>
      </c>
      <c r="F98" s="8"/>
      <c r="G98" s="8">
        <f t="shared" si="56"/>
        <v>0.9570175438596491</v>
      </c>
      <c r="H98" s="8">
        <f t="shared" si="56"/>
        <v>1.4289926187946846</v>
      </c>
      <c r="I98" s="8">
        <f t="shared" si="56"/>
        <v>1.3704978079519528</v>
      </c>
      <c r="J98" s="8">
        <f t="shared" si="56"/>
        <v>1.7345078839200094</v>
      </c>
    </row>
    <row r="99" spans="1:10" x14ac:dyDescent="0.25">
      <c r="A99" s="5">
        <v>90</v>
      </c>
      <c r="B99" s="8">
        <f t="shared" si="55"/>
        <v>40.99199999999999</v>
      </c>
      <c r="C99" s="8">
        <f t="shared" si="55"/>
        <v>68.56</v>
      </c>
      <c r="D99" s="8">
        <f t="shared" si="55"/>
        <v>125.11999999999999</v>
      </c>
      <c r="E99" s="8">
        <f t="shared" si="55"/>
        <v>63.115168563891459</v>
      </c>
      <c r="F99" s="8"/>
      <c r="G99" s="8">
        <f t="shared" si="56"/>
        <v>1.1272727272727274</v>
      </c>
      <c r="H99" s="8">
        <f t="shared" si="56"/>
        <v>1.5121531100478469</v>
      </c>
      <c r="I99" s="8">
        <f t="shared" si="56"/>
        <v>1.5158851674641149</v>
      </c>
      <c r="J99" s="8">
        <f t="shared" si="56"/>
        <v>2.4263810907330452</v>
      </c>
    </row>
    <row r="100" spans="1:10" x14ac:dyDescent="0.25">
      <c r="A100" s="5" t="s">
        <v>69</v>
      </c>
      <c r="B100" s="8">
        <f>MAX(B31:B45)</f>
        <v>48</v>
      </c>
      <c r="C100" s="8">
        <f t="shared" ref="C100:J100" si="57">MAX(C31:C45)</f>
        <v>70</v>
      </c>
      <c r="D100" s="8">
        <f t="shared" si="57"/>
        <v>169.8</v>
      </c>
      <c r="E100" s="8">
        <f t="shared" si="57"/>
        <v>65</v>
      </c>
      <c r="F100" s="8"/>
      <c r="G100" s="8">
        <f t="shared" si="57"/>
        <v>1.2280701754385965</v>
      </c>
      <c r="H100" s="8">
        <f t="shared" si="57"/>
        <v>1.5272727272727273</v>
      </c>
      <c r="I100" s="8">
        <f t="shared" si="57"/>
        <v>1.6444444444444444</v>
      </c>
      <c r="J100" s="8">
        <f t="shared" si="57"/>
        <v>2.9736842105263159</v>
      </c>
    </row>
  </sheetData>
  <mergeCells count="3">
    <mergeCell ref="N1:P1"/>
    <mergeCell ref="G1:H1"/>
    <mergeCell ref="I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42" workbookViewId="0">
      <selection activeCell="E58" sqref="E58"/>
    </sheetView>
  </sheetViews>
  <sheetFormatPr defaultRowHeight="15" x14ac:dyDescent="0.25"/>
  <cols>
    <col min="1" max="1" width="14.42578125" bestFit="1" customWidth="1"/>
  </cols>
  <sheetData>
    <row r="1" spans="1:21" x14ac:dyDescent="0.25">
      <c r="B1" s="7"/>
      <c r="C1" s="7"/>
      <c r="D1" s="7"/>
      <c r="E1" s="7" t="s">
        <v>33</v>
      </c>
      <c r="F1" s="9"/>
      <c r="G1" s="13" t="s">
        <v>64</v>
      </c>
      <c r="H1" s="13"/>
      <c r="I1" s="13" t="s">
        <v>65</v>
      </c>
      <c r="J1" s="13"/>
      <c r="N1" s="13" t="s">
        <v>13</v>
      </c>
      <c r="O1" s="13"/>
      <c r="P1" s="13"/>
      <c r="Q1" s="9"/>
      <c r="R1" s="4" t="s">
        <v>35</v>
      </c>
      <c r="S1" s="4" t="s">
        <v>36</v>
      </c>
      <c r="T1" s="4" t="s">
        <v>34</v>
      </c>
      <c r="U1" s="4" t="s">
        <v>37</v>
      </c>
    </row>
    <row r="2" spans="1:21" x14ac:dyDescent="0.25">
      <c r="A2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9" t="s">
        <v>76</v>
      </c>
      <c r="G2" s="7" t="s">
        <v>62</v>
      </c>
      <c r="H2" s="7" t="s">
        <v>63</v>
      </c>
      <c r="I2" s="7" t="s">
        <v>34</v>
      </c>
      <c r="J2" s="7" t="s">
        <v>37</v>
      </c>
      <c r="L2" t="s">
        <v>0</v>
      </c>
      <c r="M2" s="3" t="s">
        <v>1</v>
      </c>
      <c r="N2" s="1" t="s">
        <v>2</v>
      </c>
      <c r="O2" s="1" t="s">
        <v>3</v>
      </c>
      <c r="P2" s="1" t="s">
        <v>4</v>
      </c>
      <c r="Q2" s="9" t="s">
        <v>76</v>
      </c>
      <c r="R2" s="3" t="s">
        <v>4</v>
      </c>
      <c r="S2" s="3" t="s">
        <v>4</v>
      </c>
      <c r="T2" s="3" t="s">
        <v>4</v>
      </c>
      <c r="U2" s="3" t="s">
        <v>4</v>
      </c>
    </row>
    <row r="3" spans="1:21" x14ac:dyDescent="0.25">
      <c r="A3" t="str">
        <f>L3</f>
        <v>NT04</v>
      </c>
      <c r="B3" s="7">
        <f>IF(M3="","",M3)</f>
        <v>40</v>
      </c>
      <c r="C3" s="7">
        <f t="shared" ref="C3:F21" si="0">IF(N3="","",N3)</f>
        <v>109</v>
      </c>
      <c r="D3" s="7">
        <f t="shared" si="0"/>
        <v>0.15</v>
      </c>
      <c r="E3" s="8">
        <f t="shared" si="0"/>
        <v>930</v>
      </c>
      <c r="F3" s="8">
        <f t="shared" si="0"/>
        <v>1</v>
      </c>
      <c r="G3" s="8" t="str">
        <f>IF(R3="","",R3/$P3)</f>
        <v/>
      </c>
      <c r="H3" s="8" t="str">
        <f>IF(S3="","",S3/$P3)</f>
        <v/>
      </c>
      <c r="I3" s="8">
        <f>IF(T3="","",T3/$P3)</f>
        <v>1.1720430107526882</v>
      </c>
      <c r="J3" s="8">
        <f>IF(U3="","",U3/$P3)</f>
        <v>2.2580645161290325</v>
      </c>
      <c r="L3" s="5" t="s">
        <v>5</v>
      </c>
      <c r="M3">
        <v>40</v>
      </c>
      <c r="N3">
        <v>109</v>
      </c>
      <c r="O3">
        <v>0.15</v>
      </c>
      <c r="P3">
        <f>1000*0.93</f>
        <v>930</v>
      </c>
      <c r="Q3" s="8">
        <v>1</v>
      </c>
      <c r="T3">
        <f>1000*1.09</f>
        <v>1090</v>
      </c>
      <c r="U3">
        <f>1000*2.1</f>
        <v>2100</v>
      </c>
    </row>
    <row r="4" spans="1:21" x14ac:dyDescent="0.25">
      <c r="A4" t="str">
        <f t="shared" ref="A4:A32" si="1">L4</f>
        <v>Ped02</v>
      </c>
      <c r="B4" s="7">
        <f t="shared" ref="B4:B32" si="2">IF(M4="","",M4)</f>
        <v>30.48</v>
      </c>
      <c r="C4" s="7">
        <f t="shared" ref="C4:C32" si="3">IF(N4="","",N4)</f>
        <v>73</v>
      </c>
      <c r="D4" s="7">
        <f t="shared" ref="D4:D32" si="4">IF(O4="","",O4)</f>
        <v>71.099999999999994</v>
      </c>
      <c r="E4" s="8">
        <f t="shared" ref="E4:F32" si="5">IF(P4="","",P4)</f>
        <v>770</v>
      </c>
      <c r="F4" s="8">
        <f t="shared" si="0"/>
        <v>4</v>
      </c>
      <c r="G4" s="8">
        <f t="shared" ref="G4:G32" si="6">IF(R4="","",R4/$P4)</f>
        <v>1.4610389610389611</v>
      </c>
      <c r="H4" s="8" t="str">
        <f t="shared" ref="H4:H32" si="7">IF(S4="","",S4/$P4)</f>
        <v/>
      </c>
      <c r="I4" s="8">
        <f t="shared" ref="I4:I32" si="8">IF(T4="","",T4/$P4)</f>
        <v>1.7272727272727273</v>
      </c>
      <c r="J4" s="8">
        <f t="shared" ref="J4:J32" si="9">IF(U4="","",U4/$P4)</f>
        <v>3.5974025974025974</v>
      </c>
      <c r="L4" s="5" t="s">
        <v>7</v>
      </c>
      <c r="M4">
        <v>30.48</v>
      </c>
      <c r="N4">
        <v>73</v>
      </c>
      <c r="O4">
        <v>71.099999999999994</v>
      </c>
      <c r="P4">
        <f>1000*0.77</f>
        <v>770</v>
      </c>
      <c r="Q4" s="8">
        <v>4</v>
      </c>
      <c r="R4">
        <f>1000*1.125</f>
        <v>1125</v>
      </c>
      <c r="T4">
        <f>1000*1.33</f>
        <v>1330</v>
      </c>
      <c r="U4">
        <f>1000*2.77</f>
        <v>2770</v>
      </c>
    </row>
    <row r="5" spans="1:21" x14ac:dyDescent="0.25">
      <c r="A5" t="str">
        <f t="shared" si="1"/>
        <v>Ped03</v>
      </c>
      <c r="B5" s="7">
        <f t="shared" si="2"/>
        <v>33</v>
      </c>
      <c r="C5" s="7">
        <f t="shared" si="3"/>
        <v>81</v>
      </c>
      <c r="D5" s="7">
        <f t="shared" si="4"/>
        <v>1.95</v>
      </c>
      <c r="E5" s="8">
        <f t="shared" si="5"/>
        <v>2130</v>
      </c>
      <c r="F5" s="8">
        <f t="shared" si="0"/>
        <v>1</v>
      </c>
      <c r="G5" s="8" t="str">
        <f t="shared" si="6"/>
        <v/>
      </c>
      <c r="H5" s="8">
        <f t="shared" si="7"/>
        <v>1.051643192488263</v>
      </c>
      <c r="I5" s="8">
        <f t="shared" si="8"/>
        <v>2.1220657276995305</v>
      </c>
      <c r="J5" s="8">
        <f t="shared" si="9"/>
        <v>4.112676056338028</v>
      </c>
      <c r="L5" s="5" t="s">
        <v>8</v>
      </c>
      <c r="M5">
        <v>33</v>
      </c>
      <c r="N5">
        <v>81</v>
      </c>
      <c r="O5">
        <v>1.95</v>
      </c>
      <c r="P5">
        <f>1000*2.13</f>
        <v>2130</v>
      </c>
      <c r="Q5" s="8">
        <v>1</v>
      </c>
      <c r="S5">
        <f>1000*2.24</f>
        <v>2240</v>
      </c>
      <c r="T5">
        <f>1000*4.52</f>
        <v>4520</v>
      </c>
      <c r="U5">
        <f>1000*8.76</f>
        <v>8760</v>
      </c>
    </row>
    <row r="6" spans="1:21" x14ac:dyDescent="0.25">
      <c r="A6" t="str">
        <f t="shared" si="1"/>
        <v>ART2205</v>
      </c>
      <c r="B6" s="7">
        <f t="shared" si="2"/>
        <v>40</v>
      </c>
      <c r="C6" s="7">
        <f t="shared" si="3"/>
        <v>79</v>
      </c>
      <c r="D6" s="7">
        <f t="shared" si="4"/>
        <v>0.98</v>
      </c>
      <c r="E6" s="8">
        <f t="shared" si="5"/>
        <v>1230</v>
      </c>
      <c r="F6" s="8">
        <f t="shared" si="0"/>
        <v>1</v>
      </c>
      <c r="G6" s="8" t="str">
        <f t="shared" si="6"/>
        <v/>
      </c>
      <c r="H6" s="8" t="str">
        <f t="shared" si="7"/>
        <v/>
      </c>
      <c r="I6" s="8">
        <f t="shared" si="8"/>
        <v>1.3008130081300813</v>
      </c>
      <c r="J6" s="8">
        <f t="shared" si="9"/>
        <v>2.6991869918699187</v>
      </c>
      <c r="L6" s="5" t="s">
        <v>10</v>
      </c>
      <c r="M6">
        <v>40</v>
      </c>
      <c r="N6">
        <v>79</v>
      </c>
      <c r="O6">
        <v>0.98</v>
      </c>
      <c r="P6">
        <f>1000*1.23</f>
        <v>1230</v>
      </c>
      <c r="Q6" s="8">
        <v>1</v>
      </c>
      <c r="T6">
        <f>1000*1.6</f>
        <v>1600</v>
      </c>
      <c r="U6">
        <f>1000*3.32</f>
        <v>3320</v>
      </c>
    </row>
    <row r="7" spans="1:21" x14ac:dyDescent="0.25">
      <c r="A7" t="str">
        <f t="shared" si="1"/>
        <v>ART2208</v>
      </c>
      <c r="B7" s="7">
        <f t="shared" si="2"/>
        <v>40</v>
      </c>
      <c r="C7" s="7">
        <f t="shared" si="3"/>
        <v>83</v>
      </c>
      <c r="D7" s="7">
        <f t="shared" si="4"/>
        <v>0.68</v>
      </c>
      <c r="E7" s="8">
        <f t="shared" si="5"/>
        <v>1240</v>
      </c>
      <c r="F7" s="8">
        <f t="shared" si="0"/>
        <v>1</v>
      </c>
      <c r="G7" s="8" t="str">
        <f t="shared" si="6"/>
        <v/>
      </c>
      <c r="H7" s="8" t="str">
        <f t="shared" si="7"/>
        <v/>
      </c>
      <c r="I7" s="8">
        <f t="shared" si="8"/>
        <v>1.346774193548387</v>
      </c>
      <c r="J7" s="8">
        <f t="shared" si="9"/>
        <v>2.6451612903225805</v>
      </c>
      <c r="L7" s="5" t="s">
        <v>11</v>
      </c>
      <c r="M7">
        <v>40</v>
      </c>
      <c r="N7">
        <v>83</v>
      </c>
      <c r="O7">
        <v>0.68</v>
      </c>
      <c r="P7">
        <f>1000*1.24</f>
        <v>1240</v>
      </c>
      <c r="Q7" s="8">
        <v>1</v>
      </c>
      <c r="T7">
        <f>1000*1.67</f>
        <v>1670</v>
      </c>
      <c r="U7">
        <f>1000*3.28</f>
        <v>3280</v>
      </c>
    </row>
    <row r="8" spans="1:21" x14ac:dyDescent="0.25">
      <c r="A8" t="str">
        <f t="shared" ref="A8" si="10">L8</f>
        <v>Peds Proc 7</v>
      </c>
      <c r="B8" s="7">
        <f t="shared" ref="B8" si="11">IF(M8="","",M8)</f>
        <v>40</v>
      </c>
      <c r="C8" s="7">
        <f t="shared" ref="C8" si="12">IF(N8="","",N8)</f>
        <v>64</v>
      </c>
      <c r="D8" s="7">
        <f t="shared" ref="D8" si="13">IF(O8="","",O8)</f>
        <v>109.9</v>
      </c>
      <c r="E8" s="8">
        <f t="shared" ref="E8" si="14">IF(P8="","",P8)</f>
        <v>496</v>
      </c>
      <c r="F8" s="8">
        <f t="shared" si="0"/>
        <v>2</v>
      </c>
      <c r="G8" s="8" t="str">
        <f t="shared" ref="G8" si="15">IF(R8="","",R8/$P8)</f>
        <v/>
      </c>
      <c r="H8" s="8" t="str">
        <f t="shared" ref="H8" si="16">IF(S8="","",S8/$P8)</f>
        <v/>
      </c>
      <c r="I8" s="8">
        <f t="shared" ref="I8" si="17">IF(T8="","",T8/$P8)</f>
        <v>2.006048387096774</v>
      </c>
      <c r="J8" s="8">
        <f t="shared" ref="J8" si="18">IF(U8="","",U8/$P8)</f>
        <v>3.8225806451612905</v>
      </c>
      <c r="L8" s="5" t="s">
        <v>70</v>
      </c>
      <c r="M8">
        <v>40</v>
      </c>
      <c r="N8">
        <v>64</v>
      </c>
      <c r="O8">
        <v>109.9</v>
      </c>
      <c r="P8">
        <v>496</v>
      </c>
      <c r="Q8" s="8">
        <v>2</v>
      </c>
      <c r="T8">
        <v>995</v>
      </c>
      <c r="U8">
        <v>1896</v>
      </c>
    </row>
    <row r="9" spans="1:21" x14ac:dyDescent="0.25">
      <c r="A9" t="str">
        <f t="shared" ref="A9" si="19">L9</f>
        <v>C-arm 9</v>
      </c>
      <c r="B9" s="12">
        <f t="shared" ref="B9" si="20">IF(M9="","",M9)</f>
        <v>23</v>
      </c>
      <c r="C9" s="12">
        <f t="shared" ref="C9" si="21">IF(N9="","",N9)</f>
        <v>68</v>
      </c>
      <c r="D9" s="12">
        <f t="shared" ref="D9" si="22">IF(O9="","",O9)</f>
        <v>18.34</v>
      </c>
      <c r="E9" s="8">
        <f t="shared" ref="E9" si="23">IF(P9="","",P9)</f>
        <v>910</v>
      </c>
      <c r="F9" s="8">
        <f t="shared" ref="F9" si="24">IF(Q9="","",Q9)</f>
        <v>1</v>
      </c>
      <c r="G9" s="8" t="str">
        <f t="shared" ref="G9" si="25">IF(R9="","",R9/$P9)</f>
        <v/>
      </c>
      <c r="H9" s="8" t="str">
        <f t="shared" ref="H9" si="26">IF(S9="","",S9/$P9)</f>
        <v/>
      </c>
      <c r="I9" s="8">
        <f t="shared" ref="I9" si="27">IF(T9="","",T9/$P9)</f>
        <v>2.2637362637362637</v>
      </c>
      <c r="J9" s="8">
        <f t="shared" ref="J9" si="28">IF(U9="","",U9/$P9)</f>
        <v>3.2197802197802199</v>
      </c>
      <c r="L9" s="5" t="s">
        <v>16</v>
      </c>
      <c r="M9">
        <v>23</v>
      </c>
      <c r="N9">
        <v>68</v>
      </c>
      <c r="O9">
        <v>18.34</v>
      </c>
      <c r="P9">
        <f>1000*0.91</f>
        <v>910</v>
      </c>
      <c r="Q9" s="8">
        <v>1</v>
      </c>
      <c r="T9">
        <f>1000*2.06</f>
        <v>2060</v>
      </c>
      <c r="U9">
        <f>1000*2.93</f>
        <v>2930</v>
      </c>
    </row>
    <row r="10" spans="1:21" x14ac:dyDescent="0.25">
      <c r="A10" t="str">
        <f t="shared" ref="A10" si="29">L10</f>
        <v>C-arm 18</v>
      </c>
      <c r="B10" s="12">
        <f t="shared" ref="B10" si="30">IF(M10="","",M10)</f>
        <v>30.48</v>
      </c>
      <c r="C10" s="12">
        <f t="shared" ref="C10" si="31">IF(N10="","",N10)</f>
        <v>70</v>
      </c>
      <c r="D10" s="12">
        <f t="shared" ref="D10" si="32">IF(O10="","",O10)</f>
        <v>13.94</v>
      </c>
      <c r="E10" s="8">
        <f t="shared" ref="E10" si="33">IF(P10="","",P10)</f>
        <v>640</v>
      </c>
      <c r="F10" s="8">
        <f t="shared" si="0"/>
        <v>1</v>
      </c>
      <c r="G10" s="8" t="str">
        <f t="shared" ref="G10" si="34">IF(R10="","",R10/$P10)</f>
        <v/>
      </c>
      <c r="H10" s="8" t="str">
        <f t="shared" ref="H10" si="35">IF(S10="","",S10/$P10)</f>
        <v/>
      </c>
      <c r="I10" s="8">
        <f t="shared" ref="I10" si="36">IF(T10="","",T10/$P10)</f>
        <v>2.375</v>
      </c>
      <c r="J10" s="8">
        <f t="shared" ref="J10" si="37">IF(U10="","",U10/$P10)</f>
        <v>5.6875</v>
      </c>
      <c r="L10" s="5" t="s">
        <v>20</v>
      </c>
      <c r="M10">
        <v>30.48</v>
      </c>
      <c r="N10">
        <v>70</v>
      </c>
      <c r="O10">
        <v>13.94</v>
      </c>
      <c r="P10">
        <f>1000*0.64</f>
        <v>640</v>
      </c>
      <c r="Q10" s="8">
        <v>1</v>
      </c>
      <c r="T10">
        <f>1000*1.52</f>
        <v>1520</v>
      </c>
      <c r="U10">
        <f>1000*3.64</f>
        <v>3640</v>
      </c>
    </row>
    <row r="11" spans="1:21" x14ac:dyDescent="0.25">
      <c r="A11" t="str">
        <f t="shared" ref="A11" si="38">L11</f>
        <v>C-arm 19</v>
      </c>
      <c r="B11" s="12">
        <f t="shared" ref="B11" si="39">IF(M11="","",M11)</f>
        <v>30.48</v>
      </c>
      <c r="C11" s="12">
        <f t="shared" ref="C11" si="40">IF(N11="","",N11)</f>
        <v>69</v>
      </c>
      <c r="D11" s="12">
        <f t="shared" ref="D11" si="41">IF(O11="","",O11)</f>
        <v>13.6</v>
      </c>
      <c r="E11" s="8">
        <f t="shared" ref="E11" si="42">IF(P11="","",P11)</f>
        <v>690</v>
      </c>
      <c r="F11" s="8">
        <f t="shared" ref="F11" si="43">IF(Q11="","",Q11)</f>
        <v>1</v>
      </c>
      <c r="G11" s="8" t="str">
        <f t="shared" ref="G11" si="44">IF(R11="","",R11/$P11)</f>
        <v/>
      </c>
      <c r="H11" s="8" t="str">
        <f t="shared" ref="H11" si="45">IF(S11="","",S11/$P11)</f>
        <v/>
      </c>
      <c r="I11" s="8">
        <f t="shared" ref="I11" si="46">IF(T11="","",T11/$P11)</f>
        <v>1.2898550724637681</v>
      </c>
      <c r="J11" s="8">
        <f t="shared" ref="J11" si="47">IF(U11="","",U11/$P11)</f>
        <v>4.7391304347826084</v>
      </c>
      <c r="L11" s="5" t="s">
        <v>21</v>
      </c>
      <c r="M11">
        <v>30.48</v>
      </c>
      <c r="N11">
        <v>69</v>
      </c>
      <c r="O11">
        <v>13.6</v>
      </c>
      <c r="P11">
        <f>1000*0.69</f>
        <v>690</v>
      </c>
      <c r="Q11" s="8">
        <v>1</v>
      </c>
      <c r="T11">
        <f>1000*0.89</f>
        <v>890</v>
      </c>
      <c r="U11">
        <f>1000*3.27</f>
        <v>3270</v>
      </c>
    </row>
    <row r="12" spans="1:21" x14ac:dyDescent="0.25">
      <c r="A12" t="str">
        <f t="shared" si="1"/>
        <v>RT Uro</v>
      </c>
      <c r="B12" s="7">
        <f t="shared" si="2"/>
        <v>30.48</v>
      </c>
      <c r="C12" s="7">
        <f t="shared" si="3"/>
        <v>74</v>
      </c>
      <c r="D12" s="7">
        <f t="shared" si="4"/>
        <v>16.71</v>
      </c>
      <c r="E12" s="8">
        <f t="shared" si="5"/>
        <v>1880</v>
      </c>
      <c r="F12" s="8">
        <f t="shared" si="0"/>
        <v>1</v>
      </c>
      <c r="G12" s="8" t="str">
        <f t="shared" si="6"/>
        <v/>
      </c>
      <c r="H12" s="8" t="str">
        <f t="shared" si="7"/>
        <v/>
      </c>
      <c r="I12" s="8">
        <f t="shared" si="8"/>
        <v>1.2819148936170213</v>
      </c>
      <c r="J12" s="8">
        <f t="shared" si="9"/>
        <v>1.6276595744680851</v>
      </c>
      <c r="L12" s="5" t="s">
        <v>26</v>
      </c>
      <c r="M12">
        <v>30.48</v>
      </c>
      <c r="N12">
        <v>74</v>
      </c>
      <c r="O12">
        <v>16.71</v>
      </c>
      <c r="P12">
        <f>1000*1.88</f>
        <v>1880</v>
      </c>
      <c r="Q12" s="8">
        <v>1</v>
      </c>
      <c r="T12">
        <f>1000*2.41</f>
        <v>2410</v>
      </c>
      <c r="U12">
        <f>1000*3.06</f>
        <v>3060</v>
      </c>
    </row>
    <row r="13" spans="1:21" x14ac:dyDescent="0.25">
      <c r="A13" t="str">
        <f t="shared" si="1"/>
        <v>HVC01</v>
      </c>
      <c r="B13" s="7">
        <f t="shared" si="2"/>
        <v>48</v>
      </c>
      <c r="C13" s="7">
        <f t="shared" si="3"/>
        <v>70</v>
      </c>
      <c r="D13" s="7">
        <f t="shared" si="4"/>
        <v>70.599999999999994</v>
      </c>
      <c r="E13" s="8">
        <f t="shared" si="5"/>
        <v>1920</v>
      </c>
      <c r="F13" s="8">
        <f t="shared" si="0"/>
        <v>1</v>
      </c>
      <c r="G13" s="8">
        <f t="shared" si="6"/>
        <v>0.78125</v>
      </c>
      <c r="H13" s="8">
        <f t="shared" si="7"/>
        <v>1.4984375000000001</v>
      </c>
      <c r="I13" s="8">
        <f t="shared" si="8"/>
        <v>1.328125</v>
      </c>
      <c r="J13" s="8">
        <f t="shared" si="9"/>
        <v>1.78125</v>
      </c>
      <c r="L13" s="5" t="s">
        <v>38</v>
      </c>
      <c r="M13">
        <v>48</v>
      </c>
      <c r="N13">
        <v>70</v>
      </c>
      <c r="O13">
        <v>70.599999999999994</v>
      </c>
      <c r="P13">
        <f>1000*1.92</f>
        <v>1920</v>
      </c>
      <c r="Q13" s="8">
        <v>1</v>
      </c>
      <c r="R13">
        <f>1000*1.5</f>
        <v>1500</v>
      </c>
      <c r="S13">
        <f>1000*2.877</f>
        <v>2877</v>
      </c>
      <c r="T13">
        <f>1000*2.55</f>
        <v>2550</v>
      </c>
      <c r="U13">
        <f>1000*3.42</f>
        <v>3420</v>
      </c>
    </row>
    <row r="14" spans="1:21" x14ac:dyDescent="0.25">
      <c r="A14" t="str">
        <f t="shared" si="1"/>
        <v>HVC02</v>
      </c>
      <c r="B14" s="7">
        <f t="shared" si="2"/>
        <v>40</v>
      </c>
      <c r="C14" s="7">
        <f t="shared" si="3"/>
        <v>61.5</v>
      </c>
      <c r="D14" s="7">
        <f t="shared" si="4"/>
        <v>351.6</v>
      </c>
      <c r="E14" s="8">
        <f t="shared" si="5"/>
        <v>1110</v>
      </c>
      <c r="F14" s="8">
        <f t="shared" si="0"/>
        <v>1</v>
      </c>
      <c r="G14" s="8">
        <f t="shared" si="6"/>
        <v>0.91891891891891897</v>
      </c>
      <c r="H14" s="8">
        <f t="shared" si="7"/>
        <v>2.0090090090090089</v>
      </c>
      <c r="I14" s="8">
        <f t="shared" si="8"/>
        <v>2.0180180180180178</v>
      </c>
      <c r="J14" s="8">
        <f t="shared" si="9"/>
        <v>3.9279279279279278</v>
      </c>
      <c r="L14" s="5" t="s">
        <v>39</v>
      </c>
      <c r="M14">
        <v>40</v>
      </c>
      <c r="N14">
        <v>61.5</v>
      </c>
      <c r="O14">
        <v>351.6</v>
      </c>
      <c r="P14">
        <f>1000*1.11</f>
        <v>1110</v>
      </c>
      <c r="Q14" s="8">
        <v>1</v>
      </c>
      <c r="R14">
        <f>1000*1.02</f>
        <v>1020</v>
      </c>
      <c r="S14">
        <f>1000*2.23</f>
        <v>2230</v>
      </c>
      <c r="T14">
        <f>1000*2.24</f>
        <v>2240</v>
      </c>
      <c r="U14">
        <f>1000*4.36</f>
        <v>4360</v>
      </c>
    </row>
    <row r="15" spans="1:21" x14ac:dyDescent="0.25">
      <c r="A15" t="str">
        <f t="shared" si="1"/>
        <v>HVC04</v>
      </c>
      <c r="B15" s="7">
        <f t="shared" si="2"/>
        <v>40</v>
      </c>
      <c r="C15" s="7">
        <f t="shared" si="3"/>
        <v>60</v>
      </c>
      <c r="D15" s="7">
        <f t="shared" si="4"/>
        <v>359.7</v>
      </c>
      <c r="E15" s="8">
        <f t="shared" si="5"/>
        <v>920</v>
      </c>
      <c r="F15" s="8">
        <f t="shared" si="0"/>
        <v>1</v>
      </c>
      <c r="G15" s="8">
        <f t="shared" si="6"/>
        <v>0.84782608695652173</v>
      </c>
      <c r="H15" s="8">
        <f t="shared" si="7"/>
        <v>1.9456521739130435</v>
      </c>
      <c r="I15" s="8">
        <f t="shared" si="8"/>
        <v>2.0434782608695654</v>
      </c>
      <c r="J15" s="8">
        <f t="shared" si="9"/>
        <v>3.9130434782608696</v>
      </c>
      <c r="L15" s="5" t="s">
        <v>40</v>
      </c>
      <c r="M15">
        <v>40</v>
      </c>
      <c r="N15">
        <v>60</v>
      </c>
      <c r="O15">
        <v>359.7</v>
      </c>
      <c r="P15">
        <f>1000*0.92</f>
        <v>920</v>
      </c>
      <c r="Q15" s="8">
        <v>1</v>
      </c>
      <c r="R15">
        <f>1000*0.78</f>
        <v>780</v>
      </c>
      <c r="S15">
        <f>1000*1.79</f>
        <v>1790</v>
      </c>
      <c r="T15">
        <f>1000*1.88</f>
        <v>1880</v>
      </c>
      <c r="U15">
        <f>1000*3.6</f>
        <v>3600</v>
      </c>
    </row>
    <row r="16" spans="1:21" x14ac:dyDescent="0.25">
      <c r="A16" t="str">
        <f t="shared" si="1"/>
        <v>HVC05</v>
      </c>
      <c r="B16" s="7">
        <f t="shared" si="2"/>
        <v>40</v>
      </c>
      <c r="C16" s="7">
        <f t="shared" si="3"/>
        <v>60</v>
      </c>
      <c r="D16" s="7">
        <f t="shared" si="4"/>
        <v>183.2</v>
      </c>
      <c r="E16" s="8">
        <f t="shared" si="5"/>
        <v>700</v>
      </c>
      <c r="F16" s="8">
        <f t="shared" si="0"/>
        <v>1</v>
      </c>
      <c r="G16" s="8">
        <f t="shared" si="6"/>
        <v>0.82857142857142863</v>
      </c>
      <c r="H16" s="8">
        <f t="shared" si="7"/>
        <v>1.2571428571428571</v>
      </c>
      <c r="I16" s="8">
        <f t="shared" si="8"/>
        <v>2.5285714285714285</v>
      </c>
      <c r="J16" s="8">
        <f t="shared" si="9"/>
        <v>3.4</v>
      </c>
      <c r="L16" s="5" t="s">
        <v>41</v>
      </c>
      <c r="M16">
        <v>40</v>
      </c>
      <c r="N16">
        <v>60</v>
      </c>
      <c r="O16">
        <v>183.2</v>
      </c>
      <c r="P16">
        <f>1000*0.7</f>
        <v>700</v>
      </c>
      <c r="Q16" s="8">
        <v>1</v>
      </c>
      <c r="R16">
        <f>1000*0.58</f>
        <v>580</v>
      </c>
      <c r="S16">
        <f>1000*0.88</f>
        <v>880</v>
      </c>
      <c r="T16">
        <f>1000*1.77</f>
        <v>1770</v>
      </c>
      <c r="U16">
        <f>1000*2.38</f>
        <v>2380</v>
      </c>
    </row>
    <row r="17" spans="1:21" x14ac:dyDescent="0.25">
      <c r="A17" t="str">
        <f t="shared" si="1"/>
        <v>Neuro1 AP</v>
      </c>
      <c r="B17" s="7">
        <f t="shared" si="2"/>
        <v>48</v>
      </c>
      <c r="C17" s="7">
        <f t="shared" si="3"/>
        <v>70.2</v>
      </c>
      <c r="D17" s="7">
        <f t="shared" si="4"/>
        <v>162.19999999999999</v>
      </c>
      <c r="E17" s="8">
        <f t="shared" si="5"/>
        <v>3185.9192070619333</v>
      </c>
      <c r="F17" s="8">
        <f t="shared" si="0"/>
        <v>7.5</v>
      </c>
      <c r="G17" s="8">
        <f t="shared" si="6"/>
        <v>0.98805281045366022</v>
      </c>
      <c r="H17" s="8">
        <f t="shared" si="7"/>
        <v>1.0077290672952506</v>
      </c>
      <c r="I17" s="8">
        <f t="shared" si="8"/>
        <v>1.4035983841515089</v>
      </c>
      <c r="J17" s="8">
        <f t="shared" si="9"/>
        <v>1.8887058365831686</v>
      </c>
      <c r="L17" s="5" t="s">
        <v>42</v>
      </c>
      <c r="M17">
        <v>48</v>
      </c>
      <c r="N17">
        <v>70.2</v>
      </c>
      <c r="O17">
        <v>162.19999999999999</v>
      </c>
      <c r="P17">
        <v>3185.9192070619333</v>
      </c>
      <c r="Q17" s="8">
        <v>7.5</v>
      </c>
      <c r="R17">
        <v>3147.8564264158399</v>
      </c>
      <c r="S17">
        <v>3210.5433910105467</v>
      </c>
      <c r="T17">
        <v>4471.7510510693864</v>
      </c>
      <c r="U17">
        <v>6017.2642012602937</v>
      </c>
    </row>
    <row r="18" spans="1:21" x14ac:dyDescent="0.25">
      <c r="A18" t="str">
        <f t="shared" si="1"/>
        <v>Neuro1 Lat</v>
      </c>
      <c r="B18" s="7">
        <f t="shared" si="2"/>
        <v>25</v>
      </c>
      <c r="C18" s="7">
        <f t="shared" si="3"/>
        <v>73.3</v>
      </c>
      <c r="D18" s="7">
        <f t="shared" si="4"/>
        <v>157.80000000000001</v>
      </c>
      <c r="E18" s="8">
        <f t="shared" si="5"/>
        <v>4584.4192133812448</v>
      </c>
      <c r="F18" s="8">
        <f t="shared" si="0"/>
        <v>7.5</v>
      </c>
      <c r="G18" s="8">
        <f t="shared" si="6"/>
        <v>0.99403973065873008</v>
      </c>
      <c r="H18" s="8">
        <f t="shared" si="7"/>
        <v>1.0004388188365823</v>
      </c>
      <c r="I18" s="8">
        <f t="shared" si="8"/>
        <v>1.2952230423094218</v>
      </c>
      <c r="J18" s="8">
        <f t="shared" si="9"/>
        <v>1.7125670199779262</v>
      </c>
      <c r="L18" s="5" t="s">
        <v>43</v>
      </c>
      <c r="M18">
        <v>25</v>
      </c>
      <c r="N18">
        <v>73.3</v>
      </c>
      <c r="O18">
        <v>157.80000000000001</v>
      </c>
      <c r="P18">
        <v>4584.4192133812448</v>
      </c>
      <c r="Q18" s="8">
        <v>7.5</v>
      </c>
      <c r="R18">
        <v>4557.0948400961997</v>
      </c>
      <c r="S18">
        <v>4586.4309428868664</v>
      </c>
      <c r="T18">
        <v>5937.8454007774226</v>
      </c>
      <c r="U18">
        <v>7851.1251505898672</v>
      </c>
    </row>
    <row r="19" spans="1:21" x14ac:dyDescent="0.25">
      <c r="A19" t="str">
        <f t="shared" si="1"/>
        <v>Neuro2 AP</v>
      </c>
      <c r="B19" s="7">
        <f t="shared" si="2"/>
        <v>48</v>
      </c>
      <c r="C19" s="7">
        <f t="shared" si="3"/>
        <v>72.900000000000006</v>
      </c>
      <c r="D19" s="7">
        <f t="shared" si="4"/>
        <v>181.5</v>
      </c>
      <c r="E19" s="8">
        <f t="shared" si="5"/>
        <v>2840</v>
      </c>
      <c r="F19" s="8">
        <f t="shared" si="0"/>
        <v>7.5</v>
      </c>
      <c r="G19" s="8">
        <f t="shared" si="6"/>
        <v>0.99119718309859151</v>
      </c>
      <c r="H19" s="8">
        <f t="shared" si="7"/>
        <v>1.0035211267605635</v>
      </c>
      <c r="I19" s="8">
        <f t="shared" si="8"/>
        <v>1.3161971830985915</v>
      </c>
      <c r="J19" s="8">
        <f t="shared" si="9"/>
        <v>1.8309859154929577</v>
      </c>
      <c r="L19" s="5" t="s">
        <v>44</v>
      </c>
      <c r="M19">
        <v>48</v>
      </c>
      <c r="N19">
        <v>72.900000000000006</v>
      </c>
      <c r="O19">
        <v>181.5</v>
      </c>
      <c r="P19">
        <v>2840</v>
      </c>
      <c r="Q19" s="8">
        <v>7.5</v>
      </c>
      <c r="R19">
        <v>2815</v>
      </c>
      <c r="S19">
        <v>2850</v>
      </c>
      <c r="T19">
        <v>3738</v>
      </c>
      <c r="U19">
        <v>5200</v>
      </c>
    </row>
    <row r="20" spans="1:21" x14ac:dyDescent="0.25">
      <c r="A20" t="str">
        <f t="shared" si="1"/>
        <v>Neuro2 Lat</v>
      </c>
      <c r="B20" s="7">
        <f t="shared" si="2"/>
        <v>25</v>
      </c>
      <c r="C20" s="7">
        <f t="shared" si="3"/>
        <v>80</v>
      </c>
      <c r="D20" s="7">
        <f t="shared" si="4"/>
        <v>183.1</v>
      </c>
      <c r="E20" s="8">
        <f t="shared" si="5"/>
        <v>4670</v>
      </c>
      <c r="F20" s="8">
        <f t="shared" si="0"/>
        <v>7.5</v>
      </c>
      <c r="G20" s="8">
        <f t="shared" si="6"/>
        <v>0.95182012847965736</v>
      </c>
      <c r="H20" s="8">
        <f t="shared" si="7"/>
        <v>1.0149892933618843</v>
      </c>
      <c r="I20" s="8">
        <f t="shared" si="8"/>
        <v>1.3899357601713063</v>
      </c>
      <c r="J20" s="8">
        <f t="shared" si="9"/>
        <v>1.8451820128479657</v>
      </c>
      <c r="L20" s="5" t="s">
        <v>45</v>
      </c>
      <c r="M20">
        <v>25</v>
      </c>
      <c r="N20">
        <v>80</v>
      </c>
      <c r="O20">
        <v>183.1</v>
      </c>
      <c r="P20">
        <v>4670</v>
      </c>
      <c r="Q20" s="8">
        <v>7.5</v>
      </c>
      <c r="R20">
        <v>4445</v>
      </c>
      <c r="S20">
        <v>4740</v>
      </c>
      <c r="T20">
        <v>6491</v>
      </c>
      <c r="U20">
        <v>8617</v>
      </c>
    </row>
    <row r="21" spans="1:21" x14ac:dyDescent="0.25">
      <c r="A21" t="str">
        <f t="shared" si="1"/>
        <v>ART Angio 2</v>
      </c>
      <c r="B21" s="7">
        <f t="shared" si="2"/>
        <v>48</v>
      </c>
      <c r="C21" s="7">
        <f t="shared" si="3"/>
        <v>65</v>
      </c>
      <c r="D21" s="7">
        <f t="shared" si="4"/>
        <v>147.6</v>
      </c>
      <c r="E21" s="8">
        <f t="shared" si="5"/>
        <v>3225</v>
      </c>
      <c r="F21" s="8">
        <f t="shared" si="0"/>
        <v>3</v>
      </c>
      <c r="G21" s="8">
        <f t="shared" si="6"/>
        <v>0.96496124031007757</v>
      </c>
      <c r="H21" s="8">
        <f t="shared" si="7"/>
        <v>1.0514728682170542</v>
      </c>
      <c r="I21" s="8">
        <f t="shared" si="8"/>
        <v>1.2635658914728682</v>
      </c>
      <c r="J21" s="8">
        <f t="shared" si="9"/>
        <v>1.8899224806201551</v>
      </c>
      <c r="L21" s="5" t="s">
        <v>46</v>
      </c>
      <c r="M21">
        <v>48</v>
      </c>
      <c r="N21">
        <v>65</v>
      </c>
      <c r="O21">
        <v>147.6</v>
      </c>
      <c r="P21">
        <f>1000*3.225</f>
        <v>3225</v>
      </c>
      <c r="Q21" s="8">
        <v>3</v>
      </c>
      <c r="R21">
        <f>1000*3.112</f>
        <v>3112</v>
      </c>
      <c r="S21">
        <f>1000*3.391</f>
        <v>3391</v>
      </c>
      <c r="T21">
        <f>1000*4.075</f>
        <v>4075</v>
      </c>
      <c r="U21">
        <f>1000*6.095</f>
        <v>6095</v>
      </c>
    </row>
    <row r="22" spans="1:21" x14ac:dyDescent="0.25">
      <c r="A22" t="str">
        <f t="shared" si="1"/>
        <v>ART Angio 3</v>
      </c>
      <c r="B22" s="7">
        <f t="shared" si="2"/>
        <v>48</v>
      </c>
      <c r="C22" s="7">
        <f t="shared" si="3"/>
        <v>64.5</v>
      </c>
      <c r="D22" s="7">
        <f t="shared" si="4"/>
        <v>129.69999999999999</v>
      </c>
      <c r="E22" s="8">
        <f t="shared" si="5"/>
        <v>2805</v>
      </c>
      <c r="F22" s="8">
        <f t="shared" si="5"/>
        <v>3</v>
      </c>
      <c r="G22" s="8">
        <f t="shared" si="6"/>
        <v>0.9315508021390374</v>
      </c>
      <c r="H22" s="8">
        <f t="shared" si="7"/>
        <v>0.92905525846702319</v>
      </c>
      <c r="I22" s="8">
        <f t="shared" si="8"/>
        <v>1.3301247771836007</v>
      </c>
      <c r="J22" s="8">
        <f t="shared" si="9"/>
        <v>1.7315508021390373</v>
      </c>
      <c r="L22" s="5" t="s">
        <v>47</v>
      </c>
      <c r="M22">
        <v>48</v>
      </c>
      <c r="N22">
        <v>64.5</v>
      </c>
      <c r="O22">
        <v>129.69999999999999</v>
      </c>
      <c r="P22">
        <v>2805</v>
      </c>
      <c r="Q22" s="8">
        <v>3</v>
      </c>
      <c r="R22">
        <v>2613</v>
      </c>
      <c r="S22">
        <v>2606</v>
      </c>
      <c r="T22">
        <v>3731</v>
      </c>
      <c r="U22">
        <v>4857</v>
      </c>
    </row>
    <row r="23" spans="1:21" x14ac:dyDescent="0.25">
      <c r="A23" t="str">
        <f t="shared" si="1"/>
        <v>ART OR 10</v>
      </c>
      <c r="B23" s="7">
        <f t="shared" si="2"/>
        <v>48</v>
      </c>
      <c r="C23" s="7">
        <f t="shared" si="3"/>
        <v>63.8</v>
      </c>
      <c r="D23" s="7">
        <f t="shared" si="4"/>
        <v>299</v>
      </c>
      <c r="E23" s="8">
        <f t="shared" si="5"/>
        <v>2562.8826170478746</v>
      </c>
      <c r="F23" s="8">
        <f t="shared" si="5"/>
        <v>4</v>
      </c>
      <c r="G23" s="8">
        <f t="shared" si="6"/>
        <v>1.1407928991458993</v>
      </c>
      <c r="H23" s="8">
        <f t="shared" si="7"/>
        <v>0.9756626030658756</v>
      </c>
      <c r="I23" s="8">
        <f t="shared" si="8"/>
        <v>1.2638499996340131</v>
      </c>
      <c r="J23" s="8">
        <f t="shared" si="9"/>
        <v>1.5314004470494773</v>
      </c>
      <c r="L23" s="5" t="s">
        <v>48</v>
      </c>
      <c r="M23">
        <v>48</v>
      </c>
      <c r="N23">
        <v>63.8</v>
      </c>
      <c r="O23">
        <v>299</v>
      </c>
      <c r="P23">
        <v>2562.8826170478746</v>
      </c>
      <c r="Q23" s="8">
        <v>4</v>
      </c>
      <c r="R23">
        <v>2923.7182908726745</v>
      </c>
      <c r="S23">
        <v>2500.5087255012131</v>
      </c>
      <c r="T23">
        <v>3239.0991946179752</v>
      </c>
      <c r="U23">
        <v>3924.7995854824499</v>
      </c>
    </row>
    <row r="24" spans="1:21" x14ac:dyDescent="0.25">
      <c r="A24" t="str">
        <f t="shared" si="1"/>
        <v>ART EP 6</v>
      </c>
      <c r="B24" s="7">
        <f t="shared" si="2"/>
        <v>25</v>
      </c>
      <c r="C24" s="7">
        <f t="shared" si="3"/>
        <v>62.4</v>
      </c>
      <c r="D24" s="7">
        <f t="shared" si="4"/>
        <v>799.8</v>
      </c>
      <c r="E24" s="8">
        <f t="shared" si="5"/>
        <v>321.59407971841335</v>
      </c>
      <c r="F24" s="8">
        <f t="shared" si="5"/>
        <v>7.5</v>
      </c>
      <c r="G24" s="8" t="str">
        <f t="shared" si="6"/>
        <v/>
      </c>
      <c r="H24" s="8" t="str">
        <f t="shared" si="7"/>
        <v/>
      </c>
      <c r="I24" s="8">
        <f t="shared" si="8"/>
        <v>1.3284979208286107</v>
      </c>
      <c r="J24" s="8">
        <f t="shared" si="9"/>
        <v>1.7329814374310386</v>
      </c>
      <c r="L24" s="5" t="s">
        <v>49</v>
      </c>
      <c r="M24">
        <v>25</v>
      </c>
      <c r="N24">
        <v>62.4</v>
      </c>
      <c r="O24">
        <v>799.8</v>
      </c>
      <c r="P24">
        <v>321.59407971841335</v>
      </c>
      <c r="Q24" s="8">
        <v>7.5</v>
      </c>
      <c r="T24">
        <v>427.23706625670263</v>
      </c>
      <c r="U24">
        <v>557.31657053972799</v>
      </c>
    </row>
    <row r="25" spans="1:21" x14ac:dyDescent="0.25">
      <c r="A25" t="str">
        <f t="shared" si="1"/>
        <v>ART EP 7 AP</v>
      </c>
      <c r="B25" s="7">
        <f t="shared" si="2"/>
        <v>48</v>
      </c>
      <c r="C25" s="7">
        <f t="shared" si="3"/>
        <v>73</v>
      </c>
      <c r="D25" s="7">
        <f t="shared" si="4"/>
        <v>66.900000000000006</v>
      </c>
      <c r="E25" s="8">
        <f t="shared" si="5"/>
        <v>199.66440718257067</v>
      </c>
      <c r="F25" s="8">
        <f t="shared" si="5"/>
        <v>15</v>
      </c>
      <c r="G25" s="8">
        <f t="shared" si="6"/>
        <v>1.0953689961029278</v>
      </c>
      <c r="H25" s="8">
        <f t="shared" si="7"/>
        <v>0.77072187015759808</v>
      </c>
      <c r="I25" s="8">
        <f t="shared" si="8"/>
        <v>1.2236048210007822</v>
      </c>
      <c r="J25" s="8">
        <f t="shared" si="9"/>
        <v>1.5762706325452951</v>
      </c>
      <c r="L25" s="5" t="s">
        <v>50</v>
      </c>
      <c r="M25">
        <v>48</v>
      </c>
      <c r="N25">
        <v>73</v>
      </c>
      <c r="O25">
        <v>66.900000000000006</v>
      </c>
      <c r="P25">
        <v>199.66440718257067</v>
      </c>
      <c r="Q25" s="8">
        <v>15</v>
      </c>
      <c r="R25">
        <v>218.70620125305865</v>
      </c>
      <c r="S25">
        <v>153.88572530765902</v>
      </c>
      <c r="T25">
        <v>244.31033121085667</v>
      </c>
      <c r="U25">
        <v>314.72514140645205</v>
      </c>
    </row>
    <row r="26" spans="1:21" x14ac:dyDescent="0.25">
      <c r="A26" t="str">
        <f t="shared" si="1"/>
        <v>ART EP 7 Lat</v>
      </c>
      <c r="B26" s="7">
        <f t="shared" si="2"/>
        <v>25</v>
      </c>
      <c r="C26" s="7">
        <f t="shared" si="3"/>
        <v>73</v>
      </c>
      <c r="D26" s="7">
        <f t="shared" si="4"/>
        <v>75.900000000000006</v>
      </c>
      <c r="E26" s="8">
        <f t="shared" si="5"/>
        <v>233.61781633853735</v>
      </c>
      <c r="F26" s="8">
        <f t="shared" si="5"/>
        <v>15</v>
      </c>
      <c r="G26" s="8">
        <f t="shared" si="6"/>
        <v>1.0500178365526274</v>
      </c>
      <c r="H26" s="8">
        <f t="shared" si="7"/>
        <v>0.78535978242974569</v>
      </c>
      <c r="I26" s="8">
        <f t="shared" si="8"/>
        <v>1.3508157410408732</v>
      </c>
      <c r="J26" s="8">
        <f t="shared" si="9"/>
        <v>1.7033926379958735</v>
      </c>
      <c r="L26" s="5" t="s">
        <v>51</v>
      </c>
      <c r="M26">
        <v>25</v>
      </c>
      <c r="N26">
        <v>73</v>
      </c>
      <c r="O26">
        <v>75.900000000000006</v>
      </c>
      <c r="P26">
        <v>233.61781633853735</v>
      </c>
      <c r="Q26" s="8">
        <v>15</v>
      </c>
      <c r="R26">
        <v>245.30287409194003</v>
      </c>
      <c r="S26">
        <v>183.47403741134599</v>
      </c>
      <c r="T26">
        <v>315.57462369769195</v>
      </c>
      <c r="U26">
        <v>397.94286845573663</v>
      </c>
    </row>
    <row r="27" spans="1:21" x14ac:dyDescent="0.25">
      <c r="A27" t="str">
        <f t="shared" si="1"/>
        <v>ART EP 8</v>
      </c>
      <c r="B27" s="7">
        <f t="shared" si="2"/>
        <v>25</v>
      </c>
      <c r="C27" s="7">
        <f t="shared" si="3"/>
        <v>63</v>
      </c>
      <c r="D27" s="7">
        <f t="shared" si="4"/>
        <v>799.8</v>
      </c>
      <c r="E27" s="8">
        <f t="shared" si="5"/>
        <v>297.13099073020601</v>
      </c>
      <c r="F27" s="8">
        <f t="shared" si="5"/>
        <v>15</v>
      </c>
      <c r="G27" s="8" t="str">
        <f t="shared" si="6"/>
        <v/>
      </c>
      <c r="H27" s="8">
        <f t="shared" si="7"/>
        <v>0.90754276192705829</v>
      </c>
      <c r="I27" s="8">
        <f t="shared" si="8"/>
        <v>1.2964098195875691</v>
      </c>
      <c r="J27" s="8">
        <f t="shared" si="9"/>
        <v>1.7596434622194554</v>
      </c>
      <c r="L27" s="5" t="s">
        <v>52</v>
      </c>
      <c r="M27">
        <v>25</v>
      </c>
      <c r="N27">
        <v>63</v>
      </c>
      <c r="O27">
        <v>799.8</v>
      </c>
      <c r="P27">
        <v>297.13099073020601</v>
      </c>
      <c r="Q27" s="8">
        <v>15</v>
      </c>
      <c r="S27">
        <v>269.65907998141432</v>
      </c>
      <c r="T27">
        <v>385.203534086422</v>
      </c>
      <c r="U27">
        <v>522.84460526119665</v>
      </c>
    </row>
    <row r="28" spans="1:21" x14ac:dyDescent="0.25">
      <c r="A28" t="str">
        <f t="shared" si="1"/>
        <v>ART Cath 10</v>
      </c>
      <c r="B28" s="7">
        <f t="shared" si="2"/>
        <v>25</v>
      </c>
      <c r="C28" s="7">
        <f t="shared" si="3"/>
        <v>62.5</v>
      </c>
      <c r="D28" s="7">
        <f t="shared" si="4"/>
        <v>799.8</v>
      </c>
      <c r="E28" s="8">
        <f t="shared" si="5"/>
        <v>313</v>
      </c>
      <c r="F28" s="8">
        <f t="shared" si="5"/>
        <v>15</v>
      </c>
      <c r="G28" s="8">
        <f t="shared" si="6"/>
        <v>0.8434504792332268</v>
      </c>
      <c r="H28" s="8">
        <f t="shared" si="7"/>
        <v>0.82236421725239628</v>
      </c>
      <c r="I28" s="8">
        <f t="shared" si="8"/>
        <v>1.3003194888178913</v>
      </c>
      <c r="J28" s="8">
        <f t="shared" si="9"/>
        <v>1.6357827476038338</v>
      </c>
      <c r="L28" s="5" t="s">
        <v>53</v>
      </c>
      <c r="M28">
        <v>25</v>
      </c>
      <c r="N28">
        <v>62.5</v>
      </c>
      <c r="O28">
        <v>799.8</v>
      </c>
      <c r="P28">
        <v>313</v>
      </c>
      <c r="Q28" s="8">
        <v>15</v>
      </c>
      <c r="R28">
        <v>264</v>
      </c>
      <c r="S28">
        <v>257.40000000000003</v>
      </c>
      <c r="T28">
        <v>407</v>
      </c>
      <c r="U28">
        <v>512</v>
      </c>
    </row>
    <row r="29" spans="1:21" x14ac:dyDescent="0.25">
      <c r="A29" t="str">
        <f t="shared" si="1"/>
        <v>ART Cath 12</v>
      </c>
      <c r="B29" s="7">
        <f t="shared" si="2"/>
        <v>25</v>
      </c>
      <c r="C29" s="7">
        <f t="shared" si="3"/>
        <v>64.5</v>
      </c>
      <c r="D29" s="7">
        <f t="shared" si="4"/>
        <v>445.7</v>
      </c>
      <c r="E29" s="8">
        <f t="shared" si="5"/>
        <v>335</v>
      </c>
      <c r="F29" s="8">
        <f t="shared" si="5"/>
        <v>15</v>
      </c>
      <c r="G29" s="8">
        <f t="shared" si="6"/>
        <v>0.83880597014925373</v>
      </c>
      <c r="H29" s="8">
        <f t="shared" si="7"/>
        <v>0.85731343283582084</v>
      </c>
      <c r="I29" s="8">
        <f t="shared" si="8"/>
        <v>1.3104477611940299</v>
      </c>
      <c r="J29" s="8">
        <f t="shared" si="9"/>
        <v>1.6597014925373135</v>
      </c>
      <c r="L29" s="5" t="s">
        <v>56</v>
      </c>
      <c r="M29">
        <v>25</v>
      </c>
      <c r="N29">
        <v>64.5</v>
      </c>
      <c r="O29">
        <v>445.7</v>
      </c>
      <c r="P29">
        <v>335</v>
      </c>
      <c r="Q29" s="8">
        <v>15</v>
      </c>
      <c r="R29">
        <v>281</v>
      </c>
      <c r="S29">
        <v>287.2</v>
      </c>
      <c r="T29">
        <v>439</v>
      </c>
      <c r="U29">
        <v>556</v>
      </c>
    </row>
    <row r="30" spans="1:21" x14ac:dyDescent="0.25">
      <c r="A30" t="str">
        <f t="shared" si="1"/>
        <v>ART Cath 13</v>
      </c>
      <c r="B30" s="7">
        <f t="shared" si="2"/>
        <v>25</v>
      </c>
      <c r="C30" s="7">
        <f t="shared" si="3"/>
        <v>64.5</v>
      </c>
      <c r="D30" s="7">
        <f t="shared" si="4"/>
        <v>437.5</v>
      </c>
      <c r="E30" s="8">
        <f t="shared" si="5"/>
        <v>343</v>
      </c>
      <c r="F30" s="8">
        <f t="shared" si="5"/>
        <v>15</v>
      </c>
      <c r="G30" s="8">
        <f t="shared" si="6"/>
        <v>0.84839650145772594</v>
      </c>
      <c r="H30" s="8">
        <f t="shared" si="7"/>
        <v>0.86122448979591826</v>
      </c>
      <c r="I30" s="8">
        <f t="shared" si="8"/>
        <v>1.2973760932944607</v>
      </c>
      <c r="J30" s="8">
        <f t="shared" si="9"/>
        <v>1.6501457725947521</v>
      </c>
      <c r="L30" s="5" t="s">
        <v>57</v>
      </c>
      <c r="M30">
        <v>25</v>
      </c>
      <c r="N30">
        <v>64.5</v>
      </c>
      <c r="O30">
        <v>437.5</v>
      </c>
      <c r="P30">
        <v>343</v>
      </c>
      <c r="Q30" s="8">
        <v>15</v>
      </c>
      <c r="R30">
        <v>291</v>
      </c>
      <c r="S30">
        <v>295.39999999999998</v>
      </c>
      <c r="T30">
        <v>445</v>
      </c>
      <c r="U30">
        <v>566</v>
      </c>
    </row>
    <row r="31" spans="1:21" x14ac:dyDescent="0.25">
      <c r="A31" t="str">
        <f t="shared" si="1"/>
        <v>HVC 11 AP</v>
      </c>
      <c r="B31" s="7">
        <f t="shared" si="2"/>
        <v>23</v>
      </c>
      <c r="C31" s="7">
        <f t="shared" si="3"/>
        <v>62.6</v>
      </c>
      <c r="D31" s="7">
        <f t="shared" si="4"/>
        <v>799.8</v>
      </c>
      <c r="E31" s="8">
        <f t="shared" si="5"/>
        <v>266</v>
      </c>
      <c r="F31" s="8">
        <f t="shared" si="5"/>
        <v>15</v>
      </c>
      <c r="G31" s="8" t="str">
        <f t="shared" si="6"/>
        <v/>
      </c>
      <c r="H31" s="8">
        <f t="shared" si="7"/>
        <v>0.93984962406015038</v>
      </c>
      <c r="I31" s="8">
        <f t="shared" si="8"/>
        <v>1.5526315789473684</v>
      </c>
      <c r="J31" s="8">
        <f t="shared" si="9"/>
        <v>2.8421052631578947</v>
      </c>
      <c r="L31" s="5" t="s">
        <v>60</v>
      </c>
      <c r="M31">
        <v>23</v>
      </c>
      <c r="N31">
        <v>62.6</v>
      </c>
      <c r="O31">
        <v>799.8</v>
      </c>
      <c r="P31">
        <v>266</v>
      </c>
      <c r="Q31" s="8">
        <v>15</v>
      </c>
      <c r="S31">
        <v>250</v>
      </c>
      <c r="T31">
        <v>413</v>
      </c>
      <c r="U31">
        <v>756</v>
      </c>
    </row>
    <row r="32" spans="1:21" x14ac:dyDescent="0.25">
      <c r="A32" t="str">
        <f t="shared" si="1"/>
        <v>HVC 11 Lat</v>
      </c>
      <c r="B32" s="7">
        <f t="shared" si="2"/>
        <v>23</v>
      </c>
      <c r="C32" s="7">
        <f t="shared" si="3"/>
        <v>62.6</v>
      </c>
      <c r="D32" s="7">
        <f t="shared" si="4"/>
        <v>799.8</v>
      </c>
      <c r="E32" s="8">
        <f t="shared" si="5"/>
        <v>223</v>
      </c>
      <c r="F32" s="8">
        <f t="shared" si="5"/>
        <v>15</v>
      </c>
      <c r="G32" s="8" t="str">
        <f t="shared" si="6"/>
        <v/>
      </c>
      <c r="H32" s="8">
        <f t="shared" si="7"/>
        <v>0.99910313901345293</v>
      </c>
      <c r="I32" s="8">
        <f t="shared" si="8"/>
        <v>1.6457399103139014</v>
      </c>
      <c r="J32" s="8">
        <f t="shared" si="9"/>
        <v>3.0044843049327352</v>
      </c>
      <c r="L32" s="5" t="s">
        <v>61</v>
      </c>
      <c r="M32">
        <v>23</v>
      </c>
      <c r="N32">
        <v>62.6</v>
      </c>
      <c r="O32">
        <v>799.8</v>
      </c>
      <c r="P32">
        <v>223</v>
      </c>
      <c r="Q32" s="8">
        <v>15</v>
      </c>
      <c r="S32">
        <v>222.8</v>
      </c>
      <c r="T32">
        <v>367</v>
      </c>
      <c r="U32">
        <v>670</v>
      </c>
    </row>
    <row r="34" spans="1:10" x14ac:dyDescent="0.25">
      <c r="A34" s="5" t="s">
        <v>66</v>
      </c>
      <c r="B34" s="10">
        <f t="shared" ref="B34:J34" si="48">AVERAGE(B3:B32)</f>
        <v>34.664000000000001</v>
      </c>
      <c r="C34" s="10">
        <f t="shared" si="48"/>
        <v>69.976666666666674</v>
      </c>
      <c r="D34" s="10">
        <f t="shared" si="48"/>
        <v>249.94500000000002</v>
      </c>
      <c r="E34" s="10">
        <f t="shared" si="48"/>
        <v>1399.0409443820258</v>
      </c>
      <c r="F34" s="10"/>
      <c r="G34" s="10">
        <f t="shared" si="48"/>
        <v>0.96917999842748492</v>
      </c>
      <c r="H34" s="10">
        <f t="shared" si="48"/>
        <v>1.0844116543014775</v>
      </c>
      <c r="I34" s="10">
        <f t="shared" si="48"/>
        <v>1.5457351388274347</v>
      </c>
      <c r="J34" s="10">
        <f t="shared" si="48"/>
        <v>2.5808728666057337</v>
      </c>
    </row>
    <row r="35" spans="1:10" x14ac:dyDescent="0.25">
      <c r="A35" s="5" t="s">
        <v>67</v>
      </c>
      <c r="B35" s="10">
        <f t="shared" ref="B35:J35" si="49">STDEV(B3:B32)</f>
        <v>9.5994517084804372</v>
      </c>
      <c r="C35" s="10">
        <f t="shared" si="49"/>
        <v>9.8160559301069306</v>
      </c>
      <c r="D35" s="10">
        <f t="shared" si="49"/>
        <v>280.38700104836624</v>
      </c>
      <c r="E35" s="10">
        <f t="shared" si="49"/>
        <v>1295.7201145516631</v>
      </c>
      <c r="F35" s="10"/>
      <c r="G35" s="10">
        <f t="shared" si="49"/>
        <v>0.16139316623459804</v>
      </c>
      <c r="H35" s="10">
        <f t="shared" si="49"/>
        <v>0.34623012371871587</v>
      </c>
      <c r="I35" s="10">
        <f t="shared" si="49"/>
        <v>0.39139646839128056</v>
      </c>
      <c r="J35" s="10">
        <f t="shared" si="49"/>
        <v>1.1177958540258135</v>
      </c>
    </row>
    <row r="36" spans="1:10" x14ac:dyDescent="0.25">
      <c r="A36" s="5" t="s">
        <v>68</v>
      </c>
      <c r="B36" s="10">
        <f t="shared" ref="B36:J36" si="50">MIN(B3:B32)</f>
        <v>23</v>
      </c>
      <c r="C36" s="10">
        <f t="shared" si="50"/>
        <v>60</v>
      </c>
      <c r="D36" s="10">
        <f t="shared" si="50"/>
        <v>0.15</v>
      </c>
      <c r="E36" s="10">
        <f t="shared" si="50"/>
        <v>199.66440718257067</v>
      </c>
      <c r="F36" s="10"/>
      <c r="G36" s="10">
        <f t="shared" si="50"/>
        <v>0.78125</v>
      </c>
      <c r="H36" s="10">
        <f t="shared" si="50"/>
        <v>0.77072187015759808</v>
      </c>
      <c r="I36" s="10">
        <f t="shared" si="50"/>
        <v>1.1720430107526882</v>
      </c>
      <c r="J36" s="10">
        <f t="shared" si="50"/>
        <v>1.5314004470494773</v>
      </c>
    </row>
    <row r="37" spans="1:10" x14ac:dyDescent="0.25">
      <c r="A37" s="5">
        <v>10</v>
      </c>
      <c r="B37" s="10">
        <f t="shared" ref="B37:E41" si="51">PERCENTILE(B$3:B$32,$A37/100)</f>
        <v>24.8</v>
      </c>
      <c r="C37" s="10">
        <f t="shared" si="51"/>
        <v>62.31</v>
      </c>
      <c r="D37" s="10">
        <f t="shared" si="51"/>
        <v>1.8530000000000002</v>
      </c>
      <c r="E37" s="10">
        <f t="shared" si="51"/>
        <v>262.76178163385373</v>
      </c>
      <c r="F37" s="10"/>
      <c r="G37" s="10">
        <f t="shared" ref="G37:J41" si="52">PERCENTILE(G$3:G$32,$A37/100)</f>
        <v>0.83471215351812367</v>
      </c>
      <c r="H37" s="10">
        <f t="shared" si="52"/>
        <v>0.81866377377013122</v>
      </c>
      <c r="I37" s="10">
        <f t="shared" si="52"/>
        <v>1.2638215888178987</v>
      </c>
      <c r="J37" s="10">
        <f t="shared" si="52"/>
        <v>1.634970430290259</v>
      </c>
    </row>
    <row r="38" spans="1:10" x14ac:dyDescent="0.25">
      <c r="A38" s="5">
        <v>25</v>
      </c>
      <c r="B38" s="10">
        <f t="shared" si="51"/>
        <v>25</v>
      </c>
      <c r="C38" s="10">
        <f t="shared" si="51"/>
        <v>63.2</v>
      </c>
      <c r="D38" s="10">
        <f t="shared" si="51"/>
        <v>30.48</v>
      </c>
      <c r="E38" s="10">
        <f t="shared" si="51"/>
        <v>337</v>
      </c>
      <c r="F38" s="10"/>
      <c r="G38" s="10">
        <f t="shared" si="52"/>
        <v>0.84782608695652173</v>
      </c>
      <c r="H38" s="10">
        <f t="shared" si="52"/>
        <v>0.89596319389427326</v>
      </c>
      <c r="I38" s="10">
        <f t="shared" si="52"/>
        <v>1.296651388014292</v>
      </c>
      <c r="J38" s="10">
        <f t="shared" si="52"/>
        <v>1.717312965518204</v>
      </c>
    </row>
    <row r="39" spans="1:10" x14ac:dyDescent="0.25">
      <c r="A39" s="5">
        <v>50</v>
      </c>
      <c r="B39" s="10">
        <f t="shared" si="51"/>
        <v>31.740000000000002</v>
      </c>
      <c r="C39" s="10">
        <f t="shared" si="51"/>
        <v>68.5</v>
      </c>
      <c r="D39" s="10">
        <f t="shared" si="51"/>
        <v>152.69999999999999</v>
      </c>
      <c r="E39" s="10">
        <f t="shared" si="51"/>
        <v>915</v>
      </c>
      <c r="F39" s="10"/>
      <c r="G39" s="10">
        <f t="shared" si="52"/>
        <v>0.95182012847965736</v>
      </c>
      <c r="H39" s="10">
        <f t="shared" si="52"/>
        <v>0.99977097892501754</v>
      </c>
      <c r="I39" s="10">
        <f t="shared" si="52"/>
        <v>1.3293113490061057</v>
      </c>
      <c r="J39" s="10">
        <f t="shared" si="52"/>
        <v>1.8893141586016617</v>
      </c>
    </row>
    <row r="40" spans="1:10" x14ac:dyDescent="0.25">
      <c r="A40" s="5">
        <v>75</v>
      </c>
      <c r="B40" s="10">
        <f t="shared" si="51"/>
        <v>40</v>
      </c>
      <c r="C40" s="10">
        <f t="shared" si="51"/>
        <v>73</v>
      </c>
      <c r="D40" s="10">
        <f t="shared" si="51"/>
        <v>357.67500000000001</v>
      </c>
      <c r="E40" s="10">
        <f t="shared" si="51"/>
        <v>2077.5</v>
      </c>
      <c r="F40" s="10"/>
      <c r="G40" s="10">
        <f t="shared" si="52"/>
        <v>0.99403973065873008</v>
      </c>
      <c r="H40" s="10">
        <f t="shared" si="52"/>
        <v>1.0515154492848564</v>
      </c>
      <c r="I40" s="10">
        <f t="shared" si="52"/>
        <v>1.7068895230330208</v>
      </c>
      <c r="J40" s="10">
        <f t="shared" si="52"/>
        <v>3.354945054945055</v>
      </c>
    </row>
    <row r="41" spans="1:10" x14ac:dyDescent="0.25">
      <c r="A41" s="5">
        <v>90</v>
      </c>
      <c r="B41" s="10">
        <f t="shared" si="51"/>
        <v>48</v>
      </c>
      <c r="C41" s="10">
        <f t="shared" si="51"/>
        <v>80.099999999999994</v>
      </c>
      <c r="D41" s="10">
        <f t="shared" si="51"/>
        <v>799.8</v>
      </c>
      <c r="E41" s="10">
        <f t="shared" si="51"/>
        <v>3189.8272863557399</v>
      </c>
      <c r="F41" s="10"/>
      <c r="G41" s="10">
        <f t="shared" si="52"/>
        <v>1.1135385573201164</v>
      </c>
      <c r="H41" s="10">
        <f t="shared" si="52"/>
        <v>1.5431589673913051</v>
      </c>
      <c r="I41" s="10">
        <f t="shared" si="52"/>
        <v>2.136232781303204</v>
      </c>
      <c r="J41" s="10">
        <f t="shared" si="52"/>
        <v>3.9464027407689382</v>
      </c>
    </row>
    <row r="42" spans="1:10" x14ac:dyDescent="0.25">
      <c r="A42" s="5" t="s">
        <v>69</v>
      </c>
      <c r="B42" s="10">
        <f>MAX(B3:B32)</f>
        <v>48</v>
      </c>
      <c r="C42" s="10">
        <f t="shared" ref="C42:J42" si="53">MAX(C3:C32)</f>
        <v>109</v>
      </c>
      <c r="D42" s="10">
        <f t="shared" si="53"/>
        <v>799.8</v>
      </c>
      <c r="E42" s="10">
        <f t="shared" si="53"/>
        <v>4670</v>
      </c>
      <c r="F42" s="10"/>
      <c r="G42" s="10">
        <f t="shared" si="53"/>
        <v>1.4610389610389611</v>
      </c>
      <c r="H42" s="10">
        <f t="shared" si="53"/>
        <v>2.0090090090090089</v>
      </c>
      <c r="I42" s="10">
        <f t="shared" si="53"/>
        <v>2.5285714285714285</v>
      </c>
      <c r="J42" s="10">
        <f t="shared" si="53"/>
        <v>5.6875</v>
      </c>
    </row>
    <row r="43" spans="1:10" x14ac:dyDescent="0.25">
      <c r="A43" s="5" t="s">
        <v>71</v>
      </c>
      <c r="B43" s="11">
        <f>COUNT(B3:B32)</f>
        <v>30</v>
      </c>
    </row>
    <row r="45" spans="1:10" x14ac:dyDescent="0.25">
      <c r="A45" t="s">
        <v>72</v>
      </c>
    </row>
    <row r="46" spans="1:10" x14ac:dyDescent="0.25">
      <c r="A46" s="5" t="s">
        <v>66</v>
      </c>
      <c r="B46">
        <f>AVERAGE(B3:B8)</f>
        <v>37.24666666666667</v>
      </c>
      <c r="C46">
        <f t="shared" ref="C46:J46" si="54">AVERAGE(C3:C8)</f>
        <v>81.5</v>
      </c>
      <c r="D46">
        <f t="shared" si="54"/>
        <v>30.793333333333337</v>
      </c>
      <c r="E46">
        <f t="shared" si="54"/>
        <v>1132.6666666666667</v>
      </c>
      <c r="F46">
        <f t="shared" si="54"/>
        <v>1.6666666666666667</v>
      </c>
      <c r="G46">
        <f t="shared" si="54"/>
        <v>1.4610389610389611</v>
      </c>
      <c r="H46">
        <f t="shared" si="54"/>
        <v>1.051643192488263</v>
      </c>
      <c r="I46">
        <f t="shared" si="54"/>
        <v>1.6125028424166981</v>
      </c>
      <c r="J46">
        <f t="shared" si="54"/>
        <v>3.1891786828705744</v>
      </c>
    </row>
    <row r="47" spans="1:10" x14ac:dyDescent="0.25">
      <c r="A47" s="5" t="s">
        <v>67</v>
      </c>
      <c r="B47">
        <f>STDEV(B3:B8)</f>
        <v>4.3392472465470782</v>
      </c>
      <c r="C47">
        <f t="shared" ref="C47:J47" si="55">STDEV(C3:C8)</f>
        <v>15.122830422906949</v>
      </c>
      <c r="D47">
        <f t="shared" si="55"/>
        <v>47.852046002931445</v>
      </c>
      <c r="E47">
        <f t="shared" si="55"/>
        <v>564.55528220597375</v>
      </c>
      <c r="F47">
        <f t="shared" si="55"/>
        <v>1.2110601416389966</v>
      </c>
      <c r="G47" t="e">
        <f t="shared" si="55"/>
        <v>#DIV/0!</v>
      </c>
      <c r="H47" t="e">
        <f t="shared" si="55"/>
        <v>#DIV/0!</v>
      </c>
      <c r="I47">
        <f t="shared" si="55"/>
        <v>0.39735920454965085</v>
      </c>
      <c r="J47">
        <f t="shared" si="55"/>
        <v>0.75149352374881639</v>
      </c>
    </row>
    <row r="49" spans="1:10" x14ac:dyDescent="0.25">
      <c r="A49" t="s">
        <v>79</v>
      </c>
    </row>
    <row r="50" spans="1:10" x14ac:dyDescent="0.25">
      <c r="A50" s="5" t="s">
        <v>66</v>
      </c>
      <c r="B50">
        <f>AVERAGE(B9:B12)</f>
        <v>28.610000000000003</v>
      </c>
      <c r="C50">
        <f t="shared" ref="C50:J50" si="56">AVERAGE(C9:C12)</f>
        <v>70.25</v>
      </c>
      <c r="D50">
        <f t="shared" si="56"/>
        <v>15.647500000000001</v>
      </c>
      <c r="E50">
        <f t="shared" si="56"/>
        <v>1030</v>
      </c>
      <c r="F50">
        <f t="shared" si="56"/>
        <v>1</v>
      </c>
      <c r="G50" t="e">
        <f t="shared" si="56"/>
        <v>#DIV/0!</v>
      </c>
      <c r="H50" t="e">
        <f t="shared" si="56"/>
        <v>#DIV/0!</v>
      </c>
      <c r="I50">
        <f t="shared" si="56"/>
        <v>1.8026265574542633</v>
      </c>
      <c r="J50">
        <f t="shared" si="56"/>
        <v>3.8185175572577283</v>
      </c>
    </row>
    <row r="51" spans="1:10" x14ac:dyDescent="0.25">
      <c r="A51" s="5" t="s">
        <v>67</v>
      </c>
      <c r="B51">
        <f>STDEV(B9:B12)</f>
        <v>3.7399999999999904</v>
      </c>
      <c r="C51">
        <f t="shared" ref="C51:J51" si="57">STDEV(C9:C12)</f>
        <v>2.6299556396765835</v>
      </c>
      <c r="D51">
        <f t="shared" si="57"/>
        <v>2.2720236941252745</v>
      </c>
      <c r="E51">
        <f t="shared" si="57"/>
        <v>578.67665121954474</v>
      </c>
      <c r="F51">
        <f t="shared" si="57"/>
        <v>0</v>
      </c>
      <c r="G51" t="e">
        <f t="shared" si="57"/>
        <v>#DIV/0!</v>
      </c>
      <c r="H51" t="e">
        <f t="shared" si="57"/>
        <v>#DIV/0!</v>
      </c>
      <c r="I51">
        <f t="shared" si="57"/>
        <v>0.59841700946041454</v>
      </c>
      <c r="J51">
        <f t="shared" si="57"/>
        <v>1.7794164344513117</v>
      </c>
    </row>
    <row r="52" spans="1:10" x14ac:dyDescent="0.25">
      <c r="A52" s="5"/>
    </row>
    <row r="53" spans="1:10" x14ac:dyDescent="0.25">
      <c r="A53" s="14" t="s">
        <v>74</v>
      </c>
    </row>
    <row r="54" spans="1:10" x14ac:dyDescent="0.25">
      <c r="A54" s="5" t="s">
        <v>66</v>
      </c>
      <c r="B54">
        <f>AVERAGE(B13:B23)</f>
        <v>41.636363636363633</v>
      </c>
      <c r="C54">
        <f t="shared" ref="C54:J54" si="58">AVERAGE(C13:C23)</f>
        <v>67.381818181818176</v>
      </c>
      <c r="D54">
        <f t="shared" si="58"/>
        <v>202.36363636363637</v>
      </c>
      <c r="E54">
        <f t="shared" si="58"/>
        <v>2593.0200943173686</v>
      </c>
      <c r="F54">
        <f t="shared" si="58"/>
        <v>4</v>
      </c>
      <c r="G54">
        <f t="shared" si="58"/>
        <v>0.93990738443022925</v>
      </c>
      <c r="H54">
        <f t="shared" si="58"/>
        <v>1.2448282341881038</v>
      </c>
      <c r="I54">
        <f t="shared" si="58"/>
        <v>1.5618807041345748</v>
      </c>
      <c r="J54">
        <f t="shared" si="58"/>
        <v>2.3138669018999534</v>
      </c>
    </row>
    <row r="55" spans="1:10" x14ac:dyDescent="0.25">
      <c r="A55" s="5" t="s">
        <v>67</v>
      </c>
      <c r="B55">
        <f>STDEV(B13:B23)</f>
        <v>8.9696457819997324</v>
      </c>
      <c r="C55">
        <f t="shared" ref="C55:J55" si="59">STDEV(C13:C23)</f>
        <v>6.4021587268386568</v>
      </c>
      <c r="D55">
        <f t="shared" si="59"/>
        <v>93.154809566949083</v>
      </c>
      <c r="E55">
        <f t="shared" si="59"/>
        <v>1348.03978879858</v>
      </c>
      <c r="F55">
        <f t="shared" si="59"/>
        <v>2.9495762407505248</v>
      </c>
      <c r="G55">
        <f t="shared" si="59"/>
        <v>9.775515832334418E-2</v>
      </c>
      <c r="H55">
        <f t="shared" si="59"/>
        <v>0.39700655253495615</v>
      </c>
      <c r="I55">
        <f t="shared" si="59"/>
        <v>0.42973713329725827</v>
      </c>
      <c r="J55">
        <f t="shared" si="59"/>
        <v>0.93552991967990651</v>
      </c>
    </row>
    <row r="57" spans="1:10" x14ac:dyDescent="0.25">
      <c r="A57" s="14" t="s">
        <v>75</v>
      </c>
    </row>
    <row r="58" spans="1:10" x14ac:dyDescent="0.25">
      <c r="A58" s="5" t="s">
        <v>66</v>
      </c>
      <c r="B58">
        <f>AVERAGE(B24:B32)</f>
        <v>27.111111111111111</v>
      </c>
      <c r="C58">
        <f t="shared" ref="C58:J58" si="60">AVERAGE(C24:C32)</f>
        <v>65.344444444444449</v>
      </c>
      <c r="D58">
        <f t="shared" si="60"/>
        <v>558.33333333333337</v>
      </c>
      <c r="E58">
        <f t="shared" si="60"/>
        <v>281.33414377441414</v>
      </c>
      <c r="F58">
        <f t="shared" si="60"/>
        <v>14.166666666666666</v>
      </c>
      <c r="G58">
        <f t="shared" si="60"/>
        <v>0.93520795669915235</v>
      </c>
      <c r="H58">
        <f t="shared" si="60"/>
        <v>0.86793491468401762</v>
      </c>
      <c r="I58">
        <f t="shared" si="60"/>
        <v>1.3673159038917206</v>
      </c>
      <c r="J58">
        <f t="shared" si="60"/>
        <v>1.9516119723353544</v>
      </c>
    </row>
    <row r="59" spans="1:10" x14ac:dyDescent="0.25">
      <c r="A59" s="5" t="s">
        <v>67</v>
      </c>
      <c r="B59">
        <f>STDEV(B24:B32)</f>
        <v>7.8810602783579249</v>
      </c>
      <c r="C59">
        <f t="shared" ref="C59:J59" si="61">STDEV(C24:C32)</f>
        <v>4.4153457144121546</v>
      </c>
      <c r="D59">
        <f t="shared" si="61"/>
        <v>314.8544028594805</v>
      </c>
      <c r="E59">
        <f t="shared" si="61"/>
        <v>52.607786126504422</v>
      </c>
      <c r="F59">
        <f t="shared" si="61"/>
        <v>2.5</v>
      </c>
      <c r="G59">
        <f t="shared" si="61"/>
        <v>0.1265719889012549</v>
      </c>
      <c r="H59">
        <f t="shared" si="61"/>
        <v>7.7872764996829144E-2</v>
      </c>
      <c r="I59">
        <f t="shared" si="61"/>
        <v>0.1378112606460124</v>
      </c>
      <c r="J59">
        <f t="shared" si="61"/>
        <v>0.55503438246084003</v>
      </c>
    </row>
  </sheetData>
  <mergeCells count="3">
    <mergeCell ref="N1:P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Fluoro</vt:lpstr>
      <vt:lpstr>Pulse</vt:lpstr>
      <vt:lpstr>Spot</vt:lpstr>
    </vt:vector>
  </TitlesOfParts>
  <Company>Medical University of South Carolina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dcterms:created xsi:type="dcterms:W3CDTF">2014-04-21T13:04:54Z</dcterms:created>
  <dcterms:modified xsi:type="dcterms:W3CDTF">2014-05-20T15:19:09Z</dcterms:modified>
</cp:coreProperties>
</file>