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eugenem\Documents\Projects\XRAY\Fluoro\FluoroSkinDose\"/>
    </mc:Choice>
  </mc:AlternateContent>
  <bookViews>
    <workbookView xWindow="0" yWindow="0" windowWidth="20490" windowHeight="9600" activeTab="3"/>
  </bookViews>
  <sheets>
    <sheet name="Fluoro" sheetId="3" r:id="rId1"/>
    <sheet name="Sheet2" sheetId="4" r:id="rId2"/>
    <sheet name="Sheet3" sheetId="5" r:id="rId3"/>
    <sheet name="Sheet4" sheetId="6" r:id="rId4"/>
    <sheet name="Spot" sheetId="7" r:id="rId5"/>
    <sheet name="DSA" sheetId="8" r:id="rId6"/>
  </sheets>
  <definedNames>
    <definedName name="_xlnm.Print_Area" localSheetId="5">DSA!$A$1:$J$2</definedName>
    <definedName name="_xlnm.Print_Area" localSheetId="0">Fluoro!$A$1:$K$46</definedName>
    <definedName name="_xlnm.Print_Area" localSheetId="4">Spot!$A$1:$J$30</definedName>
  </definedNames>
  <calcPr calcId="152511"/>
  <pivotCaches>
    <pivotCache cacheId="0" r:id="rId7"/>
    <pivotCache cacheId="1" r:id="rId8"/>
    <pivotCache cacheId="2" r:id="rId9"/>
    <pivotCache cacheId="3" r:id="rId10"/>
    <pivotCache cacheId="4" r:id="rId11"/>
    <pivotCache cacheId="14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5" i="6" l="1"/>
  <c r="K65" i="6"/>
  <c r="J65" i="6"/>
  <c r="I65" i="6"/>
  <c r="H65" i="6"/>
  <c r="G65" i="6"/>
  <c r="F65" i="6"/>
  <c r="E65" i="6"/>
  <c r="D65" i="6"/>
  <c r="C65" i="6"/>
  <c r="K64" i="6"/>
  <c r="J64" i="6"/>
  <c r="I64" i="6"/>
  <c r="H64" i="6"/>
  <c r="G64" i="6"/>
  <c r="F64" i="6"/>
  <c r="E64" i="6"/>
  <c r="D64" i="6"/>
  <c r="C64" i="6"/>
  <c r="K63" i="6"/>
  <c r="J63" i="6"/>
  <c r="I63" i="6"/>
  <c r="H63" i="6"/>
  <c r="G63" i="6"/>
  <c r="F63" i="6"/>
  <c r="E63" i="6"/>
  <c r="D63" i="6"/>
  <c r="C63" i="6"/>
  <c r="K62" i="6"/>
  <c r="J62" i="6"/>
  <c r="I62" i="6"/>
  <c r="H62" i="6"/>
  <c r="G62" i="6"/>
  <c r="F62" i="6"/>
  <c r="E62" i="6"/>
  <c r="D62" i="6"/>
  <c r="C62" i="6"/>
  <c r="K61" i="6"/>
  <c r="J61" i="6"/>
  <c r="I61" i="6"/>
  <c r="H61" i="6"/>
  <c r="G61" i="6"/>
  <c r="F61" i="6"/>
  <c r="E61" i="6"/>
  <c r="D61" i="6"/>
  <c r="C61" i="6"/>
  <c r="K60" i="6"/>
  <c r="J60" i="6"/>
  <c r="I60" i="6"/>
  <c r="H60" i="6"/>
  <c r="G60" i="6"/>
  <c r="F60" i="6"/>
  <c r="E60" i="6"/>
  <c r="D60" i="6"/>
  <c r="C60" i="6"/>
  <c r="K59" i="6"/>
  <c r="J59" i="6"/>
  <c r="I59" i="6"/>
  <c r="H59" i="6"/>
  <c r="G59" i="6"/>
  <c r="F59" i="6"/>
  <c r="E59" i="6"/>
  <c r="D59" i="6"/>
  <c r="C59" i="6"/>
  <c r="K58" i="6"/>
  <c r="J58" i="6"/>
  <c r="I58" i="6"/>
  <c r="H58" i="6"/>
  <c r="G58" i="6"/>
  <c r="F58" i="6"/>
  <c r="E58" i="6"/>
  <c r="D58" i="6"/>
  <c r="C58" i="6"/>
  <c r="K57" i="6"/>
  <c r="J57" i="6"/>
  <c r="I57" i="6"/>
  <c r="H57" i="6"/>
  <c r="G57" i="6"/>
  <c r="F57" i="6"/>
  <c r="E57" i="6"/>
  <c r="D57" i="6"/>
  <c r="C57" i="6"/>
  <c r="B65" i="6"/>
  <c r="B64" i="6"/>
  <c r="B63" i="6"/>
  <c r="B62" i="6"/>
  <c r="B61" i="6"/>
  <c r="B60" i="6"/>
  <c r="B59" i="6"/>
  <c r="B58" i="6"/>
  <c r="B57" i="6"/>
  <c r="E50" i="8" l="1"/>
  <c r="E49" i="8"/>
  <c r="M57" i="6"/>
  <c r="C105" i="3"/>
  <c r="D29" i="7" l="1"/>
  <c r="C30" i="7"/>
  <c r="B30" i="7"/>
  <c r="C29" i="7"/>
  <c r="B29" i="7"/>
  <c r="F39" i="8"/>
  <c r="F38" i="8"/>
  <c r="F37" i="8"/>
  <c r="F36" i="8"/>
  <c r="F35" i="8"/>
  <c r="F34" i="8"/>
  <c r="F33" i="8"/>
  <c r="F32" i="8"/>
  <c r="F31" i="8"/>
  <c r="F30" i="8"/>
  <c r="F29" i="8"/>
  <c r="F28" i="8"/>
  <c r="C44" i="7"/>
  <c r="B44" i="7"/>
  <c r="C43" i="7"/>
  <c r="B43" i="7"/>
  <c r="C42" i="7"/>
  <c r="B42" i="7"/>
  <c r="C41" i="7"/>
  <c r="B41" i="7"/>
  <c r="C40" i="7"/>
  <c r="B40" i="7"/>
  <c r="C22" i="7"/>
  <c r="C3" i="7"/>
  <c r="N3" i="6" l="1"/>
  <c r="K96" i="3"/>
  <c r="J96" i="3"/>
  <c r="I96" i="3"/>
  <c r="H96" i="3"/>
  <c r="G96" i="3"/>
  <c r="F96" i="3"/>
  <c r="E96" i="3"/>
  <c r="D96" i="3"/>
  <c r="C96" i="3"/>
  <c r="K95" i="3"/>
  <c r="J95" i="3"/>
  <c r="I95" i="3"/>
  <c r="H95" i="3"/>
  <c r="G95" i="3"/>
  <c r="F95" i="3"/>
  <c r="E95" i="3"/>
  <c r="D95" i="3"/>
  <c r="C95" i="3"/>
  <c r="B96" i="3"/>
  <c r="B95" i="3"/>
  <c r="K69" i="3"/>
  <c r="J69" i="3"/>
  <c r="I69" i="3"/>
  <c r="H69" i="3"/>
  <c r="G69" i="3"/>
  <c r="F69" i="3"/>
  <c r="E69" i="3"/>
  <c r="D69" i="3"/>
  <c r="C69" i="3"/>
  <c r="K68" i="3"/>
  <c r="J68" i="3"/>
  <c r="I68" i="3"/>
  <c r="H68" i="3"/>
  <c r="G68" i="3"/>
  <c r="F68" i="3"/>
  <c r="E68" i="3"/>
  <c r="D68" i="3"/>
  <c r="C68" i="3"/>
  <c r="B69" i="3"/>
  <c r="B68" i="3"/>
  <c r="K46" i="3"/>
  <c r="J46" i="3"/>
  <c r="I46" i="3"/>
  <c r="H46" i="3"/>
  <c r="G46" i="3"/>
  <c r="F46" i="3"/>
  <c r="E46" i="3"/>
  <c r="D46" i="3"/>
  <c r="C46" i="3"/>
  <c r="K45" i="3"/>
  <c r="J45" i="3"/>
  <c r="I45" i="3"/>
  <c r="H45" i="3"/>
  <c r="G45" i="3"/>
  <c r="F45" i="3"/>
  <c r="E45" i="3"/>
  <c r="D45" i="3"/>
  <c r="C45" i="3"/>
  <c r="B46" i="3"/>
  <c r="B45" i="3"/>
  <c r="K13" i="3"/>
  <c r="J13" i="3"/>
  <c r="I13" i="3"/>
  <c r="H13" i="3"/>
  <c r="G13" i="3"/>
  <c r="F13" i="3"/>
  <c r="E13" i="3"/>
  <c r="D13" i="3"/>
  <c r="C13" i="3"/>
  <c r="K12" i="3"/>
  <c r="J12" i="3"/>
  <c r="I12" i="3"/>
  <c r="H12" i="3"/>
  <c r="G12" i="3"/>
  <c r="F12" i="3"/>
  <c r="E12" i="3"/>
  <c r="D12" i="3"/>
  <c r="C12" i="3"/>
  <c r="B13" i="3"/>
  <c r="B12" i="3"/>
  <c r="J19" i="7"/>
  <c r="I19" i="7"/>
  <c r="H19" i="7"/>
  <c r="G19" i="7"/>
  <c r="J18" i="7"/>
  <c r="I18" i="7"/>
  <c r="H18" i="7"/>
  <c r="G18" i="7"/>
  <c r="J17" i="7"/>
  <c r="I17" i="7"/>
  <c r="H17" i="7"/>
  <c r="G17" i="7"/>
  <c r="J16" i="7"/>
  <c r="I16" i="7"/>
  <c r="H16" i="7"/>
  <c r="G16" i="7"/>
  <c r="J15" i="7"/>
  <c r="I15" i="7"/>
  <c r="H15" i="7"/>
  <c r="G15" i="7"/>
  <c r="J14" i="7"/>
  <c r="I14" i="7"/>
  <c r="H14" i="7"/>
  <c r="G14" i="7"/>
  <c r="J13" i="7"/>
  <c r="I13" i="7"/>
  <c r="H13" i="7"/>
  <c r="G13" i="7"/>
  <c r="J12" i="7"/>
  <c r="I12" i="7"/>
  <c r="H12" i="7"/>
  <c r="G12" i="7"/>
  <c r="J11" i="7"/>
  <c r="I11" i="7"/>
  <c r="H11" i="7"/>
  <c r="G11" i="7"/>
  <c r="E19" i="7"/>
  <c r="E18" i="7"/>
  <c r="E17" i="7"/>
  <c r="E16" i="7"/>
  <c r="E15" i="7"/>
  <c r="E14" i="7"/>
  <c r="E13" i="7"/>
  <c r="E12" i="7"/>
  <c r="E11" i="7"/>
  <c r="D14" i="7"/>
  <c r="D13" i="7"/>
  <c r="D12" i="7"/>
  <c r="D11" i="7"/>
  <c r="J44" i="7"/>
  <c r="I44" i="7"/>
  <c r="H44" i="7"/>
  <c r="G44" i="7"/>
  <c r="J43" i="7"/>
  <c r="I43" i="7"/>
  <c r="H43" i="7"/>
  <c r="G43" i="7"/>
  <c r="J42" i="7"/>
  <c r="I42" i="7"/>
  <c r="H42" i="7"/>
  <c r="G42" i="7"/>
  <c r="J41" i="7"/>
  <c r="I41" i="7"/>
  <c r="H41" i="7"/>
  <c r="G41" i="7"/>
  <c r="J40" i="7"/>
  <c r="I40" i="7"/>
  <c r="H40" i="7"/>
  <c r="G40" i="7"/>
  <c r="E44" i="7"/>
  <c r="E43" i="7"/>
  <c r="E42" i="7"/>
  <c r="E41" i="7"/>
  <c r="E40" i="7"/>
  <c r="D44" i="7"/>
  <c r="D43" i="7"/>
  <c r="D42" i="7"/>
  <c r="D41" i="7"/>
  <c r="D40" i="7"/>
  <c r="F28" i="7"/>
  <c r="F27" i="7"/>
  <c r="F26" i="7"/>
  <c r="F25" i="7"/>
  <c r="F24" i="7"/>
  <c r="D30" i="7"/>
  <c r="E29" i="7"/>
  <c r="U33" i="8" l="1"/>
  <c r="T33" i="8"/>
  <c r="S33" i="8"/>
  <c r="R33" i="8"/>
  <c r="P33" i="8"/>
  <c r="P30" i="8"/>
  <c r="U31" i="8" l="1"/>
  <c r="T31" i="8"/>
  <c r="S31" i="8"/>
  <c r="R31" i="8"/>
  <c r="P31" i="8"/>
  <c r="U30" i="8" l="1"/>
  <c r="T30" i="8"/>
  <c r="S30" i="8"/>
  <c r="R30" i="8"/>
  <c r="P29" i="8"/>
  <c r="U29" i="8"/>
  <c r="T29" i="8"/>
  <c r="S29" i="8"/>
  <c r="R29" i="8"/>
  <c r="P28" i="8"/>
  <c r="U28" i="8" l="1"/>
  <c r="T28" i="8"/>
  <c r="S28" i="8"/>
  <c r="R28" i="8"/>
  <c r="P9" i="8"/>
  <c r="U10" i="8" l="1"/>
  <c r="T10" i="8"/>
  <c r="S10" i="8"/>
  <c r="R10" i="8"/>
  <c r="R9" i="8"/>
  <c r="U9" i="8"/>
  <c r="T9" i="8"/>
  <c r="S9" i="8"/>
  <c r="F15" i="8" l="1"/>
  <c r="F14" i="8"/>
  <c r="F13" i="8"/>
  <c r="F12" i="8"/>
  <c r="F11" i="8"/>
  <c r="F10" i="8"/>
  <c r="F9" i="8"/>
  <c r="F8" i="8"/>
  <c r="F7" i="8"/>
  <c r="F6" i="8"/>
  <c r="F5" i="8"/>
  <c r="U28" i="7" l="1"/>
  <c r="T28" i="7"/>
  <c r="S28" i="7"/>
  <c r="R28" i="7"/>
  <c r="P28" i="7"/>
  <c r="T25" i="7" l="1"/>
  <c r="S25" i="7"/>
  <c r="R25" i="7"/>
  <c r="P25" i="7"/>
  <c r="P27" i="7" l="1"/>
  <c r="U27" i="7"/>
  <c r="T27" i="7"/>
  <c r="S27" i="7"/>
  <c r="R27" i="7"/>
  <c r="F10" i="7" l="1"/>
  <c r="F9" i="7"/>
  <c r="F8" i="7"/>
  <c r="F7" i="7"/>
  <c r="F6" i="7"/>
  <c r="F5" i="7"/>
  <c r="C5" i="7"/>
  <c r="D5" i="7"/>
  <c r="E5" i="7"/>
  <c r="J39" i="8" l="1"/>
  <c r="I39" i="8"/>
  <c r="H39" i="8"/>
  <c r="G39" i="8"/>
  <c r="E39" i="8"/>
  <c r="D39" i="8"/>
  <c r="C39" i="8"/>
  <c r="B39" i="8"/>
  <c r="A39" i="8"/>
  <c r="J38" i="8"/>
  <c r="I38" i="8"/>
  <c r="H38" i="8"/>
  <c r="G38" i="8"/>
  <c r="E38" i="8"/>
  <c r="D38" i="8"/>
  <c r="C38" i="8"/>
  <c r="B38" i="8"/>
  <c r="A38" i="8"/>
  <c r="J37" i="8"/>
  <c r="I37" i="8"/>
  <c r="H37" i="8"/>
  <c r="G37" i="8"/>
  <c r="E37" i="8"/>
  <c r="D37" i="8"/>
  <c r="C37" i="8"/>
  <c r="B37" i="8"/>
  <c r="A37" i="8"/>
  <c r="J36" i="8"/>
  <c r="I36" i="8"/>
  <c r="H36" i="8"/>
  <c r="G36" i="8"/>
  <c r="E36" i="8"/>
  <c r="D36" i="8"/>
  <c r="C36" i="8"/>
  <c r="B36" i="8"/>
  <c r="A36" i="8"/>
  <c r="J35" i="8"/>
  <c r="I35" i="8"/>
  <c r="H35" i="8"/>
  <c r="G35" i="8"/>
  <c r="E35" i="8"/>
  <c r="D35" i="8"/>
  <c r="C35" i="8"/>
  <c r="B35" i="8"/>
  <c r="A35" i="8"/>
  <c r="J34" i="8"/>
  <c r="I34" i="8"/>
  <c r="H34" i="8"/>
  <c r="G34" i="8"/>
  <c r="E34" i="8"/>
  <c r="D34" i="8"/>
  <c r="C34" i="8"/>
  <c r="B34" i="8"/>
  <c r="A34" i="8"/>
  <c r="J33" i="8"/>
  <c r="I33" i="8"/>
  <c r="H33" i="8"/>
  <c r="G33" i="8"/>
  <c r="E33" i="8"/>
  <c r="D33" i="8"/>
  <c r="C33" i="8"/>
  <c r="B33" i="8"/>
  <c r="A33" i="8"/>
  <c r="J32" i="8"/>
  <c r="I32" i="8"/>
  <c r="H32" i="8"/>
  <c r="G32" i="8"/>
  <c r="E32" i="8"/>
  <c r="D32" i="8"/>
  <c r="C32" i="8"/>
  <c r="B32" i="8"/>
  <c r="A32" i="8"/>
  <c r="J31" i="8"/>
  <c r="I31" i="8"/>
  <c r="H31" i="8"/>
  <c r="G31" i="8"/>
  <c r="E31" i="8"/>
  <c r="D31" i="8"/>
  <c r="C31" i="8"/>
  <c r="B31" i="8"/>
  <c r="A31" i="8"/>
  <c r="J30" i="8"/>
  <c r="I30" i="8"/>
  <c r="H30" i="8"/>
  <c r="G30" i="8"/>
  <c r="E30" i="8"/>
  <c r="D30" i="8"/>
  <c r="C30" i="8"/>
  <c r="B30" i="8"/>
  <c r="A30" i="8"/>
  <c r="J29" i="8"/>
  <c r="I29" i="8"/>
  <c r="H29" i="8"/>
  <c r="G29" i="8"/>
  <c r="E29" i="8"/>
  <c r="D29" i="8"/>
  <c r="C29" i="8"/>
  <c r="B29" i="8"/>
  <c r="A29" i="8"/>
  <c r="J28" i="8"/>
  <c r="I28" i="8"/>
  <c r="H28" i="8"/>
  <c r="G28" i="8"/>
  <c r="E28" i="8"/>
  <c r="D28" i="8"/>
  <c r="C28" i="8"/>
  <c r="B28" i="8"/>
  <c r="A28" i="8"/>
  <c r="J15" i="8"/>
  <c r="I15" i="8"/>
  <c r="H15" i="8"/>
  <c r="G15" i="8"/>
  <c r="E15" i="8"/>
  <c r="D15" i="8"/>
  <c r="C15" i="8"/>
  <c r="B15" i="8"/>
  <c r="A15" i="8"/>
  <c r="J14" i="8"/>
  <c r="I14" i="8"/>
  <c r="H14" i="8"/>
  <c r="G14" i="8"/>
  <c r="E14" i="8"/>
  <c r="D14" i="8"/>
  <c r="C14" i="8"/>
  <c r="B14" i="8"/>
  <c r="A14" i="8"/>
  <c r="J13" i="8"/>
  <c r="I13" i="8"/>
  <c r="H13" i="8"/>
  <c r="G13" i="8"/>
  <c r="E13" i="8"/>
  <c r="D13" i="8"/>
  <c r="C13" i="8"/>
  <c r="B13" i="8"/>
  <c r="A13" i="8"/>
  <c r="J12" i="8"/>
  <c r="I12" i="8"/>
  <c r="H12" i="8"/>
  <c r="G12" i="8"/>
  <c r="E12" i="8"/>
  <c r="D12" i="8"/>
  <c r="C12" i="8"/>
  <c r="B12" i="8"/>
  <c r="A12" i="8"/>
  <c r="J11" i="8"/>
  <c r="I11" i="8"/>
  <c r="H11" i="8"/>
  <c r="G11" i="8"/>
  <c r="E11" i="8"/>
  <c r="D11" i="8"/>
  <c r="C11" i="8"/>
  <c r="B11" i="8"/>
  <c r="A11" i="8"/>
  <c r="J10" i="8"/>
  <c r="I10" i="8"/>
  <c r="H10" i="8"/>
  <c r="G10" i="8"/>
  <c r="E10" i="8"/>
  <c r="D10" i="8"/>
  <c r="C10" i="8"/>
  <c r="B10" i="8"/>
  <c r="A10" i="8"/>
  <c r="J9" i="8"/>
  <c r="I9" i="8"/>
  <c r="H9" i="8"/>
  <c r="G9" i="8"/>
  <c r="E9" i="8"/>
  <c r="D9" i="8"/>
  <c r="C9" i="8"/>
  <c r="B9" i="8"/>
  <c r="A9" i="8"/>
  <c r="J8" i="8"/>
  <c r="I8" i="8"/>
  <c r="H8" i="8"/>
  <c r="G8" i="8"/>
  <c r="E8" i="8"/>
  <c r="D8" i="8"/>
  <c r="C8" i="8"/>
  <c r="B8" i="8"/>
  <c r="A8" i="8"/>
  <c r="J7" i="8"/>
  <c r="I7" i="8"/>
  <c r="H7" i="8"/>
  <c r="G7" i="8"/>
  <c r="E7" i="8"/>
  <c r="D7" i="8"/>
  <c r="C7" i="8"/>
  <c r="B7" i="8"/>
  <c r="A7" i="8"/>
  <c r="J6" i="8"/>
  <c r="I6" i="8"/>
  <c r="H6" i="8"/>
  <c r="G6" i="8"/>
  <c r="E6" i="8"/>
  <c r="D6" i="8"/>
  <c r="C6" i="8"/>
  <c r="B6" i="8"/>
  <c r="A6" i="8"/>
  <c r="J5" i="8"/>
  <c r="I5" i="8"/>
  <c r="H5" i="8"/>
  <c r="G5" i="8"/>
  <c r="E5" i="8"/>
  <c r="D5" i="8"/>
  <c r="C5" i="8"/>
  <c r="B5" i="8"/>
  <c r="A5" i="8"/>
  <c r="J28" i="7"/>
  <c r="I28" i="7"/>
  <c r="H28" i="7"/>
  <c r="G28" i="7"/>
  <c r="E28" i="7"/>
  <c r="D28" i="7"/>
  <c r="C28" i="7"/>
  <c r="B28" i="7"/>
  <c r="A28" i="7"/>
  <c r="J27" i="7"/>
  <c r="I27" i="7"/>
  <c r="H27" i="7"/>
  <c r="G27" i="7"/>
  <c r="E27" i="7"/>
  <c r="D27" i="7"/>
  <c r="C27" i="7"/>
  <c r="B27" i="7"/>
  <c r="A27" i="7"/>
  <c r="J26" i="7"/>
  <c r="I26" i="7"/>
  <c r="H26" i="7"/>
  <c r="G26" i="7"/>
  <c r="E26" i="7"/>
  <c r="D26" i="7"/>
  <c r="C26" i="7"/>
  <c r="B26" i="7"/>
  <c r="A26" i="7"/>
  <c r="J25" i="7"/>
  <c r="I25" i="7"/>
  <c r="H25" i="7"/>
  <c r="G25" i="7"/>
  <c r="E25" i="7"/>
  <c r="D25" i="7"/>
  <c r="C25" i="7"/>
  <c r="B25" i="7"/>
  <c r="A25" i="7"/>
  <c r="J24" i="7"/>
  <c r="I24" i="7"/>
  <c r="H24" i="7"/>
  <c r="G24" i="7"/>
  <c r="E24" i="7"/>
  <c r="D24" i="7"/>
  <c r="C24" i="7"/>
  <c r="B24" i="7"/>
  <c r="A24" i="7"/>
  <c r="J10" i="7"/>
  <c r="I10" i="7"/>
  <c r="H10" i="7"/>
  <c r="G10" i="7"/>
  <c r="E10" i="7"/>
  <c r="D10" i="7"/>
  <c r="C10" i="7"/>
  <c r="B10" i="7"/>
  <c r="A10" i="7"/>
  <c r="J9" i="7"/>
  <c r="I9" i="7"/>
  <c r="H9" i="7"/>
  <c r="G9" i="7"/>
  <c r="E9" i="7"/>
  <c r="D9" i="7"/>
  <c r="C9" i="7"/>
  <c r="B9" i="7"/>
  <c r="A9" i="7"/>
  <c r="J8" i="7"/>
  <c r="I8" i="7"/>
  <c r="H8" i="7"/>
  <c r="G8" i="7"/>
  <c r="E8" i="7"/>
  <c r="D8" i="7"/>
  <c r="C8" i="7"/>
  <c r="B8" i="7"/>
  <c r="A8" i="7"/>
  <c r="J7" i="7"/>
  <c r="I7" i="7"/>
  <c r="H7" i="7"/>
  <c r="G7" i="7"/>
  <c r="E7" i="7"/>
  <c r="D7" i="7"/>
  <c r="C7" i="7"/>
  <c r="B7" i="7"/>
  <c r="A7" i="7"/>
  <c r="J6" i="7"/>
  <c r="I6" i="7"/>
  <c r="G6" i="7"/>
  <c r="E6" i="7"/>
  <c r="D6" i="7"/>
  <c r="C6" i="7"/>
  <c r="B6" i="7"/>
  <c r="A6" i="7"/>
  <c r="J5" i="7"/>
  <c r="I5" i="7"/>
  <c r="H5" i="7"/>
  <c r="G5" i="7"/>
  <c r="B5" i="7"/>
  <c r="A5" i="7"/>
  <c r="J55" i="8" l="1"/>
  <c r="J54" i="8"/>
  <c r="J53" i="8"/>
  <c r="J52" i="8"/>
  <c r="J51" i="8"/>
  <c r="J17" i="8"/>
  <c r="J16" i="8"/>
  <c r="B45" i="8"/>
  <c r="B40" i="8"/>
  <c r="B41" i="8"/>
  <c r="B55" i="8"/>
  <c r="B51" i="8"/>
  <c r="B53" i="8"/>
  <c r="B52" i="8"/>
  <c r="B54" i="8"/>
  <c r="B16" i="8"/>
  <c r="B17" i="8"/>
  <c r="G55" i="8"/>
  <c r="G54" i="8"/>
  <c r="G53" i="8"/>
  <c r="G52" i="8"/>
  <c r="G51" i="8"/>
  <c r="G17" i="8"/>
  <c r="G16" i="8"/>
  <c r="C40" i="8"/>
  <c r="C41" i="8"/>
  <c r="H40" i="8"/>
  <c r="H41" i="8"/>
  <c r="H54" i="8"/>
  <c r="H53" i="8"/>
  <c r="H52" i="8"/>
  <c r="H51" i="8"/>
  <c r="H55" i="8"/>
  <c r="H17" i="8"/>
  <c r="H16" i="8"/>
  <c r="D40" i="8"/>
  <c r="D41" i="8"/>
  <c r="I45" i="8"/>
  <c r="I41" i="8"/>
  <c r="I40" i="8"/>
  <c r="E54" i="8"/>
  <c r="E52" i="8"/>
  <c r="E53" i="8"/>
  <c r="E51" i="8"/>
  <c r="E55" i="8"/>
  <c r="E16" i="8"/>
  <c r="E17" i="8"/>
  <c r="G41" i="8"/>
  <c r="G40" i="8"/>
  <c r="C52" i="8"/>
  <c r="C53" i="8"/>
  <c r="C54" i="8"/>
  <c r="C55" i="8"/>
  <c r="C51" i="8"/>
  <c r="C17" i="8"/>
  <c r="C16" i="8"/>
  <c r="D53" i="8"/>
  <c r="D55" i="8"/>
  <c r="D51" i="8"/>
  <c r="D52" i="8"/>
  <c r="D54" i="8"/>
  <c r="D16" i="8"/>
  <c r="D17" i="8"/>
  <c r="I55" i="8"/>
  <c r="I54" i="8"/>
  <c r="I53" i="8"/>
  <c r="I52" i="8"/>
  <c r="I51" i="8"/>
  <c r="I17" i="8"/>
  <c r="I16" i="8"/>
  <c r="C26" i="8"/>
  <c r="E40" i="8"/>
  <c r="E41" i="8"/>
  <c r="J41" i="8"/>
  <c r="J40" i="8"/>
  <c r="D20" i="8"/>
  <c r="G24" i="8"/>
  <c r="B24" i="8"/>
  <c r="I24" i="8"/>
  <c r="D24" i="8"/>
  <c r="G22" i="8"/>
  <c r="C3" i="8"/>
  <c r="C23" i="8"/>
  <c r="J23" i="8"/>
  <c r="D18" i="8"/>
  <c r="I19" i="8"/>
  <c r="B23" i="8"/>
  <c r="G21" i="8"/>
  <c r="G18" i="8"/>
  <c r="I21" i="8"/>
  <c r="I46" i="8"/>
  <c r="B21" i="8"/>
  <c r="D23" i="8"/>
  <c r="E24" i="8"/>
  <c r="H24" i="8"/>
  <c r="B19" i="8"/>
  <c r="G20" i="8"/>
  <c r="D22" i="8"/>
  <c r="I23" i="8"/>
  <c r="D36" i="7"/>
  <c r="B33" i="7"/>
  <c r="I31" i="7"/>
  <c r="I37" i="7"/>
  <c r="G34" i="7"/>
  <c r="B35" i="7"/>
  <c r="B11" i="7"/>
  <c r="B18" i="7"/>
  <c r="C11" i="7"/>
  <c r="B12" i="7"/>
  <c r="C18" i="7"/>
  <c r="D37" i="7"/>
  <c r="G37" i="7"/>
  <c r="G36" i="7"/>
  <c r="D48" i="8"/>
  <c r="D44" i="8"/>
  <c r="D47" i="8"/>
  <c r="D43" i="8"/>
  <c r="D46" i="8"/>
  <c r="D42" i="8"/>
  <c r="D45" i="8"/>
  <c r="G46" i="8"/>
  <c r="G42" i="8"/>
  <c r="G45" i="8"/>
  <c r="G48" i="8"/>
  <c r="G44" i="8"/>
  <c r="G47" i="8"/>
  <c r="G43" i="8"/>
  <c r="B46" i="8"/>
  <c r="B42" i="8"/>
  <c r="I42" i="8"/>
  <c r="B18" i="8"/>
  <c r="I18" i="8"/>
  <c r="G19" i="8"/>
  <c r="D21" i="8"/>
  <c r="B22" i="8"/>
  <c r="I22" i="8"/>
  <c r="G23" i="8"/>
  <c r="E48" i="8"/>
  <c r="H48" i="8"/>
  <c r="B43" i="8"/>
  <c r="I43" i="8"/>
  <c r="B47" i="8"/>
  <c r="I47" i="8"/>
  <c r="B44" i="8"/>
  <c r="I44" i="8"/>
  <c r="B48" i="8"/>
  <c r="I48" i="8"/>
  <c r="D19" i="8"/>
  <c r="B20" i="8"/>
  <c r="I20" i="8"/>
  <c r="C47" i="8"/>
  <c r="J47" i="8"/>
  <c r="C18" i="8"/>
  <c r="J18" i="8"/>
  <c r="E19" i="8"/>
  <c r="H19" i="8"/>
  <c r="C20" i="8"/>
  <c r="J20" i="8"/>
  <c r="E21" i="8"/>
  <c r="H21" i="8"/>
  <c r="C22" i="8"/>
  <c r="J22" i="8"/>
  <c r="E23" i="8"/>
  <c r="H23" i="8"/>
  <c r="C24" i="8"/>
  <c r="J24" i="8"/>
  <c r="C42" i="8"/>
  <c r="J42" i="8"/>
  <c r="E43" i="8"/>
  <c r="H43" i="8"/>
  <c r="C44" i="8"/>
  <c r="J44" i="8"/>
  <c r="E45" i="8"/>
  <c r="H45" i="8"/>
  <c r="C46" i="8"/>
  <c r="J46" i="8"/>
  <c r="E47" i="8"/>
  <c r="H47" i="8"/>
  <c r="C48" i="8"/>
  <c r="J48" i="8"/>
  <c r="E18" i="8"/>
  <c r="H18" i="8"/>
  <c r="C19" i="8"/>
  <c r="J19" i="8"/>
  <c r="E20" i="8"/>
  <c r="H20" i="8"/>
  <c r="C21" i="8"/>
  <c r="J21" i="8"/>
  <c r="E22" i="8"/>
  <c r="H22" i="8"/>
  <c r="E42" i="8"/>
  <c r="H42" i="8"/>
  <c r="C43" i="8"/>
  <c r="J43" i="8"/>
  <c r="E44" i="8"/>
  <c r="H44" i="8"/>
  <c r="C45" i="8"/>
  <c r="J45" i="8"/>
  <c r="E46" i="8"/>
  <c r="H46" i="8"/>
  <c r="D19" i="7"/>
  <c r="B16" i="7"/>
  <c r="D17" i="7"/>
  <c r="C19" i="7"/>
  <c r="H37" i="7"/>
  <c r="H35" i="7"/>
  <c r="H33" i="7"/>
  <c r="H31" i="7"/>
  <c r="H29" i="7"/>
  <c r="H36" i="7"/>
  <c r="H34" i="7"/>
  <c r="H32" i="7"/>
  <c r="H30" i="7"/>
  <c r="G30" i="7"/>
  <c r="D32" i="7"/>
  <c r="I33" i="7"/>
  <c r="B37" i="7"/>
  <c r="B14" i="7"/>
  <c r="D15" i="7"/>
  <c r="C12" i="7"/>
  <c r="B19" i="7"/>
  <c r="B13" i="7"/>
  <c r="B15" i="7"/>
  <c r="D16" i="7"/>
  <c r="B17" i="7"/>
  <c r="D18" i="7"/>
  <c r="B36" i="7"/>
  <c r="I36" i="7"/>
  <c r="B31" i="7"/>
  <c r="G32" i="7"/>
  <c r="D34" i="7"/>
  <c r="I35" i="7"/>
  <c r="C14" i="7"/>
  <c r="C16" i="7"/>
  <c r="E37" i="7"/>
  <c r="E35" i="7"/>
  <c r="E33" i="7"/>
  <c r="E31" i="7"/>
  <c r="E36" i="7"/>
  <c r="E34" i="7"/>
  <c r="E32" i="7"/>
  <c r="E30" i="7"/>
  <c r="C13" i="7"/>
  <c r="C15" i="7"/>
  <c r="C17" i="7"/>
  <c r="C36" i="7"/>
  <c r="J36" i="7"/>
  <c r="I29" i="7"/>
  <c r="J29" i="7"/>
  <c r="C31" i="7"/>
  <c r="J31" i="7"/>
  <c r="C33" i="7"/>
  <c r="J33" i="7"/>
  <c r="C35" i="7"/>
  <c r="J35" i="7"/>
  <c r="C37" i="7"/>
  <c r="J37" i="7"/>
  <c r="G29" i="7"/>
  <c r="I30" i="7"/>
  <c r="D31" i="7"/>
  <c r="G31" i="7"/>
  <c r="B32" i="7"/>
  <c r="I32" i="7"/>
  <c r="D33" i="7"/>
  <c r="G33" i="7"/>
  <c r="B34" i="7"/>
  <c r="I34" i="7"/>
  <c r="D35" i="7"/>
  <c r="G35" i="7"/>
  <c r="J30" i="7"/>
  <c r="C32" i="7"/>
  <c r="J32" i="7"/>
  <c r="C34" i="7"/>
  <c r="J34" i="7"/>
  <c r="W59" i="6"/>
  <c r="V59" i="6"/>
  <c r="U59" i="6"/>
  <c r="T59" i="6"/>
  <c r="S59" i="6"/>
  <c r="R59" i="6"/>
  <c r="Q59" i="6"/>
  <c r="P59" i="6"/>
  <c r="O59" i="6"/>
  <c r="N59" i="6"/>
  <c r="M59" i="6"/>
  <c r="W58" i="6"/>
  <c r="V58" i="6"/>
  <c r="U58" i="6"/>
  <c r="T58" i="6"/>
  <c r="S58" i="6"/>
  <c r="R58" i="6"/>
  <c r="Q58" i="6"/>
  <c r="P58" i="6"/>
  <c r="O58" i="6"/>
  <c r="N58" i="6"/>
  <c r="M58" i="6"/>
  <c r="W57" i="6"/>
  <c r="V57" i="6"/>
  <c r="U57" i="6"/>
  <c r="T57" i="6"/>
  <c r="S57" i="6"/>
  <c r="R57" i="6"/>
  <c r="Q57" i="6"/>
  <c r="P57" i="6"/>
  <c r="O57" i="6"/>
  <c r="N57" i="6"/>
  <c r="W56" i="6"/>
  <c r="V56" i="6"/>
  <c r="U56" i="6"/>
  <c r="T56" i="6"/>
  <c r="S56" i="6"/>
  <c r="R56" i="6"/>
  <c r="Q56" i="6"/>
  <c r="P56" i="6"/>
  <c r="O56" i="6"/>
  <c r="N56" i="6"/>
  <c r="M56" i="6"/>
  <c r="W55" i="6"/>
  <c r="V55" i="6"/>
  <c r="U55" i="6"/>
  <c r="T55" i="6"/>
  <c r="S55" i="6"/>
  <c r="R55" i="6"/>
  <c r="Q55" i="6"/>
  <c r="P55" i="6"/>
  <c r="O55" i="6"/>
  <c r="N55" i="6"/>
  <c r="M55" i="6"/>
  <c r="W54" i="6"/>
  <c r="V54" i="6"/>
  <c r="U54" i="6"/>
  <c r="T54" i="6"/>
  <c r="S54" i="6"/>
  <c r="R54" i="6"/>
  <c r="Q54" i="6"/>
  <c r="P54" i="6"/>
  <c r="O54" i="6"/>
  <c r="N54" i="6"/>
  <c r="M54" i="6"/>
  <c r="W53" i="6"/>
  <c r="V53" i="6"/>
  <c r="U53" i="6"/>
  <c r="T53" i="6"/>
  <c r="S53" i="6"/>
  <c r="R53" i="6"/>
  <c r="Q53" i="6"/>
  <c r="P53" i="6"/>
  <c r="O53" i="6"/>
  <c r="N53" i="6"/>
  <c r="M53" i="6"/>
  <c r="W52" i="6"/>
  <c r="V52" i="6"/>
  <c r="U52" i="6"/>
  <c r="T52" i="6"/>
  <c r="S52" i="6"/>
  <c r="R52" i="6"/>
  <c r="Q52" i="6"/>
  <c r="P52" i="6"/>
  <c r="O52" i="6"/>
  <c r="N52" i="6"/>
  <c r="M52" i="6"/>
  <c r="W51" i="6"/>
  <c r="V51" i="6"/>
  <c r="U51" i="6"/>
  <c r="T51" i="6"/>
  <c r="S51" i="6"/>
  <c r="R51" i="6"/>
  <c r="Q51" i="6"/>
  <c r="P51" i="6"/>
  <c r="O51" i="6"/>
  <c r="N51" i="6"/>
  <c r="M51" i="6"/>
  <c r="W47" i="6"/>
  <c r="V47" i="6"/>
  <c r="U47" i="6"/>
  <c r="T47" i="6"/>
  <c r="S47" i="6"/>
  <c r="R47" i="6"/>
  <c r="Q47" i="6"/>
  <c r="P47" i="6"/>
  <c r="O47" i="6"/>
  <c r="N47" i="6"/>
  <c r="M47" i="6"/>
  <c r="W46" i="6"/>
  <c r="V46" i="6"/>
  <c r="U46" i="6"/>
  <c r="T46" i="6"/>
  <c r="S46" i="6"/>
  <c r="R46" i="6"/>
  <c r="Q46" i="6"/>
  <c r="P46" i="6"/>
  <c r="O46" i="6"/>
  <c r="N46" i="6"/>
  <c r="M46" i="6"/>
  <c r="W45" i="6"/>
  <c r="V45" i="6"/>
  <c r="U45" i="6"/>
  <c r="T45" i="6"/>
  <c r="S45" i="6"/>
  <c r="R45" i="6"/>
  <c r="Q45" i="6"/>
  <c r="P45" i="6"/>
  <c r="O45" i="6"/>
  <c r="N45" i="6"/>
  <c r="M45" i="6"/>
  <c r="W44" i="6"/>
  <c r="V44" i="6"/>
  <c r="U44" i="6"/>
  <c r="T44" i="6"/>
  <c r="S44" i="6"/>
  <c r="R44" i="6"/>
  <c r="Q44" i="6"/>
  <c r="P44" i="6"/>
  <c r="O44" i="6"/>
  <c r="N44" i="6"/>
  <c r="M44" i="6"/>
  <c r="W43" i="6"/>
  <c r="V43" i="6"/>
  <c r="U43" i="6"/>
  <c r="T43" i="6"/>
  <c r="S43" i="6"/>
  <c r="R43" i="6"/>
  <c r="Q43" i="6"/>
  <c r="P43" i="6"/>
  <c r="O43" i="6"/>
  <c r="N43" i="6"/>
  <c r="M43" i="6"/>
  <c r="W42" i="6"/>
  <c r="V42" i="6"/>
  <c r="U42" i="6"/>
  <c r="T42" i="6"/>
  <c r="S42" i="6"/>
  <c r="R42" i="6"/>
  <c r="Q42" i="6"/>
  <c r="P42" i="6"/>
  <c r="O42" i="6"/>
  <c r="N42" i="6"/>
  <c r="M42" i="6"/>
  <c r="W41" i="6"/>
  <c r="V41" i="6"/>
  <c r="U41" i="6"/>
  <c r="T41" i="6"/>
  <c r="S41" i="6"/>
  <c r="R41" i="6"/>
  <c r="Q41" i="6"/>
  <c r="P41" i="6"/>
  <c r="O41" i="6"/>
  <c r="N41" i="6"/>
  <c r="M41" i="6"/>
  <c r="W40" i="6"/>
  <c r="V40" i="6"/>
  <c r="U40" i="6"/>
  <c r="T40" i="6"/>
  <c r="S40" i="6"/>
  <c r="R40" i="6"/>
  <c r="Q40" i="6"/>
  <c r="P40" i="6"/>
  <c r="O40" i="6"/>
  <c r="N40" i="6"/>
  <c r="M40" i="6"/>
  <c r="W39" i="6"/>
  <c r="V39" i="6"/>
  <c r="U39" i="6"/>
  <c r="T39" i="6"/>
  <c r="S39" i="6"/>
  <c r="R39" i="6"/>
  <c r="Q39" i="6"/>
  <c r="P39" i="6"/>
  <c r="O39" i="6"/>
  <c r="N39" i="6"/>
  <c r="M39" i="6"/>
  <c r="W35" i="6"/>
  <c r="V35" i="6"/>
  <c r="U35" i="6"/>
  <c r="T35" i="6"/>
  <c r="S35" i="6"/>
  <c r="R35" i="6"/>
  <c r="Q35" i="6"/>
  <c r="P35" i="6"/>
  <c r="O35" i="6"/>
  <c r="N35" i="6"/>
  <c r="M35" i="6"/>
  <c r="W34" i="6"/>
  <c r="V34" i="6"/>
  <c r="U34" i="6"/>
  <c r="T34" i="6"/>
  <c r="S34" i="6"/>
  <c r="R34" i="6"/>
  <c r="Q34" i="6"/>
  <c r="P34" i="6"/>
  <c r="O34" i="6"/>
  <c r="N34" i="6"/>
  <c r="M34" i="6"/>
  <c r="W33" i="6"/>
  <c r="V33" i="6"/>
  <c r="U33" i="6"/>
  <c r="T33" i="6"/>
  <c r="S33" i="6"/>
  <c r="R33" i="6"/>
  <c r="Q33" i="6"/>
  <c r="P33" i="6"/>
  <c r="O33" i="6"/>
  <c r="N33" i="6"/>
  <c r="M33" i="6"/>
  <c r="W32" i="6"/>
  <c r="V32" i="6"/>
  <c r="U32" i="6"/>
  <c r="T32" i="6"/>
  <c r="S32" i="6"/>
  <c r="R32" i="6"/>
  <c r="Q32" i="6"/>
  <c r="P32" i="6"/>
  <c r="O32" i="6"/>
  <c r="N32" i="6"/>
  <c r="M32" i="6"/>
  <c r="W31" i="6"/>
  <c r="V31" i="6"/>
  <c r="U31" i="6"/>
  <c r="T31" i="6"/>
  <c r="S31" i="6"/>
  <c r="R31" i="6"/>
  <c r="Q31" i="6"/>
  <c r="P31" i="6"/>
  <c r="O31" i="6"/>
  <c r="N31" i="6"/>
  <c r="M31" i="6"/>
  <c r="W30" i="6"/>
  <c r="V30" i="6"/>
  <c r="U30" i="6"/>
  <c r="T30" i="6"/>
  <c r="S30" i="6"/>
  <c r="R30" i="6"/>
  <c r="Q30" i="6"/>
  <c r="P30" i="6"/>
  <c r="O30" i="6"/>
  <c r="N30" i="6"/>
  <c r="M30" i="6"/>
  <c r="W29" i="6"/>
  <c r="V29" i="6"/>
  <c r="U29" i="6"/>
  <c r="T29" i="6"/>
  <c r="S29" i="6"/>
  <c r="R29" i="6"/>
  <c r="Q29" i="6"/>
  <c r="P29" i="6"/>
  <c r="O29" i="6"/>
  <c r="N29" i="6"/>
  <c r="M29" i="6"/>
  <c r="W28" i="6"/>
  <c r="V28" i="6"/>
  <c r="U28" i="6"/>
  <c r="T28" i="6"/>
  <c r="S28" i="6"/>
  <c r="R28" i="6"/>
  <c r="Q28" i="6"/>
  <c r="P28" i="6"/>
  <c r="O28" i="6"/>
  <c r="N28" i="6"/>
  <c r="M28" i="6"/>
  <c r="W27" i="6"/>
  <c r="V27" i="6"/>
  <c r="U27" i="6"/>
  <c r="T27" i="6"/>
  <c r="S27" i="6"/>
  <c r="R27" i="6"/>
  <c r="Q27" i="6"/>
  <c r="P27" i="6"/>
  <c r="O27" i="6"/>
  <c r="N27" i="6"/>
  <c r="M27" i="6"/>
  <c r="W23" i="6"/>
  <c r="V23" i="6"/>
  <c r="U23" i="6"/>
  <c r="T23" i="6"/>
  <c r="S23" i="6"/>
  <c r="R23" i="6"/>
  <c r="Q23" i="6"/>
  <c r="P23" i="6"/>
  <c r="O23" i="6"/>
  <c r="N23" i="6"/>
  <c r="M23" i="6"/>
  <c r="W22" i="6"/>
  <c r="V22" i="6"/>
  <c r="U22" i="6"/>
  <c r="T22" i="6"/>
  <c r="S22" i="6"/>
  <c r="R22" i="6"/>
  <c r="Q22" i="6"/>
  <c r="P22" i="6"/>
  <c r="O22" i="6"/>
  <c r="N22" i="6"/>
  <c r="M22" i="6"/>
  <c r="W21" i="6"/>
  <c r="V21" i="6"/>
  <c r="U21" i="6"/>
  <c r="T21" i="6"/>
  <c r="S21" i="6"/>
  <c r="R21" i="6"/>
  <c r="Q21" i="6"/>
  <c r="P21" i="6"/>
  <c r="O21" i="6"/>
  <c r="N21" i="6"/>
  <c r="M21" i="6"/>
  <c r="W20" i="6"/>
  <c r="V20" i="6"/>
  <c r="U20" i="6"/>
  <c r="T20" i="6"/>
  <c r="S20" i="6"/>
  <c r="R20" i="6"/>
  <c r="Q20" i="6"/>
  <c r="P20" i="6"/>
  <c r="O20" i="6"/>
  <c r="N20" i="6"/>
  <c r="M20" i="6"/>
  <c r="W19" i="6"/>
  <c r="V19" i="6"/>
  <c r="U19" i="6"/>
  <c r="T19" i="6"/>
  <c r="S19" i="6"/>
  <c r="R19" i="6"/>
  <c r="Q19" i="6"/>
  <c r="P19" i="6"/>
  <c r="O19" i="6"/>
  <c r="N19" i="6"/>
  <c r="M19" i="6"/>
  <c r="W18" i="6"/>
  <c r="V18" i="6"/>
  <c r="U18" i="6"/>
  <c r="T18" i="6"/>
  <c r="S18" i="6"/>
  <c r="R18" i="6"/>
  <c r="Q18" i="6"/>
  <c r="P18" i="6"/>
  <c r="O18" i="6"/>
  <c r="N18" i="6"/>
  <c r="M18" i="6"/>
  <c r="W17" i="6"/>
  <c r="V17" i="6"/>
  <c r="U17" i="6"/>
  <c r="T17" i="6"/>
  <c r="S17" i="6"/>
  <c r="R17" i="6"/>
  <c r="Q17" i="6"/>
  <c r="P17" i="6"/>
  <c r="O17" i="6"/>
  <c r="N17" i="6"/>
  <c r="M17" i="6"/>
  <c r="W16" i="6"/>
  <c r="V16" i="6"/>
  <c r="U16" i="6"/>
  <c r="T16" i="6"/>
  <c r="S16" i="6"/>
  <c r="R16" i="6"/>
  <c r="Q16" i="6"/>
  <c r="P16" i="6"/>
  <c r="O16" i="6"/>
  <c r="N16" i="6"/>
  <c r="M16" i="6"/>
  <c r="W15" i="6"/>
  <c r="V15" i="6"/>
  <c r="U15" i="6"/>
  <c r="T15" i="6"/>
  <c r="S15" i="6"/>
  <c r="R15" i="6"/>
  <c r="Q15" i="6"/>
  <c r="P15" i="6"/>
  <c r="O15" i="6"/>
  <c r="N15" i="6"/>
  <c r="M15" i="6"/>
  <c r="W11" i="6"/>
  <c r="V11" i="6"/>
  <c r="U11" i="6"/>
  <c r="T11" i="6"/>
  <c r="S11" i="6"/>
  <c r="R11" i="6"/>
  <c r="Q11" i="6"/>
  <c r="P11" i="6"/>
  <c r="O11" i="6"/>
  <c r="W10" i="6"/>
  <c r="V10" i="6"/>
  <c r="U10" i="6"/>
  <c r="T10" i="6"/>
  <c r="S10" i="6"/>
  <c r="R10" i="6"/>
  <c r="Q10" i="6"/>
  <c r="P10" i="6"/>
  <c r="O10" i="6"/>
  <c r="W9" i="6"/>
  <c r="V9" i="6"/>
  <c r="U9" i="6"/>
  <c r="T9" i="6"/>
  <c r="S9" i="6"/>
  <c r="R9" i="6"/>
  <c r="Q9" i="6"/>
  <c r="P9" i="6"/>
  <c r="O9" i="6"/>
  <c r="W8" i="6"/>
  <c r="V8" i="6"/>
  <c r="U8" i="6"/>
  <c r="T8" i="6"/>
  <c r="S8" i="6"/>
  <c r="R8" i="6"/>
  <c r="Q8" i="6"/>
  <c r="P8" i="6"/>
  <c r="O8" i="6"/>
  <c r="W7" i="6"/>
  <c r="V7" i="6"/>
  <c r="U7" i="6"/>
  <c r="T7" i="6"/>
  <c r="S7" i="6"/>
  <c r="R7" i="6"/>
  <c r="Q7" i="6"/>
  <c r="P7" i="6"/>
  <c r="O7" i="6"/>
  <c r="W6" i="6"/>
  <c r="V6" i="6"/>
  <c r="U6" i="6"/>
  <c r="T6" i="6"/>
  <c r="S6" i="6"/>
  <c r="R6" i="6"/>
  <c r="Q6" i="6"/>
  <c r="P6" i="6"/>
  <c r="O6" i="6"/>
  <c r="W5" i="6"/>
  <c r="V5" i="6"/>
  <c r="U5" i="6"/>
  <c r="T5" i="6"/>
  <c r="S5" i="6"/>
  <c r="R5" i="6"/>
  <c r="Q5" i="6"/>
  <c r="P5" i="6"/>
  <c r="O5" i="6"/>
  <c r="N10" i="6"/>
  <c r="N9" i="6"/>
  <c r="N8" i="6"/>
  <c r="N7" i="6"/>
  <c r="N6" i="6"/>
  <c r="N11" i="6"/>
  <c r="N5" i="6"/>
  <c r="W4" i="6"/>
  <c r="V4" i="6"/>
  <c r="U4" i="6"/>
  <c r="T4" i="6"/>
  <c r="S4" i="6"/>
  <c r="R4" i="6"/>
  <c r="Q4" i="6"/>
  <c r="P4" i="6"/>
  <c r="O4" i="6"/>
  <c r="N4" i="6"/>
  <c r="M4" i="6"/>
  <c r="W3" i="6"/>
  <c r="V3" i="6"/>
  <c r="U3" i="6"/>
  <c r="T3" i="6"/>
  <c r="S3" i="6"/>
  <c r="R3" i="6"/>
  <c r="Q3" i="6"/>
  <c r="P3" i="6"/>
  <c r="O3" i="6"/>
  <c r="M3" i="6"/>
  <c r="K55" i="6"/>
  <c r="J55" i="6"/>
  <c r="I55" i="6"/>
  <c r="H55" i="6"/>
  <c r="G55" i="6"/>
  <c r="F55" i="6"/>
  <c r="E55" i="6"/>
  <c r="D55" i="6"/>
  <c r="C55" i="6"/>
  <c r="B55" i="6"/>
  <c r="A55" i="6"/>
  <c r="K54" i="6"/>
  <c r="J54" i="6"/>
  <c r="I54" i="6"/>
  <c r="H54" i="6"/>
  <c r="G54" i="6"/>
  <c r="F54" i="6"/>
  <c r="E54" i="6"/>
  <c r="D54" i="6"/>
  <c r="C54" i="6"/>
  <c r="B54" i="6"/>
  <c r="A54" i="6"/>
  <c r="K53" i="6"/>
  <c r="J53" i="6"/>
  <c r="I53" i="6"/>
  <c r="H53" i="6"/>
  <c r="G53" i="6"/>
  <c r="F53" i="6"/>
  <c r="E53" i="6"/>
  <c r="D53" i="6"/>
  <c r="C53" i="6"/>
  <c r="B53" i="6"/>
  <c r="A53" i="6"/>
  <c r="K52" i="6"/>
  <c r="J52" i="6"/>
  <c r="I52" i="6"/>
  <c r="H52" i="6"/>
  <c r="G52" i="6"/>
  <c r="F52" i="6"/>
  <c r="E52" i="6"/>
  <c r="D52" i="6"/>
  <c r="C52" i="6"/>
  <c r="B52" i="6"/>
  <c r="A52" i="6"/>
  <c r="K51" i="6"/>
  <c r="J51" i="6"/>
  <c r="I51" i="6"/>
  <c r="H51" i="6"/>
  <c r="G51" i="6"/>
  <c r="F51" i="6"/>
  <c r="E51" i="6"/>
  <c r="D51" i="6"/>
  <c r="C51" i="6"/>
  <c r="B51" i="6"/>
  <c r="A51" i="6"/>
  <c r="K50" i="6"/>
  <c r="J50" i="6"/>
  <c r="I50" i="6"/>
  <c r="H50" i="6"/>
  <c r="G50" i="6"/>
  <c r="F50" i="6"/>
  <c r="E50" i="6"/>
  <c r="D50" i="6"/>
  <c r="C50" i="6"/>
  <c r="B50" i="6"/>
  <c r="A50" i="6"/>
  <c r="K49" i="6"/>
  <c r="J49" i="6"/>
  <c r="I49" i="6"/>
  <c r="H49" i="6"/>
  <c r="G49" i="6"/>
  <c r="F49" i="6"/>
  <c r="E49" i="6"/>
  <c r="D49" i="6"/>
  <c r="C49" i="6"/>
  <c r="B49" i="6"/>
  <c r="A49" i="6"/>
  <c r="K48" i="6"/>
  <c r="J48" i="6"/>
  <c r="I48" i="6"/>
  <c r="H48" i="6"/>
  <c r="G48" i="6"/>
  <c r="F48" i="6"/>
  <c r="E48" i="6"/>
  <c r="D48" i="6"/>
  <c r="C48" i="6"/>
  <c r="B48" i="6"/>
  <c r="A48" i="6"/>
  <c r="K47" i="6"/>
  <c r="J47" i="6"/>
  <c r="I47" i="6"/>
  <c r="H47" i="6"/>
  <c r="G47" i="6"/>
  <c r="F47" i="6"/>
  <c r="E47" i="6"/>
  <c r="D47" i="6"/>
  <c r="C47" i="6"/>
  <c r="B47" i="6"/>
  <c r="A47" i="6"/>
  <c r="K46" i="6"/>
  <c r="J46" i="6"/>
  <c r="I46" i="6"/>
  <c r="H46" i="6"/>
  <c r="G46" i="6"/>
  <c r="F46" i="6"/>
  <c r="E46" i="6"/>
  <c r="D46" i="6"/>
  <c r="C46" i="6"/>
  <c r="B46" i="6"/>
  <c r="A46" i="6"/>
  <c r="K45" i="6"/>
  <c r="J45" i="6"/>
  <c r="I45" i="6"/>
  <c r="H45" i="6"/>
  <c r="G45" i="6"/>
  <c r="F45" i="6"/>
  <c r="E45" i="6"/>
  <c r="D45" i="6"/>
  <c r="C45" i="6"/>
  <c r="B45" i="6"/>
  <c r="A45" i="6"/>
  <c r="K44" i="6"/>
  <c r="J44" i="6"/>
  <c r="I44" i="6"/>
  <c r="H44" i="6"/>
  <c r="G44" i="6"/>
  <c r="F44" i="6"/>
  <c r="E44" i="6"/>
  <c r="D44" i="6"/>
  <c r="C44" i="6"/>
  <c r="B44" i="6"/>
  <c r="A44" i="6"/>
  <c r="K43" i="6"/>
  <c r="J43" i="6"/>
  <c r="I43" i="6"/>
  <c r="H43" i="6"/>
  <c r="G43" i="6"/>
  <c r="F43" i="6"/>
  <c r="E43" i="6"/>
  <c r="D43" i="6"/>
  <c r="C43" i="6"/>
  <c r="B43" i="6"/>
  <c r="A43" i="6"/>
  <c r="K42" i="6"/>
  <c r="J42" i="6"/>
  <c r="I42" i="6"/>
  <c r="H42" i="6"/>
  <c r="G42" i="6"/>
  <c r="F42" i="6"/>
  <c r="E42" i="6"/>
  <c r="D42" i="6"/>
  <c r="C42" i="6"/>
  <c r="B42" i="6"/>
  <c r="A42" i="6"/>
  <c r="K41" i="6"/>
  <c r="J41" i="6"/>
  <c r="I41" i="6"/>
  <c r="H41" i="6"/>
  <c r="G41" i="6"/>
  <c r="F41" i="6"/>
  <c r="E41" i="6"/>
  <c r="D41" i="6"/>
  <c r="C41" i="6"/>
  <c r="B41" i="6"/>
  <c r="A41" i="6"/>
  <c r="K40" i="6"/>
  <c r="J40" i="6"/>
  <c r="I40" i="6"/>
  <c r="H40" i="6"/>
  <c r="G40" i="6"/>
  <c r="F40" i="6"/>
  <c r="E40" i="6"/>
  <c r="D40" i="6"/>
  <c r="C40" i="6"/>
  <c r="B40" i="6"/>
  <c r="A40" i="6"/>
  <c r="K39" i="6"/>
  <c r="J39" i="6"/>
  <c r="I39" i="6"/>
  <c r="H39" i="6"/>
  <c r="G39" i="6"/>
  <c r="F39" i="6"/>
  <c r="E39" i="6"/>
  <c r="D39" i="6"/>
  <c r="C39" i="6"/>
  <c r="B39" i="6"/>
  <c r="A39" i="6"/>
  <c r="K38" i="6"/>
  <c r="J38" i="6"/>
  <c r="I38" i="6"/>
  <c r="H38" i="6"/>
  <c r="G38" i="6"/>
  <c r="F38" i="6"/>
  <c r="E38" i="6"/>
  <c r="D38" i="6"/>
  <c r="C38" i="6"/>
  <c r="B38" i="6"/>
  <c r="A38" i="6"/>
  <c r="K37" i="6"/>
  <c r="J37" i="6"/>
  <c r="I37" i="6"/>
  <c r="H37" i="6"/>
  <c r="G37" i="6"/>
  <c r="F37" i="6"/>
  <c r="E37" i="6"/>
  <c r="D37" i="6"/>
  <c r="C37" i="6"/>
  <c r="B37" i="6"/>
  <c r="A37" i="6"/>
  <c r="K36" i="6"/>
  <c r="J36" i="6"/>
  <c r="I36" i="6"/>
  <c r="H36" i="6"/>
  <c r="G36" i="6"/>
  <c r="F36" i="6"/>
  <c r="E36" i="6"/>
  <c r="D36" i="6"/>
  <c r="C36" i="6"/>
  <c r="B36" i="6"/>
  <c r="A36" i="6"/>
  <c r="K35" i="6"/>
  <c r="J35" i="6"/>
  <c r="I35" i="6"/>
  <c r="H35" i="6"/>
  <c r="G35" i="6"/>
  <c r="F35" i="6"/>
  <c r="E35" i="6"/>
  <c r="D35" i="6"/>
  <c r="C35" i="6"/>
  <c r="B35" i="6"/>
  <c r="A35" i="6"/>
  <c r="K34" i="6"/>
  <c r="J34" i="6"/>
  <c r="I34" i="6"/>
  <c r="H34" i="6"/>
  <c r="G34" i="6"/>
  <c r="F34" i="6"/>
  <c r="E34" i="6"/>
  <c r="D34" i="6"/>
  <c r="C34" i="6"/>
  <c r="B34" i="6"/>
  <c r="A34" i="6"/>
  <c r="K33" i="6"/>
  <c r="J33" i="6"/>
  <c r="I33" i="6"/>
  <c r="H33" i="6"/>
  <c r="G33" i="6"/>
  <c r="F33" i="6"/>
  <c r="E33" i="6"/>
  <c r="D33" i="6"/>
  <c r="C33" i="6"/>
  <c r="B33" i="6"/>
  <c r="A33" i="6"/>
  <c r="K32" i="6"/>
  <c r="J32" i="6"/>
  <c r="I32" i="6"/>
  <c r="H32" i="6"/>
  <c r="G32" i="6"/>
  <c r="F32" i="6"/>
  <c r="E32" i="6"/>
  <c r="D32" i="6"/>
  <c r="C32" i="6"/>
  <c r="B32" i="6"/>
  <c r="A32" i="6"/>
  <c r="K31" i="6"/>
  <c r="J31" i="6"/>
  <c r="I31" i="6"/>
  <c r="H31" i="6"/>
  <c r="G31" i="6"/>
  <c r="F31" i="6"/>
  <c r="E31" i="6"/>
  <c r="D31" i="6"/>
  <c r="C31" i="6"/>
  <c r="B31" i="6"/>
  <c r="A31" i="6"/>
  <c r="K30" i="6"/>
  <c r="J30" i="6"/>
  <c r="I30" i="6"/>
  <c r="H30" i="6"/>
  <c r="G30" i="6"/>
  <c r="F30" i="6"/>
  <c r="E30" i="6"/>
  <c r="D30" i="6"/>
  <c r="C30" i="6"/>
  <c r="B30" i="6"/>
  <c r="A30" i="6"/>
  <c r="K29" i="6"/>
  <c r="J29" i="6"/>
  <c r="I29" i="6"/>
  <c r="H29" i="6"/>
  <c r="G29" i="6"/>
  <c r="F29" i="6"/>
  <c r="E29" i="6"/>
  <c r="D29" i="6"/>
  <c r="C29" i="6"/>
  <c r="B29" i="6"/>
  <c r="A29" i="6"/>
  <c r="K28" i="6"/>
  <c r="J28" i="6"/>
  <c r="I28" i="6"/>
  <c r="H28" i="6"/>
  <c r="G28" i="6"/>
  <c r="F28" i="6"/>
  <c r="E28" i="6"/>
  <c r="D28" i="6"/>
  <c r="C28" i="6"/>
  <c r="A28" i="6"/>
  <c r="K27" i="6"/>
  <c r="J27" i="6"/>
  <c r="I27" i="6"/>
  <c r="H27" i="6"/>
  <c r="G27" i="6"/>
  <c r="F27" i="6"/>
  <c r="E27" i="6"/>
  <c r="D27" i="6"/>
  <c r="C27" i="6"/>
  <c r="B27" i="6"/>
  <c r="A27" i="6"/>
  <c r="K26" i="6"/>
  <c r="J26" i="6"/>
  <c r="I26" i="6"/>
  <c r="H26" i="6"/>
  <c r="G26" i="6"/>
  <c r="F26" i="6"/>
  <c r="E26" i="6"/>
  <c r="D26" i="6"/>
  <c r="C26" i="6"/>
  <c r="B26" i="6"/>
  <c r="A26" i="6"/>
  <c r="K25" i="6"/>
  <c r="J25" i="6"/>
  <c r="I25" i="6"/>
  <c r="H25" i="6"/>
  <c r="G25" i="6"/>
  <c r="F25" i="6"/>
  <c r="E25" i="6"/>
  <c r="D25" i="6"/>
  <c r="C25" i="6"/>
  <c r="B25" i="6"/>
  <c r="A25" i="6"/>
  <c r="K24" i="6"/>
  <c r="J24" i="6"/>
  <c r="I24" i="6"/>
  <c r="H24" i="6"/>
  <c r="G24" i="6"/>
  <c r="F24" i="6"/>
  <c r="E24" i="6"/>
  <c r="D24" i="6"/>
  <c r="C24" i="6"/>
  <c r="B24" i="6"/>
  <c r="A24" i="6"/>
  <c r="K23" i="6"/>
  <c r="J23" i="6"/>
  <c r="I23" i="6"/>
  <c r="H23" i="6"/>
  <c r="G23" i="6"/>
  <c r="F23" i="6"/>
  <c r="E23" i="6"/>
  <c r="D23" i="6"/>
  <c r="C23" i="6"/>
  <c r="B23" i="6"/>
  <c r="A23" i="6"/>
  <c r="K22" i="6"/>
  <c r="J22" i="6"/>
  <c r="I22" i="6"/>
  <c r="H22" i="6"/>
  <c r="G22" i="6"/>
  <c r="F22" i="6"/>
  <c r="E22" i="6"/>
  <c r="D22" i="6"/>
  <c r="C22" i="6"/>
  <c r="B22" i="6"/>
  <c r="A22" i="6"/>
  <c r="K21" i="6"/>
  <c r="J21" i="6"/>
  <c r="I21" i="6"/>
  <c r="H21" i="6"/>
  <c r="G21" i="6"/>
  <c r="F21" i="6"/>
  <c r="E21" i="6"/>
  <c r="D21" i="6"/>
  <c r="C21" i="6"/>
  <c r="B21" i="6"/>
  <c r="A21" i="6"/>
  <c r="K20" i="6"/>
  <c r="J20" i="6"/>
  <c r="I20" i="6"/>
  <c r="H20" i="6"/>
  <c r="G20" i="6"/>
  <c r="F20" i="6"/>
  <c r="E20" i="6"/>
  <c r="D20" i="6"/>
  <c r="C20" i="6"/>
  <c r="B20" i="6"/>
  <c r="A20" i="6"/>
  <c r="K19" i="6"/>
  <c r="J19" i="6"/>
  <c r="I19" i="6"/>
  <c r="H19" i="6"/>
  <c r="G19" i="6"/>
  <c r="F19" i="6"/>
  <c r="E19" i="6"/>
  <c r="D19" i="6"/>
  <c r="C19" i="6"/>
  <c r="B19" i="6"/>
  <c r="A19" i="6"/>
  <c r="K18" i="6"/>
  <c r="J18" i="6"/>
  <c r="I18" i="6"/>
  <c r="H18" i="6"/>
  <c r="G18" i="6"/>
  <c r="F18" i="6"/>
  <c r="E18" i="6"/>
  <c r="D18" i="6"/>
  <c r="C18" i="6"/>
  <c r="B18" i="6"/>
  <c r="A18" i="6"/>
  <c r="K17" i="6"/>
  <c r="J17" i="6"/>
  <c r="I17" i="6"/>
  <c r="H17" i="6"/>
  <c r="G17" i="6"/>
  <c r="F17" i="6"/>
  <c r="E17" i="6"/>
  <c r="D17" i="6"/>
  <c r="C17" i="6"/>
  <c r="B17" i="6"/>
  <c r="A17" i="6"/>
  <c r="K16" i="6"/>
  <c r="J16" i="6"/>
  <c r="I16" i="6"/>
  <c r="H16" i="6"/>
  <c r="G16" i="6"/>
  <c r="F16" i="6"/>
  <c r="E16" i="6"/>
  <c r="D16" i="6"/>
  <c r="C16" i="6"/>
  <c r="B16" i="6"/>
  <c r="A16" i="6"/>
  <c r="K15" i="6"/>
  <c r="J15" i="6"/>
  <c r="I15" i="6"/>
  <c r="H15" i="6"/>
  <c r="G15" i="6"/>
  <c r="F15" i="6"/>
  <c r="E15" i="6"/>
  <c r="D15" i="6"/>
  <c r="C15" i="6"/>
  <c r="B15" i="6"/>
  <c r="A15" i="6"/>
  <c r="K14" i="6"/>
  <c r="J14" i="6"/>
  <c r="I14" i="6"/>
  <c r="H14" i="6"/>
  <c r="G14" i="6"/>
  <c r="F14" i="6"/>
  <c r="E14" i="6"/>
  <c r="D14" i="6"/>
  <c r="C14" i="6"/>
  <c r="B14" i="6"/>
  <c r="A14" i="6"/>
  <c r="K13" i="6"/>
  <c r="J13" i="6"/>
  <c r="I13" i="6"/>
  <c r="H13" i="6"/>
  <c r="G13" i="6"/>
  <c r="F13" i="6"/>
  <c r="E13" i="6"/>
  <c r="D13" i="6"/>
  <c r="C13" i="6"/>
  <c r="B13" i="6"/>
  <c r="A13" i="6"/>
  <c r="K12" i="6"/>
  <c r="J12" i="6"/>
  <c r="I12" i="6"/>
  <c r="H12" i="6"/>
  <c r="G12" i="6"/>
  <c r="F12" i="6"/>
  <c r="E12" i="6"/>
  <c r="D12" i="6"/>
  <c r="C12" i="6"/>
  <c r="B12" i="6"/>
  <c r="A12" i="6"/>
  <c r="K11" i="6"/>
  <c r="J11" i="6"/>
  <c r="I11" i="6"/>
  <c r="H11" i="6"/>
  <c r="G11" i="6"/>
  <c r="F11" i="6"/>
  <c r="E11" i="6"/>
  <c r="D11" i="6"/>
  <c r="C11" i="6"/>
  <c r="B11" i="6"/>
  <c r="A11" i="6"/>
  <c r="K10" i="6"/>
  <c r="J10" i="6"/>
  <c r="I10" i="6"/>
  <c r="H10" i="6"/>
  <c r="G10" i="6"/>
  <c r="F10" i="6"/>
  <c r="E10" i="6"/>
  <c r="D10" i="6"/>
  <c r="C10" i="6"/>
  <c r="B10" i="6"/>
  <c r="A10" i="6"/>
  <c r="K9" i="6"/>
  <c r="J9" i="6"/>
  <c r="I9" i="6"/>
  <c r="H9" i="6"/>
  <c r="G9" i="6"/>
  <c r="F9" i="6"/>
  <c r="E9" i="6"/>
  <c r="D9" i="6"/>
  <c r="C9" i="6"/>
  <c r="B9" i="6"/>
  <c r="A9" i="6"/>
  <c r="K8" i="6"/>
  <c r="J8" i="6"/>
  <c r="I8" i="6"/>
  <c r="H8" i="6"/>
  <c r="G8" i="6"/>
  <c r="F8" i="6"/>
  <c r="E8" i="6"/>
  <c r="D8" i="6"/>
  <c r="C8" i="6"/>
  <c r="B8" i="6"/>
  <c r="A8" i="6"/>
  <c r="K7" i="6"/>
  <c r="J7" i="6"/>
  <c r="I7" i="6"/>
  <c r="H7" i="6"/>
  <c r="G7" i="6"/>
  <c r="F7" i="6"/>
  <c r="E7" i="6"/>
  <c r="D7" i="6"/>
  <c r="C7" i="6"/>
  <c r="A7" i="6"/>
  <c r="K6" i="6"/>
  <c r="J6" i="6"/>
  <c r="I6" i="6"/>
  <c r="H6" i="6"/>
  <c r="G6" i="6"/>
  <c r="F6" i="6"/>
  <c r="E6" i="6"/>
  <c r="D6" i="6"/>
  <c r="C6" i="6"/>
  <c r="B6" i="6"/>
  <c r="A6" i="6"/>
  <c r="K5" i="6"/>
  <c r="J5" i="6"/>
  <c r="I5" i="6"/>
  <c r="H5" i="6"/>
  <c r="G5" i="6"/>
  <c r="F5" i="6"/>
  <c r="E5" i="6"/>
  <c r="D5" i="6"/>
  <c r="C5" i="6"/>
  <c r="B5" i="6"/>
  <c r="A5" i="6"/>
  <c r="K4" i="6"/>
  <c r="J4" i="6"/>
  <c r="I4" i="6"/>
  <c r="H4" i="6"/>
  <c r="G4" i="6"/>
  <c r="F4" i="6"/>
  <c r="E4" i="6"/>
  <c r="D4" i="6"/>
  <c r="C4" i="6"/>
  <c r="B4" i="6"/>
  <c r="A4" i="6"/>
  <c r="K3" i="6"/>
  <c r="J3" i="6"/>
  <c r="I3" i="6"/>
  <c r="H3" i="6"/>
  <c r="G3" i="6"/>
  <c r="F3" i="6"/>
  <c r="E3" i="6"/>
  <c r="D3" i="6"/>
  <c r="C3" i="6"/>
  <c r="B3" i="6"/>
  <c r="A3" i="6"/>
  <c r="M11" i="5" l="1"/>
  <c r="M10" i="5"/>
  <c r="M9" i="5"/>
  <c r="M8" i="5"/>
  <c r="M7" i="5"/>
  <c r="M6" i="5"/>
  <c r="M5" i="5"/>
  <c r="M4" i="5"/>
  <c r="M3" i="5"/>
  <c r="C64" i="4"/>
  <c r="C63" i="4"/>
  <c r="C62" i="4"/>
  <c r="C61" i="4"/>
  <c r="C60" i="4"/>
  <c r="C59" i="4"/>
  <c r="C58" i="4"/>
  <c r="C57" i="4"/>
  <c r="C56" i="4"/>
  <c r="B64" i="4"/>
  <c r="B63" i="4"/>
  <c r="B62" i="4"/>
  <c r="B61" i="4"/>
  <c r="B60" i="4"/>
  <c r="B59" i="4"/>
  <c r="B58" i="4"/>
  <c r="B57" i="4"/>
  <c r="B56" i="4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I11" i="5"/>
  <c r="I10" i="5"/>
  <c r="I9" i="5"/>
  <c r="I8" i="5"/>
  <c r="I7" i="5"/>
  <c r="I6" i="5"/>
  <c r="I5" i="5"/>
  <c r="I4" i="5"/>
  <c r="I3" i="5"/>
  <c r="K103" i="3"/>
  <c r="J103" i="3"/>
  <c r="I103" i="3"/>
  <c r="H103" i="3"/>
  <c r="G103" i="3"/>
  <c r="F103" i="3"/>
  <c r="E103" i="3"/>
  <c r="D103" i="3"/>
  <c r="C103" i="3"/>
  <c r="K102" i="3"/>
  <c r="J102" i="3"/>
  <c r="I102" i="3"/>
  <c r="H102" i="3"/>
  <c r="G102" i="3"/>
  <c r="F102" i="3"/>
  <c r="E102" i="3"/>
  <c r="D102" i="3"/>
  <c r="C102" i="3"/>
  <c r="K101" i="3"/>
  <c r="J101" i="3"/>
  <c r="I101" i="3"/>
  <c r="H101" i="3"/>
  <c r="G101" i="3"/>
  <c r="F101" i="3"/>
  <c r="E101" i="3"/>
  <c r="D101" i="3"/>
  <c r="C101" i="3"/>
  <c r="K100" i="3"/>
  <c r="J100" i="3"/>
  <c r="I100" i="3"/>
  <c r="H100" i="3"/>
  <c r="G100" i="3"/>
  <c r="F100" i="3"/>
  <c r="E100" i="3"/>
  <c r="D100" i="3"/>
  <c r="C100" i="3"/>
  <c r="K99" i="3"/>
  <c r="J99" i="3"/>
  <c r="I99" i="3"/>
  <c r="H99" i="3"/>
  <c r="G99" i="3"/>
  <c r="F99" i="3"/>
  <c r="E99" i="3"/>
  <c r="D99" i="3"/>
  <c r="C99" i="3"/>
  <c r="K98" i="3"/>
  <c r="J98" i="3"/>
  <c r="I98" i="3"/>
  <c r="H98" i="3"/>
  <c r="G98" i="3"/>
  <c r="F98" i="3"/>
  <c r="E98" i="3"/>
  <c r="D98" i="3"/>
  <c r="C98" i="3"/>
  <c r="K97" i="3"/>
  <c r="J97" i="3"/>
  <c r="I97" i="3"/>
  <c r="H97" i="3"/>
  <c r="G97" i="3"/>
  <c r="F97" i="3"/>
  <c r="E97" i="3"/>
  <c r="D97" i="3"/>
  <c r="C97" i="3"/>
  <c r="B102" i="3"/>
  <c r="B101" i="3"/>
  <c r="B100" i="3"/>
  <c r="B99" i="3"/>
  <c r="B98" i="3"/>
  <c r="B103" i="3"/>
  <c r="B97" i="3"/>
  <c r="K76" i="3"/>
  <c r="J76" i="3"/>
  <c r="I76" i="3"/>
  <c r="H76" i="3"/>
  <c r="G76" i="3"/>
  <c r="F76" i="3"/>
  <c r="E76" i="3"/>
  <c r="D76" i="3"/>
  <c r="C76" i="3"/>
  <c r="K75" i="3"/>
  <c r="J75" i="3"/>
  <c r="I75" i="3"/>
  <c r="H75" i="3"/>
  <c r="G75" i="3"/>
  <c r="F75" i="3"/>
  <c r="E75" i="3"/>
  <c r="D75" i="3"/>
  <c r="C75" i="3"/>
  <c r="K74" i="3"/>
  <c r="J74" i="3"/>
  <c r="I74" i="3"/>
  <c r="H74" i="3"/>
  <c r="G74" i="3"/>
  <c r="F74" i="3"/>
  <c r="E74" i="3"/>
  <c r="D74" i="3"/>
  <c r="C74" i="3"/>
  <c r="K73" i="3"/>
  <c r="J73" i="3"/>
  <c r="I73" i="3"/>
  <c r="H73" i="3"/>
  <c r="G73" i="3"/>
  <c r="F73" i="3"/>
  <c r="E73" i="3"/>
  <c r="D73" i="3"/>
  <c r="C73" i="3"/>
  <c r="K72" i="3"/>
  <c r="J72" i="3"/>
  <c r="I72" i="3"/>
  <c r="H72" i="3"/>
  <c r="G72" i="3"/>
  <c r="F72" i="3"/>
  <c r="E72" i="3"/>
  <c r="D72" i="3"/>
  <c r="C72" i="3"/>
  <c r="K71" i="3"/>
  <c r="J71" i="3"/>
  <c r="I71" i="3"/>
  <c r="H71" i="3"/>
  <c r="G71" i="3"/>
  <c r="F71" i="3"/>
  <c r="E71" i="3"/>
  <c r="D71" i="3"/>
  <c r="C71" i="3"/>
  <c r="K70" i="3"/>
  <c r="J70" i="3"/>
  <c r="I70" i="3"/>
  <c r="H70" i="3"/>
  <c r="G70" i="3"/>
  <c r="F70" i="3"/>
  <c r="E70" i="3"/>
  <c r="D70" i="3"/>
  <c r="C70" i="3"/>
  <c r="B75" i="3"/>
  <c r="B74" i="3"/>
  <c r="B73" i="3"/>
  <c r="B72" i="3"/>
  <c r="B71" i="3"/>
  <c r="B76" i="3"/>
  <c r="B70" i="3"/>
  <c r="K53" i="3"/>
  <c r="J53" i="3"/>
  <c r="I53" i="3"/>
  <c r="H53" i="3"/>
  <c r="G53" i="3"/>
  <c r="F53" i="3"/>
  <c r="E53" i="3"/>
  <c r="D53" i="3"/>
  <c r="C53" i="3"/>
  <c r="K52" i="3"/>
  <c r="J52" i="3"/>
  <c r="I52" i="3"/>
  <c r="H52" i="3"/>
  <c r="G52" i="3"/>
  <c r="F52" i="3"/>
  <c r="E52" i="3"/>
  <c r="D52" i="3"/>
  <c r="C52" i="3"/>
  <c r="K51" i="3"/>
  <c r="J51" i="3"/>
  <c r="I51" i="3"/>
  <c r="H51" i="3"/>
  <c r="G51" i="3"/>
  <c r="F51" i="3"/>
  <c r="E51" i="3"/>
  <c r="D51" i="3"/>
  <c r="C51" i="3"/>
  <c r="K50" i="3"/>
  <c r="J50" i="3"/>
  <c r="I50" i="3"/>
  <c r="H50" i="3"/>
  <c r="G50" i="3"/>
  <c r="F50" i="3"/>
  <c r="E50" i="3"/>
  <c r="D50" i="3"/>
  <c r="C50" i="3"/>
  <c r="K49" i="3"/>
  <c r="J49" i="3"/>
  <c r="I49" i="3"/>
  <c r="H49" i="3"/>
  <c r="G49" i="3"/>
  <c r="F49" i="3"/>
  <c r="E49" i="3"/>
  <c r="D49" i="3"/>
  <c r="C49" i="3"/>
  <c r="K48" i="3"/>
  <c r="J48" i="3"/>
  <c r="I48" i="3"/>
  <c r="H48" i="3"/>
  <c r="G48" i="3"/>
  <c r="F48" i="3"/>
  <c r="E48" i="3"/>
  <c r="D48" i="3"/>
  <c r="C48" i="3"/>
  <c r="K47" i="3"/>
  <c r="J47" i="3"/>
  <c r="I47" i="3"/>
  <c r="H47" i="3"/>
  <c r="G47" i="3"/>
  <c r="F47" i="3"/>
  <c r="E47" i="3"/>
  <c r="D47" i="3"/>
  <c r="C47" i="3"/>
  <c r="B53" i="3"/>
  <c r="B52" i="3"/>
  <c r="B51" i="3"/>
  <c r="B50" i="3"/>
  <c r="B49" i="3"/>
  <c r="B48" i="3"/>
  <c r="B47" i="3"/>
  <c r="K20" i="3"/>
  <c r="J20" i="3"/>
  <c r="I20" i="3"/>
  <c r="H20" i="3"/>
  <c r="G20" i="3"/>
  <c r="F20" i="3"/>
  <c r="E20" i="3"/>
  <c r="D20" i="3"/>
  <c r="C20" i="3"/>
  <c r="K19" i="3"/>
  <c r="J19" i="3"/>
  <c r="I19" i="3"/>
  <c r="H19" i="3"/>
  <c r="G19" i="3"/>
  <c r="F19" i="3"/>
  <c r="E19" i="3"/>
  <c r="D19" i="3"/>
  <c r="C19" i="3"/>
  <c r="K18" i="3"/>
  <c r="J18" i="3"/>
  <c r="I18" i="3"/>
  <c r="H18" i="3"/>
  <c r="G18" i="3"/>
  <c r="F18" i="3"/>
  <c r="E18" i="3"/>
  <c r="D18" i="3"/>
  <c r="C18" i="3"/>
  <c r="K17" i="3"/>
  <c r="J17" i="3"/>
  <c r="I17" i="3"/>
  <c r="H17" i="3"/>
  <c r="G17" i="3"/>
  <c r="F17" i="3"/>
  <c r="E17" i="3"/>
  <c r="D17" i="3"/>
  <c r="C17" i="3"/>
  <c r="K16" i="3"/>
  <c r="J16" i="3"/>
  <c r="I16" i="3"/>
  <c r="H16" i="3"/>
  <c r="G16" i="3"/>
  <c r="F16" i="3"/>
  <c r="E16" i="3"/>
  <c r="D16" i="3"/>
  <c r="C16" i="3"/>
  <c r="K15" i="3"/>
  <c r="J15" i="3"/>
  <c r="I15" i="3"/>
  <c r="H15" i="3"/>
  <c r="G15" i="3"/>
  <c r="F15" i="3"/>
  <c r="E15" i="3"/>
  <c r="D15" i="3"/>
  <c r="C15" i="3"/>
  <c r="K14" i="3"/>
  <c r="J14" i="3"/>
  <c r="I14" i="3"/>
  <c r="H14" i="3"/>
  <c r="G14" i="3"/>
  <c r="F14" i="3"/>
  <c r="E14" i="3"/>
  <c r="D14" i="3"/>
  <c r="C14" i="3"/>
  <c r="B20" i="3"/>
  <c r="B19" i="3"/>
  <c r="B18" i="3"/>
  <c r="B17" i="3"/>
  <c r="B16" i="3"/>
  <c r="B15" i="3"/>
  <c r="B14" i="3"/>
  <c r="A57" i="3" l="1"/>
  <c r="B57" i="3"/>
  <c r="C57" i="3"/>
  <c r="D57" i="3"/>
  <c r="E57" i="3"/>
  <c r="F57" i="3"/>
  <c r="G57" i="3"/>
  <c r="H57" i="3"/>
  <c r="I57" i="3"/>
  <c r="J57" i="3"/>
  <c r="K57" i="3"/>
  <c r="C78" i="3" l="1"/>
  <c r="K80" i="3" l="1"/>
  <c r="J80" i="3"/>
  <c r="I80" i="3"/>
  <c r="H80" i="3"/>
  <c r="F80" i="3"/>
  <c r="E80" i="3"/>
  <c r="K94" i="3"/>
  <c r="J94" i="3"/>
  <c r="I94" i="3"/>
  <c r="H94" i="3"/>
  <c r="G94" i="3"/>
  <c r="F94" i="3"/>
  <c r="E94" i="3"/>
  <c r="D94" i="3"/>
  <c r="C94" i="3"/>
  <c r="B94" i="3"/>
  <c r="A94" i="3"/>
  <c r="K93" i="3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K87" i="3"/>
  <c r="J87" i="3"/>
  <c r="I87" i="3"/>
  <c r="H87" i="3"/>
  <c r="G87" i="3"/>
  <c r="F87" i="3"/>
  <c r="E87" i="3"/>
  <c r="D87" i="3"/>
  <c r="C87" i="3"/>
  <c r="B87" i="3"/>
  <c r="A87" i="3"/>
  <c r="K86" i="3"/>
  <c r="J86" i="3"/>
  <c r="I86" i="3"/>
  <c r="H86" i="3"/>
  <c r="G86" i="3"/>
  <c r="F86" i="3"/>
  <c r="E86" i="3"/>
  <c r="D86" i="3"/>
  <c r="C86" i="3"/>
  <c r="B86" i="3"/>
  <c r="A86" i="3"/>
  <c r="K85" i="3"/>
  <c r="J85" i="3"/>
  <c r="I85" i="3"/>
  <c r="H85" i="3"/>
  <c r="G85" i="3"/>
  <c r="F85" i="3"/>
  <c r="E85" i="3"/>
  <c r="D85" i="3"/>
  <c r="C85" i="3"/>
  <c r="B85" i="3"/>
  <c r="A85" i="3"/>
  <c r="K84" i="3"/>
  <c r="J84" i="3"/>
  <c r="I84" i="3"/>
  <c r="H84" i="3"/>
  <c r="G84" i="3"/>
  <c r="F84" i="3"/>
  <c r="E84" i="3"/>
  <c r="D84" i="3"/>
  <c r="C84" i="3"/>
  <c r="B84" i="3"/>
  <c r="A84" i="3"/>
  <c r="K83" i="3"/>
  <c r="J83" i="3"/>
  <c r="I83" i="3"/>
  <c r="H83" i="3"/>
  <c r="G83" i="3"/>
  <c r="F83" i="3"/>
  <c r="E83" i="3"/>
  <c r="D83" i="3"/>
  <c r="C83" i="3"/>
  <c r="B83" i="3"/>
  <c r="A83" i="3"/>
  <c r="K82" i="3"/>
  <c r="J82" i="3"/>
  <c r="I82" i="3"/>
  <c r="H82" i="3"/>
  <c r="G82" i="3"/>
  <c r="F82" i="3"/>
  <c r="E82" i="3"/>
  <c r="D82" i="3"/>
  <c r="C82" i="3"/>
  <c r="B82" i="3"/>
  <c r="A82" i="3"/>
  <c r="K81" i="3"/>
  <c r="J81" i="3"/>
  <c r="I81" i="3"/>
  <c r="H81" i="3"/>
  <c r="G81" i="3"/>
  <c r="F81" i="3"/>
  <c r="E81" i="3"/>
  <c r="D81" i="3"/>
  <c r="C81" i="3"/>
  <c r="B81" i="3"/>
  <c r="A81" i="3"/>
  <c r="G80" i="3"/>
  <c r="D80" i="3"/>
  <c r="C80" i="3"/>
  <c r="B80" i="3"/>
  <c r="A80" i="3"/>
  <c r="K67" i="3"/>
  <c r="J67" i="3"/>
  <c r="I67" i="3"/>
  <c r="H67" i="3"/>
  <c r="G67" i="3"/>
  <c r="F67" i="3"/>
  <c r="E67" i="3"/>
  <c r="D67" i="3"/>
  <c r="C67" i="3"/>
  <c r="B67" i="3"/>
  <c r="A67" i="3"/>
  <c r="K66" i="3"/>
  <c r="J66" i="3"/>
  <c r="I66" i="3"/>
  <c r="H66" i="3"/>
  <c r="G66" i="3"/>
  <c r="F66" i="3"/>
  <c r="E66" i="3"/>
  <c r="D66" i="3"/>
  <c r="C66" i="3"/>
  <c r="B66" i="3"/>
  <c r="A66" i="3"/>
  <c r="K65" i="3"/>
  <c r="J65" i="3"/>
  <c r="I65" i="3"/>
  <c r="H65" i="3"/>
  <c r="G65" i="3"/>
  <c r="F65" i="3"/>
  <c r="E65" i="3"/>
  <c r="D65" i="3"/>
  <c r="C65" i="3"/>
  <c r="B65" i="3"/>
  <c r="A65" i="3"/>
  <c r="K64" i="3"/>
  <c r="J64" i="3"/>
  <c r="I64" i="3"/>
  <c r="H64" i="3"/>
  <c r="G64" i="3"/>
  <c r="F64" i="3"/>
  <c r="E64" i="3"/>
  <c r="D64" i="3"/>
  <c r="C64" i="3"/>
  <c r="B64" i="3"/>
  <c r="A64" i="3"/>
  <c r="K63" i="3"/>
  <c r="J63" i="3"/>
  <c r="I63" i="3"/>
  <c r="H63" i="3"/>
  <c r="G63" i="3"/>
  <c r="F63" i="3"/>
  <c r="E63" i="3"/>
  <c r="D63" i="3"/>
  <c r="C63" i="3"/>
  <c r="B63" i="3"/>
  <c r="A63" i="3"/>
  <c r="K62" i="3"/>
  <c r="J62" i="3"/>
  <c r="I62" i="3"/>
  <c r="H62" i="3"/>
  <c r="G62" i="3"/>
  <c r="F62" i="3"/>
  <c r="E62" i="3"/>
  <c r="D62" i="3"/>
  <c r="C62" i="3"/>
  <c r="B62" i="3"/>
  <c r="A62" i="3"/>
  <c r="K61" i="3"/>
  <c r="J61" i="3"/>
  <c r="I61" i="3"/>
  <c r="H61" i="3"/>
  <c r="G61" i="3"/>
  <c r="F61" i="3"/>
  <c r="E61" i="3"/>
  <c r="D61" i="3"/>
  <c r="C61" i="3"/>
  <c r="B61" i="3"/>
  <c r="A61" i="3"/>
  <c r="K60" i="3"/>
  <c r="J60" i="3"/>
  <c r="I60" i="3"/>
  <c r="H60" i="3"/>
  <c r="G60" i="3"/>
  <c r="F60" i="3"/>
  <c r="E60" i="3"/>
  <c r="D60" i="3"/>
  <c r="C60" i="3"/>
  <c r="B60" i="3"/>
  <c r="A60" i="3"/>
  <c r="K59" i="3"/>
  <c r="J59" i="3"/>
  <c r="I59" i="3"/>
  <c r="H59" i="3"/>
  <c r="G59" i="3"/>
  <c r="F59" i="3"/>
  <c r="E59" i="3"/>
  <c r="D59" i="3"/>
  <c r="C59" i="3"/>
  <c r="B59" i="3"/>
  <c r="A59" i="3"/>
  <c r="K58" i="3"/>
  <c r="J58" i="3"/>
  <c r="I58" i="3"/>
  <c r="H58" i="3"/>
  <c r="G58" i="3"/>
  <c r="F58" i="3"/>
  <c r="E58" i="3"/>
  <c r="D58" i="3"/>
  <c r="C58" i="3"/>
  <c r="B58" i="3"/>
  <c r="A58" i="3"/>
  <c r="C55" i="3" l="1"/>
  <c r="K44" i="3" l="1"/>
  <c r="J44" i="3"/>
  <c r="I44" i="3"/>
  <c r="H44" i="3"/>
  <c r="G44" i="3"/>
  <c r="F44" i="3"/>
  <c r="E44" i="3"/>
  <c r="D44" i="3"/>
  <c r="C44" i="3"/>
  <c r="B44" i="3"/>
  <c r="A44" i="3"/>
  <c r="K43" i="3"/>
  <c r="J43" i="3"/>
  <c r="I43" i="3"/>
  <c r="H43" i="3"/>
  <c r="G43" i="3"/>
  <c r="F43" i="3"/>
  <c r="E43" i="3"/>
  <c r="D43" i="3"/>
  <c r="C43" i="3"/>
  <c r="B43" i="3"/>
  <c r="A43" i="3"/>
  <c r="K42" i="3"/>
  <c r="J42" i="3"/>
  <c r="I42" i="3"/>
  <c r="H42" i="3"/>
  <c r="G42" i="3"/>
  <c r="F42" i="3"/>
  <c r="E42" i="3"/>
  <c r="D42" i="3"/>
  <c r="C42" i="3"/>
  <c r="B42" i="3"/>
  <c r="A42" i="3"/>
  <c r="K41" i="3"/>
  <c r="J41" i="3"/>
  <c r="I41" i="3"/>
  <c r="H41" i="3"/>
  <c r="G41" i="3"/>
  <c r="F41" i="3"/>
  <c r="E41" i="3"/>
  <c r="D41" i="3"/>
  <c r="C41" i="3"/>
  <c r="B41" i="3"/>
  <c r="A41" i="3"/>
  <c r="K40" i="3"/>
  <c r="J40" i="3"/>
  <c r="I40" i="3"/>
  <c r="H40" i="3"/>
  <c r="G40" i="3"/>
  <c r="F40" i="3"/>
  <c r="E40" i="3"/>
  <c r="D40" i="3"/>
  <c r="C40" i="3"/>
  <c r="B40" i="3"/>
  <c r="A40" i="3"/>
  <c r="K39" i="3"/>
  <c r="J39" i="3"/>
  <c r="I39" i="3"/>
  <c r="H39" i="3"/>
  <c r="G39" i="3"/>
  <c r="F39" i="3"/>
  <c r="E39" i="3"/>
  <c r="D39" i="3"/>
  <c r="C39" i="3"/>
  <c r="B39" i="3"/>
  <c r="A39" i="3"/>
  <c r="K38" i="3"/>
  <c r="J38" i="3"/>
  <c r="I38" i="3"/>
  <c r="H38" i="3"/>
  <c r="G38" i="3"/>
  <c r="F38" i="3"/>
  <c r="E38" i="3"/>
  <c r="D38" i="3"/>
  <c r="C38" i="3"/>
  <c r="B38" i="3"/>
  <c r="A38" i="3"/>
  <c r="K37" i="3"/>
  <c r="J37" i="3"/>
  <c r="I37" i="3"/>
  <c r="H37" i="3"/>
  <c r="G37" i="3"/>
  <c r="F37" i="3"/>
  <c r="E37" i="3"/>
  <c r="D37" i="3"/>
  <c r="C37" i="3"/>
  <c r="B37" i="3"/>
  <c r="A37" i="3"/>
  <c r="K36" i="3"/>
  <c r="J36" i="3"/>
  <c r="I36" i="3"/>
  <c r="H36" i="3"/>
  <c r="G36" i="3"/>
  <c r="F36" i="3"/>
  <c r="E36" i="3"/>
  <c r="D36" i="3"/>
  <c r="C36" i="3"/>
  <c r="B36" i="3"/>
  <c r="A36" i="3"/>
  <c r="K35" i="3"/>
  <c r="J35" i="3"/>
  <c r="I35" i="3"/>
  <c r="H35" i="3"/>
  <c r="G35" i="3"/>
  <c r="F35" i="3"/>
  <c r="E35" i="3"/>
  <c r="D35" i="3"/>
  <c r="C35" i="3"/>
  <c r="B35" i="3"/>
  <c r="A35" i="3"/>
  <c r="K34" i="3"/>
  <c r="J34" i="3"/>
  <c r="I34" i="3"/>
  <c r="H34" i="3"/>
  <c r="G34" i="3"/>
  <c r="F34" i="3"/>
  <c r="E34" i="3"/>
  <c r="D34" i="3"/>
  <c r="C34" i="3"/>
  <c r="B34" i="3"/>
  <c r="A34" i="3"/>
  <c r="K33" i="3"/>
  <c r="J33" i="3"/>
  <c r="I33" i="3"/>
  <c r="H33" i="3"/>
  <c r="G33" i="3"/>
  <c r="F33" i="3"/>
  <c r="E33" i="3"/>
  <c r="D33" i="3"/>
  <c r="C33" i="3"/>
  <c r="B33" i="3"/>
  <c r="A33" i="3"/>
  <c r="K32" i="3"/>
  <c r="J32" i="3"/>
  <c r="I32" i="3"/>
  <c r="H32" i="3"/>
  <c r="G32" i="3"/>
  <c r="F32" i="3"/>
  <c r="E32" i="3"/>
  <c r="D32" i="3"/>
  <c r="C32" i="3"/>
  <c r="B32" i="3"/>
  <c r="A32" i="3"/>
  <c r="K31" i="3"/>
  <c r="J31" i="3"/>
  <c r="I31" i="3"/>
  <c r="H31" i="3"/>
  <c r="G31" i="3"/>
  <c r="F31" i="3"/>
  <c r="E31" i="3"/>
  <c r="D31" i="3"/>
  <c r="C31" i="3"/>
  <c r="B31" i="3"/>
  <c r="A31" i="3"/>
  <c r="K30" i="3"/>
  <c r="J30" i="3"/>
  <c r="I30" i="3"/>
  <c r="H30" i="3"/>
  <c r="G30" i="3"/>
  <c r="F30" i="3"/>
  <c r="E30" i="3"/>
  <c r="D30" i="3"/>
  <c r="C30" i="3"/>
  <c r="B30" i="3"/>
  <c r="A30" i="3"/>
  <c r="K29" i="3"/>
  <c r="J29" i="3"/>
  <c r="I29" i="3"/>
  <c r="H29" i="3"/>
  <c r="G29" i="3"/>
  <c r="F29" i="3"/>
  <c r="E29" i="3"/>
  <c r="D29" i="3"/>
  <c r="C29" i="3"/>
  <c r="B29" i="3"/>
  <c r="A29" i="3"/>
  <c r="K28" i="3"/>
  <c r="J28" i="3"/>
  <c r="I28" i="3"/>
  <c r="H28" i="3"/>
  <c r="G28" i="3"/>
  <c r="F28" i="3"/>
  <c r="E28" i="3"/>
  <c r="D28" i="3"/>
  <c r="C28" i="3"/>
  <c r="B28" i="3"/>
  <c r="A28" i="3"/>
  <c r="K27" i="3"/>
  <c r="J27" i="3"/>
  <c r="I27" i="3"/>
  <c r="H27" i="3"/>
  <c r="G27" i="3"/>
  <c r="F27" i="3"/>
  <c r="E27" i="3"/>
  <c r="D27" i="3"/>
  <c r="C27" i="3"/>
  <c r="B27" i="3"/>
  <c r="A27" i="3"/>
  <c r="K26" i="3"/>
  <c r="J26" i="3"/>
  <c r="I26" i="3"/>
  <c r="H26" i="3"/>
  <c r="G26" i="3"/>
  <c r="F26" i="3"/>
  <c r="E26" i="3"/>
  <c r="D26" i="3"/>
  <c r="C26" i="3"/>
  <c r="B26" i="3"/>
  <c r="A26" i="3"/>
  <c r="K25" i="3"/>
  <c r="J25" i="3"/>
  <c r="I25" i="3"/>
  <c r="H25" i="3"/>
  <c r="G25" i="3"/>
  <c r="F25" i="3"/>
  <c r="E25" i="3"/>
  <c r="D25" i="3"/>
  <c r="C25" i="3"/>
  <c r="B25" i="3"/>
  <c r="A25" i="3"/>
  <c r="C23" i="3" s="1"/>
  <c r="K5" i="3"/>
  <c r="J5" i="3"/>
  <c r="I5" i="3"/>
  <c r="H5" i="3"/>
  <c r="K11" i="3" l="1"/>
  <c r="J11" i="3"/>
  <c r="I11" i="3"/>
  <c r="H11" i="3"/>
  <c r="G11" i="3"/>
  <c r="F11" i="3"/>
  <c r="K10" i="3"/>
  <c r="J10" i="3"/>
  <c r="I10" i="3"/>
  <c r="H10" i="3"/>
  <c r="G10" i="3"/>
  <c r="F10" i="3"/>
  <c r="K9" i="3"/>
  <c r="J9" i="3"/>
  <c r="I9" i="3"/>
  <c r="H9" i="3"/>
  <c r="G9" i="3"/>
  <c r="F9" i="3"/>
  <c r="K8" i="3"/>
  <c r="J8" i="3"/>
  <c r="I8" i="3"/>
  <c r="H8" i="3"/>
  <c r="G8" i="3"/>
  <c r="F8" i="3"/>
  <c r="K7" i="3"/>
  <c r="J7" i="3"/>
  <c r="I7" i="3"/>
  <c r="H7" i="3"/>
  <c r="G7" i="3"/>
  <c r="F7" i="3"/>
  <c r="K6" i="3"/>
  <c r="J6" i="3"/>
  <c r="I6" i="3"/>
  <c r="H6" i="3"/>
  <c r="G6" i="3"/>
  <c r="F6" i="3"/>
  <c r="G5" i="3"/>
  <c r="F5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C3" i="3" s="1"/>
  <c r="E5" i="3"/>
  <c r="D5" i="3"/>
  <c r="C5" i="3"/>
  <c r="B5" i="3"/>
  <c r="A5" i="3"/>
  <c r="C110" i="3" l="1"/>
  <c r="C108" i="3"/>
  <c r="C106" i="3"/>
  <c r="C109" i="3"/>
  <c r="C107" i="3"/>
  <c r="H106" i="3"/>
  <c r="H110" i="3"/>
  <c r="H108" i="3"/>
  <c r="H109" i="3"/>
  <c r="D110" i="3"/>
  <c r="D108" i="3"/>
  <c r="D106" i="3"/>
  <c r="D109" i="3"/>
  <c r="D107" i="3"/>
  <c r="I106" i="3"/>
  <c r="I109" i="3"/>
  <c r="I108" i="3"/>
  <c r="I110" i="3"/>
  <c r="F109" i="3"/>
  <c r="F110" i="3"/>
  <c r="F108" i="3"/>
  <c r="J109" i="3"/>
  <c r="J110" i="3"/>
  <c r="J108" i="3"/>
  <c r="B108" i="3"/>
  <c r="B106" i="3"/>
  <c r="B110" i="3"/>
  <c r="B109" i="3"/>
  <c r="B107" i="3"/>
  <c r="G110" i="3"/>
  <c r="G108" i="3"/>
  <c r="G109" i="3"/>
  <c r="K107" i="3"/>
  <c r="K108" i="3"/>
  <c r="K110" i="3"/>
  <c r="K109" i="3"/>
  <c r="J107" i="3"/>
  <c r="F107" i="3"/>
  <c r="F106" i="3"/>
  <c r="J106" i="3"/>
  <c r="G107" i="3"/>
  <c r="G106" i="3"/>
  <c r="E109" i="3"/>
  <c r="E108" i="3"/>
  <c r="E110" i="3"/>
  <c r="E107" i="3"/>
  <c r="E106" i="3"/>
  <c r="K106" i="3"/>
  <c r="H107" i="3"/>
  <c r="I107" i="3"/>
</calcChain>
</file>

<file path=xl/sharedStrings.xml><?xml version="1.0" encoding="utf-8"?>
<sst xmlns="http://schemas.openxmlformats.org/spreadsheetml/2006/main" count="510" uniqueCount="93">
  <si>
    <t>kV</t>
  </si>
  <si>
    <t>mA</t>
  </si>
  <si>
    <t>Room</t>
  </si>
  <si>
    <t>mGy/min</t>
  </si>
  <si>
    <t>NT03</t>
  </si>
  <si>
    <t>NT04</t>
  </si>
  <si>
    <t>ART2208</t>
  </si>
  <si>
    <t>ART2205</t>
  </si>
  <si>
    <t>C-arm 19</t>
  </si>
  <si>
    <t>II Size (cm)</t>
  </si>
  <si>
    <t>Low</t>
  </si>
  <si>
    <t>High</t>
  </si>
  <si>
    <t>10 cm</t>
  </si>
  <si>
    <t>30 cm</t>
  </si>
  <si>
    <t>Mag 1</t>
  </si>
  <si>
    <t>Mag 2</t>
  </si>
  <si>
    <t>Dose level</t>
  </si>
  <si>
    <t>Thickness</t>
  </si>
  <si>
    <t>Mag mode</t>
  </si>
  <si>
    <t>Ped02</t>
  </si>
  <si>
    <t>Ped03</t>
  </si>
  <si>
    <t>RT761</t>
  </si>
  <si>
    <t>C-arm 7</t>
  </si>
  <si>
    <t>C-arm 8</t>
  </si>
  <si>
    <t>C-arm 9</t>
  </si>
  <si>
    <t>C-arm 10</t>
  </si>
  <si>
    <t>C-arm 11</t>
  </si>
  <si>
    <t>C-arm 12</t>
  </si>
  <si>
    <t>C-arm 15</t>
  </si>
  <si>
    <t>C-arm 18</t>
  </si>
  <si>
    <t>ART C-arm 1</t>
  </si>
  <si>
    <t>ART C-arm 2</t>
  </si>
  <si>
    <t>ART C-arm 3</t>
  </si>
  <si>
    <t>ART C-arm 4</t>
  </si>
  <si>
    <t>RT Uro</t>
  </si>
  <si>
    <t>EC1</t>
  </si>
  <si>
    <t>EC2</t>
  </si>
  <si>
    <t>Neuro</t>
  </si>
  <si>
    <t>PICC</t>
  </si>
  <si>
    <t>Pain Mgmt</t>
  </si>
  <si>
    <t>EC Neuro</t>
  </si>
  <si>
    <t>Avg</t>
  </si>
  <si>
    <t>SD</t>
  </si>
  <si>
    <t>HVC01</t>
  </si>
  <si>
    <t>HVC02</t>
  </si>
  <si>
    <t>HVC04</t>
  </si>
  <si>
    <t>HVC05</t>
  </si>
  <si>
    <t>Neuro1 AP</t>
  </si>
  <si>
    <t>Neuro1 Lat</t>
  </si>
  <si>
    <t>Neuro2 AP</t>
  </si>
  <si>
    <t>Neuro2 Lat</t>
  </si>
  <si>
    <t>ART Angio 2</t>
  </si>
  <si>
    <t>ART Angio 3</t>
  </si>
  <si>
    <t>ART OR 10</t>
  </si>
  <si>
    <t>ART EP 6</t>
  </si>
  <si>
    <t>ART EP 8</t>
  </si>
  <si>
    <t>ART Cath 10</t>
  </si>
  <si>
    <t>ART Cath 12</t>
  </si>
  <si>
    <t>ART Cath 13</t>
  </si>
  <si>
    <t>ART EP 7 Lat</t>
  </si>
  <si>
    <t>ART EP 7 AP</t>
  </si>
  <si>
    <t>ART Cath 11 AP</t>
  </si>
  <si>
    <t>ART Cath 11 Lat</t>
  </si>
  <si>
    <t>HVC 11 AP</t>
  </si>
  <si>
    <t>HVC 11 Lat</t>
  </si>
  <si>
    <t>Ped Cath 2 Lat</t>
  </si>
  <si>
    <t>Ped Cath 1 AP</t>
  </si>
  <si>
    <t>Ped Cath 1 Lat</t>
  </si>
  <si>
    <t>Ped Cath 2 AP</t>
  </si>
  <si>
    <t>RF</t>
  </si>
  <si>
    <t>C-Arm</t>
  </si>
  <si>
    <t>Angio</t>
  </si>
  <si>
    <t>Cath</t>
  </si>
  <si>
    <t>Overall</t>
  </si>
  <si>
    <t>Min</t>
  </si>
  <si>
    <t>Max</t>
  </si>
  <si>
    <t>Median</t>
  </si>
  <si>
    <t>N</t>
  </si>
  <si>
    <t>Receptor (cm)</t>
  </si>
  <si>
    <t>EAK (mGy/min)</t>
  </si>
  <si>
    <t>Grand Total</t>
  </si>
  <si>
    <t>Row Labels</t>
  </si>
  <si>
    <t>Average of EAK (mGy/min)</t>
  </si>
  <si>
    <t>StdDev of EAK (mGy/min)2</t>
  </si>
  <si>
    <t>Average of mGy/min</t>
  </si>
  <si>
    <t>StdDev of mGy/min2</t>
  </si>
  <si>
    <t>Cath Lab</t>
  </si>
  <si>
    <t>Entrance dose rate (mGy/min)</t>
  </si>
  <si>
    <t>All</t>
  </si>
  <si>
    <t>C-arm</t>
  </si>
  <si>
    <t>fps</t>
  </si>
  <si>
    <r>
      <rPr>
        <sz val="11"/>
        <rFont val="Symbol"/>
        <family val="1"/>
        <charset val="2"/>
      </rPr>
      <t>m</t>
    </r>
    <r>
      <rPr>
        <sz val="11"/>
        <rFont val="Calibri"/>
        <family val="2"/>
        <scheme val="minor"/>
      </rPr>
      <t>Gy/pls</t>
    </r>
  </si>
  <si>
    <t>StdDev of mGy/min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</si>
</sst>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2" fontId="1" fillId="0" borderId="0">
      <alignment horizontal="center"/>
    </xf>
    <xf numFmtId="2" fontId="1" fillId="0" borderId="0">
      <alignment horizont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2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ugene Mah" refreshedDate="41732.553142476849" createdVersion="5" refreshedVersion="5" minRefreshableVersion="3" recordCount="53">
  <cacheSource type="worksheet">
    <worksheetSource ref="A1:C54" sheet="Sheet2"/>
  </cacheSource>
  <cacheFields count="3">
    <cacheField name="Room" numFmtId="0">
      <sharedItems/>
    </cacheField>
    <cacheField name="Receptor (cm)" numFmtId="0">
      <sharedItems containsSemiMixedTypes="0" containsString="0" containsNumber="1" minValue="20" maxValue="48" count="9">
        <n v="40"/>
        <n v="30.5"/>
        <n v="33"/>
        <n v="41.8"/>
        <n v="23"/>
        <n v="27"/>
        <n v="48"/>
        <n v="25"/>
        <n v="20"/>
      </sharedItems>
    </cacheField>
    <cacheField name="EAK (mGy/min)" numFmtId="0">
      <sharedItems containsSemiMixedTypes="0" containsString="0" containsNumber="1" minValue="1.9035" maxValue="26.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ugene Mah" refreshedDate="41732.556292361114" createdVersion="5" refreshedVersion="5" minRefreshableVersion="3" recordCount="7">
  <cacheSource type="worksheet">
    <worksheetSource ref="A4:K11" sheet="Fluoro"/>
  </cacheSource>
  <cacheFields count="11">
    <cacheField name="Room" numFmtId="0">
      <sharedItems/>
    </cacheField>
    <cacheField name="II Size (cm)" numFmtId="0">
      <sharedItems containsSemiMixedTypes="0" containsString="0" containsNumber="1" minValue="30.5" maxValue="41.8" count="4">
        <n v="40"/>
        <n v="30.5"/>
        <n v="33"/>
        <n v="41.8"/>
      </sharedItems>
    </cacheField>
    <cacheField name="kV" numFmtId="0">
      <sharedItems containsSemiMixedTypes="0" containsString="0" containsNumber="1" containsInteger="1" minValue="73" maxValue="103"/>
    </cacheField>
    <cacheField name="mA" numFmtId="0">
      <sharedItems containsSemiMixedTypes="0" containsString="0" containsNumber="1" minValue="1.5" maxValue="23.7"/>
    </cacheField>
    <cacheField name="mGy/min" numFmtId="2">
      <sharedItems containsSemiMixedTypes="0" containsString="0" containsNumber="1" minValue="6.0750000000000002" maxValue="22.9"/>
    </cacheField>
    <cacheField name="Low" numFmtId="2">
      <sharedItems containsMixedTypes="1" containsNumber="1" minValue="0.70370370370370372" maxValue="0.76666666666666672"/>
    </cacheField>
    <cacheField name="High" numFmtId="2">
      <sharedItems containsMixedTypes="1" containsNumber="1" minValue="1.4652777777777779" maxValue="2.0518518518518518"/>
    </cacheField>
    <cacheField name="10 cm" numFmtId="2">
      <sharedItems containsSemiMixedTypes="0" containsString="0" containsNumber="1" minValue="0.12478920741989885" maxValue="0.24393132030787448"/>
    </cacheField>
    <cacheField name="30 cm" numFmtId="2">
      <sharedItems containsSemiMixedTypes="0" containsString="0" containsNumber="1" minValue="2.9011249259917111" maxValue="4.3204047217537953"/>
    </cacheField>
    <cacheField name="Mag 1" numFmtId="2">
      <sharedItems containsSemiMixedTypes="0" containsString="0" containsNumber="1" minValue="1.097816593886463" maxValue="1.537099494097808"/>
    </cacheField>
    <cacheField name="Mag 2" numFmtId="2">
      <sharedItems containsSemiMixedTypes="0" containsString="0" containsNumber="1" minValue="1.4672489082969433" maxValue="3.17537942664418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ugene Mah" refreshedDate="41732.557008912037" createdVersion="5" refreshedVersion="5" minRefreshableVersion="3" recordCount="20">
  <cacheSource type="worksheet">
    <worksheetSource ref="A24:K44" sheet="Fluoro"/>
  </cacheSource>
  <cacheFields count="11">
    <cacheField name="Room" numFmtId="0">
      <sharedItems/>
    </cacheField>
    <cacheField name="II Size (cm)" numFmtId="0">
      <sharedItems containsSemiMixedTypes="0" containsString="0" containsNumber="1" minValue="23" maxValue="33" count="4">
        <n v="30.5"/>
        <n v="23"/>
        <n v="33"/>
        <n v="27"/>
      </sharedItems>
    </cacheField>
    <cacheField name="kV" numFmtId="0">
      <sharedItems containsSemiMixedTypes="0" containsString="0" containsNumber="1" containsInteger="1" minValue="66" maxValue="83"/>
    </cacheField>
    <cacheField name="mA" numFmtId="0">
      <sharedItems containsSemiMixedTypes="0" containsString="0" containsNumber="1" minValue="1.9" maxValue="7.4"/>
    </cacheField>
    <cacheField name="mGy/min" numFmtId="2">
      <sharedItems containsSemiMixedTypes="0" containsString="0" containsNumber="1" minValue="7.11" maxValue="26.82"/>
    </cacheField>
    <cacheField name="Low" numFmtId="2">
      <sharedItems containsMixedTypes="1" containsNumber="1" minValue="0.2933274929321219" maxValue="0.51974635149814408"/>
    </cacheField>
    <cacheField name="High" numFmtId="2">
      <sharedItems containsSemiMixedTypes="0" containsString="0" containsNumber="1" minValue="1.0121351544861574" maxValue="2.0253164556962027"/>
    </cacheField>
    <cacheField name="10 cm" numFmtId="2">
      <sharedItems containsSemiMixedTypes="0" containsString="0" containsNumber="1" minValue="0.10128774511607846" maxValue="0.2710163111668758"/>
    </cacheField>
    <cacheField name="30 cm" numFmtId="2">
      <sharedItems containsSemiMixedTypes="0" containsString="0" containsNumber="1" minValue="1.8605518269947798" maxValue="4.4918444165621079"/>
    </cacheField>
    <cacheField name="Mag 1" numFmtId="2">
      <sharedItems containsSemiMixedTypes="0" containsString="0" containsNumber="1" minValue="0.84774436090225558" maxValue="1.8578107936351236"/>
    </cacheField>
    <cacheField name="Mag 2" numFmtId="2">
      <sharedItems containsMixedTypes="1" containsNumber="1" minValue="1.2009694258016406" maxValue="3.45710267229254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ugene Mah" refreshedDate="41732.557550231482" createdVersion="5" refreshedVersion="5" minRefreshableVersion="3" recordCount="11">
  <cacheSource type="worksheet">
    <worksheetSource ref="A56:K67" sheet="Fluoro"/>
  </cacheSource>
  <cacheFields count="11">
    <cacheField name="Room" numFmtId="0">
      <sharedItems/>
    </cacheField>
    <cacheField name="II Size (cm)" numFmtId="0">
      <sharedItems containsSemiMixedTypes="0" containsString="0" containsNumber="1" containsInteger="1" minValue="25" maxValue="48" count="3">
        <n v="48"/>
        <n v="40"/>
        <n v="25"/>
      </sharedItems>
    </cacheField>
    <cacheField name="kV" numFmtId="0">
      <sharedItems containsSemiMixedTypes="0" containsString="0" containsNumber="1" minValue="63.9" maxValue="80"/>
    </cacheField>
    <cacheField name="mA" numFmtId="0">
      <sharedItems containsSemiMixedTypes="0" containsString="0" containsNumber="1" minValue="20.9" maxValue="125"/>
    </cacheField>
    <cacheField name="mGy/min" numFmtId="2">
      <sharedItems containsSemiMixedTypes="0" containsString="0" containsNumber="1" minValue="1.9035" maxValue="14.877000000000002"/>
    </cacheField>
    <cacheField name="Low" numFmtId="2">
      <sharedItems containsSemiMixedTypes="0" containsString="0" containsNumber="1" minValue="0.25863258674817668" maxValue="1.0307328605200947"/>
    </cacheField>
    <cacheField name="High" numFmtId="2">
      <sharedItems containsSemiMixedTypes="0" containsString="0" containsNumber="1" minValue="0.79866092778574849" maxValue="2.8060344827586201"/>
    </cacheField>
    <cacheField name="10 cm" numFmtId="2">
      <sharedItems containsSemiMixedTypes="0" containsString="0" containsNumber="1" minValue="0.10042347247428915" maxValue="0.34130434782608698"/>
    </cacheField>
    <cacheField name="30 cm" numFmtId="2">
      <sharedItems containsSemiMixedTypes="0" containsString="0" containsNumber="1" minValue="4.2445086705202311" maxValue="10.208037825059103"/>
    </cacheField>
    <cacheField name="Mag 1" numFmtId="2">
      <sharedItems containsSemiMixedTypes="0" containsString="0" containsNumber="1" minValue="1.278034682080925" maxValue="2.0581896551724137"/>
    </cacheField>
    <cacheField name="Mag 2" numFmtId="2">
      <sharedItems containsSemiMixedTypes="0" containsString="0" containsNumber="1" minValue="1.5335753176043556" maxValue="4.00862068965517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ugene Mah" refreshedDate="41732.558038078707" createdVersion="5" refreshedVersion="5" minRefreshableVersion="3" recordCount="15">
  <cacheSource type="worksheet">
    <worksheetSource ref="A79:K94" sheet="Fluoro"/>
  </cacheSource>
  <cacheFields count="11">
    <cacheField name="Room" numFmtId="0">
      <sharedItems/>
    </cacheField>
    <cacheField name="II Size (cm)" numFmtId="0">
      <sharedItems containsSemiMixedTypes="0" containsString="0" containsNumber="1" minValue="20" maxValue="48" count="5">
        <n v="25"/>
        <n v="48"/>
        <n v="20"/>
        <n v="30.5"/>
        <n v="23"/>
      </sharedItems>
    </cacheField>
    <cacheField name="kV" numFmtId="0">
      <sharedItems containsSemiMixedTypes="0" containsString="0" containsNumber="1" minValue="60" maxValue="73"/>
    </cacheField>
    <cacheField name="mA" numFmtId="0">
      <sharedItems containsSemiMixedTypes="0" containsString="0" containsNumber="1" minValue="95.7" maxValue="200"/>
    </cacheField>
    <cacheField name="mGy/min" numFmtId="2">
      <sharedItems containsSemiMixedTypes="0" containsString="0" containsNumber="1" minValue="5.0694038421965111" maxValue="23.13"/>
    </cacheField>
    <cacheField name="Low" numFmtId="2">
      <sharedItems containsSemiMixedTypes="0" containsString="0" containsNumber="1" minValue="0.22568330900063638" maxValue="0.81932773109243717"/>
    </cacheField>
    <cacheField name="High" numFmtId="2">
      <sharedItems containsSemiMixedTypes="0" containsString="0" containsNumber="1" minValue="1.1983361498241178" maxValue="2.9165925662457761"/>
    </cacheField>
    <cacheField name="10 cm" numFmtId="2">
      <sharedItems containsSemiMixedTypes="0" containsString="0" containsNumber="1" minValue="8.7288416860272139E-2" maxValue="0.15621473839154948"/>
    </cacheField>
    <cacheField name="30 cm" numFmtId="2">
      <sharedItems containsSemiMixedTypes="0" containsString="0" containsNumber="1" minValue="2.5683068566249396" maxValue="10.545454545454545"/>
    </cacheField>
    <cacheField name="Mag 1" numFmtId="2">
      <sharedItems containsSemiMixedTypes="0" containsString="0" containsNumber="1" minValue="0.96234309623430958" maxValue="1.8692023551460744"/>
    </cacheField>
    <cacheField name="Mag 2" numFmtId="2">
      <sharedItems containsSemiMixedTypes="0" containsString="0" containsNumber="1" minValue="1.2801556420233464" maxValue="4.775187467909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ugene Mah" refreshedDate="41779.600730324077" createdVersion="5" refreshedVersion="5" minRefreshableVersion="3" recordCount="53">
  <cacheSource type="worksheet">
    <worksheetSource ref="A2:K55" sheet="Sheet4"/>
  </cacheSource>
  <cacheFields count="11">
    <cacheField name="Room" numFmtId="0">
      <sharedItems/>
    </cacheField>
    <cacheField name="II Size (cm)" numFmtId="165">
      <sharedItems containsSemiMixedTypes="0" containsString="0" containsNumber="1" minValue="20" maxValue="48" count="7">
        <n v="40"/>
        <n v="30.5"/>
        <n v="33"/>
        <n v="23"/>
        <n v="25"/>
        <n v="48"/>
        <n v="20"/>
      </sharedItems>
    </cacheField>
    <cacheField name="kV" numFmtId="165">
      <sharedItems containsSemiMixedTypes="0" containsString="0" containsNumber="1" minValue="60" maxValue="103"/>
    </cacheField>
    <cacheField name="mA" numFmtId="165">
      <sharedItems containsSemiMixedTypes="0" containsString="0" containsNumber="1" minValue="1.5" maxValue="200"/>
    </cacheField>
    <cacheField name="mGy/min" numFmtId="2">
      <sharedItems containsSemiMixedTypes="0" containsString="0" containsNumber="1" minValue="1.9035" maxValue="26.82"/>
    </cacheField>
    <cacheField name="Low" numFmtId="164">
      <sharedItems containsMixedTypes="1" containsNumber="1" minValue="0.22568330900063638" maxValue="1.0307328605200947"/>
    </cacheField>
    <cacheField name="High" numFmtId="164">
      <sharedItems containsMixedTypes="1" containsNumber="1" minValue="0.79866092778574849" maxValue="2.9165925662457761"/>
    </cacheField>
    <cacheField name="10 cm" numFmtId="164">
      <sharedItems containsSemiMixedTypes="0" containsString="0" containsNumber="1" minValue="8.7288416860272139E-2" maxValue="0.34130434782608698"/>
    </cacheField>
    <cacheField name="30 cm" numFmtId="164">
      <sharedItems containsSemiMixedTypes="0" containsString="0" containsNumber="1" minValue="1.8605518269947798" maxValue="10.545454545454545"/>
    </cacheField>
    <cacheField name="Mag 1" numFmtId="164">
      <sharedItems containsSemiMixedTypes="0" containsString="0" containsNumber="1" minValue="0.84774436090225558" maxValue="2.0581896551724137"/>
    </cacheField>
    <cacheField name="Mag 2" numFmtId="164">
      <sharedItems containsMixedTypes="1" containsNumber="1" minValue="1.2009694258016406" maxValue="4.775187467909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s v="NT03"/>
    <x v="0"/>
    <n v="22.9"/>
  </r>
  <r>
    <s v="NT04"/>
    <x v="0"/>
    <n v="6.0750000000000002"/>
  </r>
  <r>
    <s v="Ped02"/>
    <x v="1"/>
    <n v="21.347999999999999"/>
  </r>
  <r>
    <s v="Ped03"/>
    <x v="2"/>
    <n v="11.077500000000001"/>
  </r>
  <r>
    <s v="RT761"/>
    <x v="3"/>
    <n v="8.1"/>
  </r>
  <r>
    <s v="ART2205"/>
    <x v="0"/>
    <n v="16.89"/>
  </r>
  <r>
    <s v="ART2208"/>
    <x v="0"/>
    <n v="14.4"/>
  </r>
  <r>
    <s v="C-arm 7"/>
    <x v="1"/>
    <n v="7.96"/>
  </r>
  <r>
    <s v="C-arm 8"/>
    <x v="4"/>
    <n v="14.5"/>
  </r>
  <r>
    <s v="C-arm 9"/>
    <x v="4"/>
    <n v="11.8"/>
  </r>
  <r>
    <s v="C-arm 10"/>
    <x v="4"/>
    <n v="10.6"/>
  </r>
  <r>
    <s v="C-arm 11"/>
    <x v="1"/>
    <n v="7.86"/>
  </r>
  <r>
    <s v="C-arm 12"/>
    <x v="1"/>
    <n v="7.97"/>
  </r>
  <r>
    <s v="C-arm 15"/>
    <x v="4"/>
    <n v="17.050799999999999"/>
  </r>
  <r>
    <s v="C-arm 18"/>
    <x v="1"/>
    <n v="8.35"/>
  </r>
  <r>
    <s v="C-arm 19"/>
    <x v="1"/>
    <n v="7.11"/>
  </r>
  <r>
    <s v="ART C-arm 1"/>
    <x v="2"/>
    <n v="15.96"/>
  </r>
  <r>
    <s v="ART C-arm 2"/>
    <x v="2"/>
    <n v="12.936500000000001"/>
  </r>
  <r>
    <s v="ART C-arm 3"/>
    <x v="2"/>
    <n v="13.4"/>
  </r>
  <r>
    <s v="ART C-arm 4"/>
    <x v="2"/>
    <n v="10.342599999999999"/>
  </r>
  <r>
    <s v="RT Uro"/>
    <x v="1"/>
    <n v="9.8000000000000007"/>
  </r>
  <r>
    <s v="EC1"/>
    <x v="2"/>
    <n v="12.59"/>
  </r>
  <r>
    <s v="EC2"/>
    <x v="2"/>
    <n v="26.82"/>
  </r>
  <r>
    <s v="EC Neuro"/>
    <x v="4"/>
    <n v="22.6"/>
  </r>
  <r>
    <s v="Neuro"/>
    <x v="1"/>
    <n v="7.1913999999999998"/>
  </r>
  <r>
    <s v="PICC"/>
    <x v="5"/>
    <n v="20.7"/>
  </r>
  <r>
    <s v="Pain Mgmt"/>
    <x v="4"/>
    <n v="14"/>
  </r>
  <r>
    <s v="HVC01"/>
    <x v="6"/>
    <n v="6.5475000000000003"/>
  </r>
  <r>
    <s v="HVC02"/>
    <x v="0"/>
    <n v="2.0880000000000001"/>
  </r>
  <r>
    <s v="HVC04"/>
    <x v="0"/>
    <n v="2.0699999999999998"/>
  </r>
  <r>
    <s v="HVC05"/>
    <x v="0"/>
    <n v="1.9035"/>
  </r>
  <r>
    <s v="Neuro1 AP"/>
    <x v="6"/>
    <n v="4.7332000000000001"/>
  </r>
  <r>
    <s v="Neuro1 Lat"/>
    <x v="7"/>
    <n v="10.311400000000001"/>
  </r>
  <r>
    <s v="Neuro2 AP"/>
    <x v="6"/>
    <n v="12.545999999999999"/>
  </r>
  <r>
    <s v="Neuro2 Lat"/>
    <x v="7"/>
    <n v="14.877000000000001"/>
  </r>
  <r>
    <s v="ART Angio 2"/>
    <x v="6"/>
    <n v="7.7850000000000001"/>
  </r>
  <r>
    <s v="ART Angio 3"/>
    <x v="6"/>
    <n v="7.7489999999999997"/>
  </r>
  <r>
    <s v="ART OR 10"/>
    <x v="6"/>
    <n v="5.0246000000000004"/>
  </r>
  <r>
    <s v="ART EP 6"/>
    <x v="7"/>
    <n v="18.888300000000001"/>
  </r>
  <r>
    <s v="ART EP 7 AP"/>
    <x v="6"/>
    <n v="5.9492000000000003"/>
  </r>
  <r>
    <s v="ART EP 7 Lat"/>
    <x v="7"/>
    <n v="7.5273000000000003"/>
  </r>
  <r>
    <s v="ART EP 8"/>
    <x v="7"/>
    <n v="9.4062999999999999"/>
  </r>
  <r>
    <s v="ART Cath 10"/>
    <x v="7"/>
    <n v="13.5585"/>
  </r>
  <r>
    <s v="ART Cath 11 AP"/>
    <x v="6"/>
    <n v="5.0693999999999999"/>
  </r>
  <r>
    <s v="ART Cath 11 Lat"/>
    <x v="7"/>
    <n v="7.9646999999999997"/>
  </r>
  <r>
    <s v="ART Cath 12"/>
    <x v="7"/>
    <n v="12.545999999999999"/>
  </r>
  <r>
    <s v="ART Cath 13"/>
    <x v="7"/>
    <n v="12.555"/>
  </r>
  <r>
    <s v="Ped Cath 1 AP"/>
    <x v="8"/>
    <n v="17.135999999999999"/>
  </r>
  <r>
    <s v="Ped Cath 1 Lat"/>
    <x v="8"/>
    <n v="10.1214"/>
  </r>
  <r>
    <s v="Ped Cath 2 AP"/>
    <x v="1"/>
    <n v="23.13"/>
  </r>
  <r>
    <s v="Ped Cath 2 Lat"/>
    <x v="1"/>
    <n v="12.906000000000001"/>
  </r>
  <r>
    <s v="HVC 11 AP"/>
    <x v="4"/>
    <n v="12.789"/>
  </r>
  <r>
    <s v="HVC 11 Lat"/>
    <x v="4"/>
    <n v="6.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s v="NT03"/>
    <x v="0"/>
    <n v="95"/>
    <n v="1.9"/>
    <n v="22.9"/>
    <s v=""/>
    <s v=""/>
    <n v="0.13187772925764193"/>
    <n v="3.7074235807860267"/>
    <n v="1.097816593886463"/>
    <n v="1.4672489082969433"/>
  </r>
  <r>
    <s v="NT04"/>
    <x v="0"/>
    <n v="77"/>
    <n v="1.7"/>
    <n v="6.0750000000000002"/>
    <n v="0.70370370370370372"/>
    <n v="2.0518518518518518"/>
    <n v="0.21234567901234569"/>
    <n v="3.5123456790123453"/>
    <n v="1.1938271604938271"/>
    <n v="2.0185185185185186"/>
  </r>
  <r>
    <s v="Ped02"/>
    <x v="1"/>
    <n v="103"/>
    <n v="1.9"/>
    <n v="21.347999999999995"/>
    <s v=""/>
    <s v=""/>
    <n v="0.12478920741989885"/>
    <n v="4.3204047217537953"/>
    <n v="1.537099494097808"/>
    <n v="3.1753794266441826"/>
  </r>
  <r>
    <s v="Ped03"/>
    <x v="2"/>
    <n v="81"/>
    <n v="2.8"/>
    <n v="11.077500000000001"/>
    <n v="0.72105619498984419"/>
    <n v="1.9363574813811779"/>
    <n v="0.19769803656059579"/>
    <n v="3.3581584292484767"/>
    <n v="1.3811780636425184"/>
    <n v="2.4238320920785372"/>
  </r>
  <r>
    <s v="RT761"/>
    <x v="3"/>
    <n v="73"/>
    <n v="23.7"/>
    <n v="8.1"/>
    <n v="0.76666666666666672"/>
    <n v="1.4933333333333334"/>
    <n v="0.18"/>
    <n v="4.2588888888888885"/>
    <n v="1.3444444444444446"/>
    <n v="1.7555555555555558"/>
  </r>
  <r>
    <s v="ART2205"/>
    <x v="0"/>
    <n v="74"/>
    <n v="1.5"/>
    <n v="16.89"/>
    <n v="0.75488454706927177"/>
    <n v="1.4801657785671996"/>
    <n v="0.24393132030787448"/>
    <n v="2.9011249259917111"/>
    <n v="1.2196566015393724"/>
    <n v="1.8342214328004736"/>
  </r>
  <r>
    <s v="ART2208"/>
    <x v="0"/>
    <n v="74"/>
    <n v="1.5"/>
    <n v="14.4"/>
    <n v="0.74375000000000002"/>
    <n v="1.4652777777777779"/>
    <n v="0.22222222222222224"/>
    <n v="3.0229166666666667"/>
    <n v="1.2291666666666665"/>
    <n v="1.85138888888888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s v="C-arm 7"/>
    <x v="0"/>
    <n v="76"/>
    <n v="1.9"/>
    <n v="7.96"/>
    <n v="0.48316582914572864"/>
    <n v="1.8052763819095476"/>
    <n v="0.26381909547738697"/>
    <n v="3.9798994974874371"/>
    <n v="1.7801507537688441"/>
    <n v="2.5376884422110551"/>
  </r>
  <r>
    <s v="C-arm 8"/>
    <x v="1"/>
    <n v="80"/>
    <n v="3"/>
    <n v="14.5"/>
    <n v="0.45655172413793105"/>
    <n v="1.9517241379310346"/>
    <n v="0.25310344827586206"/>
    <n v="3.6275862068965519"/>
    <n v="1.710344827586207"/>
    <n v="2.1103448275862071"/>
  </r>
  <r>
    <s v="C-arm 9"/>
    <x v="1"/>
    <n v="79"/>
    <n v="2.9"/>
    <n v="11.8"/>
    <n v="0.43474576271186438"/>
    <n v="1.8008474576271185"/>
    <n v="0.24406779661016947"/>
    <n v="4.3135593220338979"/>
    <n v="1.6550847457627118"/>
    <n v="2.2449152542372879"/>
  </r>
  <r>
    <s v="C-arm 10"/>
    <x v="1"/>
    <n v="79"/>
    <n v="2.9"/>
    <n v="10.6"/>
    <n v="0.43962264150943398"/>
    <n v="1.8066037735849056"/>
    <n v="0.25518867924528305"/>
    <n v="4.0886792452830196"/>
    <n v="1.4179245283018869"/>
    <n v="1.9943396226415095"/>
  </r>
  <r>
    <s v="C-arm 11"/>
    <x v="0"/>
    <n v="78"/>
    <n v="2"/>
    <n v="7.86"/>
    <n v="0.49618320610687022"/>
    <n v="1.866412213740458"/>
    <n v="0.25928753180661573"/>
    <n v="4.3193384223918576"/>
    <n v="1.5687022900763359"/>
    <n v="2.7989821882951653"/>
  </r>
  <r>
    <s v="C-arm 12"/>
    <x v="0"/>
    <n v="80"/>
    <n v="2.1"/>
    <n v="7.97"/>
    <n v="0.51317440401505643"/>
    <n v="1.9824341279799249"/>
    <n v="0.2710163111668758"/>
    <n v="4.4918444165621079"/>
    <n v="1.6311166875784191"/>
    <n v="2.544542032622334"/>
  </r>
  <r>
    <s v="C-arm 15"/>
    <x v="1"/>
    <n v="67"/>
    <n v="3.5"/>
    <n v="17.050768761782003"/>
    <n v="0.38784779696596128"/>
    <n v="1.0200504428134973"/>
    <n v="0.12182249583919039"/>
    <n v="3.1516153590970646"/>
    <n v="1.5143812593534793"/>
    <s v=""/>
  </r>
  <r>
    <s v="C-arm 18"/>
    <x v="0"/>
    <n v="81"/>
    <n v="2.2200000000000002"/>
    <n v="8.35"/>
    <n v="0.4946107784431138"/>
    <n v="1.9520958083832336"/>
    <n v="0.26467065868263473"/>
    <n v="4.3113772455089823"/>
    <n v="1.6526946107784433"/>
    <n v="3.0059880239520962"/>
  </r>
  <r>
    <s v="C-arm 19"/>
    <x v="0"/>
    <n v="81"/>
    <n v="2.2200000000000002"/>
    <n v="7.11"/>
    <n v="0.47046413502109707"/>
    <n v="2.0253164556962027"/>
    <n v="0.25977496483825596"/>
    <n v="4.271448663853727"/>
    <n v="1.6399437412095639"/>
    <n v="3.4571026722925455"/>
  </r>
  <r>
    <s v="ART C-arm 1"/>
    <x v="2"/>
    <n v="68"/>
    <n v="6.1"/>
    <n v="15.96"/>
    <n v="0.38095238095238093"/>
    <n v="1.1215538847117792"/>
    <n v="0.14849624060150377"/>
    <n v="2.4999999999999996"/>
    <n v="0.84774436090225558"/>
    <n v="1.2399749373433582"/>
  </r>
  <r>
    <s v="ART C-arm 2"/>
    <x v="2"/>
    <n v="66"/>
    <n v="7.4"/>
    <n v="12.936484788865258"/>
    <n v="0.2933274929321219"/>
    <n v="1.0121351544861574"/>
    <n v="0.10128774511607846"/>
    <n v="2.2215239888205178"/>
    <n v="1.0822319129141866"/>
    <n v="1.336454643235981"/>
  </r>
  <r>
    <s v="ART C-arm 3"/>
    <x v="2"/>
    <n v="68"/>
    <n v="5.8"/>
    <n v="13.4"/>
    <n v="0.38805970149253732"/>
    <n v="1.1492537313432836"/>
    <n v="0.14701492537313432"/>
    <n v="3.2835820895522385"/>
    <n v="1.1507462686567165"/>
    <n v="1.4537313432835821"/>
  </r>
  <r>
    <s v="ART C-arm 4"/>
    <x v="2"/>
    <n v="68"/>
    <n v="5.8"/>
    <n v="10.342637150302032"/>
    <n v="0.38553223294477307"/>
    <n v="1.1525919265292337"/>
    <n v="0.15462456985106002"/>
    <n v="2.4972225483188568"/>
    <n v="1.0196537853056244"/>
    <n v="1.4883023613310651"/>
  </r>
  <r>
    <s v="RT Uro"/>
    <x v="0"/>
    <n v="80"/>
    <n v="2.2000000000000002"/>
    <n v="9.8000000000000007"/>
    <n v="0.4765306122448979"/>
    <n v="1.9183673469387754"/>
    <n v="0.24020408163265305"/>
    <n v="4.0612244897959178"/>
    <n v="1.4826530612244897"/>
    <n v="2.1642857142857141"/>
  </r>
  <r>
    <s v="EC1"/>
    <x v="2"/>
    <n v="67"/>
    <n v="5.6"/>
    <n v="12.59"/>
    <n v="0.34630659253375695"/>
    <n v="1.1270849880857823"/>
    <n v="0.13653693407466244"/>
    <n v="3.5520254169976173"/>
    <n v="1.3423351866560762"/>
    <n v="1.5679110405083398"/>
  </r>
  <r>
    <s v="EC2"/>
    <x v="2"/>
    <n v="75"/>
    <n v="7.3"/>
    <n v="26.82"/>
    <n v="0.39038031319910516"/>
    <n v="1.325876211782252"/>
    <n v="0.20193885160328115"/>
    <n v="1.8605518269947798"/>
    <n v="1.0950782997762865"/>
    <n v="1.2009694258016406"/>
  </r>
  <r>
    <s v="EC Neuro"/>
    <x v="1"/>
    <n v="80"/>
    <n v="3"/>
    <n v="22.6"/>
    <n v="0.35398230088495575"/>
    <n v="1.5853982300884955"/>
    <n v="0.26323008849557522"/>
    <n v="2.6172566371681412"/>
    <n v="1.5323008849557522"/>
    <n v="1.747787610619469"/>
  </r>
  <r>
    <s v="Neuro"/>
    <x v="0"/>
    <n v="83"/>
    <n v="2.4"/>
    <n v="7.1913547227281311"/>
    <n v="0.51974635149814408"/>
    <n v="1.9944109353978083"/>
    <n v="0.26328805589500126"/>
    <n v="3.3930655327587571"/>
    <n v="1.8578107936351236"/>
    <n v="3.0467740641793717"/>
  </r>
  <r>
    <s v="PICC"/>
    <x v="3"/>
    <n v="66"/>
    <n v="3.1"/>
    <n v="20.7"/>
    <s v=""/>
    <n v="1.0512077294685991"/>
    <n v="0.15458937198067635"/>
    <n v="2.4584541062801932"/>
    <n v="1.4516908212560387"/>
    <s v=""/>
  </r>
  <r>
    <s v="Pain Mgmt"/>
    <x v="1"/>
    <n v="81"/>
    <n v="3"/>
    <n v="14"/>
    <n v="0.44642857142857145"/>
    <n v="2"/>
    <n v="0.26428571428571429"/>
    <n v="3.3928571428571428"/>
    <n v="1.0857142857142856"/>
    <n v="1.985714285714285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">
  <r>
    <s v="HVC01"/>
    <x v="0"/>
    <n v="63.9"/>
    <n v="108.1"/>
    <n v="6.5475000000000003"/>
    <n v="0.60618556701030935"/>
    <n v="1.4460481099656355"/>
    <n v="0.10309278350515465"/>
    <n v="4.7539518900343642"/>
    <n v="1.2962199312714777"/>
    <n v="1.7621993127147766"/>
  </r>
  <r>
    <s v="HVC02"/>
    <x v="1"/>
    <n v="66"/>
    <n v="54"/>
    <n v="2.0880000000000001"/>
    <n v="1.0150862068965516"/>
    <n v="2.8060344827586201"/>
    <n v="0.12715517241379309"/>
    <n v="9.6336206896551708"/>
    <n v="2.0581896551724137"/>
    <n v="4.0086206896551717"/>
  </r>
  <r>
    <s v="HVC04"/>
    <x v="1"/>
    <n v="66"/>
    <n v="54"/>
    <n v="2.0699999999999998"/>
    <n v="1.017391304347826"/>
    <n v="2.7869565217391306"/>
    <n v="0.34130434782608698"/>
    <n v="10.152173913043478"/>
    <n v="2.0326086956521738"/>
    <n v="3.9478260869565216"/>
  </r>
  <r>
    <s v="HVC05"/>
    <x v="1"/>
    <n v="66"/>
    <n v="53.2"/>
    <n v="1.9035"/>
    <n v="1.0307328605200947"/>
    <n v="2.7895981087470449"/>
    <n v="0.12293144208037828"/>
    <n v="10.208037825059103"/>
    <n v="1.8699763593380614"/>
    <n v="3.6997635933806148"/>
  </r>
  <r>
    <s v="Neuro1 AP"/>
    <x v="0"/>
    <n v="80"/>
    <n v="20.9"/>
    <n v="4.7332374908092261"/>
    <n v="0.53635718174797098"/>
    <n v="0.95685495473011495"/>
    <n v="0.23897560817984478"/>
    <n v="5.45670778087075"/>
    <n v="1.5911941396902145"/>
    <n v="2.4471899497844336"/>
  </r>
  <r>
    <s v="Neuro1 Lat"/>
    <x v="2"/>
    <n v="80"/>
    <n v="33.6"/>
    <n v="10.31137666598428"/>
    <n v="0.5086663190507047"/>
    <n v="1.0001478211566499"/>
    <n v="0.18131257087315727"/>
    <n v="5.2296427992872188"/>
    <n v="1.399733415681192"/>
    <n v="2.0303531508180788"/>
  </r>
  <r>
    <s v="Neuro2 AP"/>
    <x v="0"/>
    <n v="68.400000000000006"/>
    <n v="39"/>
    <n v="12.545999999999999"/>
    <n v="0.40100430416068866"/>
    <n v="0.79866092778574849"/>
    <n v="0.11406025824964133"/>
    <n v="5.3558106169296984"/>
    <n v="1.4992826398852224"/>
    <n v="2.037302725968436"/>
  </r>
  <r>
    <s v="Neuro2 Lat"/>
    <x v="2"/>
    <n v="68.400000000000006"/>
    <n v="52.7"/>
    <n v="14.877000000000002"/>
    <n v="0.36842105263157887"/>
    <n v="0.8066142367412783"/>
    <n v="0.10042347247428915"/>
    <n v="7.1022383545069561"/>
    <n v="1.2861464004839687"/>
    <n v="1.5335753176043556"/>
  </r>
  <r>
    <s v="ART Angio 2"/>
    <x v="0"/>
    <n v="65"/>
    <n v="125"/>
    <n v="7.7850000000000001"/>
    <n v="0.38728323699421968"/>
    <n v="1.1491329479768786"/>
    <n v="0.10520231213872831"/>
    <n v="4.2445086705202311"/>
    <n v="1.278034682080925"/>
    <n v="1.6549132947976879"/>
  </r>
  <r>
    <s v="ART Angio 3"/>
    <x v="0"/>
    <n v="64.8"/>
    <n v="121.9"/>
    <n v="7.7489999999999979"/>
    <n v="0.3925667828106853"/>
    <n v="1.2241579558652733"/>
    <n v="0.10685249709639956"/>
    <n v="4.4192799070847864"/>
    <n v="1.3002322880371664"/>
    <n v="1.6306620209059237"/>
  </r>
  <r>
    <s v="ART OR 10"/>
    <x v="0"/>
    <n v="65"/>
    <n v="107"/>
    <n v="5.0245875432100942"/>
    <n v="0.25863258674817668"/>
    <n v="2.5876420384744971"/>
    <n v="0.13170266493199576"/>
    <n v="8.8517459965556586"/>
    <n v="1.4456874544251508"/>
    <n v="2.023489117461067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">
  <r>
    <s v="ART EP 6"/>
    <x v="0"/>
    <n v="70"/>
    <n v="166"/>
    <n v="18.888308534207514"/>
    <n v="0.22568330900063638"/>
    <n v="1.1983361498241178"/>
    <n v="0.10240378976549853"/>
    <n v="2.5683068566249396"/>
    <n v="1.2049795453899772"/>
    <n v="1.4980971414617548"/>
  </r>
  <r>
    <s v="ART EP 7 AP"/>
    <x v="1"/>
    <n v="66.400000000000006"/>
    <n v="98"/>
    <n v="5.9492095699846876"/>
    <n v="0.4040750881200208"/>
    <n v="1.4295959377223184"/>
    <n v="0.15621473839154948"/>
    <n v="6.455742743939699"/>
    <n v="1.3282570363525139"/>
    <n v="2.1235136820744072"/>
  </r>
  <r>
    <s v="ART EP 7 Lat"/>
    <x v="0"/>
    <n v="66.400000000000006"/>
    <n v="130.4"/>
    <n v="7.527273646176222"/>
    <n v="0.54448585124563909"/>
    <n v="1.578511002860735"/>
    <n v="0.12698339910741058"/>
    <n v="6.5551158288573941"/>
    <n v="1.281665107265791"/>
    <n v="4.775187467909304"/>
  </r>
  <r>
    <s v="ART EP 8"/>
    <x v="0"/>
    <n v="66"/>
    <n v="151.4"/>
    <n v="9.4063197164015797"/>
    <n v="0.40105705543254866"/>
    <n v="1.600635723844261"/>
    <n v="0.12747852720017461"/>
    <n v="6.0095594983599669"/>
    <n v="1.8692023551460744"/>
    <n v="2.3980924511039925"/>
  </r>
  <r>
    <s v="ART Cath 10"/>
    <x v="0"/>
    <n v="70"/>
    <n v="116.7"/>
    <n v="13.5585"/>
    <n v="0.60404912047792891"/>
    <n v="2.3378692333222699"/>
    <n v="8.7288416860272139E-2"/>
    <n v="3.1463657484234977"/>
    <n v="1.2827746432127447"/>
    <n v="1.5433123133089943"/>
  </r>
  <r>
    <s v="ART Cath 11 AP"/>
    <x v="1"/>
    <n v="66.400000000000006"/>
    <n v="95.7"/>
    <n v="5.0694038421965111"/>
    <n v="0.41209281281251592"/>
    <n v="1.4024521845431974"/>
    <n v="0.1473993296276338"/>
    <n v="7.2261227509147918"/>
    <n v="1.4415989531590576"/>
    <n v="2.2187346058859676"/>
  </r>
  <r>
    <s v="ART Cath 11 Lat"/>
    <x v="0"/>
    <n v="66.400000000000006"/>
    <n v="139.1"/>
    <n v="7.9647074506770803"/>
    <n v="0.3781487612058777"/>
    <n v="1.6464162163692588"/>
    <n v="0.11448084108180434"/>
    <n v="6.007581564738488"/>
    <n v="1.5726122265577076"/>
    <n v="2.5287462419871876"/>
  </r>
  <r>
    <s v="ART Cath 12"/>
    <x v="0"/>
    <n v="70"/>
    <n v="107.4"/>
    <n v="12.545999999999999"/>
    <n v="0.69583931133428989"/>
    <n v="2.8981348637015785"/>
    <n v="9.1822094691535142E-2"/>
    <n v="3.4325681492109039"/>
    <n v="1.2944763271162125"/>
    <n v="1.6434720229555237"/>
  </r>
  <r>
    <s v="ART Cath 13"/>
    <x v="0"/>
    <n v="70"/>
    <n v="110.2"/>
    <n v="12.555"/>
    <n v="0.699641577060932"/>
    <n v="2.8745519713261651"/>
    <n v="9.2473118279569902E-2"/>
    <n v="3.1684587813620073"/>
    <n v="1.3032258064516129"/>
    <n v="1.6129032258064517"/>
  </r>
  <r>
    <s v="Ped Cath 1 AP"/>
    <x v="2"/>
    <n v="73"/>
    <n v="200"/>
    <n v="17.135999999999996"/>
    <n v="0.81932773109243717"/>
    <n v="2.8834033613445382"/>
    <n v="0.13750000000000004"/>
    <n v="5.0735294117647074"/>
    <n v="1.2710084033613449"/>
    <n v="1.4569327731092439"/>
  </r>
  <r>
    <s v="Ped Cath 1 Lat"/>
    <x v="2"/>
    <n v="70"/>
    <n v="172"/>
    <n v="10.1214"/>
    <n v="0.79317090521074163"/>
    <n v="2.9165925662457761"/>
    <n v="0.1211097279032545"/>
    <n v="7.6293793348746224"/>
    <n v="1.3515916770407257"/>
    <n v="1.6112395518406546"/>
  </r>
  <r>
    <s v="Ped Cath 2 AP"/>
    <x v="3"/>
    <n v="64"/>
    <n v="200"/>
    <n v="23.13"/>
    <n v="0.41575875486381325"/>
    <n v="2.463035019455253"/>
    <n v="0.14007782101167315"/>
    <n v="4.4941634241245136"/>
    <n v="0.97665369649805456"/>
    <n v="1.2801556420233464"/>
  </r>
  <r>
    <s v="Ped Cath 2 Lat"/>
    <x v="3"/>
    <n v="60"/>
    <n v="194"/>
    <n v="12.906000000000001"/>
    <n v="0.32357043235704325"/>
    <n v="2.0711297071129708"/>
    <n v="0.10251046025104602"/>
    <n v="6.4156206415620636"/>
    <n v="0.96234309623430958"/>
    <n v="1.3319386331938634"/>
  </r>
  <r>
    <s v="HVC 11 AP"/>
    <x v="4"/>
    <n v="66"/>
    <n v="125.9"/>
    <n v="12.789"/>
    <n v="0.50140745953553834"/>
    <n v="1.5432793807178042"/>
    <n v="0.12737508796622099"/>
    <n v="6.5587614356087265"/>
    <n v="1.5425756509500352"/>
    <n v="2.2828993666432087"/>
  </r>
  <r>
    <s v="HVC 11 Lat"/>
    <x v="4"/>
    <n v="66"/>
    <n v="123.6"/>
    <n v="6.93"/>
    <n v="0.50324675324675328"/>
    <n v="1.5714285714285716"/>
    <n v="0.12597402597402596"/>
    <n v="10.545454545454545"/>
    <n v="1.6363636363636365"/>
    <n v="2.485714285714285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3">
  <r>
    <s v="NT03"/>
    <x v="0"/>
    <n v="95"/>
    <n v="1.9"/>
    <n v="22.9"/>
    <s v=""/>
    <s v=""/>
    <n v="0.13187772925764193"/>
    <n v="3.7074235807860267"/>
    <n v="1.097816593886463"/>
    <n v="1.4672489082969433"/>
  </r>
  <r>
    <s v="NT04"/>
    <x v="0"/>
    <n v="77"/>
    <n v="1.7"/>
    <n v="6.0750000000000002"/>
    <n v="0.70370370370370372"/>
    <n v="2.0518518518518518"/>
    <n v="0.21234567901234569"/>
    <n v="3.5123456790123453"/>
    <n v="1.1938271604938271"/>
    <n v="2.0185185185185186"/>
  </r>
  <r>
    <s v="Ped02"/>
    <x v="1"/>
    <n v="103"/>
    <n v="1.9"/>
    <n v="21.347999999999995"/>
    <s v=""/>
    <s v=""/>
    <n v="0.12478920741989885"/>
    <n v="4.3204047217537953"/>
    <n v="1.537099494097808"/>
    <n v="3.1753794266441826"/>
  </r>
  <r>
    <s v="Ped03"/>
    <x v="2"/>
    <n v="81"/>
    <n v="2.8"/>
    <n v="11.077500000000001"/>
    <n v="0.72105619498984419"/>
    <n v="1.9363574813811779"/>
    <n v="0.19769803656059579"/>
    <n v="3.3581584292484767"/>
    <n v="1.3811780636425184"/>
    <n v="2.4238320920785372"/>
  </r>
  <r>
    <s v="RT761"/>
    <x v="0"/>
    <n v="73"/>
    <n v="23.7"/>
    <n v="8.1"/>
    <n v="0.76666666666666672"/>
    <n v="1.4933333333333334"/>
    <n v="0.18"/>
    <n v="4.2588888888888885"/>
    <n v="1.3444444444444446"/>
    <n v="1.7555555555555558"/>
  </r>
  <r>
    <s v="ART2205"/>
    <x v="0"/>
    <n v="74"/>
    <n v="1.5"/>
    <n v="16.89"/>
    <n v="0.75488454706927177"/>
    <n v="1.4801657785671996"/>
    <n v="0.24393132030787448"/>
    <n v="2.9011249259917111"/>
    <n v="1.2196566015393724"/>
    <n v="1.8342214328004736"/>
  </r>
  <r>
    <s v="ART2208"/>
    <x v="0"/>
    <n v="74"/>
    <n v="1.5"/>
    <n v="14.4"/>
    <n v="0.74375000000000002"/>
    <n v="1.4652777777777779"/>
    <n v="0.22222222222222224"/>
    <n v="3.0229166666666667"/>
    <n v="1.2291666666666665"/>
    <n v="1.8513888888888888"/>
  </r>
  <r>
    <s v="C-arm 7"/>
    <x v="1"/>
    <n v="76"/>
    <n v="1.9"/>
    <n v="7.96"/>
    <n v="0.48316582914572864"/>
    <n v="1.8052763819095476"/>
    <n v="0.26381909547738697"/>
    <n v="3.9798994974874371"/>
    <n v="1.7801507537688441"/>
    <n v="2.5376884422110551"/>
  </r>
  <r>
    <s v="C-arm 8"/>
    <x v="3"/>
    <n v="80"/>
    <n v="3"/>
    <n v="14.5"/>
    <n v="0.45655172413793105"/>
    <n v="1.9517241379310346"/>
    <n v="0.25310344827586206"/>
    <n v="3.6275862068965519"/>
    <n v="1.710344827586207"/>
    <n v="2.1103448275862071"/>
  </r>
  <r>
    <s v="C-arm 9"/>
    <x v="3"/>
    <n v="79"/>
    <n v="2.9"/>
    <n v="11.8"/>
    <n v="0.43474576271186438"/>
    <n v="1.8008474576271185"/>
    <n v="0.24406779661016947"/>
    <n v="4.3135593220338979"/>
    <n v="1.6550847457627118"/>
    <n v="2.2449152542372879"/>
  </r>
  <r>
    <s v="C-arm 10"/>
    <x v="3"/>
    <n v="79"/>
    <n v="2.9"/>
    <n v="10.6"/>
    <n v="0.43962264150943398"/>
    <n v="1.8066037735849056"/>
    <n v="0.25518867924528305"/>
    <n v="4.0886792452830196"/>
    <n v="1.4179245283018869"/>
    <n v="1.9943396226415095"/>
  </r>
  <r>
    <s v="C-arm 11"/>
    <x v="1"/>
    <n v="78"/>
    <n v="2"/>
    <n v="7.86"/>
    <n v="0.49618320610687022"/>
    <n v="1.866412213740458"/>
    <n v="0.25928753180661573"/>
    <n v="4.3193384223918576"/>
    <n v="1.5687022900763359"/>
    <n v="2.7989821882951653"/>
  </r>
  <r>
    <s v="C-arm 12"/>
    <x v="1"/>
    <n v="80"/>
    <n v="2.1"/>
    <n v="7.97"/>
    <n v="0.51317440401505643"/>
    <n v="1.9824341279799249"/>
    <n v="0.2710163111668758"/>
    <n v="4.4918444165621079"/>
    <n v="1.6311166875784191"/>
    <n v="2.544542032622334"/>
  </r>
  <r>
    <s v="C-arm 15"/>
    <x v="3"/>
    <n v="67"/>
    <n v="3.5"/>
    <n v="17.050768761782003"/>
    <n v="0.38784779696596128"/>
    <n v="1.0200504428134973"/>
    <n v="0.12182249583919039"/>
    <n v="3.1516153590970646"/>
    <n v="1.5143812593534793"/>
    <s v=""/>
  </r>
  <r>
    <s v="C-arm 18"/>
    <x v="1"/>
    <n v="81"/>
    <n v="2.2200000000000002"/>
    <n v="8.35"/>
    <n v="0.4946107784431138"/>
    <n v="1.9520958083832336"/>
    <n v="0.26467065868263473"/>
    <n v="4.3113772455089823"/>
    <n v="1.6526946107784433"/>
    <n v="3.0059880239520962"/>
  </r>
  <r>
    <s v="C-arm 19"/>
    <x v="1"/>
    <n v="81"/>
    <n v="2.2200000000000002"/>
    <n v="7.11"/>
    <n v="0.47046413502109707"/>
    <n v="2.0253164556962027"/>
    <n v="0.25977496483825596"/>
    <n v="4.271448663853727"/>
    <n v="1.6399437412095639"/>
    <n v="3.4571026722925455"/>
  </r>
  <r>
    <s v="ART C-arm 1"/>
    <x v="2"/>
    <n v="68"/>
    <n v="6.1"/>
    <n v="15.96"/>
    <n v="0.38095238095238093"/>
    <n v="1.1215538847117792"/>
    <n v="0.14849624060150377"/>
    <n v="2.4999999999999996"/>
    <n v="0.84774436090225558"/>
    <n v="1.2399749373433582"/>
  </r>
  <r>
    <s v="ART C-arm 2"/>
    <x v="2"/>
    <n v="66"/>
    <n v="7.4"/>
    <n v="12.936484788865258"/>
    <n v="0.2933274929321219"/>
    <n v="1.0121351544861574"/>
    <n v="0.10128774511607846"/>
    <n v="2.2215239888205178"/>
    <n v="1.0822319129141866"/>
    <n v="1.336454643235981"/>
  </r>
  <r>
    <s v="ART C-arm 3"/>
    <x v="2"/>
    <n v="68"/>
    <n v="5.8"/>
    <n v="13.4"/>
    <n v="0.38805970149253732"/>
    <n v="1.1492537313432836"/>
    <n v="0.14701492537313432"/>
    <n v="3.2835820895522385"/>
    <n v="1.1507462686567165"/>
    <n v="1.4537313432835821"/>
  </r>
  <r>
    <s v="ART C-arm 4"/>
    <x v="2"/>
    <n v="68"/>
    <n v="5.8"/>
    <n v="10.342637150302032"/>
    <n v="0.38553223294477307"/>
    <n v="1.1525919265292337"/>
    <n v="0.15462456985106002"/>
    <n v="2.4972225483188568"/>
    <n v="1.0196537853056244"/>
    <n v="1.4883023613310651"/>
  </r>
  <r>
    <s v="RT Uro"/>
    <x v="1"/>
    <n v="80"/>
    <n v="2.2000000000000002"/>
    <n v="9.8000000000000007"/>
    <n v="0.4765306122448979"/>
    <n v="1.9183673469387754"/>
    <n v="0.24020408163265305"/>
    <n v="4.0612244897959178"/>
    <n v="1.4826530612244897"/>
    <n v="2.1642857142857141"/>
  </r>
  <r>
    <s v="EC1"/>
    <x v="2"/>
    <n v="67"/>
    <n v="5.6"/>
    <n v="12.59"/>
    <n v="0.34630659253375695"/>
    <n v="1.1270849880857823"/>
    <n v="0.13653693407466244"/>
    <n v="3.5520254169976173"/>
    <n v="1.3423351866560762"/>
    <n v="1.5679110405083398"/>
  </r>
  <r>
    <s v="EC2"/>
    <x v="2"/>
    <n v="75"/>
    <n v="7.3"/>
    <n v="26.82"/>
    <n v="0.39038031319910516"/>
    <n v="1.325876211782252"/>
    <n v="0.20193885160328115"/>
    <n v="1.8605518269947798"/>
    <n v="1.0950782997762865"/>
    <n v="1.2009694258016406"/>
  </r>
  <r>
    <s v="EC Neuro"/>
    <x v="3"/>
    <n v="80"/>
    <n v="3"/>
    <n v="22.6"/>
    <n v="0.35398230088495575"/>
    <n v="1.5853982300884955"/>
    <n v="0.26323008849557522"/>
    <n v="2.6172566371681412"/>
    <n v="1.5323008849557522"/>
    <n v="1.747787610619469"/>
  </r>
  <r>
    <s v="Neuro"/>
    <x v="1"/>
    <n v="83"/>
    <n v="2.4"/>
    <n v="7.1913547227281311"/>
    <n v="0.51974635149814408"/>
    <n v="1.9944109353978083"/>
    <n v="0.26328805589500126"/>
    <n v="3.3930655327587571"/>
    <n v="1.8578107936351236"/>
    <n v="3.0467740641793717"/>
  </r>
  <r>
    <s v="PICC"/>
    <x v="4"/>
    <n v="66"/>
    <n v="3.1"/>
    <n v="20.7"/>
    <s v=""/>
    <n v="1.0512077294685991"/>
    <n v="0.15458937198067635"/>
    <n v="2.4584541062801932"/>
    <n v="1.4516908212560387"/>
    <s v=""/>
  </r>
  <r>
    <s v="Pain Mgmt"/>
    <x v="3"/>
    <n v="81"/>
    <n v="3"/>
    <n v="14"/>
    <n v="0.44642857142857145"/>
    <n v="2"/>
    <n v="0.26428571428571429"/>
    <n v="3.3928571428571428"/>
    <n v="1.0857142857142856"/>
    <n v="1.9857142857142858"/>
  </r>
  <r>
    <s v="HVC01"/>
    <x v="5"/>
    <n v="63.9"/>
    <n v="108.1"/>
    <n v="6.5475000000000003"/>
    <n v="0.60618556701030935"/>
    <n v="1.4460481099656355"/>
    <n v="0.10309278350515465"/>
    <n v="4.7539518900343642"/>
    <n v="1.2962199312714777"/>
    <n v="1.7621993127147766"/>
  </r>
  <r>
    <s v="HVC02"/>
    <x v="0"/>
    <n v="66"/>
    <n v="54"/>
    <n v="2.0880000000000001"/>
    <n v="1.0150862068965516"/>
    <n v="2.8060344827586201"/>
    <n v="0.12715517241379309"/>
    <n v="9.6336206896551708"/>
    <n v="2.0581896551724137"/>
    <n v="4.0086206896551717"/>
  </r>
  <r>
    <s v="HVC04"/>
    <x v="0"/>
    <n v="66"/>
    <n v="54"/>
    <n v="2.0699999999999998"/>
    <n v="1.017391304347826"/>
    <n v="2.7869565217391306"/>
    <n v="0.34130434782608698"/>
    <n v="10.152173913043478"/>
    <n v="2.0326086956521738"/>
    <n v="3.9478260869565216"/>
  </r>
  <r>
    <s v="HVC05"/>
    <x v="0"/>
    <n v="66"/>
    <n v="53.2"/>
    <n v="1.9035"/>
    <n v="1.0307328605200947"/>
    <n v="2.7895981087470449"/>
    <n v="0.12293144208037828"/>
    <n v="10.208037825059103"/>
    <n v="1.8699763593380614"/>
    <n v="3.6997635933806148"/>
  </r>
  <r>
    <s v="Neuro1 AP"/>
    <x v="5"/>
    <n v="80"/>
    <n v="20.9"/>
    <n v="4.7332374908092261"/>
    <n v="0.53635718174797098"/>
    <n v="0.95685495473011495"/>
    <n v="0.23897560817984478"/>
    <n v="5.45670778087075"/>
    <n v="1.5911941396902145"/>
    <n v="2.4471899497844336"/>
  </r>
  <r>
    <s v="Neuro1 Lat"/>
    <x v="4"/>
    <n v="80"/>
    <n v="33.6"/>
    <n v="10.31137666598428"/>
    <n v="0.5086663190507047"/>
    <n v="1.0001478211566499"/>
    <n v="0.18131257087315727"/>
    <n v="5.2296427992872188"/>
    <n v="1.399733415681192"/>
    <n v="2.0303531508180788"/>
  </r>
  <r>
    <s v="Neuro2 AP"/>
    <x v="5"/>
    <n v="68.400000000000006"/>
    <n v="39"/>
    <n v="12.545999999999999"/>
    <n v="0.40100430416068866"/>
    <n v="0.79866092778574849"/>
    <n v="0.11406025824964133"/>
    <n v="5.3558106169296984"/>
    <n v="1.4992826398852224"/>
    <n v="2.037302725968436"/>
  </r>
  <r>
    <s v="Neuro2 Lat"/>
    <x v="4"/>
    <n v="68.400000000000006"/>
    <n v="52.7"/>
    <n v="14.877000000000002"/>
    <n v="0.36842105263157887"/>
    <n v="0.8066142367412783"/>
    <n v="0.10042347247428915"/>
    <n v="7.1022383545069561"/>
    <n v="1.2861464004839687"/>
    <n v="1.5335753176043556"/>
  </r>
  <r>
    <s v="ART Angio 2"/>
    <x v="5"/>
    <n v="65"/>
    <n v="125"/>
    <n v="7.7850000000000001"/>
    <n v="0.38728323699421968"/>
    <n v="1.1491329479768786"/>
    <n v="0.10520231213872831"/>
    <n v="4.2445086705202311"/>
    <n v="1.278034682080925"/>
    <n v="1.6549132947976879"/>
  </r>
  <r>
    <s v="ART Angio 3"/>
    <x v="5"/>
    <n v="64.8"/>
    <n v="121.9"/>
    <n v="7.7489999999999979"/>
    <n v="0.3925667828106853"/>
    <n v="1.2241579558652733"/>
    <n v="0.10685249709639956"/>
    <n v="4.4192799070847864"/>
    <n v="1.3002322880371664"/>
    <n v="1.6306620209059237"/>
  </r>
  <r>
    <s v="ART OR 10"/>
    <x v="5"/>
    <n v="65"/>
    <n v="107"/>
    <n v="5.0245875432100942"/>
    <n v="0.25863258674817668"/>
    <n v="2.5876420384744971"/>
    <n v="0.13170266493199576"/>
    <n v="8.8517459965556586"/>
    <n v="1.4456874544251508"/>
    <n v="2.0234891174610672"/>
  </r>
  <r>
    <s v="ART EP 6"/>
    <x v="4"/>
    <n v="70"/>
    <n v="166"/>
    <n v="18.888308534207514"/>
    <n v="0.22568330900063638"/>
    <n v="1.1983361498241178"/>
    <n v="0.10240378976549853"/>
    <n v="2.5683068566249396"/>
    <n v="1.2049795453899772"/>
    <n v="1.4980971414617548"/>
  </r>
  <r>
    <s v="ART EP 7 AP"/>
    <x v="5"/>
    <n v="66.400000000000006"/>
    <n v="98"/>
    <n v="5.9492095699846876"/>
    <n v="0.4040750881200208"/>
    <n v="1.4295959377223184"/>
    <n v="0.15621473839154948"/>
    <n v="6.455742743939699"/>
    <n v="1.3282570363525139"/>
    <n v="2.1235136820744072"/>
  </r>
  <r>
    <s v="ART EP 7 Lat"/>
    <x v="4"/>
    <n v="66.400000000000006"/>
    <n v="130.4"/>
    <n v="7.527273646176222"/>
    <n v="0.54448585124563909"/>
    <n v="1.578511002860735"/>
    <n v="0.12698339910741058"/>
    <n v="6.5551158288573941"/>
    <n v="1.281665107265791"/>
    <n v="4.775187467909304"/>
  </r>
  <r>
    <s v="ART EP 8"/>
    <x v="4"/>
    <n v="66"/>
    <n v="151.4"/>
    <n v="9.4063197164015797"/>
    <n v="0.40105705543254866"/>
    <n v="1.600635723844261"/>
    <n v="0.12747852720017461"/>
    <n v="6.0095594983599669"/>
    <n v="1.8692023551460744"/>
    <n v="2.3980924511039925"/>
  </r>
  <r>
    <s v="ART Cath 10"/>
    <x v="4"/>
    <n v="70"/>
    <n v="116.7"/>
    <n v="13.5585"/>
    <n v="0.60404912047792891"/>
    <n v="2.3378692333222699"/>
    <n v="8.7288416860272139E-2"/>
    <n v="3.1463657484234977"/>
    <n v="1.2827746432127447"/>
    <n v="1.5433123133089943"/>
  </r>
  <r>
    <s v="ART Cath 11 AP"/>
    <x v="5"/>
    <n v="66.400000000000006"/>
    <n v="95.7"/>
    <n v="5.0694038421965111"/>
    <n v="0.41209281281251592"/>
    <n v="1.4024521845431974"/>
    <n v="0.1473993296276338"/>
    <n v="7.2261227509147918"/>
    <n v="1.4415989531590576"/>
    <n v="2.2187346058859676"/>
  </r>
  <r>
    <s v="ART Cath 11 Lat"/>
    <x v="4"/>
    <n v="66.400000000000006"/>
    <n v="139.1"/>
    <n v="7.9647074506770803"/>
    <n v="0.3781487612058777"/>
    <n v="1.6464162163692588"/>
    <n v="0.11448084108180434"/>
    <n v="6.007581564738488"/>
    <n v="1.5726122265577076"/>
    <n v="2.5287462419871876"/>
  </r>
  <r>
    <s v="ART Cath 12"/>
    <x v="4"/>
    <n v="70"/>
    <n v="107.4"/>
    <n v="12.545999999999999"/>
    <n v="0.69583931133428989"/>
    <n v="2.8981348637015785"/>
    <n v="9.1822094691535142E-2"/>
    <n v="3.4325681492109039"/>
    <n v="1.2944763271162125"/>
    <n v="1.6434720229555237"/>
  </r>
  <r>
    <s v="ART Cath 13"/>
    <x v="4"/>
    <n v="70"/>
    <n v="110.2"/>
    <n v="12.555"/>
    <n v="0.699641577060932"/>
    <n v="2.8745519713261651"/>
    <n v="9.2473118279569902E-2"/>
    <n v="3.1684587813620073"/>
    <n v="1.3032258064516129"/>
    <n v="1.6129032258064517"/>
  </r>
  <r>
    <s v="Ped Cath 1 AP"/>
    <x v="6"/>
    <n v="73"/>
    <n v="200"/>
    <n v="17.135999999999996"/>
    <n v="0.81932773109243717"/>
    <n v="2.8834033613445382"/>
    <n v="0.13750000000000004"/>
    <n v="5.0735294117647074"/>
    <n v="1.2710084033613449"/>
    <n v="1.4569327731092439"/>
  </r>
  <r>
    <s v="Ped Cath 1 Lat"/>
    <x v="6"/>
    <n v="70"/>
    <n v="172"/>
    <n v="10.1214"/>
    <n v="0.79317090521074163"/>
    <n v="2.9165925662457761"/>
    <n v="0.1211097279032545"/>
    <n v="7.6293793348746224"/>
    <n v="1.3515916770407257"/>
    <n v="1.6112395518406546"/>
  </r>
  <r>
    <s v="Ped Cath 2 AP"/>
    <x v="1"/>
    <n v="64"/>
    <n v="200"/>
    <n v="23.13"/>
    <n v="0.41575875486381325"/>
    <n v="2.463035019455253"/>
    <n v="0.14007782101167315"/>
    <n v="4.4941634241245136"/>
    <n v="0.97665369649805456"/>
    <n v="1.2801556420233464"/>
  </r>
  <r>
    <s v="Ped Cath 2 Lat"/>
    <x v="1"/>
    <n v="60"/>
    <n v="194"/>
    <n v="12.906000000000001"/>
    <n v="0.32357043235704325"/>
    <n v="2.0711297071129708"/>
    <n v="0.10251046025104602"/>
    <n v="6.4156206415620636"/>
    <n v="0.96234309623430958"/>
    <n v="1.3319386331938634"/>
  </r>
  <r>
    <s v="HVC 11 AP"/>
    <x v="3"/>
    <n v="66"/>
    <n v="125.9"/>
    <n v="12.789"/>
    <n v="0.50140745953553834"/>
    <n v="1.5432793807178042"/>
    <n v="0.12737508796622099"/>
    <n v="6.5587614356087265"/>
    <n v="1.5425756509500352"/>
    <n v="2.2828993666432087"/>
  </r>
  <r>
    <s v="HVC 11 Lat"/>
    <x v="3"/>
    <n v="66"/>
    <n v="123.6"/>
    <n v="6.93"/>
    <n v="0.50324675324675328"/>
    <n v="1.5714285714285716"/>
    <n v="0.12597402597402596"/>
    <n v="10.545454545454545"/>
    <n v="1.6363636363636365"/>
    <n v="2.48571428571428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U1:W7" firstHeaderRow="0" firstDataRow="1" firstDataCol="1"/>
  <pivotFields count="11">
    <pivotField showAll="0"/>
    <pivotField axis="axisRow" showAll="0">
      <items count="6">
        <item x="2"/>
        <item x="4"/>
        <item x="0"/>
        <item x="3"/>
        <item x="1"/>
        <item t="default"/>
      </items>
    </pivotField>
    <pivotField showAll="0"/>
    <pivotField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Gy/min" fld="4" subtotal="average" baseField="1" baseItem="0" numFmtId="2"/>
    <dataField name="StdDev of mGy/min2" fld="4" subtotal="stdDev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Q1:S5" firstHeaderRow="0" firstDataRow="1" firstDataCol="1"/>
  <pivotFields count="11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Gy/min" fld="4" subtotal="average" baseField="1" baseItem="0" numFmtId="2"/>
    <dataField name="StdDev of mGy/min2" fld="4" subtotal="stdDev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M1:O6" firstHeaderRow="0" firstDataRow="1" firstDataCol="1"/>
  <pivotFields count="11"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dataField="1" numFmtId="2" showAll="0"/>
    <pivotField showAll="0"/>
    <pivotField numFmtId="2" showAll="0"/>
    <pivotField numFmtId="2" showAll="0"/>
    <pivotField numFmtId="2" showAll="0"/>
    <pivotField numFmtId="2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Gy/min" fld="4" subtotal="average" baseField="1" baseItem="0" numFmtId="2"/>
    <dataField name="StdDev of mGy/min2" fld="4" subtotal="stdDev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1:K6" firstHeaderRow="0" firstDataRow="1" firstDataCol="1"/>
  <pivotFields count="11"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dataField="1" numFmtId="2" showAll="0"/>
    <pivotField showAll="0"/>
    <pivotField showAll="0"/>
    <pivotField numFmtId="2" showAll="0"/>
    <pivotField numFmtId="2" showAll="0"/>
    <pivotField numFmtId="2" showAll="0"/>
    <pivotField numFmtId="2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Gy/min" fld="4" subtotal="average" baseField="1" baseItem="0" numFmtId="2"/>
    <dataField name="StdDev of mGy/min2" fld="4" subtotal="stdDev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:G11" firstHeaderRow="0" firstDataRow="1" firstDataCol="1"/>
  <pivotFields count="3">
    <pivotField showAll="0"/>
    <pivotField axis="axisRow" showAll="0">
      <items count="10">
        <item x="8"/>
        <item x="4"/>
        <item x="7"/>
        <item x="5"/>
        <item x="1"/>
        <item x="2"/>
        <item x="0"/>
        <item x="3"/>
        <item x="6"/>
        <item t="default"/>
      </items>
    </pivotField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AK (mGy/min)" fld="2" subtotal="average" baseField="1" baseItem="0"/>
    <dataField name="StdDev of EAK (mGy/min)2" fld="2" subtotal="stdDev" baseField="1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Y1:AA9" firstHeaderRow="0" firstDataRow="1" firstDataCol="1"/>
  <pivotFields count="11">
    <pivotField showAll="0"/>
    <pivotField axis="axisRow" numFmtId="165" showAll="0">
      <items count="8">
        <item x="6"/>
        <item x="3"/>
        <item x="4"/>
        <item x="1"/>
        <item x="2"/>
        <item x="0"/>
        <item x="5"/>
        <item t="default"/>
      </items>
    </pivotField>
    <pivotField numFmtId="165" showAll="0"/>
    <pivotField numFmtId="165" showAll="0"/>
    <pivotField dataField="1" numFmtId="2" showAll="0"/>
    <pivotField showAll="0"/>
    <pivotField showAll="0"/>
    <pivotField numFmtId="164" showAll="0"/>
    <pivotField numFmtId="164" showAll="0"/>
    <pivotField numFmtId="16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Gy/min" fld="4" subtotal="average" baseField="1" baseItem="0" numFmtId="2"/>
    <dataField name="StdDev of mGy/min" fld="4" subtotal="stdDev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zoomScaleNormal="100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A95" sqref="A95:A103"/>
    </sheetView>
  </sheetViews>
  <sheetFormatPr defaultRowHeight="15" x14ac:dyDescent="0.25"/>
  <cols>
    <col min="1" max="16384" width="9.140625" style="1"/>
  </cols>
  <sheetData>
    <row r="1" spans="1:23" x14ac:dyDescent="0.25">
      <c r="F1" s="21" t="s">
        <v>16</v>
      </c>
      <c r="G1" s="21"/>
      <c r="H1" s="21" t="s">
        <v>17</v>
      </c>
      <c r="I1" s="21"/>
      <c r="J1" s="21" t="s">
        <v>18</v>
      </c>
      <c r="K1" s="21"/>
      <c r="R1" s="21" t="s">
        <v>16</v>
      </c>
      <c r="S1" s="21"/>
      <c r="T1" s="21" t="s">
        <v>17</v>
      </c>
      <c r="U1" s="21"/>
      <c r="V1" s="21" t="s">
        <v>18</v>
      </c>
      <c r="W1" s="21"/>
    </row>
    <row r="2" spans="1:23" x14ac:dyDescent="0.25">
      <c r="A2" s="1" t="s">
        <v>2</v>
      </c>
      <c r="B2" s="1" t="s">
        <v>9</v>
      </c>
      <c r="C2" s="1" t="s">
        <v>0</v>
      </c>
      <c r="D2" s="1" t="s">
        <v>1</v>
      </c>
      <c r="E2" s="1" t="s">
        <v>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M2" s="1" t="s">
        <v>2</v>
      </c>
      <c r="N2" s="1" t="s">
        <v>9</v>
      </c>
      <c r="O2" s="1" t="s">
        <v>0</v>
      </c>
      <c r="P2" s="1" t="s">
        <v>1</v>
      </c>
      <c r="Q2" s="1" t="s">
        <v>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</row>
    <row r="3" spans="1:23" s="5" customFormat="1" x14ac:dyDescent="0.25">
      <c r="A3" s="6" t="s">
        <v>69</v>
      </c>
      <c r="B3" s="5" t="s">
        <v>77</v>
      </c>
      <c r="C3" s="5">
        <f>COUNTA(A5:A11)</f>
        <v>7</v>
      </c>
    </row>
    <row r="4" spans="1:23" s="7" customFormat="1" x14ac:dyDescent="0.25">
      <c r="A4" s="7" t="s">
        <v>2</v>
      </c>
      <c r="B4" s="7" t="s">
        <v>9</v>
      </c>
      <c r="C4" s="7" t="s">
        <v>0</v>
      </c>
      <c r="D4" s="7" t="s">
        <v>1</v>
      </c>
      <c r="E4" s="7" t="s">
        <v>3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</row>
    <row r="5" spans="1:23" x14ac:dyDescent="0.25">
      <c r="A5" s="1" t="str">
        <f>M5</f>
        <v>NT03</v>
      </c>
      <c r="B5" s="1">
        <f t="shared" ref="B5:E5" si="0">N5</f>
        <v>40</v>
      </c>
      <c r="C5" s="1">
        <f t="shared" si="0"/>
        <v>95</v>
      </c>
      <c r="D5" s="1">
        <f t="shared" si="0"/>
        <v>1.9</v>
      </c>
      <c r="E5" s="2">
        <f t="shared" si="0"/>
        <v>22.9</v>
      </c>
      <c r="F5" s="2" t="str">
        <f t="shared" ref="F5:K5" si="1">IF(R5="","",R5/$Q5)</f>
        <v/>
      </c>
      <c r="G5" s="2" t="str">
        <f t="shared" si="1"/>
        <v/>
      </c>
      <c r="H5" s="2">
        <f t="shared" si="1"/>
        <v>0.13187772925764193</v>
      </c>
      <c r="I5" s="2">
        <f t="shared" si="1"/>
        <v>3.7074235807860267</v>
      </c>
      <c r="J5" s="2">
        <f t="shared" si="1"/>
        <v>1.097816593886463</v>
      </c>
      <c r="K5" s="2">
        <f t="shared" si="1"/>
        <v>1.4672489082969433</v>
      </c>
      <c r="M5" s="1" t="s">
        <v>4</v>
      </c>
      <c r="N5" s="1">
        <v>40</v>
      </c>
      <c r="O5" s="1">
        <v>95</v>
      </c>
      <c r="P5" s="1">
        <v>1.9</v>
      </c>
      <c r="Q5" s="1">
        <v>22.9</v>
      </c>
      <c r="T5" s="1">
        <v>3.02</v>
      </c>
      <c r="U5" s="1">
        <v>84.9</v>
      </c>
      <c r="V5" s="1">
        <v>25.14</v>
      </c>
      <c r="W5" s="1">
        <v>33.6</v>
      </c>
    </row>
    <row r="6" spans="1:23" x14ac:dyDescent="0.25">
      <c r="A6" s="1" t="str">
        <f t="shared" ref="A6:A11" si="2">M6</f>
        <v>NT04</v>
      </c>
      <c r="B6" s="1">
        <f t="shared" ref="B6:B11" si="3">N6</f>
        <v>40</v>
      </c>
      <c r="C6" s="1">
        <f t="shared" ref="C6:C11" si="4">O6</f>
        <v>77</v>
      </c>
      <c r="D6" s="1">
        <f t="shared" ref="D6:D11" si="5">P6</f>
        <v>1.7</v>
      </c>
      <c r="E6" s="2">
        <f t="shared" ref="E6:E11" si="6">Q6</f>
        <v>6.0750000000000002</v>
      </c>
      <c r="F6" s="2">
        <f t="shared" ref="F6:F11" si="7">IF(R6="","",R6/$Q6)</f>
        <v>0.70370370370370372</v>
      </c>
      <c r="G6" s="2">
        <f t="shared" ref="G6:G11" si="8">IF(S6="","",S6/$Q6)</f>
        <v>2.0518518518518518</v>
      </c>
      <c r="H6" s="2">
        <f t="shared" ref="H6:H11" si="9">T6/$Q6</f>
        <v>0.21234567901234569</v>
      </c>
      <c r="I6" s="2">
        <f t="shared" ref="I6:I11" si="10">U6/$Q6</f>
        <v>3.5123456790123453</v>
      </c>
      <c r="J6" s="2">
        <f t="shared" ref="J6:J11" si="11">V6/$Q6</f>
        <v>1.1938271604938271</v>
      </c>
      <c r="K6" s="2">
        <f t="shared" ref="K6:K11" si="12">W6/$Q6</f>
        <v>2.0185185185185186</v>
      </c>
      <c r="M6" s="1" t="s">
        <v>5</v>
      </c>
      <c r="N6" s="1">
        <v>40</v>
      </c>
      <c r="O6" s="1">
        <v>77</v>
      </c>
      <c r="P6" s="1">
        <v>1.7</v>
      </c>
      <c r="Q6" s="1">
        <v>6.0750000000000002</v>
      </c>
      <c r="R6" s="1">
        <v>4.2750000000000004</v>
      </c>
      <c r="S6" s="1">
        <v>12.465</v>
      </c>
      <c r="T6" s="1">
        <v>1.29</v>
      </c>
      <c r="U6" s="1">
        <v>21.337499999999999</v>
      </c>
      <c r="V6" s="1">
        <v>7.2525000000000004</v>
      </c>
      <c r="W6" s="1">
        <v>12.262500000000001</v>
      </c>
    </row>
    <row r="7" spans="1:23" x14ac:dyDescent="0.25">
      <c r="A7" s="1" t="str">
        <f t="shared" si="2"/>
        <v>Ped02</v>
      </c>
      <c r="B7" s="1">
        <f t="shared" si="3"/>
        <v>30.5</v>
      </c>
      <c r="C7" s="1">
        <f t="shared" si="4"/>
        <v>103</v>
      </c>
      <c r="D7" s="1">
        <f t="shared" si="5"/>
        <v>1.9</v>
      </c>
      <c r="E7" s="2">
        <f t="shared" si="6"/>
        <v>21.347999999999995</v>
      </c>
      <c r="F7" s="2" t="str">
        <f t="shared" si="7"/>
        <v/>
      </c>
      <c r="G7" s="2" t="str">
        <f t="shared" si="8"/>
        <v/>
      </c>
      <c r="H7" s="2">
        <f t="shared" si="9"/>
        <v>0.12478920741989885</v>
      </c>
      <c r="I7" s="2">
        <f t="shared" si="10"/>
        <v>4.3204047217537953</v>
      </c>
      <c r="J7" s="2">
        <f t="shared" si="11"/>
        <v>1.537099494097808</v>
      </c>
      <c r="K7" s="2">
        <f t="shared" si="12"/>
        <v>3.1753794266441826</v>
      </c>
      <c r="M7" s="1" t="s">
        <v>19</v>
      </c>
      <c r="N7" s="1">
        <v>30.5</v>
      </c>
      <c r="O7" s="1">
        <v>103</v>
      </c>
      <c r="P7" s="1">
        <v>1.9</v>
      </c>
      <c r="Q7" s="1">
        <v>21.347999999999995</v>
      </c>
      <c r="T7" s="1">
        <v>2.6640000000000001</v>
      </c>
      <c r="U7" s="1">
        <v>92.231999999999999</v>
      </c>
      <c r="V7" s="1">
        <v>32.814</v>
      </c>
      <c r="W7" s="1">
        <v>67.787999999999997</v>
      </c>
    </row>
    <row r="8" spans="1:23" x14ac:dyDescent="0.25">
      <c r="A8" s="1" t="str">
        <f t="shared" si="2"/>
        <v>Ped03</v>
      </c>
      <c r="B8" s="1">
        <f t="shared" si="3"/>
        <v>33</v>
      </c>
      <c r="C8" s="1">
        <f t="shared" si="4"/>
        <v>81</v>
      </c>
      <c r="D8" s="1">
        <f t="shared" si="5"/>
        <v>2.8</v>
      </c>
      <c r="E8" s="2">
        <f t="shared" si="6"/>
        <v>11.077500000000001</v>
      </c>
      <c r="F8" s="2">
        <f t="shared" si="7"/>
        <v>0.72105619498984419</v>
      </c>
      <c r="G8" s="2">
        <f t="shared" si="8"/>
        <v>1.9363574813811779</v>
      </c>
      <c r="H8" s="2">
        <f t="shared" si="9"/>
        <v>0.19769803656059579</v>
      </c>
      <c r="I8" s="2">
        <f t="shared" si="10"/>
        <v>3.3581584292484767</v>
      </c>
      <c r="J8" s="2">
        <f t="shared" si="11"/>
        <v>1.3811780636425184</v>
      </c>
      <c r="K8" s="2">
        <f t="shared" si="12"/>
        <v>2.4238320920785372</v>
      </c>
      <c r="M8" s="1" t="s">
        <v>20</v>
      </c>
      <c r="N8" s="1">
        <v>33</v>
      </c>
      <c r="O8" s="1">
        <v>81</v>
      </c>
      <c r="P8" s="1">
        <v>2.8</v>
      </c>
      <c r="Q8" s="1">
        <v>11.077500000000001</v>
      </c>
      <c r="R8" s="1">
        <v>7.9874999999999998</v>
      </c>
      <c r="S8" s="1">
        <v>21.45</v>
      </c>
      <c r="T8" s="1">
        <v>2.19</v>
      </c>
      <c r="U8" s="1">
        <v>37.200000000000003</v>
      </c>
      <c r="V8" s="1">
        <v>15.299999999999999</v>
      </c>
      <c r="W8" s="1">
        <v>26.849999999999998</v>
      </c>
    </row>
    <row r="9" spans="1:23" x14ac:dyDescent="0.25">
      <c r="A9" s="1" t="str">
        <f t="shared" si="2"/>
        <v>RT761</v>
      </c>
      <c r="B9" s="1">
        <f t="shared" si="3"/>
        <v>41.8</v>
      </c>
      <c r="C9" s="1">
        <f t="shared" si="4"/>
        <v>73</v>
      </c>
      <c r="D9" s="1">
        <f t="shared" si="5"/>
        <v>23.7</v>
      </c>
      <c r="E9" s="2">
        <f t="shared" si="6"/>
        <v>8.1</v>
      </c>
      <c r="F9" s="2">
        <f t="shared" si="7"/>
        <v>0.76666666666666672</v>
      </c>
      <c r="G9" s="2">
        <f t="shared" si="8"/>
        <v>1.4933333333333334</v>
      </c>
      <c r="H9" s="2">
        <f t="shared" si="9"/>
        <v>0.18</v>
      </c>
      <c r="I9" s="2">
        <f t="shared" si="10"/>
        <v>4.2588888888888885</v>
      </c>
      <c r="J9" s="2">
        <f t="shared" si="11"/>
        <v>1.3444444444444446</v>
      </c>
      <c r="K9" s="2">
        <f t="shared" si="12"/>
        <v>1.7555555555555558</v>
      </c>
      <c r="M9" s="1" t="s">
        <v>21</v>
      </c>
      <c r="N9" s="1">
        <v>41.8</v>
      </c>
      <c r="O9" s="1">
        <v>73</v>
      </c>
      <c r="P9" s="1">
        <v>23.7</v>
      </c>
      <c r="Q9" s="1">
        <v>8.1</v>
      </c>
      <c r="R9" s="1">
        <v>6.21</v>
      </c>
      <c r="S9" s="1">
        <v>12.096</v>
      </c>
      <c r="T9" s="1">
        <v>1.458</v>
      </c>
      <c r="U9" s="1">
        <v>34.496999999999993</v>
      </c>
      <c r="V9" s="1">
        <v>10.89</v>
      </c>
      <c r="W9" s="1">
        <v>14.22</v>
      </c>
    </row>
    <row r="10" spans="1:23" x14ac:dyDescent="0.25">
      <c r="A10" s="1" t="str">
        <f t="shared" si="2"/>
        <v>ART2205</v>
      </c>
      <c r="B10" s="1">
        <f t="shared" si="3"/>
        <v>40</v>
      </c>
      <c r="C10" s="1">
        <f t="shared" si="4"/>
        <v>74</v>
      </c>
      <c r="D10" s="1">
        <f t="shared" si="5"/>
        <v>1.5</v>
      </c>
      <c r="E10" s="2">
        <f t="shared" si="6"/>
        <v>16.89</v>
      </c>
      <c r="F10" s="2">
        <f t="shared" si="7"/>
        <v>0.75488454706927177</v>
      </c>
      <c r="G10" s="2">
        <f t="shared" si="8"/>
        <v>1.4801657785671996</v>
      </c>
      <c r="H10" s="2">
        <f t="shared" si="9"/>
        <v>0.24393132030787448</v>
      </c>
      <c r="I10" s="2">
        <f t="shared" si="10"/>
        <v>2.9011249259917111</v>
      </c>
      <c r="J10" s="2">
        <f t="shared" si="11"/>
        <v>1.2196566015393724</v>
      </c>
      <c r="K10" s="2">
        <f t="shared" si="12"/>
        <v>1.8342214328004736</v>
      </c>
      <c r="M10" s="1" t="s">
        <v>7</v>
      </c>
      <c r="N10" s="1">
        <v>40</v>
      </c>
      <c r="O10" s="1">
        <v>74</v>
      </c>
      <c r="P10" s="1">
        <v>1.5</v>
      </c>
      <c r="Q10" s="1">
        <v>16.89</v>
      </c>
      <c r="R10" s="1">
        <v>12.75</v>
      </c>
      <c r="S10" s="1">
        <v>25</v>
      </c>
      <c r="T10" s="1">
        <v>4.12</v>
      </c>
      <c r="U10" s="1">
        <v>49</v>
      </c>
      <c r="V10" s="1">
        <v>20.6</v>
      </c>
      <c r="W10" s="1">
        <v>30.98</v>
      </c>
    </row>
    <row r="11" spans="1:23" x14ac:dyDescent="0.25">
      <c r="A11" s="1" t="str">
        <f t="shared" si="2"/>
        <v>ART2208</v>
      </c>
      <c r="B11" s="1">
        <f t="shared" si="3"/>
        <v>40</v>
      </c>
      <c r="C11" s="1">
        <f t="shared" si="4"/>
        <v>74</v>
      </c>
      <c r="D11" s="1">
        <f t="shared" si="5"/>
        <v>1.5</v>
      </c>
      <c r="E11" s="2">
        <f t="shared" si="6"/>
        <v>14.4</v>
      </c>
      <c r="F11" s="2">
        <f t="shared" si="7"/>
        <v>0.74375000000000002</v>
      </c>
      <c r="G11" s="2">
        <f t="shared" si="8"/>
        <v>1.4652777777777779</v>
      </c>
      <c r="H11" s="2">
        <f t="shared" si="9"/>
        <v>0.22222222222222224</v>
      </c>
      <c r="I11" s="2">
        <f t="shared" si="10"/>
        <v>3.0229166666666667</v>
      </c>
      <c r="J11" s="2">
        <f t="shared" si="11"/>
        <v>1.2291666666666665</v>
      </c>
      <c r="K11" s="2">
        <f t="shared" si="12"/>
        <v>1.8513888888888888</v>
      </c>
      <c r="M11" s="1" t="s">
        <v>6</v>
      </c>
      <c r="N11" s="1">
        <v>40</v>
      </c>
      <c r="O11" s="1">
        <v>74</v>
      </c>
      <c r="P11" s="1">
        <v>1.5</v>
      </c>
      <c r="Q11" s="1">
        <v>14.4</v>
      </c>
      <c r="R11" s="1">
        <v>10.71</v>
      </c>
      <c r="S11" s="1">
        <v>21.1</v>
      </c>
      <c r="T11" s="1">
        <v>3.2</v>
      </c>
      <c r="U11" s="1">
        <v>43.53</v>
      </c>
      <c r="V11" s="1">
        <v>17.7</v>
      </c>
      <c r="W11" s="1">
        <v>26.66</v>
      </c>
    </row>
    <row r="12" spans="1:23" x14ac:dyDescent="0.25">
      <c r="A12" s="3" t="s">
        <v>41</v>
      </c>
      <c r="B12" s="2">
        <f>AVERAGE(B5:B11)</f>
        <v>37.9</v>
      </c>
      <c r="C12" s="2">
        <f t="shared" ref="C12:K12" si="13">AVERAGE(C5:C11)</f>
        <v>82.428571428571431</v>
      </c>
      <c r="D12" s="2">
        <f t="shared" si="13"/>
        <v>5</v>
      </c>
      <c r="E12" s="2">
        <f t="shared" si="13"/>
        <v>14.398642857142857</v>
      </c>
      <c r="F12" s="2">
        <f t="shared" si="13"/>
        <v>0.73801222248589726</v>
      </c>
      <c r="G12" s="2">
        <f t="shared" si="13"/>
        <v>1.685397244582268</v>
      </c>
      <c r="H12" s="2">
        <f t="shared" si="13"/>
        <v>0.18755202782579702</v>
      </c>
      <c r="I12" s="2">
        <f t="shared" si="13"/>
        <v>3.583037556049701</v>
      </c>
      <c r="J12" s="2">
        <f t="shared" si="13"/>
        <v>1.2861698606815859</v>
      </c>
      <c r="K12" s="2">
        <f t="shared" si="13"/>
        <v>2.0751635461118716</v>
      </c>
    </row>
    <row r="13" spans="1:23" x14ac:dyDescent="0.25">
      <c r="A13" s="3" t="s">
        <v>42</v>
      </c>
      <c r="B13" s="2">
        <f>STDEV(B5:B11)</f>
        <v>4.3131581623368698</v>
      </c>
      <c r="C13" s="2">
        <f t="shared" ref="C13:K13" si="14">STDEV(C5:C11)</f>
        <v>11.858290248558058</v>
      </c>
      <c r="D13" s="2">
        <f t="shared" si="14"/>
        <v>8.2577236572798913</v>
      </c>
      <c r="E13" s="2">
        <f t="shared" si="14"/>
        <v>6.4130001085963784</v>
      </c>
      <c r="F13" s="2">
        <f t="shared" si="14"/>
        <v>2.5511056075905376E-2</v>
      </c>
      <c r="G13" s="2">
        <f t="shared" si="14"/>
        <v>0.2849259114035157</v>
      </c>
      <c r="H13" s="2">
        <f t="shared" si="14"/>
        <v>4.508167754811445E-2</v>
      </c>
      <c r="I13" s="2">
        <f t="shared" si="14"/>
        <v>0.55531754477573736</v>
      </c>
      <c r="J13" s="2">
        <f t="shared" si="14"/>
        <v>0.14552529667207817</v>
      </c>
      <c r="K13" s="2">
        <f t="shared" si="14"/>
        <v>0.56496180867270007</v>
      </c>
    </row>
    <row r="14" spans="1:23" s="8" customFormat="1" x14ac:dyDescent="0.25">
      <c r="A14" s="8" t="s">
        <v>74</v>
      </c>
      <c r="B14" s="2">
        <f>MIN(B5:B11)</f>
        <v>30.5</v>
      </c>
      <c r="C14" s="2">
        <f t="shared" ref="C14:K14" si="15">MIN(C5:C11)</f>
        <v>73</v>
      </c>
      <c r="D14" s="2">
        <f t="shared" si="15"/>
        <v>1.5</v>
      </c>
      <c r="E14" s="2">
        <f t="shared" si="15"/>
        <v>6.0750000000000002</v>
      </c>
      <c r="F14" s="2">
        <f t="shared" si="15"/>
        <v>0.70370370370370372</v>
      </c>
      <c r="G14" s="2">
        <f t="shared" si="15"/>
        <v>1.4652777777777779</v>
      </c>
      <c r="H14" s="2">
        <f t="shared" si="15"/>
        <v>0.12478920741989885</v>
      </c>
      <c r="I14" s="2">
        <f t="shared" si="15"/>
        <v>2.9011249259917111</v>
      </c>
      <c r="J14" s="2">
        <f t="shared" si="15"/>
        <v>1.097816593886463</v>
      </c>
      <c r="K14" s="2">
        <f t="shared" si="15"/>
        <v>1.4672489082969433</v>
      </c>
    </row>
    <row r="15" spans="1:23" s="8" customFormat="1" x14ac:dyDescent="0.25">
      <c r="A15" s="8">
        <v>10</v>
      </c>
      <c r="B15" s="2">
        <f>PERCENTILE(B$5:B$11,$A15/100)</f>
        <v>32</v>
      </c>
      <c r="C15" s="2">
        <f t="shared" ref="C15:K15" si="16">PERCENTILE(C$5:C$11,$A15/100)</f>
        <v>73.599999999999994</v>
      </c>
      <c r="D15" s="2">
        <f t="shared" si="16"/>
        <v>1.5</v>
      </c>
      <c r="E15" s="2">
        <f t="shared" si="16"/>
        <v>7.29</v>
      </c>
      <c r="F15" s="2">
        <f t="shared" si="16"/>
        <v>0.71064470021815995</v>
      </c>
      <c r="G15" s="2">
        <f t="shared" si="16"/>
        <v>1.4712329780935465</v>
      </c>
      <c r="H15" s="2">
        <f t="shared" si="16"/>
        <v>0.12904232052254469</v>
      </c>
      <c r="I15" s="2">
        <f t="shared" si="16"/>
        <v>2.9741999703966844</v>
      </c>
      <c r="J15" s="2">
        <f t="shared" si="16"/>
        <v>1.1554229338508815</v>
      </c>
      <c r="K15" s="2">
        <f t="shared" si="16"/>
        <v>1.6402328966521109</v>
      </c>
    </row>
    <row r="16" spans="1:23" s="8" customFormat="1" x14ac:dyDescent="0.25">
      <c r="A16" s="8">
        <v>25</v>
      </c>
      <c r="B16" s="2">
        <f t="shared" ref="B16:K19" si="17">PERCENTILE(B$5:B$11,$A16/100)</f>
        <v>36.5</v>
      </c>
      <c r="C16" s="2">
        <f t="shared" si="17"/>
        <v>74</v>
      </c>
      <c r="D16" s="2">
        <f t="shared" si="17"/>
        <v>1.6</v>
      </c>
      <c r="E16" s="2">
        <f t="shared" si="17"/>
        <v>9.588750000000001</v>
      </c>
      <c r="F16" s="2">
        <f t="shared" si="17"/>
        <v>0.72105619498984419</v>
      </c>
      <c r="G16" s="2">
        <f t="shared" si="17"/>
        <v>1.4801657785671996</v>
      </c>
      <c r="H16" s="2">
        <f t="shared" si="17"/>
        <v>0.15593886462882095</v>
      </c>
      <c r="I16" s="2">
        <f t="shared" si="17"/>
        <v>3.1905375479575717</v>
      </c>
      <c r="J16" s="2">
        <f t="shared" si="17"/>
        <v>1.2067418810165997</v>
      </c>
      <c r="K16" s="2">
        <f t="shared" si="17"/>
        <v>1.7948884941780148</v>
      </c>
    </row>
    <row r="17" spans="1:23" s="8" customFormat="1" x14ac:dyDescent="0.25">
      <c r="A17" s="8">
        <v>50</v>
      </c>
      <c r="B17" s="2">
        <f t="shared" si="17"/>
        <v>40</v>
      </c>
      <c r="C17" s="2">
        <f t="shared" si="17"/>
        <v>77</v>
      </c>
      <c r="D17" s="2">
        <f t="shared" si="17"/>
        <v>1.9</v>
      </c>
      <c r="E17" s="2">
        <f t="shared" si="17"/>
        <v>14.4</v>
      </c>
      <c r="F17" s="2">
        <f t="shared" si="17"/>
        <v>0.74375000000000002</v>
      </c>
      <c r="G17" s="2">
        <f t="shared" si="17"/>
        <v>1.4933333333333334</v>
      </c>
      <c r="H17" s="2">
        <f t="shared" si="17"/>
        <v>0.19769803656059579</v>
      </c>
      <c r="I17" s="2">
        <f t="shared" si="17"/>
        <v>3.5123456790123453</v>
      </c>
      <c r="J17" s="2">
        <f t="shared" si="17"/>
        <v>1.2291666666666665</v>
      </c>
      <c r="K17" s="2">
        <f t="shared" si="17"/>
        <v>1.8513888888888888</v>
      </c>
    </row>
    <row r="18" spans="1:23" s="8" customFormat="1" x14ac:dyDescent="0.25">
      <c r="A18" s="8">
        <v>75</v>
      </c>
      <c r="B18" s="2">
        <f t="shared" si="17"/>
        <v>40</v>
      </c>
      <c r="C18" s="2">
        <f t="shared" si="17"/>
        <v>88</v>
      </c>
      <c r="D18" s="2">
        <f t="shared" si="17"/>
        <v>2.3499999999999996</v>
      </c>
      <c r="E18" s="2">
        <f t="shared" si="17"/>
        <v>19.119</v>
      </c>
      <c r="F18" s="2">
        <f t="shared" si="17"/>
        <v>0.75488454706927177</v>
      </c>
      <c r="G18" s="2">
        <f t="shared" si="17"/>
        <v>1.9363574813811779</v>
      </c>
      <c r="H18" s="2">
        <f t="shared" si="17"/>
        <v>0.21728395061728395</v>
      </c>
      <c r="I18" s="2">
        <f t="shared" si="17"/>
        <v>3.9831562348374576</v>
      </c>
      <c r="J18" s="2">
        <f t="shared" si="17"/>
        <v>1.3628112540434816</v>
      </c>
      <c r="K18" s="2">
        <f t="shared" si="17"/>
        <v>2.2211753052985279</v>
      </c>
    </row>
    <row r="19" spans="1:23" s="8" customFormat="1" x14ac:dyDescent="0.25">
      <c r="A19" s="8">
        <v>90</v>
      </c>
      <c r="B19" s="2">
        <f t="shared" si="17"/>
        <v>40.72</v>
      </c>
      <c r="C19" s="2">
        <f t="shared" si="17"/>
        <v>98.2</v>
      </c>
      <c r="D19" s="2">
        <f t="shared" si="17"/>
        <v>11.160000000000007</v>
      </c>
      <c r="E19" s="2">
        <f t="shared" si="17"/>
        <v>21.968799999999998</v>
      </c>
      <c r="F19" s="2">
        <f t="shared" si="17"/>
        <v>0.76195381882770874</v>
      </c>
      <c r="G19" s="2">
        <f t="shared" si="17"/>
        <v>2.0056541036635824</v>
      </c>
      <c r="H19" s="2">
        <f t="shared" si="17"/>
        <v>0.23090586145648315</v>
      </c>
      <c r="I19" s="2">
        <f t="shared" si="17"/>
        <v>4.2834952220348512</v>
      </c>
      <c r="J19" s="2">
        <f t="shared" si="17"/>
        <v>1.4435466358246343</v>
      </c>
      <c r="K19" s="2">
        <f t="shared" si="17"/>
        <v>2.7244510259047958</v>
      </c>
    </row>
    <row r="20" spans="1:23" s="8" customFormat="1" x14ac:dyDescent="0.25">
      <c r="A20" s="8" t="s">
        <v>75</v>
      </c>
      <c r="B20" s="2">
        <f>MAX(B5:B11)</f>
        <v>41.8</v>
      </c>
      <c r="C20" s="2">
        <f t="shared" ref="C20:K20" si="18">MAX(C5:C11)</f>
        <v>103</v>
      </c>
      <c r="D20" s="2">
        <f t="shared" si="18"/>
        <v>23.7</v>
      </c>
      <c r="E20" s="2">
        <f t="shared" si="18"/>
        <v>22.9</v>
      </c>
      <c r="F20" s="2">
        <f t="shared" si="18"/>
        <v>0.76666666666666672</v>
      </c>
      <c r="G20" s="2">
        <f t="shared" si="18"/>
        <v>2.0518518518518518</v>
      </c>
      <c r="H20" s="2">
        <f t="shared" si="18"/>
        <v>0.24393132030787448</v>
      </c>
      <c r="I20" s="2">
        <f t="shared" si="18"/>
        <v>4.3204047217537953</v>
      </c>
      <c r="J20" s="2">
        <f t="shared" si="18"/>
        <v>1.537099494097808</v>
      </c>
      <c r="K20" s="2">
        <f t="shared" si="18"/>
        <v>3.1753794266441826</v>
      </c>
    </row>
    <row r="21" spans="1:23" s="8" customForma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3" spans="1:23" x14ac:dyDescent="0.25">
      <c r="A23" s="6" t="s">
        <v>70</v>
      </c>
      <c r="B23" s="7" t="s">
        <v>77</v>
      </c>
      <c r="C23" s="1">
        <f>COUNTA(A25:A44)</f>
        <v>20</v>
      </c>
    </row>
    <row r="24" spans="1:23" s="7" customFormat="1" x14ac:dyDescent="0.25">
      <c r="A24" s="7" t="s">
        <v>2</v>
      </c>
      <c r="B24" s="7" t="s">
        <v>9</v>
      </c>
      <c r="C24" s="7" t="s">
        <v>0</v>
      </c>
      <c r="D24" s="7" t="s">
        <v>1</v>
      </c>
      <c r="E24" s="7" t="s">
        <v>3</v>
      </c>
      <c r="F24" s="7" t="s">
        <v>10</v>
      </c>
      <c r="G24" s="7" t="s">
        <v>11</v>
      </c>
      <c r="H24" s="7" t="s">
        <v>12</v>
      </c>
      <c r="I24" s="7" t="s">
        <v>13</v>
      </c>
      <c r="J24" s="7" t="s">
        <v>14</v>
      </c>
      <c r="K24" s="7" t="s">
        <v>15</v>
      </c>
    </row>
    <row r="25" spans="1:23" x14ac:dyDescent="0.25">
      <c r="A25" s="1" t="str">
        <f t="shared" ref="A25:A44" si="19">M25</f>
        <v>C-arm 7</v>
      </c>
      <c r="B25" s="1">
        <f t="shared" ref="B25:B44" si="20">N25</f>
        <v>30.5</v>
      </c>
      <c r="C25" s="1">
        <f t="shared" ref="C25:C44" si="21">O25</f>
        <v>76</v>
      </c>
      <c r="D25" s="1">
        <f t="shared" ref="D25:D44" si="22">P25</f>
        <v>1.9</v>
      </c>
      <c r="E25" s="2">
        <f t="shared" ref="E25:E44" si="23">Q25</f>
        <v>7.96</v>
      </c>
      <c r="F25" s="2">
        <f t="shared" ref="F25:F44" si="24">IF(R25="","",R25/$Q25)</f>
        <v>0.48316582914572864</v>
      </c>
      <c r="G25" s="2">
        <f t="shared" ref="G25:G44" si="25">IF(S25="","",S25/$Q25)</f>
        <v>1.8052763819095476</v>
      </c>
      <c r="H25" s="2">
        <f t="shared" ref="H25:H44" si="26">IF(T25="","",T25/$Q25)</f>
        <v>0.26381909547738697</v>
      </c>
      <c r="I25" s="2">
        <f t="shared" ref="I25:I44" si="27">IF(U25="","",U25/$Q25)</f>
        <v>3.9798994974874371</v>
      </c>
      <c r="J25" s="2">
        <f t="shared" ref="J25:J44" si="28">IF(V25="","",V25/$Q25)</f>
        <v>1.7801507537688441</v>
      </c>
      <c r="K25" s="2">
        <f t="shared" ref="K25:K44" si="29">IF(W25="","",W25/$Q25)</f>
        <v>2.5376884422110551</v>
      </c>
      <c r="M25" s="1" t="s">
        <v>22</v>
      </c>
      <c r="N25" s="1">
        <v>30.5</v>
      </c>
      <c r="O25" s="1">
        <v>76</v>
      </c>
      <c r="P25" s="1">
        <v>1.9</v>
      </c>
      <c r="Q25" s="1">
        <v>7.96</v>
      </c>
      <c r="R25" s="1">
        <v>3.8460000000000001</v>
      </c>
      <c r="S25" s="1">
        <v>14.37</v>
      </c>
      <c r="T25" s="1">
        <v>2.1</v>
      </c>
      <c r="U25" s="1">
        <v>31.68</v>
      </c>
      <c r="V25" s="1">
        <v>14.17</v>
      </c>
      <c r="W25" s="1">
        <v>20.2</v>
      </c>
    </row>
    <row r="26" spans="1:23" x14ac:dyDescent="0.25">
      <c r="A26" s="1" t="str">
        <f t="shared" si="19"/>
        <v>C-arm 8</v>
      </c>
      <c r="B26" s="1">
        <f t="shared" si="20"/>
        <v>23</v>
      </c>
      <c r="C26" s="1">
        <f t="shared" si="21"/>
        <v>80</v>
      </c>
      <c r="D26" s="1">
        <f t="shared" si="22"/>
        <v>3</v>
      </c>
      <c r="E26" s="2">
        <f t="shared" si="23"/>
        <v>14.5</v>
      </c>
      <c r="F26" s="2">
        <f t="shared" si="24"/>
        <v>0.45655172413793105</v>
      </c>
      <c r="G26" s="2">
        <f t="shared" si="25"/>
        <v>1.9517241379310346</v>
      </c>
      <c r="H26" s="2">
        <f t="shared" si="26"/>
        <v>0.25310344827586206</v>
      </c>
      <c r="I26" s="2">
        <f t="shared" si="27"/>
        <v>3.6275862068965519</v>
      </c>
      <c r="J26" s="2">
        <f t="shared" si="28"/>
        <v>1.710344827586207</v>
      </c>
      <c r="K26" s="2">
        <f t="shared" si="29"/>
        <v>2.1103448275862071</v>
      </c>
      <c r="M26" s="1" t="s">
        <v>23</v>
      </c>
      <c r="N26" s="1">
        <v>23</v>
      </c>
      <c r="O26" s="1">
        <v>80</v>
      </c>
      <c r="P26" s="1">
        <v>3</v>
      </c>
      <c r="Q26" s="1">
        <v>14.5</v>
      </c>
      <c r="R26" s="1">
        <v>6.62</v>
      </c>
      <c r="S26" s="1">
        <v>28.3</v>
      </c>
      <c r="T26" s="1">
        <v>3.67</v>
      </c>
      <c r="U26" s="1">
        <v>52.6</v>
      </c>
      <c r="V26" s="1">
        <v>24.8</v>
      </c>
      <c r="W26" s="1">
        <v>30.6</v>
      </c>
    </row>
    <row r="27" spans="1:23" x14ac:dyDescent="0.25">
      <c r="A27" s="1" t="str">
        <f t="shared" si="19"/>
        <v>C-arm 9</v>
      </c>
      <c r="B27" s="1">
        <f t="shared" si="20"/>
        <v>23</v>
      </c>
      <c r="C27" s="1">
        <f t="shared" si="21"/>
        <v>79</v>
      </c>
      <c r="D27" s="1">
        <f t="shared" si="22"/>
        <v>2.9</v>
      </c>
      <c r="E27" s="2">
        <f t="shared" si="23"/>
        <v>11.8</v>
      </c>
      <c r="F27" s="2">
        <f t="shared" si="24"/>
        <v>0.43474576271186438</v>
      </c>
      <c r="G27" s="2">
        <f t="shared" si="25"/>
        <v>1.8008474576271185</v>
      </c>
      <c r="H27" s="2">
        <f t="shared" si="26"/>
        <v>0.24406779661016947</v>
      </c>
      <c r="I27" s="2">
        <f t="shared" si="27"/>
        <v>4.3135593220338979</v>
      </c>
      <c r="J27" s="2">
        <f t="shared" si="28"/>
        <v>1.6550847457627118</v>
      </c>
      <c r="K27" s="2">
        <f t="shared" si="29"/>
        <v>2.2449152542372879</v>
      </c>
      <c r="M27" s="1" t="s">
        <v>24</v>
      </c>
      <c r="N27" s="1">
        <v>23</v>
      </c>
      <c r="O27" s="1">
        <v>79</v>
      </c>
      <c r="P27" s="1">
        <v>2.9</v>
      </c>
      <c r="Q27" s="1">
        <v>11.8</v>
      </c>
      <c r="R27" s="1">
        <v>5.13</v>
      </c>
      <c r="S27" s="1">
        <v>21.25</v>
      </c>
      <c r="T27" s="1">
        <v>2.88</v>
      </c>
      <c r="U27" s="1">
        <v>50.9</v>
      </c>
      <c r="V27" s="1">
        <v>19.53</v>
      </c>
      <c r="W27" s="1">
        <v>26.49</v>
      </c>
    </row>
    <row r="28" spans="1:23" x14ac:dyDescent="0.25">
      <c r="A28" s="1" t="str">
        <f t="shared" si="19"/>
        <v>C-arm 10</v>
      </c>
      <c r="B28" s="1">
        <f t="shared" si="20"/>
        <v>23</v>
      </c>
      <c r="C28" s="1">
        <f t="shared" si="21"/>
        <v>79</v>
      </c>
      <c r="D28" s="1">
        <f t="shared" si="22"/>
        <v>2.9</v>
      </c>
      <c r="E28" s="2">
        <f t="shared" si="23"/>
        <v>10.6</v>
      </c>
      <c r="F28" s="2">
        <f t="shared" si="24"/>
        <v>0.43962264150943398</v>
      </c>
      <c r="G28" s="2">
        <f t="shared" si="25"/>
        <v>1.8066037735849056</v>
      </c>
      <c r="H28" s="2">
        <f t="shared" si="26"/>
        <v>0.25518867924528305</v>
      </c>
      <c r="I28" s="2">
        <f t="shared" si="27"/>
        <v>4.0886792452830196</v>
      </c>
      <c r="J28" s="2">
        <f t="shared" si="28"/>
        <v>1.4179245283018869</v>
      </c>
      <c r="K28" s="2">
        <f t="shared" si="29"/>
        <v>1.9943396226415095</v>
      </c>
      <c r="M28" s="1" t="s">
        <v>25</v>
      </c>
      <c r="N28" s="1">
        <v>23</v>
      </c>
      <c r="O28" s="1">
        <v>79</v>
      </c>
      <c r="P28" s="1">
        <v>2.9</v>
      </c>
      <c r="Q28" s="1">
        <v>10.6</v>
      </c>
      <c r="R28" s="1">
        <v>4.66</v>
      </c>
      <c r="S28" s="1">
        <v>19.149999999999999</v>
      </c>
      <c r="T28" s="1">
        <v>2.7050000000000001</v>
      </c>
      <c r="U28" s="1">
        <v>43.34</v>
      </c>
      <c r="V28" s="1">
        <v>15.03</v>
      </c>
      <c r="W28" s="1">
        <v>21.14</v>
      </c>
    </row>
    <row r="29" spans="1:23" x14ac:dyDescent="0.25">
      <c r="A29" s="1" t="str">
        <f t="shared" si="19"/>
        <v>C-arm 11</v>
      </c>
      <c r="B29" s="1">
        <f t="shared" si="20"/>
        <v>30.5</v>
      </c>
      <c r="C29" s="1">
        <f t="shared" si="21"/>
        <v>78</v>
      </c>
      <c r="D29" s="1">
        <f t="shared" si="22"/>
        <v>2</v>
      </c>
      <c r="E29" s="2">
        <f t="shared" si="23"/>
        <v>7.86</v>
      </c>
      <c r="F29" s="2">
        <f t="shared" si="24"/>
        <v>0.49618320610687022</v>
      </c>
      <c r="G29" s="2">
        <f t="shared" si="25"/>
        <v>1.866412213740458</v>
      </c>
      <c r="H29" s="2">
        <f t="shared" si="26"/>
        <v>0.25928753180661573</v>
      </c>
      <c r="I29" s="2">
        <f t="shared" si="27"/>
        <v>4.3193384223918576</v>
      </c>
      <c r="J29" s="2">
        <f t="shared" si="28"/>
        <v>1.5687022900763359</v>
      </c>
      <c r="K29" s="2">
        <f t="shared" si="29"/>
        <v>2.7989821882951653</v>
      </c>
      <c r="M29" s="1" t="s">
        <v>26</v>
      </c>
      <c r="N29" s="1">
        <v>30.5</v>
      </c>
      <c r="O29" s="1">
        <v>78</v>
      </c>
      <c r="P29" s="1">
        <v>2</v>
      </c>
      <c r="Q29" s="1">
        <v>7.86</v>
      </c>
      <c r="R29" s="1">
        <v>3.9</v>
      </c>
      <c r="S29" s="1">
        <v>14.67</v>
      </c>
      <c r="T29" s="1">
        <v>2.0379999999999998</v>
      </c>
      <c r="U29" s="1">
        <v>33.950000000000003</v>
      </c>
      <c r="V29" s="1">
        <v>12.33</v>
      </c>
      <c r="W29" s="1">
        <v>22</v>
      </c>
    </row>
    <row r="30" spans="1:23" x14ac:dyDescent="0.25">
      <c r="A30" s="1" t="str">
        <f t="shared" si="19"/>
        <v>C-arm 12</v>
      </c>
      <c r="B30" s="1">
        <f t="shared" si="20"/>
        <v>30.5</v>
      </c>
      <c r="C30" s="1">
        <f t="shared" si="21"/>
        <v>80</v>
      </c>
      <c r="D30" s="1">
        <f t="shared" si="22"/>
        <v>2.1</v>
      </c>
      <c r="E30" s="2">
        <f t="shared" si="23"/>
        <v>7.97</v>
      </c>
      <c r="F30" s="2">
        <f t="shared" si="24"/>
        <v>0.51317440401505643</v>
      </c>
      <c r="G30" s="2">
        <f t="shared" si="25"/>
        <v>1.9824341279799249</v>
      </c>
      <c r="H30" s="2">
        <f t="shared" si="26"/>
        <v>0.2710163111668758</v>
      </c>
      <c r="I30" s="2">
        <f t="shared" si="27"/>
        <v>4.4918444165621079</v>
      </c>
      <c r="J30" s="2">
        <f t="shared" si="28"/>
        <v>1.6311166875784191</v>
      </c>
      <c r="K30" s="2">
        <f t="shared" si="29"/>
        <v>2.544542032622334</v>
      </c>
      <c r="M30" s="1" t="s">
        <v>27</v>
      </c>
      <c r="N30" s="1">
        <v>30.5</v>
      </c>
      <c r="O30" s="1">
        <v>80</v>
      </c>
      <c r="P30" s="1">
        <v>2.1</v>
      </c>
      <c r="Q30" s="1">
        <v>7.97</v>
      </c>
      <c r="R30" s="1">
        <v>4.09</v>
      </c>
      <c r="S30" s="1">
        <v>15.8</v>
      </c>
      <c r="T30" s="1">
        <v>2.16</v>
      </c>
      <c r="U30" s="1">
        <v>35.799999999999997</v>
      </c>
      <c r="V30" s="1">
        <v>13</v>
      </c>
      <c r="W30" s="1">
        <v>20.28</v>
      </c>
    </row>
    <row r="31" spans="1:23" x14ac:dyDescent="0.25">
      <c r="A31" s="1" t="str">
        <f t="shared" si="19"/>
        <v>C-arm 15</v>
      </c>
      <c r="B31" s="1">
        <f t="shared" si="20"/>
        <v>23</v>
      </c>
      <c r="C31" s="1">
        <f t="shared" si="21"/>
        <v>67</v>
      </c>
      <c r="D31" s="1">
        <f t="shared" si="22"/>
        <v>3.5</v>
      </c>
      <c r="E31" s="2">
        <f t="shared" si="23"/>
        <v>17.050768761782003</v>
      </c>
      <c r="F31" s="2">
        <f t="shared" si="24"/>
        <v>0.38784779696596128</v>
      </c>
      <c r="G31" s="2">
        <f t="shared" si="25"/>
        <v>1.0200504428134973</v>
      </c>
      <c r="H31" s="2">
        <f t="shared" si="26"/>
        <v>0.12182249583919039</v>
      </c>
      <c r="I31" s="2">
        <f t="shared" si="27"/>
        <v>3.1516153590970646</v>
      </c>
      <c r="J31" s="2">
        <f t="shared" si="28"/>
        <v>1.5143812593534793</v>
      </c>
      <c r="K31" s="2" t="str">
        <f t="shared" si="29"/>
        <v/>
      </c>
      <c r="M31" s="1" t="s">
        <v>28</v>
      </c>
      <c r="N31" s="1">
        <v>23</v>
      </c>
      <c r="O31" s="1">
        <v>67</v>
      </c>
      <c r="P31" s="1">
        <v>3.5</v>
      </c>
      <c r="Q31" s="1">
        <v>17.050768761782003</v>
      </c>
      <c r="R31" s="1">
        <v>6.6131031008331815</v>
      </c>
      <c r="S31" s="1">
        <v>17.392644225766279</v>
      </c>
      <c r="T31" s="1">
        <v>2.0771672065371853</v>
      </c>
      <c r="U31" s="1">
        <v>53.737464714044599</v>
      </c>
      <c r="V31" s="1">
        <v>25.821364670412393</v>
      </c>
    </row>
    <row r="32" spans="1:23" x14ac:dyDescent="0.25">
      <c r="A32" s="1" t="str">
        <f t="shared" si="19"/>
        <v>C-arm 18</v>
      </c>
      <c r="B32" s="1">
        <f t="shared" si="20"/>
        <v>30.5</v>
      </c>
      <c r="C32" s="1">
        <f t="shared" si="21"/>
        <v>81</v>
      </c>
      <c r="D32" s="1">
        <f t="shared" si="22"/>
        <v>2.2200000000000002</v>
      </c>
      <c r="E32" s="2">
        <f t="shared" si="23"/>
        <v>8.35</v>
      </c>
      <c r="F32" s="2">
        <f t="shared" si="24"/>
        <v>0.4946107784431138</v>
      </c>
      <c r="G32" s="2">
        <f t="shared" si="25"/>
        <v>1.9520958083832336</v>
      </c>
      <c r="H32" s="2">
        <f t="shared" si="26"/>
        <v>0.26467065868263473</v>
      </c>
      <c r="I32" s="2">
        <f t="shared" si="27"/>
        <v>4.3113772455089823</v>
      </c>
      <c r="J32" s="2">
        <f t="shared" si="28"/>
        <v>1.6526946107784433</v>
      </c>
      <c r="K32" s="2">
        <f t="shared" si="29"/>
        <v>3.0059880239520962</v>
      </c>
      <c r="M32" s="1" t="s">
        <v>29</v>
      </c>
      <c r="N32" s="1">
        <v>30.5</v>
      </c>
      <c r="O32" s="1">
        <v>81</v>
      </c>
      <c r="P32" s="1">
        <v>2.2200000000000002</v>
      </c>
      <c r="Q32" s="1">
        <v>8.35</v>
      </c>
      <c r="R32" s="1">
        <v>4.13</v>
      </c>
      <c r="S32" s="1">
        <v>16.3</v>
      </c>
      <c r="T32" s="1">
        <v>2.21</v>
      </c>
      <c r="U32" s="1">
        <v>36</v>
      </c>
      <c r="V32" s="1">
        <v>13.8</v>
      </c>
      <c r="W32" s="1">
        <v>25.1</v>
      </c>
    </row>
    <row r="33" spans="1:23" x14ac:dyDescent="0.25">
      <c r="A33" s="1" t="str">
        <f t="shared" si="19"/>
        <v>C-arm 19</v>
      </c>
      <c r="B33" s="1">
        <f t="shared" si="20"/>
        <v>30.5</v>
      </c>
      <c r="C33" s="1">
        <f t="shared" si="21"/>
        <v>81</v>
      </c>
      <c r="D33" s="1">
        <f t="shared" si="22"/>
        <v>2.2200000000000002</v>
      </c>
      <c r="E33" s="2">
        <f t="shared" si="23"/>
        <v>7.11</v>
      </c>
      <c r="F33" s="2">
        <f t="shared" si="24"/>
        <v>0.47046413502109707</v>
      </c>
      <c r="G33" s="2">
        <f t="shared" si="25"/>
        <v>2.0253164556962027</v>
      </c>
      <c r="H33" s="2">
        <f t="shared" si="26"/>
        <v>0.25977496483825596</v>
      </c>
      <c r="I33" s="2">
        <f t="shared" si="27"/>
        <v>4.271448663853727</v>
      </c>
      <c r="J33" s="2">
        <f t="shared" si="28"/>
        <v>1.6399437412095639</v>
      </c>
      <c r="K33" s="2">
        <f t="shared" si="29"/>
        <v>3.4571026722925455</v>
      </c>
      <c r="M33" s="1" t="s">
        <v>8</v>
      </c>
      <c r="N33" s="1">
        <v>30.5</v>
      </c>
      <c r="O33" s="1">
        <v>81</v>
      </c>
      <c r="P33" s="1">
        <v>2.2200000000000002</v>
      </c>
      <c r="Q33" s="1">
        <v>7.11</v>
      </c>
      <c r="R33" s="1">
        <v>3.3450000000000002</v>
      </c>
      <c r="S33" s="1">
        <v>14.4</v>
      </c>
      <c r="T33" s="1">
        <v>1.847</v>
      </c>
      <c r="U33" s="1">
        <v>30.37</v>
      </c>
      <c r="V33" s="1">
        <v>11.66</v>
      </c>
      <c r="W33" s="1">
        <v>24.58</v>
      </c>
    </row>
    <row r="34" spans="1:23" x14ac:dyDescent="0.25">
      <c r="A34" s="1" t="str">
        <f t="shared" si="19"/>
        <v>ART C-arm 1</v>
      </c>
      <c r="B34" s="1">
        <f t="shared" si="20"/>
        <v>33</v>
      </c>
      <c r="C34" s="1">
        <f t="shared" si="21"/>
        <v>68</v>
      </c>
      <c r="D34" s="1">
        <f t="shared" si="22"/>
        <v>6.1</v>
      </c>
      <c r="E34" s="2">
        <f t="shared" si="23"/>
        <v>15.96</v>
      </c>
      <c r="F34" s="2">
        <f t="shared" si="24"/>
        <v>0.38095238095238093</v>
      </c>
      <c r="G34" s="2">
        <f t="shared" si="25"/>
        <v>1.1215538847117792</v>
      </c>
      <c r="H34" s="2">
        <f t="shared" si="26"/>
        <v>0.14849624060150377</v>
      </c>
      <c r="I34" s="2">
        <f t="shared" si="27"/>
        <v>2.4999999999999996</v>
      </c>
      <c r="J34" s="2">
        <f t="shared" si="28"/>
        <v>0.84774436090225558</v>
      </c>
      <c r="K34" s="2">
        <f t="shared" si="29"/>
        <v>1.2399749373433582</v>
      </c>
      <c r="M34" s="1" t="s">
        <v>30</v>
      </c>
      <c r="N34" s="1">
        <v>33</v>
      </c>
      <c r="O34" s="1">
        <v>68</v>
      </c>
      <c r="P34" s="1">
        <v>6.1</v>
      </c>
      <c r="Q34" s="1">
        <v>15.96</v>
      </c>
      <c r="R34" s="1">
        <v>6.08</v>
      </c>
      <c r="S34" s="1">
        <v>17.899999999999999</v>
      </c>
      <c r="T34" s="1">
        <v>2.37</v>
      </c>
      <c r="U34" s="1">
        <v>39.9</v>
      </c>
      <c r="V34" s="1">
        <v>13.53</v>
      </c>
      <c r="W34" s="1">
        <v>19.79</v>
      </c>
    </row>
    <row r="35" spans="1:23" x14ac:dyDescent="0.25">
      <c r="A35" s="1" t="str">
        <f t="shared" si="19"/>
        <v>ART C-arm 2</v>
      </c>
      <c r="B35" s="1">
        <f t="shared" si="20"/>
        <v>33</v>
      </c>
      <c r="C35" s="1">
        <f t="shared" si="21"/>
        <v>66</v>
      </c>
      <c r="D35" s="1">
        <f t="shared" si="22"/>
        <v>7.4</v>
      </c>
      <c r="E35" s="2">
        <f t="shared" si="23"/>
        <v>12.936484788865258</v>
      </c>
      <c r="F35" s="2">
        <f t="shared" si="24"/>
        <v>0.2933274929321219</v>
      </c>
      <c r="G35" s="2">
        <f t="shared" si="25"/>
        <v>1.0121351544861574</v>
      </c>
      <c r="H35" s="2">
        <f t="shared" si="26"/>
        <v>0.10128774511607846</v>
      </c>
      <c r="I35" s="2">
        <f t="shared" si="27"/>
        <v>2.2215239888205178</v>
      </c>
      <c r="J35" s="2">
        <f t="shared" si="28"/>
        <v>1.0822319129141866</v>
      </c>
      <c r="K35" s="2">
        <f t="shared" si="29"/>
        <v>1.336454643235981</v>
      </c>
      <c r="M35" s="1" t="s">
        <v>31</v>
      </c>
      <c r="N35" s="1">
        <v>33</v>
      </c>
      <c r="O35" s="1">
        <v>66</v>
      </c>
      <c r="P35" s="1">
        <v>7.4</v>
      </c>
      <c r="Q35" s="1">
        <v>12.936484788865258</v>
      </c>
      <c r="R35" s="1">
        <v>3.794626650472376</v>
      </c>
      <c r="S35" s="1">
        <v>13.093471030285963</v>
      </c>
      <c r="T35" s="1">
        <v>1.3103073739926103</v>
      </c>
      <c r="U35" s="1">
        <v>28.738711289475901</v>
      </c>
      <c r="V35" s="1">
        <v>14.000276679438926</v>
      </c>
      <c r="W35" s="1">
        <v>17.289025163230612</v>
      </c>
    </row>
    <row r="36" spans="1:23" x14ac:dyDescent="0.25">
      <c r="A36" s="1" t="str">
        <f t="shared" si="19"/>
        <v>ART C-arm 3</v>
      </c>
      <c r="B36" s="1">
        <f t="shared" si="20"/>
        <v>33</v>
      </c>
      <c r="C36" s="1">
        <f t="shared" si="21"/>
        <v>68</v>
      </c>
      <c r="D36" s="1">
        <f t="shared" si="22"/>
        <v>5.8</v>
      </c>
      <c r="E36" s="2">
        <f t="shared" si="23"/>
        <v>13.4</v>
      </c>
      <c r="F36" s="2">
        <f t="shared" si="24"/>
        <v>0.38805970149253732</v>
      </c>
      <c r="G36" s="2">
        <f t="shared" si="25"/>
        <v>1.1492537313432836</v>
      </c>
      <c r="H36" s="2">
        <f t="shared" si="26"/>
        <v>0.14701492537313432</v>
      </c>
      <c r="I36" s="2">
        <f t="shared" si="27"/>
        <v>3.2835820895522385</v>
      </c>
      <c r="J36" s="2">
        <f t="shared" si="28"/>
        <v>1.1507462686567165</v>
      </c>
      <c r="K36" s="2">
        <f t="shared" si="29"/>
        <v>1.4537313432835821</v>
      </c>
      <c r="M36" s="1" t="s">
        <v>32</v>
      </c>
      <c r="N36" s="1">
        <v>33</v>
      </c>
      <c r="O36" s="1">
        <v>68</v>
      </c>
      <c r="P36" s="1">
        <v>5.8</v>
      </c>
      <c r="Q36" s="1">
        <v>13.4</v>
      </c>
      <c r="R36" s="1">
        <v>5.2</v>
      </c>
      <c r="S36" s="1">
        <v>15.4</v>
      </c>
      <c r="T36" s="1">
        <v>1.97</v>
      </c>
      <c r="U36" s="1">
        <v>44</v>
      </c>
      <c r="V36" s="1">
        <v>15.42</v>
      </c>
      <c r="W36" s="1">
        <v>19.48</v>
      </c>
    </row>
    <row r="37" spans="1:23" x14ac:dyDescent="0.25">
      <c r="A37" s="1" t="str">
        <f t="shared" si="19"/>
        <v>ART C-arm 4</v>
      </c>
      <c r="B37" s="1">
        <f t="shared" si="20"/>
        <v>33</v>
      </c>
      <c r="C37" s="1">
        <f t="shared" si="21"/>
        <v>68</v>
      </c>
      <c r="D37" s="1">
        <f t="shared" si="22"/>
        <v>5.8</v>
      </c>
      <c r="E37" s="2">
        <f t="shared" si="23"/>
        <v>10.342637150302032</v>
      </c>
      <c r="F37" s="2">
        <f t="shared" si="24"/>
        <v>0.38553223294477307</v>
      </c>
      <c r="G37" s="2">
        <f t="shared" si="25"/>
        <v>1.1525919265292337</v>
      </c>
      <c r="H37" s="2">
        <f t="shared" si="26"/>
        <v>0.15462456985106002</v>
      </c>
      <c r="I37" s="2">
        <f t="shared" si="27"/>
        <v>2.4972225483188568</v>
      </c>
      <c r="J37" s="2">
        <f t="shared" si="28"/>
        <v>1.0196537853056244</v>
      </c>
      <c r="K37" s="2">
        <f t="shared" si="29"/>
        <v>1.4883023613310651</v>
      </c>
      <c r="M37" s="1" t="s">
        <v>33</v>
      </c>
      <c r="N37" s="1">
        <v>33</v>
      </c>
      <c r="O37" s="1">
        <v>68</v>
      </c>
      <c r="P37" s="1">
        <v>5.8</v>
      </c>
      <c r="Q37" s="1">
        <v>10.342637150302032</v>
      </c>
      <c r="R37" s="1">
        <v>3.9874199950935068</v>
      </c>
      <c r="S37" s="1">
        <v>11.920840078459442</v>
      </c>
      <c r="T37" s="1">
        <v>1.5992258204910448</v>
      </c>
      <c r="U37" s="1">
        <v>25.827866700814518</v>
      </c>
      <c r="V37" s="1">
        <v>10.545909120348043</v>
      </c>
      <c r="W37" s="1">
        <v>15.392971293184912</v>
      </c>
    </row>
    <row r="38" spans="1:23" x14ac:dyDescent="0.25">
      <c r="A38" s="1" t="str">
        <f t="shared" si="19"/>
        <v>RT Uro</v>
      </c>
      <c r="B38" s="1">
        <f t="shared" si="20"/>
        <v>30.5</v>
      </c>
      <c r="C38" s="1">
        <f t="shared" si="21"/>
        <v>80</v>
      </c>
      <c r="D38" s="1">
        <f t="shared" si="22"/>
        <v>2.2000000000000002</v>
      </c>
      <c r="E38" s="2">
        <f t="shared" si="23"/>
        <v>9.8000000000000007</v>
      </c>
      <c r="F38" s="2">
        <f t="shared" si="24"/>
        <v>0.4765306122448979</v>
      </c>
      <c r="G38" s="2">
        <f t="shared" si="25"/>
        <v>1.9183673469387754</v>
      </c>
      <c r="H38" s="2">
        <f t="shared" si="26"/>
        <v>0.24020408163265305</v>
      </c>
      <c r="I38" s="2">
        <f t="shared" si="27"/>
        <v>4.0612244897959178</v>
      </c>
      <c r="J38" s="2">
        <f t="shared" si="28"/>
        <v>1.4826530612244897</v>
      </c>
      <c r="K38" s="2">
        <f t="shared" si="29"/>
        <v>2.1642857142857141</v>
      </c>
      <c r="M38" s="1" t="s">
        <v>34</v>
      </c>
      <c r="N38" s="1">
        <v>30.5</v>
      </c>
      <c r="O38" s="1">
        <v>80</v>
      </c>
      <c r="P38" s="1">
        <v>2.2000000000000002</v>
      </c>
      <c r="Q38" s="1">
        <v>9.8000000000000007</v>
      </c>
      <c r="R38" s="1">
        <v>4.67</v>
      </c>
      <c r="S38" s="1">
        <v>18.8</v>
      </c>
      <c r="T38" s="1">
        <v>2.3540000000000001</v>
      </c>
      <c r="U38" s="1">
        <v>39.799999999999997</v>
      </c>
      <c r="V38" s="1">
        <v>14.53</v>
      </c>
      <c r="W38" s="1">
        <v>21.21</v>
      </c>
    </row>
    <row r="39" spans="1:23" x14ac:dyDescent="0.25">
      <c r="A39" s="1" t="str">
        <f t="shared" si="19"/>
        <v>EC1</v>
      </c>
      <c r="B39" s="1">
        <f t="shared" si="20"/>
        <v>33</v>
      </c>
      <c r="C39" s="1">
        <f t="shared" si="21"/>
        <v>67</v>
      </c>
      <c r="D39" s="1">
        <f t="shared" si="22"/>
        <v>5.6</v>
      </c>
      <c r="E39" s="2">
        <f t="shared" si="23"/>
        <v>12.59</v>
      </c>
      <c r="F39" s="2">
        <f t="shared" si="24"/>
        <v>0.34630659253375695</v>
      </c>
      <c r="G39" s="2">
        <f t="shared" si="25"/>
        <v>1.1270849880857823</v>
      </c>
      <c r="H39" s="2">
        <f t="shared" si="26"/>
        <v>0.13653693407466244</v>
      </c>
      <c r="I39" s="2">
        <f t="shared" si="27"/>
        <v>3.5520254169976173</v>
      </c>
      <c r="J39" s="2">
        <f t="shared" si="28"/>
        <v>1.3423351866560762</v>
      </c>
      <c r="K39" s="2">
        <f t="shared" si="29"/>
        <v>1.5679110405083398</v>
      </c>
      <c r="M39" s="1" t="s">
        <v>35</v>
      </c>
      <c r="N39" s="1">
        <v>33</v>
      </c>
      <c r="O39" s="1">
        <v>67</v>
      </c>
      <c r="P39" s="1">
        <v>5.6</v>
      </c>
      <c r="Q39" s="1">
        <v>12.59</v>
      </c>
      <c r="R39" s="1">
        <v>4.3600000000000003</v>
      </c>
      <c r="S39" s="1">
        <v>14.19</v>
      </c>
      <c r="T39" s="1">
        <v>1.7190000000000001</v>
      </c>
      <c r="U39" s="1">
        <v>44.72</v>
      </c>
      <c r="V39" s="1">
        <v>16.899999999999999</v>
      </c>
      <c r="W39" s="1">
        <v>19.739999999999998</v>
      </c>
    </row>
    <row r="40" spans="1:23" x14ac:dyDescent="0.25">
      <c r="A40" s="1" t="str">
        <f t="shared" si="19"/>
        <v>EC2</v>
      </c>
      <c r="B40" s="1">
        <f t="shared" si="20"/>
        <v>33</v>
      </c>
      <c r="C40" s="1">
        <f t="shared" si="21"/>
        <v>75</v>
      </c>
      <c r="D40" s="1">
        <f t="shared" si="22"/>
        <v>7.3</v>
      </c>
      <c r="E40" s="2">
        <f t="shared" si="23"/>
        <v>26.82</v>
      </c>
      <c r="F40" s="2">
        <f t="shared" si="24"/>
        <v>0.39038031319910516</v>
      </c>
      <c r="G40" s="2">
        <f t="shared" si="25"/>
        <v>1.325876211782252</v>
      </c>
      <c r="H40" s="2">
        <f t="shared" si="26"/>
        <v>0.20193885160328115</v>
      </c>
      <c r="I40" s="2">
        <f t="shared" si="27"/>
        <v>1.8605518269947798</v>
      </c>
      <c r="J40" s="2">
        <f t="shared" si="28"/>
        <v>1.0950782997762865</v>
      </c>
      <c r="K40" s="2">
        <f t="shared" si="29"/>
        <v>1.2009694258016406</v>
      </c>
      <c r="M40" s="1" t="s">
        <v>36</v>
      </c>
      <c r="N40" s="1">
        <v>33</v>
      </c>
      <c r="O40" s="1">
        <v>75</v>
      </c>
      <c r="P40" s="1">
        <v>7.3</v>
      </c>
      <c r="Q40" s="1">
        <v>26.82</v>
      </c>
      <c r="R40" s="1">
        <v>10.47</v>
      </c>
      <c r="S40" s="1">
        <v>35.56</v>
      </c>
      <c r="T40" s="1">
        <v>5.4160000000000004</v>
      </c>
      <c r="U40" s="1">
        <v>49.9</v>
      </c>
      <c r="V40" s="1">
        <v>29.37</v>
      </c>
      <c r="W40" s="1">
        <v>32.21</v>
      </c>
    </row>
    <row r="41" spans="1:23" x14ac:dyDescent="0.25">
      <c r="A41" s="1" t="str">
        <f t="shared" si="19"/>
        <v>EC Neuro</v>
      </c>
      <c r="B41" s="1">
        <f t="shared" si="20"/>
        <v>23</v>
      </c>
      <c r="C41" s="1">
        <f t="shared" si="21"/>
        <v>80</v>
      </c>
      <c r="D41" s="1">
        <f t="shared" si="22"/>
        <v>3</v>
      </c>
      <c r="E41" s="2">
        <f t="shared" si="23"/>
        <v>22.6</v>
      </c>
      <c r="F41" s="2">
        <f t="shared" si="24"/>
        <v>0.35398230088495575</v>
      </c>
      <c r="G41" s="2">
        <f t="shared" si="25"/>
        <v>1.5853982300884955</v>
      </c>
      <c r="H41" s="2">
        <f t="shared" si="26"/>
        <v>0.26323008849557522</v>
      </c>
      <c r="I41" s="2">
        <f t="shared" si="27"/>
        <v>2.6172566371681412</v>
      </c>
      <c r="J41" s="2">
        <f t="shared" si="28"/>
        <v>1.5323008849557522</v>
      </c>
      <c r="K41" s="2">
        <f t="shared" si="29"/>
        <v>1.747787610619469</v>
      </c>
      <c r="M41" s="1" t="s">
        <v>40</v>
      </c>
      <c r="N41" s="1">
        <v>23</v>
      </c>
      <c r="O41" s="1">
        <v>80</v>
      </c>
      <c r="P41" s="1">
        <v>3</v>
      </c>
      <c r="Q41" s="1">
        <v>22.6</v>
      </c>
      <c r="R41" s="1">
        <v>8</v>
      </c>
      <c r="S41" s="1">
        <v>35.83</v>
      </c>
      <c r="T41" s="1">
        <v>5.9489999999999998</v>
      </c>
      <c r="U41" s="1">
        <v>59.15</v>
      </c>
      <c r="V41" s="1">
        <v>34.630000000000003</v>
      </c>
      <c r="W41" s="1">
        <v>39.5</v>
      </c>
    </row>
    <row r="42" spans="1:23" x14ac:dyDescent="0.25">
      <c r="A42" s="1" t="str">
        <f t="shared" si="19"/>
        <v>Neuro</v>
      </c>
      <c r="B42" s="1">
        <f t="shared" si="20"/>
        <v>30.5</v>
      </c>
      <c r="C42" s="1">
        <f t="shared" si="21"/>
        <v>83</v>
      </c>
      <c r="D42" s="1">
        <f t="shared" si="22"/>
        <v>2.4</v>
      </c>
      <c r="E42" s="2">
        <f t="shared" si="23"/>
        <v>7.1913547227281311</v>
      </c>
      <c r="F42" s="2">
        <f t="shared" si="24"/>
        <v>0.51974635149814408</v>
      </c>
      <c r="G42" s="2">
        <f t="shared" si="25"/>
        <v>1.9944109353978083</v>
      </c>
      <c r="H42" s="2">
        <f t="shared" si="26"/>
        <v>0.26328805589500126</v>
      </c>
      <c r="I42" s="2">
        <f t="shared" si="27"/>
        <v>3.3930655327587571</v>
      </c>
      <c r="J42" s="2">
        <f t="shared" si="28"/>
        <v>1.8578107936351236</v>
      </c>
      <c r="K42" s="2">
        <f t="shared" si="29"/>
        <v>3.0467740641793717</v>
      </c>
      <c r="M42" s="1" t="s">
        <v>37</v>
      </c>
      <c r="N42" s="1">
        <v>30.5</v>
      </c>
      <c r="O42" s="1">
        <v>83</v>
      </c>
      <c r="P42" s="1">
        <v>2.4</v>
      </c>
      <c r="Q42" s="1">
        <v>7.1913547227281311</v>
      </c>
      <c r="R42" s="1">
        <v>3.7376803794668936</v>
      </c>
      <c r="S42" s="1">
        <v>14.342516499333659</v>
      </c>
      <c r="T42" s="1">
        <v>1.8933978041984254</v>
      </c>
      <c r="U42" s="1">
        <v>24.400737843530731</v>
      </c>
      <c r="V42" s="1">
        <v>13.360176424743244</v>
      </c>
      <c r="W42" s="1">
        <v>21.910433055521906</v>
      </c>
    </row>
    <row r="43" spans="1:23" x14ac:dyDescent="0.25">
      <c r="A43" s="1" t="str">
        <f t="shared" si="19"/>
        <v>PICC</v>
      </c>
      <c r="B43" s="1">
        <f t="shared" si="20"/>
        <v>27</v>
      </c>
      <c r="C43" s="1">
        <f t="shared" si="21"/>
        <v>66</v>
      </c>
      <c r="D43" s="1">
        <f t="shared" si="22"/>
        <v>3.1</v>
      </c>
      <c r="E43" s="2">
        <f t="shared" si="23"/>
        <v>20.7</v>
      </c>
      <c r="F43" s="2" t="str">
        <f t="shared" si="24"/>
        <v/>
      </c>
      <c r="G43" s="2">
        <f t="shared" si="25"/>
        <v>1.0512077294685991</v>
      </c>
      <c r="H43" s="2">
        <f t="shared" si="26"/>
        <v>0.15458937198067635</v>
      </c>
      <c r="I43" s="2">
        <f t="shared" si="27"/>
        <v>2.4584541062801932</v>
      </c>
      <c r="J43" s="2">
        <f t="shared" si="28"/>
        <v>1.4516908212560387</v>
      </c>
      <c r="K43" s="2" t="str">
        <f t="shared" si="29"/>
        <v/>
      </c>
      <c r="M43" s="1" t="s">
        <v>38</v>
      </c>
      <c r="N43" s="1">
        <v>27</v>
      </c>
      <c r="O43" s="1">
        <v>66</v>
      </c>
      <c r="P43" s="1">
        <v>3.1</v>
      </c>
      <c r="Q43" s="1">
        <v>20.7</v>
      </c>
      <c r="S43" s="1">
        <v>21.76</v>
      </c>
      <c r="T43" s="1">
        <v>3.2</v>
      </c>
      <c r="U43" s="1">
        <v>50.89</v>
      </c>
      <c r="V43" s="1">
        <v>30.05</v>
      </c>
    </row>
    <row r="44" spans="1:23" x14ac:dyDescent="0.25">
      <c r="A44" s="1" t="str">
        <f t="shared" si="19"/>
        <v>Pain Mgmt</v>
      </c>
      <c r="B44" s="1">
        <f t="shared" si="20"/>
        <v>23</v>
      </c>
      <c r="C44" s="1">
        <f t="shared" si="21"/>
        <v>81</v>
      </c>
      <c r="D44" s="1">
        <f t="shared" si="22"/>
        <v>3</v>
      </c>
      <c r="E44" s="2">
        <f t="shared" si="23"/>
        <v>14</v>
      </c>
      <c r="F44" s="2">
        <f t="shared" si="24"/>
        <v>0.44642857142857145</v>
      </c>
      <c r="G44" s="2">
        <f t="shared" si="25"/>
        <v>2</v>
      </c>
      <c r="H44" s="2">
        <f t="shared" si="26"/>
        <v>0.26428571428571429</v>
      </c>
      <c r="I44" s="2">
        <f t="shared" si="27"/>
        <v>3.3928571428571428</v>
      </c>
      <c r="J44" s="2">
        <f t="shared" si="28"/>
        <v>1.0857142857142856</v>
      </c>
      <c r="K44" s="2">
        <f t="shared" si="29"/>
        <v>1.9857142857142858</v>
      </c>
      <c r="M44" s="1" t="s">
        <v>39</v>
      </c>
      <c r="N44" s="1">
        <v>23</v>
      </c>
      <c r="O44" s="1">
        <v>81</v>
      </c>
      <c r="P44" s="1">
        <v>3</v>
      </c>
      <c r="Q44" s="1">
        <v>14</v>
      </c>
      <c r="R44" s="1">
        <v>6.25</v>
      </c>
      <c r="S44" s="1">
        <v>28</v>
      </c>
      <c r="T44" s="1">
        <v>3.7</v>
      </c>
      <c r="U44" s="1">
        <v>47.5</v>
      </c>
      <c r="V44" s="1">
        <v>15.2</v>
      </c>
      <c r="W44" s="1">
        <v>27.8</v>
      </c>
    </row>
    <row r="45" spans="1:23" x14ac:dyDescent="0.25">
      <c r="A45" s="1" t="s">
        <v>41</v>
      </c>
      <c r="B45" s="2">
        <f>AVERAGE(B25:B44)</f>
        <v>28.824999999999999</v>
      </c>
      <c r="C45" s="2">
        <f t="shared" ref="C45:K45" si="30">AVERAGE(C25:C44)</f>
        <v>75.150000000000006</v>
      </c>
      <c r="D45" s="2">
        <f t="shared" si="30"/>
        <v>3.722</v>
      </c>
      <c r="E45" s="2">
        <f t="shared" si="30"/>
        <v>12.977062271183872</v>
      </c>
      <c r="F45" s="2">
        <f t="shared" si="30"/>
        <v>0.42934804358780526</v>
      </c>
      <c r="G45" s="2">
        <f t="shared" si="30"/>
        <v>1.5824320469249045</v>
      </c>
      <c r="H45" s="2">
        <f t="shared" si="30"/>
        <v>0.21341237804258073</v>
      </c>
      <c r="I45" s="2">
        <f t="shared" si="30"/>
        <v>3.4196556079329397</v>
      </c>
      <c r="J45" s="2">
        <f t="shared" si="30"/>
        <v>1.4259151552706366</v>
      </c>
      <c r="K45" s="2">
        <f t="shared" si="30"/>
        <v>2.1069893605633898</v>
      </c>
    </row>
    <row r="46" spans="1:23" x14ac:dyDescent="0.25">
      <c r="A46" s="1" t="s">
        <v>42</v>
      </c>
      <c r="B46" s="2">
        <f>STDEV(B25:B44)</f>
        <v>4.1747202868796194</v>
      </c>
      <c r="C46" s="2">
        <f t="shared" ref="C46:K46" si="31">STDEV(C25:C44)</f>
        <v>6.2851118986814685</v>
      </c>
      <c r="D46" s="2">
        <f t="shared" si="31"/>
        <v>1.8494824311568618</v>
      </c>
      <c r="E46" s="2">
        <f t="shared" si="31"/>
        <v>5.4428271302578022</v>
      </c>
      <c r="F46" s="2">
        <f t="shared" si="31"/>
        <v>6.3328666737709843E-2</v>
      </c>
      <c r="G46" s="2">
        <f t="shared" si="31"/>
        <v>0.40367242540555981</v>
      </c>
      <c r="H46" s="2">
        <f t="shared" si="31"/>
        <v>5.9743816988912034E-2</v>
      </c>
      <c r="I46" s="2">
        <f t="shared" si="31"/>
        <v>0.81870071924480081</v>
      </c>
      <c r="J46" s="2">
        <f t="shared" si="31"/>
        <v>0.28595190582244734</v>
      </c>
      <c r="K46" s="2">
        <f t="shared" si="31"/>
        <v>0.67802412328469008</v>
      </c>
    </row>
    <row r="47" spans="1:23" s="8" customFormat="1" x14ac:dyDescent="0.25">
      <c r="A47" s="8" t="s">
        <v>74</v>
      </c>
      <c r="B47" s="2">
        <f>MIN(B25:B44)</f>
        <v>23</v>
      </c>
      <c r="C47" s="2">
        <f t="shared" ref="C47:K47" si="32">MIN(C25:C44)</f>
        <v>66</v>
      </c>
      <c r="D47" s="2">
        <f t="shared" si="32"/>
        <v>1.9</v>
      </c>
      <c r="E47" s="2">
        <f t="shared" si="32"/>
        <v>7.11</v>
      </c>
      <c r="F47" s="2">
        <f t="shared" si="32"/>
        <v>0.2933274929321219</v>
      </c>
      <c r="G47" s="2">
        <f t="shared" si="32"/>
        <v>1.0121351544861574</v>
      </c>
      <c r="H47" s="2">
        <f t="shared" si="32"/>
        <v>0.10128774511607846</v>
      </c>
      <c r="I47" s="2">
        <f t="shared" si="32"/>
        <v>1.8605518269947798</v>
      </c>
      <c r="J47" s="2">
        <f t="shared" si="32"/>
        <v>0.84774436090225558</v>
      </c>
      <c r="K47" s="2">
        <f t="shared" si="32"/>
        <v>1.2009694258016406</v>
      </c>
    </row>
    <row r="48" spans="1:23" s="8" customFormat="1" x14ac:dyDescent="0.25">
      <c r="A48" s="8">
        <v>10</v>
      </c>
      <c r="B48" s="2">
        <f>PERCENTILE(B$25:B$44,$A48/100)</f>
        <v>23</v>
      </c>
      <c r="C48" s="2">
        <f t="shared" ref="C48:K48" si="33">PERCENTILE(C$25:C$44,$A48/100)</f>
        <v>66.900000000000006</v>
      </c>
      <c r="D48" s="2">
        <f t="shared" si="33"/>
        <v>2.0900000000000003</v>
      </c>
      <c r="E48" s="2">
        <f t="shared" si="33"/>
        <v>7.7931354722728141</v>
      </c>
      <c r="F48" s="2">
        <f t="shared" si="33"/>
        <v>0.35244715921471598</v>
      </c>
      <c r="G48" s="2">
        <f t="shared" si="33"/>
        <v>1.048092000803089</v>
      </c>
      <c r="H48" s="2">
        <f t="shared" si="33"/>
        <v>0.13506549025111525</v>
      </c>
      <c r="I48" s="2">
        <f t="shared" si="33"/>
        <v>2.4347610945342257</v>
      </c>
      <c r="J48" s="2">
        <f t="shared" si="33"/>
        <v>1.0759741001533305</v>
      </c>
      <c r="K48" s="2">
        <f t="shared" si="33"/>
        <v>1.3075107314681942</v>
      </c>
    </row>
    <row r="49" spans="1:23" s="8" customFormat="1" x14ac:dyDescent="0.25">
      <c r="A49" s="8">
        <v>25</v>
      </c>
      <c r="B49" s="2">
        <f t="shared" ref="B49:K52" si="34">PERCENTILE(B$25:B$44,$A49/100)</f>
        <v>23</v>
      </c>
      <c r="C49" s="2">
        <f t="shared" si="34"/>
        <v>68</v>
      </c>
      <c r="D49" s="2">
        <f t="shared" si="34"/>
        <v>2.2200000000000002</v>
      </c>
      <c r="E49" s="2">
        <f t="shared" si="34"/>
        <v>8.254999999999999</v>
      </c>
      <c r="F49" s="2">
        <f t="shared" si="34"/>
        <v>0.38669001495536715</v>
      </c>
      <c r="G49" s="2">
        <f t="shared" si="34"/>
        <v>1.1437115455289082</v>
      </c>
      <c r="H49" s="2">
        <f t="shared" si="34"/>
        <v>0.15306608913588321</v>
      </c>
      <c r="I49" s="2">
        <f t="shared" si="34"/>
        <v>2.5879424778761058</v>
      </c>
      <c r="J49" s="2">
        <f t="shared" si="34"/>
        <v>1.136829276436609</v>
      </c>
      <c r="K49" s="2">
        <f t="shared" si="34"/>
        <v>1.5082045311253838</v>
      </c>
    </row>
    <row r="50" spans="1:23" s="8" customFormat="1" x14ac:dyDescent="0.25">
      <c r="A50" s="8">
        <v>50</v>
      </c>
      <c r="B50" s="2">
        <f t="shared" si="34"/>
        <v>30.5</v>
      </c>
      <c r="C50" s="2">
        <f t="shared" si="34"/>
        <v>78.5</v>
      </c>
      <c r="D50" s="2">
        <f t="shared" si="34"/>
        <v>3</v>
      </c>
      <c r="E50" s="2">
        <f t="shared" si="34"/>
        <v>12.195</v>
      </c>
      <c r="F50" s="2">
        <f t="shared" si="34"/>
        <v>0.43962264150943398</v>
      </c>
      <c r="G50" s="2">
        <f t="shared" si="34"/>
        <v>1.8030619197683331</v>
      </c>
      <c r="H50" s="2">
        <f t="shared" si="34"/>
        <v>0.24858562244301577</v>
      </c>
      <c r="I50" s="2">
        <f t="shared" si="34"/>
        <v>3.4725454748781872</v>
      </c>
      <c r="J50" s="2">
        <f t="shared" si="34"/>
        <v>1.4985171602889844</v>
      </c>
      <c r="K50" s="2">
        <f t="shared" si="34"/>
        <v>2.0523422251138586</v>
      </c>
    </row>
    <row r="51" spans="1:23" s="8" customFormat="1" x14ac:dyDescent="0.25">
      <c r="A51" s="8">
        <v>75</v>
      </c>
      <c r="B51" s="2">
        <f t="shared" si="34"/>
        <v>33</v>
      </c>
      <c r="C51" s="2">
        <f t="shared" si="34"/>
        <v>80</v>
      </c>
      <c r="D51" s="2">
        <f t="shared" si="34"/>
        <v>5.6499999999999995</v>
      </c>
      <c r="E51" s="2">
        <f t="shared" si="34"/>
        <v>14.865</v>
      </c>
      <c r="F51" s="2">
        <f t="shared" si="34"/>
        <v>0.4798482206953133</v>
      </c>
      <c r="G51" s="2">
        <f t="shared" si="34"/>
        <v>1.9518170555440844</v>
      </c>
      <c r="H51" s="2">
        <f t="shared" si="34"/>
        <v>0.26324458034543174</v>
      </c>
      <c r="I51" s="2">
        <f t="shared" si="34"/>
        <v>4.1343715999256965</v>
      </c>
      <c r="J51" s="2">
        <f t="shared" si="34"/>
        <v>1.6431314586017838</v>
      </c>
      <c r="K51" s="2">
        <f t="shared" si="34"/>
        <v>2.5428286350195144</v>
      </c>
    </row>
    <row r="52" spans="1:23" s="8" customFormat="1" x14ac:dyDescent="0.25">
      <c r="A52" s="8">
        <v>90</v>
      </c>
      <c r="B52" s="2">
        <f t="shared" si="34"/>
        <v>33</v>
      </c>
      <c r="C52" s="2">
        <f t="shared" si="34"/>
        <v>81</v>
      </c>
      <c r="D52" s="2">
        <f t="shared" si="34"/>
        <v>6.2200000000000015</v>
      </c>
      <c r="E52" s="2">
        <f t="shared" si="34"/>
        <v>20.89</v>
      </c>
      <c r="F52" s="2">
        <f t="shared" si="34"/>
        <v>0.49958144568850743</v>
      </c>
      <c r="G52" s="2">
        <f t="shared" si="34"/>
        <v>1.9949698418580275</v>
      </c>
      <c r="H52" s="2">
        <f t="shared" si="34"/>
        <v>0.26432420872540635</v>
      </c>
      <c r="I52" s="2">
        <f t="shared" si="34"/>
        <v>4.3141372320696938</v>
      </c>
      <c r="J52" s="2">
        <f t="shared" si="34"/>
        <v>1.7173254202044708</v>
      </c>
      <c r="K52" s="2">
        <f t="shared" si="34"/>
        <v>3.0182238360202787</v>
      </c>
    </row>
    <row r="53" spans="1:23" s="8" customFormat="1" x14ac:dyDescent="0.25">
      <c r="A53" s="8" t="s">
        <v>75</v>
      </c>
      <c r="B53" s="2">
        <f>MAX(B25:B44)</f>
        <v>33</v>
      </c>
      <c r="C53" s="2">
        <f t="shared" ref="C53:K53" si="35">MAX(C25:C44)</f>
        <v>83</v>
      </c>
      <c r="D53" s="2">
        <f t="shared" si="35"/>
        <v>7.4</v>
      </c>
      <c r="E53" s="2">
        <f t="shared" si="35"/>
        <v>26.82</v>
      </c>
      <c r="F53" s="2">
        <f t="shared" si="35"/>
        <v>0.51974635149814408</v>
      </c>
      <c r="G53" s="2">
        <f t="shared" si="35"/>
        <v>2.0253164556962027</v>
      </c>
      <c r="H53" s="2">
        <f t="shared" si="35"/>
        <v>0.2710163111668758</v>
      </c>
      <c r="I53" s="2">
        <f t="shared" si="35"/>
        <v>4.4918444165621079</v>
      </c>
      <c r="J53" s="2">
        <f t="shared" si="35"/>
        <v>1.8578107936351236</v>
      </c>
      <c r="K53" s="2">
        <f t="shared" si="35"/>
        <v>3.4571026722925455</v>
      </c>
    </row>
    <row r="55" spans="1:23" x14ac:dyDescent="0.25">
      <c r="A55" s="6" t="s">
        <v>71</v>
      </c>
      <c r="B55" s="7" t="s">
        <v>77</v>
      </c>
      <c r="C55" s="1">
        <f>COUNTA(A57:A67)</f>
        <v>11</v>
      </c>
      <c r="E55" s="2"/>
      <c r="F55" s="2"/>
      <c r="G55" s="2"/>
      <c r="H55" s="2"/>
      <c r="I55" s="2"/>
      <c r="J55" s="2"/>
      <c r="K55" s="2"/>
    </row>
    <row r="56" spans="1:23" s="7" customFormat="1" x14ac:dyDescent="0.25">
      <c r="A56" s="7" t="s">
        <v>2</v>
      </c>
      <c r="B56" s="7" t="s">
        <v>9</v>
      </c>
      <c r="C56" s="7" t="s">
        <v>0</v>
      </c>
      <c r="D56" s="7" t="s">
        <v>1</v>
      </c>
      <c r="E56" s="7" t="s">
        <v>3</v>
      </c>
      <c r="F56" s="7" t="s">
        <v>10</v>
      </c>
      <c r="G56" s="7" t="s">
        <v>11</v>
      </c>
      <c r="H56" s="7" t="s">
        <v>12</v>
      </c>
      <c r="I56" s="7" t="s">
        <v>13</v>
      </c>
      <c r="J56" s="7" t="s">
        <v>14</v>
      </c>
      <c r="K56" s="7" t="s">
        <v>15</v>
      </c>
    </row>
    <row r="57" spans="1:23" x14ac:dyDescent="0.25">
      <c r="A57" s="4" t="str">
        <f t="shared" ref="A57:A67" si="36">M57</f>
        <v>HVC01</v>
      </c>
      <c r="B57" s="4">
        <f t="shared" ref="B57:B67" si="37">N57</f>
        <v>48</v>
      </c>
      <c r="C57" s="4">
        <f t="shared" ref="C57:C67" si="38">O57</f>
        <v>63.9</v>
      </c>
      <c r="D57" s="4">
        <f t="shared" ref="D57:D67" si="39">P57</f>
        <v>108.1</v>
      </c>
      <c r="E57" s="2">
        <f t="shared" ref="E57:E67" si="40">Q57</f>
        <v>6.5475000000000003</v>
      </c>
      <c r="F57" s="2">
        <f t="shared" ref="F57:F67" si="41">IF(R57="","",R57/$Q57)</f>
        <v>0.60618556701030935</v>
      </c>
      <c r="G57" s="2">
        <f t="shared" ref="G57:G67" si="42">IF(S57="","",S57/$Q57)</f>
        <v>1.4460481099656355</v>
      </c>
      <c r="H57" s="2">
        <f t="shared" ref="H57:H67" si="43">IF(T57="","",T57/$Q57)</f>
        <v>0.10309278350515465</v>
      </c>
      <c r="I57" s="2">
        <f t="shared" ref="I57:I67" si="44">IF(U57="","",U57/$Q57)</f>
        <v>4.7539518900343642</v>
      </c>
      <c r="J57" s="2">
        <f t="shared" ref="J57:J67" si="45">IF(V57="","",V57/$Q57)</f>
        <v>1.2962199312714777</v>
      </c>
      <c r="K57" s="2">
        <f t="shared" ref="K57:K67" si="46">IF(W57="","",W57/$Q57)</f>
        <v>1.7621993127147766</v>
      </c>
      <c r="M57" s="3" t="s">
        <v>43</v>
      </c>
      <c r="N57" s="1">
        <v>48</v>
      </c>
      <c r="O57" s="1">
        <v>63.9</v>
      </c>
      <c r="P57" s="1">
        <v>108.1</v>
      </c>
      <c r="Q57" s="1">
        <v>6.5475000000000003</v>
      </c>
      <c r="R57" s="3">
        <v>3.9690000000000003</v>
      </c>
      <c r="S57" s="3">
        <v>9.4679999999999982</v>
      </c>
      <c r="T57" s="3">
        <v>0.67500000000000004</v>
      </c>
      <c r="U57" s="3">
        <v>31.1265</v>
      </c>
      <c r="V57" s="3">
        <v>8.4870000000000001</v>
      </c>
      <c r="W57" s="3">
        <v>11.538</v>
      </c>
    </row>
    <row r="58" spans="1:23" x14ac:dyDescent="0.25">
      <c r="A58" s="4" t="str">
        <f t="shared" si="36"/>
        <v>HVC02</v>
      </c>
      <c r="B58" s="4">
        <f t="shared" si="37"/>
        <v>40</v>
      </c>
      <c r="C58" s="4">
        <f t="shared" si="38"/>
        <v>66</v>
      </c>
      <c r="D58" s="4">
        <f t="shared" si="39"/>
        <v>54</v>
      </c>
      <c r="E58" s="2">
        <f t="shared" si="40"/>
        <v>2.0880000000000001</v>
      </c>
      <c r="F58" s="2">
        <f t="shared" si="41"/>
        <v>1.0150862068965516</v>
      </c>
      <c r="G58" s="2">
        <f t="shared" si="42"/>
        <v>2.8060344827586201</v>
      </c>
      <c r="H58" s="2">
        <f t="shared" si="43"/>
        <v>0.12715517241379309</v>
      </c>
      <c r="I58" s="2">
        <f t="shared" si="44"/>
        <v>9.6336206896551708</v>
      </c>
      <c r="J58" s="2">
        <f t="shared" si="45"/>
        <v>2.0581896551724137</v>
      </c>
      <c r="K58" s="2">
        <f t="shared" si="46"/>
        <v>4.0086206896551717</v>
      </c>
      <c r="M58" s="1" t="s">
        <v>44</v>
      </c>
      <c r="N58" s="1">
        <v>40</v>
      </c>
      <c r="O58" s="1">
        <v>66</v>
      </c>
      <c r="P58" s="1">
        <v>54</v>
      </c>
      <c r="Q58" s="1">
        <v>2.0880000000000001</v>
      </c>
      <c r="R58" s="1">
        <v>2.1194999999999999</v>
      </c>
      <c r="S58" s="1">
        <v>5.8589999999999991</v>
      </c>
      <c r="T58" s="1">
        <v>0.26550000000000001</v>
      </c>
      <c r="U58" s="1">
        <v>20.114999999999998</v>
      </c>
      <c r="V58" s="1">
        <v>4.2975000000000003</v>
      </c>
      <c r="W58" s="1">
        <v>8.3699999999999992</v>
      </c>
    </row>
    <row r="59" spans="1:23" x14ac:dyDescent="0.25">
      <c r="A59" s="4" t="str">
        <f t="shared" si="36"/>
        <v>HVC04</v>
      </c>
      <c r="B59" s="4">
        <f t="shared" si="37"/>
        <v>40</v>
      </c>
      <c r="C59" s="4">
        <f t="shared" si="38"/>
        <v>66</v>
      </c>
      <c r="D59" s="4">
        <f t="shared" si="39"/>
        <v>54</v>
      </c>
      <c r="E59" s="2">
        <f t="shared" si="40"/>
        <v>2.0699999999999998</v>
      </c>
      <c r="F59" s="2">
        <f t="shared" si="41"/>
        <v>1.017391304347826</v>
      </c>
      <c r="G59" s="2">
        <f t="shared" si="42"/>
        <v>2.7869565217391306</v>
      </c>
      <c r="H59" s="2">
        <f t="shared" si="43"/>
        <v>0.34130434782608698</v>
      </c>
      <c r="I59" s="2">
        <f t="shared" si="44"/>
        <v>10.152173913043478</v>
      </c>
      <c r="J59" s="2">
        <f t="shared" si="45"/>
        <v>2.0326086956521738</v>
      </c>
      <c r="K59" s="2">
        <f t="shared" si="46"/>
        <v>3.9478260869565216</v>
      </c>
      <c r="M59" s="1" t="s">
        <v>45</v>
      </c>
      <c r="N59" s="4">
        <v>40</v>
      </c>
      <c r="O59" s="1">
        <v>66</v>
      </c>
      <c r="P59" s="1">
        <v>54</v>
      </c>
      <c r="Q59" s="1">
        <v>2.0699999999999998</v>
      </c>
      <c r="R59" s="1">
        <v>2.1059999999999994</v>
      </c>
      <c r="S59" s="1">
        <v>5.7690000000000001</v>
      </c>
      <c r="T59" s="1">
        <v>0.70650000000000002</v>
      </c>
      <c r="U59" s="1">
        <v>21.015000000000001</v>
      </c>
      <c r="V59" s="1">
        <v>4.2074999999999996</v>
      </c>
      <c r="W59" s="1">
        <v>8.1719999999999988</v>
      </c>
    </row>
    <row r="60" spans="1:23" x14ac:dyDescent="0.25">
      <c r="A60" s="4" t="str">
        <f t="shared" si="36"/>
        <v>HVC05</v>
      </c>
      <c r="B60" s="4">
        <f t="shared" si="37"/>
        <v>40</v>
      </c>
      <c r="C60" s="4">
        <f t="shared" si="38"/>
        <v>66</v>
      </c>
      <c r="D60" s="4">
        <f t="shared" si="39"/>
        <v>53.2</v>
      </c>
      <c r="E60" s="2">
        <f t="shared" si="40"/>
        <v>1.9035</v>
      </c>
      <c r="F60" s="2">
        <f t="shared" si="41"/>
        <v>1.0307328605200947</v>
      </c>
      <c r="G60" s="2">
        <f t="shared" si="42"/>
        <v>2.7895981087470449</v>
      </c>
      <c r="H60" s="2">
        <f t="shared" si="43"/>
        <v>0.12293144208037828</v>
      </c>
      <c r="I60" s="2">
        <f t="shared" si="44"/>
        <v>10.208037825059103</v>
      </c>
      <c r="J60" s="2">
        <f t="shared" si="45"/>
        <v>1.8699763593380614</v>
      </c>
      <c r="K60" s="2">
        <f t="shared" si="46"/>
        <v>3.6997635933806148</v>
      </c>
      <c r="M60" s="1" t="s">
        <v>46</v>
      </c>
      <c r="N60" s="4">
        <v>40</v>
      </c>
      <c r="O60" s="1">
        <v>66</v>
      </c>
      <c r="P60" s="1">
        <v>53.2</v>
      </c>
      <c r="Q60" s="1">
        <v>1.9035</v>
      </c>
      <c r="R60" s="1">
        <v>1.9620000000000002</v>
      </c>
      <c r="S60" s="1">
        <v>5.31</v>
      </c>
      <c r="T60" s="1">
        <v>0.23400000000000004</v>
      </c>
      <c r="U60" s="1">
        <v>19.431000000000001</v>
      </c>
      <c r="V60" s="1">
        <v>3.5594999999999999</v>
      </c>
      <c r="W60" s="1">
        <v>7.0425000000000004</v>
      </c>
    </row>
    <row r="61" spans="1:23" x14ac:dyDescent="0.25">
      <c r="A61" s="4" t="str">
        <f t="shared" si="36"/>
        <v>Neuro1 AP</v>
      </c>
      <c r="B61" s="4">
        <f t="shared" si="37"/>
        <v>48</v>
      </c>
      <c r="C61" s="4">
        <f t="shared" si="38"/>
        <v>80</v>
      </c>
      <c r="D61" s="4">
        <f t="shared" si="39"/>
        <v>20.9</v>
      </c>
      <c r="E61" s="2">
        <f t="shared" si="40"/>
        <v>4.7332374908092261</v>
      </c>
      <c r="F61" s="2">
        <f t="shared" si="41"/>
        <v>0.53635718174797098</v>
      </c>
      <c r="G61" s="2">
        <f t="shared" si="42"/>
        <v>0.95685495473011495</v>
      </c>
      <c r="H61" s="2">
        <f t="shared" si="43"/>
        <v>0.23897560817984478</v>
      </c>
      <c r="I61" s="2">
        <f t="shared" si="44"/>
        <v>5.45670778087075</v>
      </c>
      <c r="J61" s="2">
        <f t="shared" si="45"/>
        <v>1.5911941396902145</v>
      </c>
      <c r="K61" s="2">
        <f t="shared" si="46"/>
        <v>2.4471899497844336</v>
      </c>
      <c r="M61" s="1" t="s">
        <v>47</v>
      </c>
      <c r="N61" s="1">
        <v>48</v>
      </c>
      <c r="O61" s="1">
        <v>80</v>
      </c>
      <c r="P61" s="1">
        <v>20.9</v>
      </c>
      <c r="Q61" s="1">
        <v>4.7332374908092261</v>
      </c>
      <c r="R61" s="1">
        <v>2.5387059211142744</v>
      </c>
      <c r="S61" s="1">
        <v>4.5290217449951449</v>
      </c>
      <c r="T61" s="1">
        <v>1.1311283080257772</v>
      </c>
      <c r="U61" s="1">
        <v>25.82789384480785</v>
      </c>
      <c r="V61" s="1">
        <v>7.5314997571376558</v>
      </c>
      <c r="W61" s="1">
        <v>11.583131217451228</v>
      </c>
    </row>
    <row r="62" spans="1:23" x14ac:dyDescent="0.25">
      <c r="A62" s="4" t="str">
        <f t="shared" si="36"/>
        <v>Neuro1 Lat</v>
      </c>
      <c r="B62" s="4">
        <f t="shared" si="37"/>
        <v>25</v>
      </c>
      <c r="C62" s="4">
        <f t="shared" si="38"/>
        <v>80</v>
      </c>
      <c r="D62" s="4">
        <f t="shared" si="39"/>
        <v>33.6</v>
      </c>
      <c r="E62" s="2">
        <f t="shared" si="40"/>
        <v>10.31137666598428</v>
      </c>
      <c r="F62" s="2">
        <f t="shared" si="41"/>
        <v>0.5086663190507047</v>
      </c>
      <c r="G62" s="2">
        <f t="shared" si="42"/>
        <v>1.0001478211566499</v>
      </c>
      <c r="H62" s="2">
        <f t="shared" si="43"/>
        <v>0.18131257087315727</v>
      </c>
      <c r="I62" s="2">
        <f t="shared" si="44"/>
        <v>5.2296427992872188</v>
      </c>
      <c r="J62" s="2">
        <f t="shared" si="45"/>
        <v>1.399733415681192</v>
      </c>
      <c r="K62" s="2">
        <f t="shared" si="46"/>
        <v>2.0303531508180788</v>
      </c>
      <c r="M62" s="1" t="s">
        <v>48</v>
      </c>
      <c r="N62" s="1">
        <v>25</v>
      </c>
      <c r="O62" s="1">
        <v>80</v>
      </c>
      <c r="P62" s="1">
        <v>33.6</v>
      </c>
      <c r="Q62" s="1">
        <v>10.31137666598428</v>
      </c>
      <c r="R62" s="1">
        <v>5.2450500130315518</v>
      </c>
      <c r="S62" s="1">
        <v>10.312900905609698</v>
      </c>
      <c r="T62" s="1">
        <v>1.869582212551095</v>
      </c>
      <c r="U62" s="1">
        <v>53.924816732002938</v>
      </c>
      <c r="V62" s="1">
        <v>14.433178481053519</v>
      </c>
      <c r="W62" s="1">
        <v>20.935736103053198</v>
      </c>
    </row>
    <row r="63" spans="1:23" x14ac:dyDescent="0.25">
      <c r="A63" s="4" t="str">
        <f t="shared" si="36"/>
        <v>Neuro2 AP</v>
      </c>
      <c r="B63" s="4">
        <f t="shared" si="37"/>
        <v>48</v>
      </c>
      <c r="C63" s="4">
        <f t="shared" si="38"/>
        <v>68.400000000000006</v>
      </c>
      <c r="D63" s="4">
        <f t="shared" si="39"/>
        <v>39</v>
      </c>
      <c r="E63" s="2">
        <f t="shared" si="40"/>
        <v>12.545999999999999</v>
      </c>
      <c r="F63" s="2">
        <f t="shared" si="41"/>
        <v>0.40100430416068866</v>
      </c>
      <c r="G63" s="2">
        <f t="shared" si="42"/>
        <v>0.79866092778574849</v>
      </c>
      <c r="H63" s="2">
        <f t="shared" si="43"/>
        <v>0.11406025824964133</v>
      </c>
      <c r="I63" s="2">
        <f t="shared" si="44"/>
        <v>5.3558106169296984</v>
      </c>
      <c r="J63" s="2">
        <f t="shared" si="45"/>
        <v>1.4992826398852224</v>
      </c>
      <c r="K63" s="2">
        <f t="shared" si="46"/>
        <v>2.037302725968436</v>
      </c>
      <c r="M63" s="1" t="s">
        <v>49</v>
      </c>
      <c r="N63" s="1">
        <v>48</v>
      </c>
      <c r="O63" s="1">
        <v>68.400000000000006</v>
      </c>
      <c r="P63" s="1">
        <v>39</v>
      </c>
      <c r="Q63" s="1">
        <v>12.545999999999999</v>
      </c>
      <c r="R63" s="1">
        <v>5.0309999999999997</v>
      </c>
      <c r="S63" s="1">
        <v>10.02</v>
      </c>
      <c r="T63" s="1">
        <v>1.431</v>
      </c>
      <c r="U63" s="1">
        <v>67.193999999999988</v>
      </c>
      <c r="V63" s="1">
        <v>18.809999999999999</v>
      </c>
      <c r="W63" s="1">
        <v>25.56</v>
      </c>
    </row>
    <row r="64" spans="1:23" x14ac:dyDescent="0.25">
      <c r="A64" s="4" t="str">
        <f t="shared" si="36"/>
        <v>Neuro2 Lat</v>
      </c>
      <c r="B64" s="4">
        <f t="shared" si="37"/>
        <v>25</v>
      </c>
      <c r="C64" s="4">
        <f t="shared" si="38"/>
        <v>68.400000000000006</v>
      </c>
      <c r="D64" s="4">
        <f t="shared" si="39"/>
        <v>52.7</v>
      </c>
      <c r="E64" s="2">
        <f t="shared" si="40"/>
        <v>14.877000000000002</v>
      </c>
      <c r="F64" s="2">
        <f t="shared" si="41"/>
        <v>0.36842105263157887</v>
      </c>
      <c r="G64" s="2">
        <f t="shared" si="42"/>
        <v>0.8066142367412783</v>
      </c>
      <c r="H64" s="2">
        <f t="shared" si="43"/>
        <v>0.10042347247428915</v>
      </c>
      <c r="I64" s="2">
        <f t="shared" si="44"/>
        <v>7.1022383545069561</v>
      </c>
      <c r="J64" s="2">
        <f t="shared" si="45"/>
        <v>1.2861464004839687</v>
      </c>
      <c r="K64" s="2">
        <f t="shared" si="46"/>
        <v>1.5335753176043556</v>
      </c>
      <c r="M64" s="1" t="s">
        <v>50</v>
      </c>
      <c r="N64" s="1">
        <v>25</v>
      </c>
      <c r="O64" s="1">
        <v>68.400000000000006</v>
      </c>
      <c r="P64" s="1">
        <v>52.7</v>
      </c>
      <c r="Q64" s="1">
        <v>14.877000000000002</v>
      </c>
      <c r="R64" s="1">
        <v>5.4809999999999999</v>
      </c>
      <c r="S64" s="1">
        <v>12</v>
      </c>
      <c r="T64" s="1">
        <v>1.494</v>
      </c>
      <c r="U64" s="1">
        <v>105.66</v>
      </c>
      <c r="V64" s="1">
        <v>19.134000000000004</v>
      </c>
      <c r="W64" s="1">
        <v>22.815000000000001</v>
      </c>
    </row>
    <row r="65" spans="1:23" x14ac:dyDescent="0.25">
      <c r="A65" s="4" t="str">
        <f t="shared" si="36"/>
        <v>ART Angio 2</v>
      </c>
      <c r="B65" s="4">
        <f t="shared" si="37"/>
        <v>48</v>
      </c>
      <c r="C65" s="4">
        <f t="shared" si="38"/>
        <v>65</v>
      </c>
      <c r="D65" s="4">
        <f t="shared" si="39"/>
        <v>125</v>
      </c>
      <c r="E65" s="2">
        <f t="shared" si="40"/>
        <v>7.7850000000000001</v>
      </c>
      <c r="F65" s="2">
        <f t="shared" si="41"/>
        <v>0.38728323699421968</v>
      </c>
      <c r="G65" s="2">
        <f t="shared" si="42"/>
        <v>1.1491329479768786</v>
      </c>
      <c r="H65" s="2">
        <f t="shared" si="43"/>
        <v>0.10520231213872831</v>
      </c>
      <c r="I65" s="2">
        <f t="shared" si="44"/>
        <v>4.2445086705202311</v>
      </c>
      <c r="J65" s="2">
        <f t="shared" si="45"/>
        <v>1.278034682080925</v>
      </c>
      <c r="K65" s="2">
        <f t="shared" si="46"/>
        <v>1.6549132947976879</v>
      </c>
      <c r="M65" s="1" t="s">
        <v>51</v>
      </c>
      <c r="N65" s="1">
        <v>48</v>
      </c>
      <c r="O65" s="1">
        <v>65</v>
      </c>
      <c r="P65" s="1">
        <v>125</v>
      </c>
      <c r="Q65" s="1">
        <v>7.7850000000000001</v>
      </c>
      <c r="R65" s="1">
        <v>3.0150000000000001</v>
      </c>
      <c r="S65" s="1">
        <v>8.9459999999999997</v>
      </c>
      <c r="T65" s="1">
        <v>0.81899999999999995</v>
      </c>
      <c r="U65" s="1">
        <v>33.043500000000002</v>
      </c>
      <c r="V65" s="1">
        <v>9.9495000000000005</v>
      </c>
      <c r="W65" s="1">
        <v>12.8835</v>
      </c>
    </row>
    <row r="66" spans="1:23" x14ac:dyDescent="0.25">
      <c r="A66" s="4" t="str">
        <f t="shared" si="36"/>
        <v>ART Angio 3</v>
      </c>
      <c r="B66" s="4">
        <f t="shared" si="37"/>
        <v>48</v>
      </c>
      <c r="C66" s="4">
        <f t="shared" si="38"/>
        <v>64.8</v>
      </c>
      <c r="D66" s="4">
        <f t="shared" si="39"/>
        <v>121.9</v>
      </c>
      <c r="E66" s="2">
        <f t="shared" si="40"/>
        <v>7.7489999999999979</v>
      </c>
      <c r="F66" s="2">
        <f t="shared" si="41"/>
        <v>0.3925667828106853</v>
      </c>
      <c r="G66" s="2">
        <f t="shared" si="42"/>
        <v>1.2241579558652733</v>
      </c>
      <c r="H66" s="2">
        <f t="shared" si="43"/>
        <v>0.10685249709639956</v>
      </c>
      <c r="I66" s="2">
        <f t="shared" si="44"/>
        <v>4.4192799070847864</v>
      </c>
      <c r="J66" s="2">
        <f t="shared" si="45"/>
        <v>1.3002322880371664</v>
      </c>
      <c r="K66" s="2">
        <f t="shared" si="46"/>
        <v>1.6306620209059237</v>
      </c>
      <c r="M66" s="1" t="s">
        <v>52</v>
      </c>
      <c r="N66" s="1">
        <v>48</v>
      </c>
      <c r="O66" s="1">
        <v>64.8</v>
      </c>
      <c r="P66" s="1">
        <v>121.9</v>
      </c>
      <c r="Q66" s="1">
        <v>7.7489999999999979</v>
      </c>
      <c r="R66" s="1">
        <v>3.0419999999999994</v>
      </c>
      <c r="S66" s="1">
        <v>9.4860000000000007</v>
      </c>
      <c r="T66" s="1">
        <v>0.82799999999999996</v>
      </c>
      <c r="U66" s="1">
        <v>34.244999999999997</v>
      </c>
      <c r="V66" s="1">
        <v>10.0755</v>
      </c>
      <c r="W66" s="1">
        <v>12.635999999999999</v>
      </c>
    </row>
    <row r="67" spans="1:23" x14ac:dyDescent="0.25">
      <c r="A67" s="4" t="str">
        <f t="shared" si="36"/>
        <v>ART OR 10</v>
      </c>
      <c r="B67" s="4">
        <f t="shared" si="37"/>
        <v>48</v>
      </c>
      <c r="C67" s="4">
        <f t="shared" si="38"/>
        <v>65</v>
      </c>
      <c r="D67" s="4">
        <f t="shared" si="39"/>
        <v>107</v>
      </c>
      <c r="E67" s="2">
        <f t="shared" si="40"/>
        <v>5.0245875432100942</v>
      </c>
      <c r="F67" s="2">
        <f t="shared" si="41"/>
        <v>0.25863258674817668</v>
      </c>
      <c r="G67" s="2">
        <f t="shared" si="42"/>
        <v>2.5876420384744971</v>
      </c>
      <c r="H67" s="2">
        <f t="shared" si="43"/>
        <v>0.13170266493199576</v>
      </c>
      <c r="I67" s="2">
        <f t="shared" si="44"/>
        <v>8.8517459965556586</v>
      </c>
      <c r="J67" s="2">
        <f t="shared" si="45"/>
        <v>1.4456874544251508</v>
      </c>
      <c r="K67" s="2">
        <f t="shared" si="46"/>
        <v>2.0234891174610672</v>
      </c>
      <c r="M67" s="1" t="s">
        <v>53</v>
      </c>
      <c r="N67" s="1">
        <v>48</v>
      </c>
      <c r="O67" s="1">
        <v>65</v>
      </c>
      <c r="P67" s="1">
        <v>107</v>
      </c>
      <c r="Q67" s="1">
        <v>5.0245875432100942</v>
      </c>
      <c r="R67" s="1">
        <v>1.2995220736430926</v>
      </c>
      <c r="S67" s="1">
        <v>13.001833952805733</v>
      </c>
      <c r="T67" s="1">
        <v>0.6617515696248788</v>
      </c>
      <c r="U67" s="1">
        <v>44.476372669953385</v>
      </c>
      <c r="V67" s="1">
        <v>7.2639831748797237</v>
      </c>
      <c r="W67" s="1">
        <v>10.167198213416064</v>
      </c>
    </row>
    <row r="68" spans="1:23" x14ac:dyDescent="0.25">
      <c r="A68" s="4" t="s">
        <v>41</v>
      </c>
      <c r="B68" s="2">
        <f>AVERAGE(B57:B67)</f>
        <v>41.636363636363633</v>
      </c>
      <c r="C68" s="2">
        <f t="shared" ref="C68:K68" si="47">AVERAGE(C57:C67)</f>
        <v>68.499999999999986</v>
      </c>
      <c r="D68" s="2">
        <f t="shared" si="47"/>
        <v>69.945454545454538</v>
      </c>
      <c r="E68" s="2">
        <f t="shared" si="47"/>
        <v>6.8759274272730542</v>
      </c>
      <c r="F68" s="2">
        <f t="shared" si="47"/>
        <v>0.59293885481080055</v>
      </c>
      <c r="G68" s="2">
        <f t="shared" si="47"/>
        <v>1.6683498278128068</v>
      </c>
      <c r="H68" s="2">
        <f t="shared" si="47"/>
        <v>0.15209210270631537</v>
      </c>
      <c r="I68" s="2">
        <f t="shared" si="47"/>
        <v>6.855247131231585</v>
      </c>
      <c r="J68" s="2">
        <f t="shared" si="47"/>
        <v>1.5506641510652697</v>
      </c>
      <c r="K68" s="2">
        <f t="shared" si="47"/>
        <v>2.4341722963679153</v>
      </c>
    </row>
    <row r="69" spans="1:23" s="4" customFormat="1" x14ac:dyDescent="0.25">
      <c r="A69" s="4" t="s">
        <v>42</v>
      </c>
      <c r="B69" s="2">
        <f>STDEV(B57:B67)</f>
        <v>8.9696457819997324</v>
      </c>
      <c r="C69" s="2">
        <f t="shared" ref="C69:K69" si="48">STDEV(C57:C67)</f>
        <v>5.8533750947637042</v>
      </c>
      <c r="D69" s="2">
        <f t="shared" si="48"/>
        <v>37.854309229897829</v>
      </c>
      <c r="E69" s="2">
        <f t="shared" si="48"/>
        <v>4.3408585733147858</v>
      </c>
      <c r="F69" s="2">
        <f t="shared" si="48"/>
        <v>0.29016575919495591</v>
      </c>
      <c r="G69" s="2">
        <f t="shared" si="48"/>
        <v>0.87269007757151351</v>
      </c>
      <c r="H69" s="2">
        <f t="shared" si="48"/>
        <v>7.5401626627050605E-2</v>
      </c>
      <c r="I69" s="2">
        <f t="shared" si="48"/>
        <v>2.4060226223376651</v>
      </c>
      <c r="J69" s="2">
        <f t="shared" si="48"/>
        <v>0.30027493199665345</v>
      </c>
      <c r="K69" s="2">
        <f t="shared" si="48"/>
        <v>0.96833146835887318</v>
      </c>
    </row>
    <row r="70" spans="1:23" s="8" customFormat="1" x14ac:dyDescent="0.25">
      <c r="A70" s="8" t="s">
        <v>74</v>
      </c>
      <c r="B70" s="2">
        <f>MIN(B57:B67)</f>
        <v>25</v>
      </c>
      <c r="C70" s="2">
        <f t="shared" ref="C70:K70" si="49">MIN(C57:C67)</f>
        <v>63.9</v>
      </c>
      <c r="D70" s="2">
        <f t="shared" si="49"/>
        <v>20.9</v>
      </c>
      <c r="E70" s="2">
        <f t="shared" si="49"/>
        <v>1.9035</v>
      </c>
      <c r="F70" s="2">
        <f t="shared" si="49"/>
        <v>0.25863258674817668</v>
      </c>
      <c r="G70" s="2">
        <f t="shared" si="49"/>
        <v>0.79866092778574849</v>
      </c>
      <c r="H70" s="2">
        <f t="shared" si="49"/>
        <v>0.10042347247428915</v>
      </c>
      <c r="I70" s="2">
        <f t="shared" si="49"/>
        <v>4.2445086705202311</v>
      </c>
      <c r="J70" s="2">
        <f t="shared" si="49"/>
        <v>1.278034682080925</v>
      </c>
      <c r="K70" s="2">
        <f t="shared" si="49"/>
        <v>1.5335753176043556</v>
      </c>
    </row>
    <row r="71" spans="1:23" s="8" customFormat="1" x14ac:dyDescent="0.25">
      <c r="A71" s="8">
        <v>10</v>
      </c>
      <c r="B71" s="2">
        <f>PERCENTILE(B$57:B$67,$A71/100)</f>
        <v>25</v>
      </c>
      <c r="C71" s="2">
        <f t="shared" ref="C71:K71" si="50">PERCENTILE(C$57:C$67,$A71/100)</f>
        <v>64.8</v>
      </c>
      <c r="D71" s="2">
        <f t="shared" si="50"/>
        <v>33.6</v>
      </c>
      <c r="E71" s="2">
        <f t="shared" si="50"/>
        <v>2.0699999999999998</v>
      </c>
      <c r="F71" s="2">
        <f t="shared" si="50"/>
        <v>0.36842105263157887</v>
      </c>
      <c r="G71" s="2">
        <f t="shared" si="50"/>
        <v>0.8066142367412783</v>
      </c>
      <c r="H71" s="2">
        <f t="shared" si="50"/>
        <v>0.10309278350515465</v>
      </c>
      <c r="I71" s="2">
        <f t="shared" si="50"/>
        <v>4.4192799070847864</v>
      </c>
      <c r="J71" s="2">
        <f t="shared" si="50"/>
        <v>1.2861464004839687</v>
      </c>
      <c r="K71" s="2">
        <f t="shared" si="50"/>
        <v>1.6306620209059237</v>
      </c>
    </row>
    <row r="72" spans="1:23" s="8" customFormat="1" x14ac:dyDescent="0.25">
      <c r="A72" s="8">
        <v>25</v>
      </c>
      <c r="B72" s="2">
        <f t="shared" ref="B72:K75" si="51">PERCENTILE(B$57:B$67,$A72/100)</f>
        <v>40</v>
      </c>
      <c r="C72" s="2">
        <f t="shared" si="51"/>
        <v>65</v>
      </c>
      <c r="D72" s="2">
        <f t="shared" si="51"/>
        <v>45.85</v>
      </c>
      <c r="E72" s="2">
        <f t="shared" si="51"/>
        <v>3.4106187454046131</v>
      </c>
      <c r="F72" s="2">
        <f t="shared" si="51"/>
        <v>0.38992500990245249</v>
      </c>
      <c r="G72" s="2">
        <f t="shared" si="51"/>
        <v>0.97850138794338237</v>
      </c>
      <c r="H72" s="2">
        <f t="shared" si="51"/>
        <v>0.10602740461756394</v>
      </c>
      <c r="I72" s="2">
        <f t="shared" si="51"/>
        <v>4.9917973446607915</v>
      </c>
      <c r="J72" s="2">
        <f t="shared" si="51"/>
        <v>1.2982261096543222</v>
      </c>
      <c r="K72" s="2">
        <f t="shared" si="51"/>
        <v>1.7085563037562324</v>
      </c>
    </row>
    <row r="73" spans="1:23" s="8" customFormat="1" x14ac:dyDescent="0.25">
      <c r="A73" s="8">
        <v>50</v>
      </c>
      <c r="B73" s="2">
        <f t="shared" si="51"/>
        <v>48</v>
      </c>
      <c r="C73" s="2">
        <f t="shared" si="51"/>
        <v>66</v>
      </c>
      <c r="D73" s="2">
        <f t="shared" si="51"/>
        <v>54</v>
      </c>
      <c r="E73" s="2">
        <f t="shared" si="51"/>
        <v>6.5475000000000003</v>
      </c>
      <c r="F73" s="2">
        <f t="shared" si="51"/>
        <v>0.5086663190507047</v>
      </c>
      <c r="G73" s="2">
        <f t="shared" si="51"/>
        <v>1.2241579558652733</v>
      </c>
      <c r="H73" s="2">
        <f t="shared" si="51"/>
        <v>0.12293144208037828</v>
      </c>
      <c r="I73" s="2">
        <f t="shared" si="51"/>
        <v>5.45670778087075</v>
      </c>
      <c r="J73" s="2">
        <f t="shared" si="51"/>
        <v>1.4456874544251508</v>
      </c>
      <c r="K73" s="2">
        <f t="shared" si="51"/>
        <v>2.0303531508180788</v>
      </c>
    </row>
    <row r="74" spans="1:23" s="8" customFormat="1" x14ac:dyDescent="0.25">
      <c r="A74" s="8">
        <v>75</v>
      </c>
      <c r="B74" s="2">
        <f t="shared" si="51"/>
        <v>48</v>
      </c>
      <c r="C74" s="2">
        <f t="shared" si="51"/>
        <v>68.400000000000006</v>
      </c>
      <c r="D74" s="2">
        <f t="shared" si="51"/>
        <v>107.55</v>
      </c>
      <c r="E74" s="2">
        <f t="shared" si="51"/>
        <v>9.0481883329921402</v>
      </c>
      <c r="F74" s="2">
        <f t="shared" si="51"/>
        <v>0.81063588695343047</v>
      </c>
      <c r="G74" s="2">
        <f t="shared" si="51"/>
        <v>2.6872992801068136</v>
      </c>
      <c r="H74" s="2">
        <f t="shared" si="51"/>
        <v>0.1565076179025765</v>
      </c>
      <c r="I74" s="2">
        <f t="shared" si="51"/>
        <v>9.2426833431054156</v>
      </c>
      <c r="J74" s="2">
        <f t="shared" si="51"/>
        <v>1.7305852495141378</v>
      </c>
      <c r="K74" s="2">
        <f t="shared" si="51"/>
        <v>3.0734767715825244</v>
      </c>
    </row>
    <row r="75" spans="1:23" s="8" customFormat="1" x14ac:dyDescent="0.25">
      <c r="A75" s="8">
        <v>90</v>
      </c>
      <c r="B75" s="2">
        <f t="shared" si="51"/>
        <v>48</v>
      </c>
      <c r="C75" s="2">
        <f t="shared" si="51"/>
        <v>80</v>
      </c>
      <c r="D75" s="2">
        <f t="shared" si="51"/>
        <v>121.9</v>
      </c>
      <c r="E75" s="2">
        <f t="shared" si="51"/>
        <v>12.545999999999999</v>
      </c>
      <c r="F75" s="2">
        <f t="shared" si="51"/>
        <v>1.017391304347826</v>
      </c>
      <c r="G75" s="2">
        <f t="shared" si="51"/>
        <v>2.7895981087470449</v>
      </c>
      <c r="H75" s="2">
        <f t="shared" si="51"/>
        <v>0.23897560817984478</v>
      </c>
      <c r="I75" s="2">
        <f t="shared" si="51"/>
        <v>10.152173913043478</v>
      </c>
      <c r="J75" s="2">
        <f t="shared" si="51"/>
        <v>2.0326086956521738</v>
      </c>
      <c r="K75" s="2">
        <f t="shared" si="51"/>
        <v>3.9478260869565216</v>
      </c>
    </row>
    <row r="76" spans="1:23" s="8" customFormat="1" x14ac:dyDescent="0.25">
      <c r="A76" s="8" t="s">
        <v>75</v>
      </c>
      <c r="B76" s="2">
        <f>MAX(B57:B67)</f>
        <v>48</v>
      </c>
      <c r="C76" s="2">
        <f t="shared" ref="C76:K76" si="52">MAX(C57:C67)</f>
        <v>80</v>
      </c>
      <c r="D76" s="2">
        <f t="shared" si="52"/>
        <v>125</v>
      </c>
      <c r="E76" s="2">
        <f t="shared" si="52"/>
        <v>14.877000000000002</v>
      </c>
      <c r="F76" s="2">
        <f t="shared" si="52"/>
        <v>1.0307328605200947</v>
      </c>
      <c r="G76" s="2">
        <f t="shared" si="52"/>
        <v>2.8060344827586201</v>
      </c>
      <c r="H76" s="2">
        <f t="shared" si="52"/>
        <v>0.34130434782608698</v>
      </c>
      <c r="I76" s="2">
        <f t="shared" si="52"/>
        <v>10.208037825059103</v>
      </c>
      <c r="J76" s="2">
        <f t="shared" si="52"/>
        <v>2.0581896551724137</v>
      </c>
      <c r="K76" s="2">
        <f t="shared" si="52"/>
        <v>4.0086206896551717</v>
      </c>
    </row>
    <row r="77" spans="1:23" s="4" customFormat="1" x14ac:dyDescent="0.25"/>
    <row r="78" spans="1:23" s="4" customFormat="1" x14ac:dyDescent="0.25">
      <c r="A78" s="6" t="s">
        <v>72</v>
      </c>
      <c r="B78" s="4" t="s">
        <v>77</v>
      </c>
      <c r="C78" s="4">
        <f>COUNTA(A80:A94)</f>
        <v>15</v>
      </c>
    </row>
    <row r="79" spans="1:23" s="7" customFormat="1" x14ac:dyDescent="0.25">
      <c r="A79" s="7" t="s">
        <v>2</v>
      </c>
      <c r="B79" s="7" t="s">
        <v>9</v>
      </c>
      <c r="C79" s="7" t="s">
        <v>0</v>
      </c>
      <c r="D79" s="7" t="s">
        <v>1</v>
      </c>
      <c r="E79" s="7" t="s">
        <v>3</v>
      </c>
      <c r="F79" s="7" t="s">
        <v>10</v>
      </c>
      <c r="G79" s="7" t="s">
        <v>11</v>
      </c>
      <c r="H79" s="7" t="s">
        <v>12</v>
      </c>
      <c r="I79" s="7" t="s">
        <v>13</v>
      </c>
      <c r="J79" s="7" t="s">
        <v>14</v>
      </c>
      <c r="K79" s="7" t="s">
        <v>15</v>
      </c>
    </row>
    <row r="80" spans="1:23" x14ac:dyDescent="0.25">
      <c r="A80" s="4" t="str">
        <f t="shared" ref="A80:A94" si="53">M80</f>
        <v>ART EP 6</v>
      </c>
      <c r="B80" s="4">
        <f t="shared" ref="B80:B94" si="54">N80</f>
        <v>25</v>
      </c>
      <c r="C80" s="4">
        <f t="shared" ref="C80:C94" si="55">O80</f>
        <v>70</v>
      </c>
      <c r="D80" s="4">
        <f t="shared" ref="D80:D94" si="56">P80</f>
        <v>166</v>
      </c>
      <c r="E80" s="2">
        <f>Q80</f>
        <v>18.888308534207514</v>
      </c>
      <c r="F80" s="2">
        <f>IF(R80="","",R80/$Q80)</f>
        <v>0.22568330900063638</v>
      </c>
      <c r="G80" s="2">
        <f t="shared" ref="G80:G94" si="57">IF(S80="","",S80/$Q80)</f>
        <v>1.1983361498241178</v>
      </c>
      <c r="H80" s="2">
        <f>IF(T80="","",T80/$Q80)</f>
        <v>0.10240378976549853</v>
      </c>
      <c r="I80" s="2">
        <f>IF(U80="","",U80/$Q80)</f>
        <v>2.5683068566249396</v>
      </c>
      <c r="J80" s="2">
        <f>IF(V80="","",V80/$Q80)</f>
        <v>1.2049795453899772</v>
      </c>
      <c r="K80" s="2">
        <f>IF(W80="","",W80/$Q80)</f>
        <v>1.4980971414617548</v>
      </c>
      <c r="M80" s="1" t="s">
        <v>54</v>
      </c>
      <c r="N80" s="1">
        <v>25</v>
      </c>
      <c r="O80" s="1">
        <v>70</v>
      </c>
      <c r="P80" s="1">
        <v>166</v>
      </c>
      <c r="Q80" s="1">
        <v>18.888308534207514</v>
      </c>
      <c r="R80" s="1">
        <v>4.2627759714249116</v>
      </c>
      <c r="S80" s="1">
        <v>22.634542925572259</v>
      </c>
      <c r="T80" s="1">
        <v>1.934234376162858</v>
      </c>
      <c r="U80" s="1">
        <v>48.510972318452524</v>
      </c>
      <c r="V80" s="1">
        <v>22.760025430734999</v>
      </c>
      <c r="W80" s="1">
        <v>28.296521022143942</v>
      </c>
    </row>
    <row r="81" spans="1:23" x14ac:dyDescent="0.25">
      <c r="A81" s="4" t="str">
        <f t="shared" si="53"/>
        <v>ART EP 7 AP</v>
      </c>
      <c r="B81" s="4">
        <f t="shared" si="54"/>
        <v>48</v>
      </c>
      <c r="C81" s="4">
        <f t="shared" si="55"/>
        <v>66.400000000000006</v>
      </c>
      <c r="D81" s="4">
        <f t="shared" si="56"/>
        <v>98</v>
      </c>
      <c r="E81" s="2">
        <f t="shared" ref="E81:E94" si="58">Q81</f>
        <v>5.9492095699846876</v>
      </c>
      <c r="F81" s="2">
        <f t="shared" ref="F81:F94" si="59">IF(R81="","",R81/$Q81)</f>
        <v>0.4040750881200208</v>
      </c>
      <c r="G81" s="2">
        <f t="shared" si="57"/>
        <v>1.4295959377223184</v>
      </c>
      <c r="H81" s="2">
        <f t="shared" ref="H81:H94" si="60">IF(T81="","",T81/$Q81)</f>
        <v>0.15621473839154948</v>
      </c>
      <c r="I81" s="2">
        <f t="shared" ref="I81:I94" si="61">IF(U81="","",U81/$Q81)</f>
        <v>6.455742743939699</v>
      </c>
      <c r="J81" s="2">
        <f t="shared" ref="J81:J94" si="62">IF(V81="","",V81/$Q81)</f>
        <v>1.3282570363525139</v>
      </c>
      <c r="K81" s="2">
        <f t="shared" ref="K81:K94" si="63">IF(W81="","",W81/$Q81)</f>
        <v>2.1235136820744072</v>
      </c>
      <c r="M81" s="1" t="s">
        <v>60</v>
      </c>
      <c r="N81" s="1">
        <v>48</v>
      </c>
      <c r="O81" s="1">
        <v>66.400000000000006</v>
      </c>
      <c r="P81" s="1">
        <v>98</v>
      </c>
      <c r="Q81" s="1">
        <v>5.9492095699846876</v>
      </c>
      <c r="R81" s="1">
        <v>2.4039273812360338</v>
      </c>
      <c r="S81" s="1">
        <v>8.5049658339088499</v>
      </c>
      <c r="T81" s="1">
        <v>0.92935421661166051</v>
      </c>
      <c r="U81" s="1">
        <v>38.406566513605263</v>
      </c>
      <c r="V81" s="1">
        <v>7.9020794720678751</v>
      </c>
      <c r="W81" s="1">
        <v>12.633227919390484</v>
      </c>
    </row>
    <row r="82" spans="1:23" x14ac:dyDescent="0.25">
      <c r="A82" s="4" t="str">
        <f t="shared" si="53"/>
        <v>ART EP 7 Lat</v>
      </c>
      <c r="B82" s="4">
        <f t="shared" si="54"/>
        <v>25</v>
      </c>
      <c r="C82" s="4">
        <f t="shared" si="55"/>
        <v>66.400000000000006</v>
      </c>
      <c r="D82" s="4">
        <f t="shared" si="56"/>
        <v>130.4</v>
      </c>
      <c r="E82" s="2">
        <f t="shared" si="58"/>
        <v>7.527273646176222</v>
      </c>
      <c r="F82" s="2">
        <f t="shared" si="59"/>
        <v>0.54448585124563909</v>
      </c>
      <c r="G82" s="2">
        <f t="shared" si="57"/>
        <v>1.578511002860735</v>
      </c>
      <c r="H82" s="2">
        <f t="shared" si="60"/>
        <v>0.12698339910741058</v>
      </c>
      <c r="I82" s="2">
        <f t="shared" si="61"/>
        <v>6.5551158288573941</v>
      </c>
      <c r="J82" s="2">
        <f t="shared" si="62"/>
        <v>1.281665107265791</v>
      </c>
      <c r="K82" s="2">
        <f t="shared" si="63"/>
        <v>4.775187467909304</v>
      </c>
      <c r="M82" s="1" t="s">
        <v>59</v>
      </c>
      <c r="N82" s="1">
        <v>25</v>
      </c>
      <c r="O82" s="1">
        <v>66.400000000000006</v>
      </c>
      <c r="P82" s="1">
        <v>130.4</v>
      </c>
      <c r="Q82" s="1">
        <v>7.527273646176222</v>
      </c>
      <c r="R82" s="1">
        <v>4.0984939987971254</v>
      </c>
      <c r="S82" s="1">
        <v>11.88188427203281</v>
      </c>
      <c r="T82" s="1">
        <v>0.95583879360308877</v>
      </c>
      <c r="U82" s="1">
        <v>49.342150626190865</v>
      </c>
      <c r="V82" s="1">
        <v>9.6474439851454097</v>
      </c>
      <c r="W82" s="1">
        <v>35.94414278274467</v>
      </c>
    </row>
    <row r="83" spans="1:23" x14ac:dyDescent="0.25">
      <c r="A83" s="4" t="str">
        <f t="shared" si="53"/>
        <v>ART EP 8</v>
      </c>
      <c r="B83" s="4">
        <f t="shared" si="54"/>
        <v>25</v>
      </c>
      <c r="C83" s="4">
        <f t="shared" si="55"/>
        <v>66</v>
      </c>
      <c r="D83" s="4">
        <f t="shared" si="56"/>
        <v>151.4</v>
      </c>
      <c r="E83" s="2">
        <f t="shared" si="58"/>
        <v>9.4063197164015797</v>
      </c>
      <c r="F83" s="2">
        <f t="shared" si="59"/>
        <v>0.40105705543254866</v>
      </c>
      <c r="G83" s="2">
        <f t="shared" si="57"/>
        <v>1.600635723844261</v>
      </c>
      <c r="H83" s="2">
        <f t="shared" si="60"/>
        <v>0.12747852720017461</v>
      </c>
      <c r="I83" s="2">
        <f t="shared" si="61"/>
        <v>6.0095594983599669</v>
      </c>
      <c r="J83" s="2">
        <f t="shared" si="62"/>
        <v>1.8692023551460744</v>
      </c>
      <c r="K83" s="2">
        <f t="shared" si="63"/>
        <v>2.3980924511039925</v>
      </c>
      <c r="M83" s="1" t="s">
        <v>55</v>
      </c>
      <c r="N83" s="1">
        <v>25</v>
      </c>
      <c r="O83" s="1">
        <v>66</v>
      </c>
      <c r="P83" s="1">
        <v>151.4</v>
      </c>
      <c r="Q83" s="1">
        <v>9.4063197164015797</v>
      </c>
      <c r="R83" s="1">
        <v>3.7724708879171436</v>
      </c>
      <c r="S83" s="1">
        <v>15.056091367972986</v>
      </c>
      <c r="T83" s="1">
        <v>1.1991037838208376</v>
      </c>
      <c r="U83" s="1">
        <v>56.527837996311746</v>
      </c>
      <c r="V83" s="1">
        <v>17.582314967154787</v>
      </c>
      <c r="W83" s="1">
        <v>22.557224304573275</v>
      </c>
    </row>
    <row r="84" spans="1:23" x14ac:dyDescent="0.25">
      <c r="A84" s="4" t="str">
        <f t="shared" si="53"/>
        <v>ART Cath 10</v>
      </c>
      <c r="B84" s="4">
        <f t="shared" si="54"/>
        <v>25</v>
      </c>
      <c r="C84" s="4">
        <f t="shared" si="55"/>
        <v>70</v>
      </c>
      <c r="D84" s="4">
        <f t="shared" si="56"/>
        <v>116.7</v>
      </c>
      <c r="E84" s="2">
        <f t="shared" si="58"/>
        <v>13.5585</v>
      </c>
      <c r="F84" s="2">
        <f t="shared" si="59"/>
        <v>0.60404912047792891</v>
      </c>
      <c r="G84" s="2">
        <f t="shared" si="57"/>
        <v>2.3378692333222699</v>
      </c>
      <c r="H84" s="2">
        <f t="shared" si="60"/>
        <v>8.7288416860272139E-2</v>
      </c>
      <c r="I84" s="2">
        <f t="shared" si="61"/>
        <v>3.1463657484234977</v>
      </c>
      <c r="J84" s="2">
        <f t="shared" si="62"/>
        <v>1.2827746432127447</v>
      </c>
      <c r="K84" s="2">
        <f t="shared" si="63"/>
        <v>1.5433123133089943</v>
      </c>
      <c r="M84" s="1" t="s">
        <v>56</v>
      </c>
      <c r="N84" s="1">
        <v>25</v>
      </c>
      <c r="O84" s="1">
        <v>70</v>
      </c>
      <c r="P84" s="1">
        <v>116.7</v>
      </c>
      <c r="Q84" s="1">
        <v>13.5585</v>
      </c>
      <c r="R84" s="1">
        <v>8.19</v>
      </c>
      <c r="S84" s="1">
        <v>31.697999999999997</v>
      </c>
      <c r="T84" s="1">
        <v>1.1834999999999998</v>
      </c>
      <c r="U84" s="1">
        <v>42.66</v>
      </c>
      <c r="V84" s="1">
        <v>17.392499999999998</v>
      </c>
      <c r="W84" s="1">
        <v>20.925000000000001</v>
      </c>
    </row>
    <row r="85" spans="1:23" x14ac:dyDescent="0.25">
      <c r="A85" s="4" t="str">
        <f t="shared" si="53"/>
        <v>ART Cath 11 AP</v>
      </c>
      <c r="B85" s="4">
        <f t="shared" si="54"/>
        <v>48</v>
      </c>
      <c r="C85" s="4">
        <f t="shared" si="55"/>
        <v>66.400000000000006</v>
      </c>
      <c r="D85" s="4">
        <f t="shared" si="56"/>
        <v>95.7</v>
      </c>
      <c r="E85" s="2">
        <f t="shared" si="58"/>
        <v>5.0694038421965111</v>
      </c>
      <c r="F85" s="2">
        <f t="shared" si="59"/>
        <v>0.41209281281251592</v>
      </c>
      <c r="G85" s="2">
        <f t="shared" si="57"/>
        <v>1.4024521845431974</v>
      </c>
      <c r="H85" s="2">
        <f t="shared" si="60"/>
        <v>0.1473993296276338</v>
      </c>
      <c r="I85" s="2">
        <f t="shared" si="61"/>
        <v>7.2261227509147918</v>
      </c>
      <c r="J85" s="2">
        <f t="shared" si="62"/>
        <v>1.4415989531590576</v>
      </c>
      <c r="K85" s="2">
        <f t="shared" si="63"/>
        <v>2.2187346058859676</v>
      </c>
      <c r="M85" s="1" t="s">
        <v>61</v>
      </c>
      <c r="N85" s="1">
        <v>48</v>
      </c>
      <c r="O85" s="1">
        <v>66.400000000000006</v>
      </c>
      <c r="P85" s="1">
        <v>95.7</v>
      </c>
      <c r="Q85" s="1">
        <v>5.0694038421965111</v>
      </c>
      <c r="R85" s="1">
        <v>2.0890648886133358</v>
      </c>
      <c r="S85" s="1">
        <v>7.1095964928201756</v>
      </c>
      <c r="T85" s="1">
        <v>0.74722672795151679</v>
      </c>
      <c r="U85" s="1">
        <v>36.63213443767107</v>
      </c>
      <c r="V85" s="1">
        <v>7.3080472720509944</v>
      </c>
      <c r="W85" s="1">
        <v>11.247661735892686</v>
      </c>
    </row>
    <row r="86" spans="1:23" x14ac:dyDescent="0.25">
      <c r="A86" s="4" t="str">
        <f t="shared" si="53"/>
        <v>ART Cath 11 Lat</v>
      </c>
      <c r="B86" s="4">
        <f t="shared" si="54"/>
        <v>25</v>
      </c>
      <c r="C86" s="4">
        <f t="shared" si="55"/>
        <v>66.400000000000006</v>
      </c>
      <c r="D86" s="4">
        <f t="shared" si="56"/>
        <v>139.1</v>
      </c>
      <c r="E86" s="2">
        <f t="shared" si="58"/>
        <v>7.9647074506770803</v>
      </c>
      <c r="F86" s="2">
        <f t="shared" si="59"/>
        <v>0.3781487612058777</v>
      </c>
      <c r="G86" s="2">
        <f t="shared" si="57"/>
        <v>1.6464162163692588</v>
      </c>
      <c r="H86" s="2">
        <f t="shared" si="60"/>
        <v>0.11448084108180434</v>
      </c>
      <c r="I86" s="2">
        <f t="shared" si="61"/>
        <v>6.007581564738488</v>
      </c>
      <c r="J86" s="2">
        <f t="shared" si="62"/>
        <v>1.5726122265577076</v>
      </c>
      <c r="K86" s="2">
        <f t="shared" si="63"/>
        <v>2.5287462419871876</v>
      </c>
      <c r="M86" s="1" t="s">
        <v>62</v>
      </c>
      <c r="N86" s="1">
        <v>25</v>
      </c>
      <c r="O86" s="1">
        <v>66.400000000000006</v>
      </c>
      <c r="P86" s="1">
        <v>139.1</v>
      </c>
      <c r="Q86" s="1">
        <v>7.9647074506770803</v>
      </c>
      <c r="R86" s="1">
        <v>3.0118442558407623</v>
      </c>
      <c r="S86" s="1">
        <v>13.113223505431804</v>
      </c>
      <c r="T86" s="1">
        <v>0.91180640792402579</v>
      </c>
      <c r="U86" s="1">
        <v>47.848629649222907</v>
      </c>
      <c r="V86" s="1">
        <v>12.525396317890046</v>
      </c>
      <c r="W86" s="1">
        <v>20.14072403442702</v>
      </c>
    </row>
    <row r="87" spans="1:23" x14ac:dyDescent="0.25">
      <c r="A87" s="4" t="str">
        <f t="shared" si="53"/>
        <v>ART Cath 12</v>
      </c>
      <c r="B87" s="4">
        <f t="shared" si="54"/>
        <v>25</v>
      </c>
      <c r="C87" s="4">
        <f t="shared" si="55"/>
        <v>70</v>
      </c>
      <c r="D87" s="4">
        <f t="shared" si="56"/>
        <v>107.4</v>
      </c>
      <c r="E87" s="2">
        <f t="shared" si="58"/>
        <v>12.545999999999999</v>
      </c>
      <c r="F87" s="2">
        <f t="shared" si="59"/>
        <v>0.69583931133428989</v>
      </c>
      <c r="G87" s="2">
        <f t="shared" si="57"/>
        <v>2.8981348637015785</v>
      </c>
      <c r="H87" s="2">
        <f t="shared" si="60"/>
        <v>9.1822094691535142E-2</v>
      </c>
      <c r="I87" s="2">
        <f t="shared" si="61"/>
        <v>3.4325681492109039</v>
      </c>
      <c r="J87" s="2">
        <f t="shared" si="62"/>
        <v>1.2944763271162125</v>
      </c>
      <c r="K87" s="2">
        <f t="shared" si="63"/>
        <v>1.6434720229555237</v>
      </c>
      <c r="M87" s="1" t="s">
        <v>57</v>
      </c>
      <c r="N87" s="1">
        <v>25</v>
      </c>
      <c r="O87" s="1">
        <v>70</v>
      </c>
      <c r="P87" s="1">
        <v>107.4</v>
      </c>
      <c r="Q87" s="1">
        <v>12.545999999999999</v>
      </c>
      <c r="R87" s="1">
        <v>8.73</v>
      </c>
      <c r="S87" s="1">
        <v>36.36</v>
      </c>
      <c r="T87" s="1">
        <v>1.1519999999999999</v>
      </c>
      <c r="U87" s="1">
        <v>43.064999999999998</v>
      </c>
      <c r="V87" s="1">
        <v>16.240500000000001</v>
      </c>
      <c r="W87" s="1">
        <v>20.619</v>
      </c>
    </row>
    <row r="88" spans="1:23" x14ac:dyDescent="0.25">
      <c r="A88" s="4" t="str">
        <f t="shared" si="53"/>
        <v>ART Cath 13</v>
      </c>
      <c r="B88" s="4">
        <f t="shared" si="54"/>
        <v>25</v>
      </c>
      <c r="C88" s="4">
        <f t="shared" si="55"/>
        <v>70</v>
      </c>
      <c r="D88" s="4">
        <f t="shared" si="56"/>
        <v>110.2</v>
      </c>
      <c r="E88" s="2">
        <f t="shared" si="58"/>
        <v>12.555</v>
      </c>
      <c r="F88" s="2">
        <f t="shared" si="59"/>
        <v>0.699641577060932</v>
      </c>
      <c r="G88" s="2">
        <f t="shared" si="57"/>
        <v>2.8745519713261651</v>
      </c>
      <c r="H88" s="2">
        <f t="shared" si="60"/>
        <v>9.2473118279569902E-2</v>
      </c>
      <c r="I88" s="2">
        <f t="shared" si="61"/>
        <v>3.1684587813620073</v>
      </c>
      <c r="J88" s="2">
        <f t="shared" si="62"/>
        <v>1.3032258064516129</v>
      </c>
      <c r="K88" s="2">
        <f t="shared" si="63"/>
        <v>1.6129032258064517</v>
      </c>
      <c r="M88" s="1" t="s">
        <v>58</v>
      </c>
      <c r="N88" s="1">
        <v>25</v>
      </c>
      <c r="O88" s="1">
        <v>70</v>
      </c>
      <c r="P88" s="1">
        <v>110.2</v>
      </c>
      <c r="Q88" s="1">
        <v>12.555</v>
      </c>
      <c r="R88" s="1">
        <v>8.7840000000000007</v>
      </c>
      <c r="S88" s="1">
        <v>36.090000000000003</v>
      </c>
      <c r="T88" s="1">
        <v>1.161</v>
      </c>
      <c r="U88" s="1">
        <v>39.78</v>
      </c>
      <c r="V88" s="1">
        <v>16.361999999999998</v>
      </c>
      <c r="W88" s="1">
        <v>20.25</v>
      </c>
    </row>
    <row r="89" spans="1:23" x14ac:dyDescent="0.25">
      <c r="A89" s="4" t="str">
        <f t="shared" si="53"/>
        <v>Ped Cath 1 AP</v>
      </c>
      <c r="B89" s="4">
        <f t="shared" si="54"/>
        <v>20</v>
      </c>
      <c r="C89" s="4">
        <f t="shared" si="55"/>
        <v>73</v>
      </c>
      <c r="D89" s="4">
        <f t="shared" si="56"/>
        <v>200</v>
      </c>
      <c r="E89" s="2">
        <f t="shared" si="58"/>
        <v>17.135999999999996</v>
      </c>
      <c r="F89" s="2">
        <f t="shared" si="59"/>
        <v>0.81932773109243717</v>
      </c>
      <c r="G89" s="2">
        <f t="shared" si="57"/>
        <v>2.8834033613445382</v>
      </c>
      <c r="H89" s="2">
        <f t="shared" si="60"/>
        <v>0.13750000000000004</v>
      </c>
      <c r="I89" s="2">
        <f t="shared" si="61"/>
        <v>5.0735294117647074</v>
      </c>
      <c r="J89" s="2">
        <f t="shared" si="62"/>
        <v>1.2710084033613449</v>
      </c>
      <c r="K89" s="2">
        <f t="shared" si="63"/>
        <v>1.4569327731092439</v>
      </c>
      <c r="M89" s="1" t="s">
        <v>66</v>
      </c>
      <c r="N89" s="1">
        <v>20</v>
      </c>
      <c r="O89" s="1">
        <v>73</v>
      </c>
      <c r="P89" s="1">
        <v>200</v>
      </c>
      <c r="Q89" s="1">
        <v>17.135999999999996</v>
      </c>
      <c r="R89" s="1">
        <v>14.04</v>
      </c>
      <c r="S89" s="1">
        <v>49.41</v>
      </c>
      <c r="T89" s="1">
        <v>2.3561999999999999</v>
      </c>
      <c r="U89" s="1">
        <v>86.94</v>
      </c>
      <c r="V89" s="1">
        <v>21.78</v>
      </c>
      <c r="W89" s="1">
        <v>24.965999999999998</v>
      </c>
    </row>
    <row r="90" spans="1:23" x14ac:dyDescent="0.25">
      <c r="A90" s="4" t="str">
        <f t="shared" si="53"/>
        <v>Ped Cath 1 Lat</v>
      </c>
      <c r="B90" s="4">
        <f t="shared" si="54"/>
        <v>20</v>
      </c>
      <c r="C90" s="4">
        <f t="shared" si="55"/>
        <v>70</v>
      </c>
      <c r="D90" s="4">
        <f t="shared" si="56"/>
        <v>172</v>
      </c>
      <c r="E90" s="2">
        <f t="shared" si="58"/>
        <v>10.1214</v>
      </c>
      <c r="F90" s="2">
        <f t="shared" si="59"/>
        <v>0.79317090521074163</v>
      </c>
      <c r="G90" s="2">
        <f t="shared" si="57"/>
        <v>2.9165925662457761</v>
      </c>
      <c r="H90" s="2">
        <f t="shared" si="60"/>
        <v>0.1211097279032545</v>
      </c>
      <c r="I90" s="2">
        <f t="shared" si="61"/>
        <v>7.6293793348746224</v>
      </c>
      <c r="J90" s="2">
        <f t="shared" si="62"/>
        <v>1.3515916770407257</v>
      </c>
      <c r="K90" s="2">
        <f t="shared" si="63"/>
        <v>1.6112395518406546</v>
      </c>
      <c r="M90" s="1" t="s">
        <v>67</v>
      </c>
      <c r="N90" s="1">
        <v>20</v>
      </c>
      <c r="O90" s="1">
        <v>70</v>
      </c>
      <c r="P90" s="1">
        <v>172</v>
      </c>
      <c r="Q90" s="1">
        <v>10.1214</v>
      </c>
      <c r="R90" s="1">
        <v>8.0280000000000005</v>
      </c>
      <c r="S90" s="1">
        <v>29.519999999999996</v>
      </c>
      <c r="T90" s="1">
        <v>1.2258</v>
      </c>
      <c r="U90" s="1">
        <v>77.22</v>
      </c>
      <c r="V90" s="1">
        <v>13.68</v>
      </c>
      <c r="W90" s="1">
        <v>16.308</v>
      </c>
    </row>
    <row r="91" spans="1:23" x14ac:dyDescent="0.25">
      <c r="A91" s="4" t="str">
        <f t="shared" si="53"/>
        <v>Ped Cath 2 AP</v>
      </c>
      <c r="B91" s="4">
        <f t="shared" si="54"/>
        <v>30.5</v>
      </c>
      <c r="C91" s="4">
        <f t="shared" si="55"/>
        <v>64</v>
      </c>
      <c r="D91" s="4">
        <f t="shared" si="56"/>
        <v>200</v>
      </c>
      <c r="E91" s="2">
        <f t="shared" si="58"/>
        <v>23.13</v>
      </c>
      <c r="F91" s="2">
        <f t="shared" si="59"/>
        <v>0.41575875486381325</v>
      </c>
      <c r="G91" s="2">
        <f t="shared" si="57"/>
        <v>2.463035019455253</v>
      </c>
      <c r="H91" s="2">
        <f t="shared" si="60"/>
        <v>0.14007782101167315</v>
      </c>
      <c r="I91" s="2">
        <f t="shared" si="61"/>
        <v>4.4941634241245136</v>
      </c>
      <c r="J91" s="2">
        <f t="shared" si="62"/>
        <v>0.97665369649805456</v>
      </c>
      <c r="K91" s="2">
        <f t="shared" si="63"/>
        <v>1.2801556420233464</v>
      </c>
      <c r="M91" s="1" t="s">
        <v>68</v>
      </c>
      <c r="N91" s="1">
        <v>30.5</v>
      </c>
      <c r="O91" s="1">
        <v>64</v>
      </c>
      <c r="P91" s="1">
        <v>200</v>
      </c>
      <c r="Q91" s="1">
        <v>23.13</v>
      </c>
      <c r="R91" s="1">
        <v>9.6165000000000003</v>
      </c>
      <c r="S91" s="1">
        <v>56.97</v>
      </c>
      <c r="T91" s="1">
        <v>3.24</v>
      </c>
      <c r="U91" s="1">
        <v>103.95</v>
      </c>
      <c r="V91" s="1">
        <v>22.59</v>
      </c>
      <c r="W91" s="1">
        <v>29.61</v>
      </c>
    </row>
    <row r="92" spans="1:23" x14ac:dyDescent="0.25">
      <c r="A92" s="4" t="str">
        <f t="shared" si="53"/>
        <v>Ped Cath 2 Lat</v>
      </c>
      <c r="B92" s="4">
        <f t="shared" si="54"/>
        <v>30.5</v>
      </c>
      <c r="C92" s="4">
        <f t="shared" si="55"/>
        <v>60</v>
      </c>
      <c r="D92" s="4">
        <f t="shared" si="56"/>
        <v>194</v>
      </c>
      <c r="E92" s="2">
        <f t="shared" si="58"/>
        <v>12.906000000000001</v>
      </c>
      <c r="F92" s="2">
        <f t="shared" si="59"/>
        <v>0.32357043235704325</v>
      </c>
      <c r="G92" s="2">
        <f t="shared" si="57"/>
        <v>2.0711297071129708</v>
      </c>
      <c r="H92" s="2">
        <f t="shared" si="60"/>
        <v>0.10251046025104602</v>
      </c>
      <c r="I92" s="2">
        <f t="shared" si="61"/>
        <v>6.4156206415620636</v>
      </c>
      <c r="J92" s="2">
        <f t="shared" si="62"/>
        <v>0.96234309623430958</v>
      </c>
      <c r="K92" s="2">
        <f t="shared" si="63"/>
        <v>1.3319386331938634</v>
      </c>
      <c r="M92" s="1" t="s">
        <v>65</v>
      </c>
      <c r="N92" s="1">
        <v>30.5</v>
      </c>
      <c r="O92" s="1">
        <v>60</v>
      </c>
      <c r="P92" s="1">
        <v>194</v>
      </c>
      <c r="Q92" s="1">
        <v>12.906000000000001</v>
      </c>
      <c r="R92" s="1">
        <v>4.1760000000000002</v>
      </c>
      <c r="S92" s="1">
        <v>26.73</v>
      </c>
      <c r="T92" s="1">
        <v>1.323</v>
      </c>
      <c r="U92" s="1">
        <v>82.8</v>
      </c>
      <c r="V92" s="1">
        <v>12.42</v>
      </c>
      <c r="W92" s="1">
        <v>17.190000000000001</v>
      </c>
    </row>
    <row r="93" spans="1:23" x14ac:dyDescent="0.25">
      <c r="A93" s="4" t="str">
        <f t="shared" si="53"/>
        <v>HVC 11 AP</v>
      </c>
      <c r="B93" s="4">
        <f t="shared" si="54"/>
        <v>23</v>
      </c>
      <c r="C93" s="4">
        <f t="shared" si="55"/>
        <v>66</v>
      </c>
      <c r="D93" s="4">
        <f t="shared" si="56"/>
        <v>125.9</v>
      </c>
      <c r="E93" s="2">
        <f t="shared" si="58"/>
        <v>12.789</v>
      </c>
      <c r="F93" s="2">
        <f t="shared" si="59"/>
        <v>0.50140745953553834</v>
      </c>
      <c r="G93" s="2">
        <f t="shared" si="57"/>
        <v>1.5432793807178042</v>
      </c>
      <c r="H93" s="2">
        <f t="shared" si="60"/>
        <v>0.12737508796622099</v>
      </c>
      <c r="I93" s="2">
        <f t="shared" si="61"/>
        <v>6.5587614356087265</v>
      </c>
      <c r="J93" s="2">
        <f t="shared" si="62"/>
        <v>1.5425756509500352</v>
      </c>
      <c r="K93" s="2">
        <f t="shared" si="63"/>
        <v>2.2828993666432087</v>
      </c>
      <c r="M93" s="1" t="s">
        <v>63</v>
      </c>
      <c r="N93" s="1">
        <v>23</v>
      </c>
      <c r="O93" s="1">
        <v>66</v>
      </c>
      <c r="P93" s="1">
        <v>125.9</v>
      </c>
      <c r="Q93" s="1">
        <v>12.789</v>
      </c>
      <c r="R93" s="1">
        <v>6.4124999999999996</v>
      </c>
      <c r="S93" s="1">
        <v>19.736999999999998</v>
      </c>
      <c r="T93" s="1">
        <v>1.6290000000000002</v>
      </c>
      <c r="U93" s="1">
        <v>83.88</v>
      </c>
      <c r="V93" s="1">
        <v>19.728000000000002</v>
      </c>
      <c r="W93" s="1">
        <v>29.195999999999998</v>
      </c>
    </row>
    <row r="94" spans="1:23" x14ac:dyDescent="0.25">
      <c r="A94" s="4" t="str">
        <f t="shared" si="53"/>
        <v>HVC 11 Lat</v>
      </c>
      <c r="B94" s="4">
        <f t="shared" si="54"/>
        <v>23</v>
      </c>
      <c r="C94" s="4">
        <f t="shared" si="55"/>
        <v>66</v>
      </c>
      <c r="D94" s="4">
        <f t="shared" si="56"/>
        <v>123.6</v>
      </c>
      <c r="E94" s="2">
        <f t="shared" si="58"/>
        <v>6.93</v>
      </c>
      <c r="F94" s="2">
        <f t="shared" si="59"/>
        <v>0.50324675324675328</v>
      </c>
      <c r="G94" s="2">
        <f t="shared" si="57"/>
        <v>1.5714285714285716</v>
      </c>
      <c r="H94" s="2">
        <f t="shared" si="60"/>
        <v>0.12597402597402596</v>
      </c>
      <c r="I94" s="2">
        <f t="shared" si="61"/>
        <v>10.545454545454545</v>
      </c>
      <c r="J94" s="2">
        <f t="shared" si="62"/>
        <v>1.6363636363636365</v>
      </c>
      <c r="K94" s="2">
        <f t="shared" si="63"/>
        <v>2.4857142857142858</v>
      </c>
      <c r="M94" s="1" t="s">
        <v>64</v>
      </c>
      <c r="N94" s="1">
        <v>23</v>
      </c>
      <c r="O94" s="1">
        <v>66</v>
      </c>
      <c r="P94" s="1">
        <v>123.6</v>
      </c>
      <c r="Q94" s="1">
        <v>6.93</v>
      </c>
      <c r="R94" s="1">
        <v>3.4874999999999998</v>
      </c>
      <c r="S94" s="1">
        <v>10.89</v>
      </c>
      <c r="T94" s="1">
        <v>0.87299999999999989</v>
      </c>
      <c r="U94" s="1">
        <v>73.08</v>
      </c>
      <c r="V94" s="1">
        <v>11.34</v>
      </c>
      <c r="W94" s="1">
        <v>17.225999999999999</v>
      </c>
    </row>
    <row r="95" spans="1:23" x14ac:dyDescent="0.25">
      <c r="A95" s="4" t="s">
        <v>41</v>
      </c>
      <c r="B95" s="2">
        <f>AVERAGE(B80:B94)</f>
        <v>27.866666666666667</v>
      </c>
      <c r="C95" s="2">
        <f t="shared" ref="C95:K95" si="64">AVERAGE(C80:C94)</f>
        <v>67.373333333333335</v>
      </c>
      <c r="D95" s="2">
        <f t="shared" si="64"/>
        <v>142.02666666666667</v>
      </c>
      <c r="E95" s="2">
        <f t="shared" si="64"/>
        <v>11.765141517309575</v>
      </c>
      <c r="F95" s="2">
        <f t="shared" si="64"/>
        <v>0.51477032819978108</v>
      </c>
      <c r="G95" s="2">
        <f t="shared" si="64"/>
        <v>2.0276914593212543</v>
      </c>
      <c r="H95" s="2">
        <f t="shared" si="64"/>
        <v>0.12007275854077794</v>
      </c>
      <c r="I95" s="2">
        <f t="shared" si="64"/>
        <v>5.685782047721391</v>
      </c>
      <c r="J95" s="2">
        <f t="shared" si="64"/>
        <v>1.3546218774066532</v>
      </c>
      <c r="K95" s="2">
        <f t="shared" si="64"/>
        <v>2.0527292936678792</v>
      </c>
    </row>
    <row r="96" spans="1:23" x14ac:dyDescent="0.25">
      <c r="A96" s="4" t="s">
        <v>42</v>
      </c>
      <c r="B96" s="2">
        <f>STDEV(B80:B94)</f>
        <v>8.6735778304545352</v>
      </c>
      <c r="C96" s="2">
        <f t="shared" ref="C96:K96" si="65">STDEV(C80:C94)</f>
        <v>3.1774802835550293</v>
      </c>
      <c r="D96" s="2">
        <f t="shared" si="65"/>
        <v>36.513470443242198</v>
      </c>
      <c r="E96" s="2">
        <f t="shared" si="65"/>
        <v>5.0585891836694374</v>
      </c>
      <c r="F96" s="2">
        <f t="shared" si="65"/>
        <v>0.17540051884445923</v>
      </c>
      <c r="G96" s="2">
        <f t="shared" si="65"/>
        <v>0.63772293831702653</v>
      </c>
      <c r="H96" s="2">
        <f t="shared" si="65"/>
        <v>2.110394620189774E-2</v>
      </c>
      <c r="I96" s="2">
        <f t="shared" si="65"/>
        <v>2.1043211625523357</v>
      </c>
      <c r="J96" s="2">
        <f t="shared" si="65"/>
        <v>0.23575980300754618</v>
      </c>
      <c r="K96" s="2">
        <f t="shared" si="65"/>
        <v>0.87116611883495998</v>
      </c>
    </row>
    <row r="97" spans="1:11" s="8" customFormat="1" x14ac:dyDescent="0.25">
      <c r="A97" s="8" t="s">
        <v>74</v>
      </c>
      <c r="B97" s="2">
        <f>MIN(B80:B94)</f>
        <v>20</v>
      </c>
      <c r="C97" s="2">
        <f t="shared" ref="C97:K97" si="66">MIN(C80:C94)</f>
        <v>60</v>
      </c>
      <c r="D97" s="2">
        <f t="shared" si="66"/>
        <v>95.7</v>
      </c>
      <c r="E97" s="2">
        <f t="shared" si="66"/>
        <v>5.0694038421965111</v>
      </c>
      <c r="F97" s="2">
        <f t="shared" si="66"/>
        <v>0.22568330900063638</v>
      </c>
      <c r="G97" s="2">
        <f t="shared" si="66"/>
        <v>1.1983361498241178</v>
      </c>
      <c r="H97" s="2">
        <f t="shared" si="66"/>
        <v>8.7288416860272139E-2</v>
      </c>
      <c r="I97" s="2">
        <f t="shared" si="66"/>
        <v>2.5683068566249396</v>
      </c>
      <c r="J97" s="2">
        <f t="shared" si="66"/>
        <v>0.96234309623430958</v>
      </c>
      <c r="K97" s="2">
        <f t="shared" si="66"/>
        <v>1.2801556420233464</v>
      </c>
    </row>
    <row r="98" spans="1:11" s="8" customFormat="1" x14ac:dyDescent="0.25">
      <c r="A98" s="8">
        <v>10</v>
      </c>
      <c r="B98" s="2">
        <f>PERCENTILE(B$80:B$94,$A98/100)</f>
        <v>21.200000000000003</v>
      </c>
      <c r="C98" s="2">
        <f t="shared" ref="C98:K98" si="67">PERCENTILE(C$80:C$94,$A98/100)</f>
        <v>64.8</v>
      </c>
      <c r="D98" s="2">
        <f t="shared" si="67"/>
        <v>101.76</v>
      </c>
      <c r="E98" s="2">
        <f t="shared" si="67"/>
        <v>6.3415257419908126</v>
      </c>
      <c r="F98" s="2">
        <f t="shared" si="67"/>
        <v>0.34540176389657706</v>
      </c>
      <c r="G98" s="2">
        <f t="shared" si="67"/>
        <v>1.4133096858148457</v>
      </c>
      <c r="H98" s="2">
        <f t="shared" si="67"/>
        <v>9.2082504126749051E-2</v>
      </c>
      <c r="I98" s="2">
        <f t="shared" si="67"/>
        <v>3.1552029615989015</v>
      </c>
      <c r="J98" s="2">
        <f t="shared" si="67"/>
        <v>1.0679840360548236</v>
      </c>
      <c r="K98" s="2">
        <f t="shared" si="67"/>
        <v>1.3819362891600155</v>
      </c>
    </row>
    <row r="99" spans="1:11" s="8" customFormat="1" x14ac:dyDescent="0.25">
      <c r="A99" s="8">
        <v>25</v>
      </c>
      <c r="B99" s="2">
        <f t="shared" ref="B99:K102" si="68">PERCENTILE(B$80:B$94,$A99/100)</f>
        <v>24</v>
      </c>
      <c r="C99" s="2">
        <f t="shared" si="68"/>
        <v>66</v>
      </c>
      <c r="D99" s="2">
        <f t="shared" si="68"/>
        <v>113.45</v>
      </c>
      <c r="E99" s="2">
        <f t="shared" si="68"/>
        <v>7.7459905484266507</v>
      </c>
      <c r="F99" s="2">
        <f t="shared" si="68"/>
        <v>0.40256607177628473</v>
      </c>
      <c r="G99" s="2">
        <f t="shared" si="68"/>
        <v>1.557353976073188</v>
      </c>
      <c r="H99" s="2">
        <f t="shared" si="68"/>
        <v>0.10245712500827228</v>
      </c>
      <c r="I99" s="2">
        <f t="shared" si="68"/>
        <v>3.9633657866677088</v>
      </c>
      <c r="J99" s="2">
        <f t="shared" si="68"/>
        <v>1.2763367553135678</v>
      </c>
      <c r="K99" s="2">
        <f t="shared" si="68"/>
        <v>1.5207047273853744</v>
      </c>
    </row>
    <row r="100" spans="1:11" s="8" customFormat="1" x14ac:dyDescent="0.25">
      <c r="A100" s="8">
        <v>50</v>
      </c>
      <c r="B100" s="2">
        <f t="shared" si="68"/>
        <v>25</v>
      </c>
      <c r="C100" s="2">
        <f t="shared" si="68"/>
        <v>66.400000000000006</v>
      </c>
      <c r="D100" s="2">
        <f t="shared" si="68"/>
        <v>130.4</v>
      </c>
      <c r="E100" s="2">
        <f t="shared" si="68"/>
        <v>12.545999999999999</v>
      </c>
      <c r="F100" s="2">
        <f t="shared" si="68"/>
        <v>0.50140745953553834</v>
      </c>
      <c r="G100" s="2">
        <f t="shared" si="68"/>
        <v>1.6464162163692588</v>
      </c>
      <c r="H100" s="2">
        <f t="shared" si="68"/>
        <v>0.12597402597402596</v>
      </c>
      <c r="I100" s="2">
        <f t="shared" si="68"/>
        <v>6.0095594983599669</v>
      </c>
      <c r="J100" s="2">
        <f t="shared" si="68"/>
        <v>1.3032258064516129</v>
      </c>
      <c r="K100" s="2">
        <f t="shared" si="68"/>
        <v>1.6434720229555237</v>
      </c>
    </row>
    <row r="101" spans="1:11" s="8" customFormat="1" x14ac:dyDescent="0.25">
      <c r="A101" s="8">
        <v>75</v>
      </c>
      <c r="B101" s="2">
        <f t="shared" si="68"/>
        <v>27.75</v>
      </c>
      <c r="C101" s="2">
        <f t="shared" si="68"/>
        <v>70</v>
      </c>
      <c r="D101" s="2">
        <f t="shared" si="68"/>
        <v>169</v>
      </c>
      <c r="E101" s="2">
        <f t="shared" si="68"/>
        <v>13.232250000000001</v>
      </c>
      <c r="F101" s="2">
        <f t="shared" si="68"/>
        <v>0.6499442159061094</v>
      </c>
      <c r="G101" s="2">
        <f t="shared" si="68"/>
        <v>2.6687934953907089</v>
      </c>
      <c r="H101" s="2">
        <f t="shared" si="68"/>
        <v>0.13248926360008734</v>
      </c>
      <c r="I101" s="2">
        <f t="shared" si="68"/>
        <v>6.5569386322330603</v>
      </c>
      <c r="J101" s="2">
        <f t="shared" si="68"/>
        <v>1.4920873020545464</v>
      </c>
      <c r="K101" s="2">
        <f t="shared" si="68"/>
        <v>2.3404959088736006</v>
      </c>
    </row>
    <row r="102" spans="1:11" s="8" customFormat="1" x14ac:dyDescent="0.25">
      <c r="A102" s="8">
        <v>90</v>
      </c>
      <c r="B102" s="2">
        <f t="shared" si="68"/>
        <v>40.999999999999993</v>
      </c>
      <c r="C102" s="2">
        <f t="shared" si="68"/>
        <v>70</v>
      </c>
      <c r="D102" s="2">
        <f t="shared" si="68"/>
        <v>197.6</v>
      </c>
      <c r="E102" s="2">
        <f t="shared" si="68"/>
        <v>18.187385120524507</v>
      </c>
      <c r="F102" s="2">
        <f t="shared" si="68"/>
        <v>0.75575917395081771</v>
      </c>
      <c r="G102" s="2">
        <f t="shared" si="68"/>
        <v>2.8922422627587623</v>
      </c>
      <c r="H102" s="2">
        <f t="shared" si="68"/>
        <v>0.14447072618124954</v>
      </c>
      <c r="I102" s="2">
        <f t="shared" si="68"/>
        <v>7.4680767012906903</v>
      </c>
      <c r="J102" s="2">
        <f t="shared" si="68"/>
        <v>1.6108630724412649</v>
      </c>
      <c r="K102" s="2">
        <f t="shared" si="68"/>
        <v>2.5115334594780268</v>
      </c>
    </row>
    <row r="103" spans="1:11" s="8" customFormat="1" x14ac:dyDescent="0.25">
      <c r="A103" s="8" t="s">
        <v>75</v>
      </c>
      <c r="B103" s="2">
        <f>MAX(B80:B94)</f>
        <v>48</v>
      </c>
      <c r="C103" s="2">
        <f t="shared" ref="C103:K103" si="69">MAX(C80:C94)</f>
        <v>73</v>
      </c>
      <c r="D103" s="2">
        <f t="shared" si="69"/>
        <v>200</v>
      </c>
      <c r="E103" s="2">
        <f t="shared" si="69"/>
        <v>23.13</v>
      </c>
      <c r="F103" s="2">
        <f t="shared" si="69"/>
        <v>0.81932773109243717</v>
      </c>
      <c r="G103" s="2">
        <f t="shared" si="69"/>
        <v>2.9165925662457761</v>
      </c>
      <c r="H103" s="2">
        <f t="shared" si="69"/>
        <v>0.15621473839154948</v>
      </c>
      <c r="I103" s="2">
        <f t="shared" si="69"/>
        <v>10.545454545454545</v>
      </c>
      <c r="J103" s="2">
        <f t="shared" si="69"/>
        <v>1.8692023551460744</v>
      </c>
      <c r="K103" s="2">
        <f t="shared" si="69"/>
        <v>4.775187467909304</v>
      </c>
    </row>
    <row r="105" spans="1:11" x14ac:dyDescent="0.25">
      <c r="A105" s="6" t="s">
        <v>73</v>
      </c>
      <c r="B105" s="1" t="s">
        <v>77</v>
      </c>
      <c r="C105" s="1">
        <f>(C78+C55+C23+C3)</f>
        <v>53</v>
      </c>
    </row>
    <row r="106" spans="1:11" x14ac:dyDescent="0.25">
      <c r="A106" s="5" t="s">
        <v>41</v>
      </c>
      <c r="B106" s="2">
        <f t="shared" ref="B106:D106" si="70">AVERAGE(B5:B11,B25:B44,B57:B67,B80:B94)</f>
        <v>32.411320754716982</v>
      </c>
      <c r="C106" s="2">
        <f t="shared" si="70"/>
        <v>72.530188679245299</v>
      </c>
      <c r="D106" s="2">
        <f t="shared" si="70"/>
        <v>56.778113207547172</v>
      </c>
      <c r="E106" s="2">
        <f t="shared" ref="E106:K106" si="71">AVERAGE(E5:E11,E25:E44,E57:E67,E80:E94)</f>
        <v>11.555548488364613</v>
      </c>
      <c r="F106" s="2">
        <f t="shared" si="71"/>
        <v>0.52183112533026621</v>
      </c>
      <c r="G106" s="2">
        <f t="shared" si="71"/>
        <v>1.7420166109248845</v>
      </c>
      <c r="H106" s="2">
        <f t="shared" si="71"/>
        <v>0.17085313704742133</v>
      </c>
      <c r="I106" s="2">
        <f t="shared" si="71"/>
        <v>4.7956381926485836</v>
      </c>
      <c r="J106" s="2">
        <f t="shared" si="71"/>
        <v>1.4131721877924828</v>
      </c>
      <c r="K106" s="2">
        <f t="shared" si="71"/>
        <v>2.1572311368233206</v>
      </c>
    </row>
    <row r="107" spans="1:11" x14ac:dyDescent="0.25">
      <c r="A107" s="5" t="s">
        <v>42</v>
      </c>
      <c r="B107" s="2">
        <f t="shared" ref="B107:D107" si="72">STDEV(B5:B11,B25:B44,B57:B67,B80:B94)</f>
        <v>8.7865426030019691</v>
      </c>
      <c r="C107" s="2">
        <f t="shared" si="72"/>
        <v>8.1793733281123764</v>
      </c>
      <c r="D107" s="2">
        <f t="shared" si="72"/>
        <v>64.963248102783936</v>
      </c>
      <c r="E107" s="2">
        <f t="shared" ref="E107:K107" si="73">STDEV(E5:E11,E25:E44,E57:E67,E80:E94)</f>
        <v>5.7090449927950528</v>
      </c>
      <c r="F107" s="2">
        <f t="shared" si="73"/>
        <v>0.19166387075461666</v>
      </c>
      <c r="G107" s="2">
        <f t="shared" si="73"/>
        <v>0.60892652310788931</v>
      </c>
      <c r="H107" s="2">
        <f t="shared" si="73"/>
        <v>6.5608074945030972E-2</v>
      </c>
      <c r="I107" s="2">
        <f t="shared" si="73"/>
        <v>2.1536006965050283</v>
      </c>
      <c r="J107" s="2">
        <f t="shared" si="73"/>
        <v>0.26804119540080312</v>
      </c>
      <c r="K107" s="2">
        <f t="shared" si="73"/>
        <v>0.78526442754410042</v>
      </c>
    </row>
    <row r="108" spans="1:11" x14ac:dyDescent="0.25">
      <c r="A108" s="1" t="s">
        <v>74</v>
      </c>
      <c r="B108" s="2">
        <f>MIN(B5:B11,B25:B44,B57:B67,B80:B94)</f>
        <v>20</v>
      </c>
      <c r="C108" s="2">
        <f t="shared" ref="C108:D108" si="74">MIN(C5:C11,C25:C44,C57:C67,C80:C94)</f>
        <v>60</v>
      </c>
      <c r="D108" s="2">
        <f t="shared" si="74"/>
        <v>1.5</v>
      </c>
      <c r="E108" s="2">
        <f>MIN(E5:E11,E25:E44,E57:E67,E80:E94)</f>
        <v>1.9035</v>
      </c>
      <c r="F108" s="2">
        <f t="shared" ref="F108:K108" si="75">MIN(F5:F11,F25:F44,F57:F67,F80:F94)</f>
        <v>0.22568330900063638</v>
      </c>
      <c r="G108" s="2">
        <f t="shared" si="75"/>
        <v>0.79866092778574849</v>
      </c>
      <c r="H108" s="2">
        <f t="shared" si="75"/>
        <v>8.7288416860272139E-2</v>
      </c>
      <c r="I108" s="2">
        <f t="shared" si="75"/>
        <v>1.8605518269947798</v>
      </c>
      <c r="J108" s="2">
        <f t="shared" si="75"/>
        <v>0.84774436090225558</v>
      </c>
      <c r="K108" s="2">
        <f t="shared" si="75"/>
        <v>1.2009694258016406</v>
      </c>
    </row>
    <row r="109" spans="1:11" x14ac:dyDescent="0.25">
      <c r="A109" s="1" t="s">
        <v>76</v>
      </c>
      <c r="B109" s="2">
        <f>MEDIAN(B5:B11,B25:B44,B57:B67,B80:B94)</f>
        <v>30.5</v>
      </c>
      <c r="C109" s="2">
        <f t="shared" ref="C109:D109" si="76">MEDIAN(C5:C11,C25:C44,C57:C67,C80:C94)</f>
        <v>70</v>
      </c>
      <c r="D109" s="2">
        <f t="shared" si="76"/>
        <v>20.9</v>
      </c>
      <c r="E109" s="2">
        <f>MEDIAN(E5:E11,E25:E44,E57:E67,E80:E94)</f>
        <v>10.6</v>
      </c>
      <c r="F109" s="2">
        <f t="shared" ref="F109:K109" si="77">MEDIAN(F5:F11,F25:F44,F57:F67,F80:F94)</f>
        <v>0.47349737363299749</v>
      </c>
      <c r="G109" s="2">
        <f t="shared" si="77"/>
        <v>1.600635723844261</v>
      </c>
      <c r="H109" s="2">
        <f t="shared" si="77"/>
        <v>0.14701492537313432</v>
      </c>
      <c r="I109" s="2">
        <f t="shared" si="77"/>
        <v>4.271448663853727</v>
      </c>
      <c r="J109" s="2">
        <f t="shared" si="77"/>
        <v>1.3811780636425184</v>
      </c>
      <c r="K109" s="2">
        <f t="shared" si="77"/>
        <v>2.0185185185185186</v>
      </c>
    </row>
    <row r="110" spans="1:11" x14ac:dyDescent="0.25">
      <c r="A110" s="1" t="s">
        <v>75</v>
      </c>
      <c r="B110" s="2">
        <f>MAX(B5:B11,B25:B44,B57:B67,B80:B94)</f>
        <v>48</v>
      </c>
      <c r="C110" s="2">
        <f>MAX(C5:C11,C25:C44,C57:C67,C80:C94)</f>
        <v>103</v>
      </c>
      <c r="D110" s="2">
        <f>MAX(D5:D11,D25:D44,D57:D67,D80:D94)</f>
        <v>200</v>
      </c>
      <c r="E110" s="2">
        <f>MAX(E5:E11,E25:E44,E57:E67,E80:E94)</f>
        <v>26.82</v>
      </c>
      <c r="F110" s="2">
        <f t="shared" ref="F110:K110" si="78">MAX(F5:F11,F25:F44,F57:F67,F80:F94)</f>
        <v>1.0307328605200947</v>
      </c>
      <c r="G110" s="2">
        <f t="shared" si="78"/>
        <v>2.9165925662457761</v>
      </c>
      <c r="H110" s="2">
        <f t="shared" si="78"/>
        <v>0.34130434782608698</v>
      </c>
      <c r="I110" s="2">
        <f t="shared" si="78"/>
        <v>10.545454545454545</v>
      </c>
      <c r="J110" s="2">
        <f t="shared" si="78"/>
        <v>2.0581896551724137</v>
      </c>
      <c r="K110" s="2">
        <f t="shared" si="78"/>
        <v>4.775187467909304</v>
      </c>
    </row>
  </sheetData>
  <mergeCells count="6">
    <mergeCell ref="V1:W1"/>
    <mergeCell ref="F1:G1"/>
    <mergeCell ref="H1:I1"/>
    <mergeCell ref="J1:K1"/>
    <mergeCell ref="R1:S1"/>
    <mergeCell ref="T1:U1"/>
  </mergeCells>
  <pageMargins left="0.7" right="0.7" top="0.75" bottom="0.75" header="0.3" footer="0.3"/>
  <pageSetup scale="8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16" workbookViewId="0">
      <selection activeCell="C56" sqref="C56:C64"/>
    </sheetView>
  </sheetViews>
  <sheetFormatPr defaultRowHeight="15" x14ac:dyDescent="0.25"/>
  <cols>
    <col min="5" max="5" width="13.140625" customWidth="1"/>
    <col min="6" max="7" width="25.140625" customWidth="1"/>
    <col min="8" max="8" width="9" customWidth="1"/>
    <col min="9" max="9" width="13.140625" customWidth="1"/>
    <col min="10" max="11" width="19.7109375" customWidth="1"/>
    <col min="12" max="12" width="8" customWidth="1"/>
    <col min="13" max="13" width="13.140625" customWidth="1"/>
    <col min="14" max="14" width="19.7109375" customWidth="1"/>
    <col min="15" max="15" width="19.7109375" bestFit="1" customWidth="1"/>
    <col min="17" max="17" width="13.140625" bestFit="1" customWidth="1"/>
    <col min="18" max="19" width="19.7109375" bestFit="1" customWidth="1"/>
    <col min="21" max="21" width="13.140625" bestFit="1" customWidth="1"/>
    <col min="22" max="23" width="19.7109375" bestFit="1" customWidth="1"/>
  </cols>
  <sheetData>
    <row r="1" spans="1:23" x14ac:dyDescent="0.25">
      <c r="A1" t="s">
        <v>2</v>
      </c>
      <c r="B1" t="s">
        <v>78</v>
      </c>
      <c r="C1" t="s">
        <v>79</v>
      </c>
      <c r="E1" s="9" t="s">
        <v>81</v>
      </c>
      <c r="F1" t="s">
        <v>82</v>
      </c>
      <c r="G1" t="s">
        <v>83</v>
      </c>
      <c r="I1" s="9" t="s">
        <v>81</v>
      </c>
      <c r="J1" t="s">
        <v>84</v>
      </c>
      <c r="K1" t="s">
        <v>85</v>
      </c>
      <c r="M1" s="9" t="s">
        <v>81</v>
      </c>
      <c r="N1" t="s">
        <v>84</v>
      </c>
      <c r="O1" t="s">
        <v>85</v>
      </c>
      <c r="Q1" s="9" t="s">
        <v>81</v>
      </c>
      <c r="R1" t="s">
        <v>84</v>
      </c>
      <c r="S1" t="s">
        <v>85</v>
      </c>
      <c r="U1" s="9" t="s">
        <v>81</v>
      </c>
      <c r="V1" t="s">
        <v>84</v>
      </c>
      <c r="W1" t="s">
        <v>85</v>
      </c>
    </row>
    <row r="2" spans="1:23" x14ac:dyDescent="0.25">
      <c r="A2" t="s">
        <v>4</v>
      </c>
      <c r="B2">
        <v>40</v>
      </c>
      <c r="C2">
        <v>22.9</v>
      </c>
      <c r="E2" s="10">
        <v>20</v>
      </c>
      <c r="F2" s="11">
        <v>13.628699999999998</v>
      </c>
      <c r="G2" s="11">
        <v>4.960071227311162</v>
      </c>
      <c r="I2" s="10">
        <v>30.5</v>
      </c>
      <c r="J2" s="11">
        <v>21.347999999999995</v>
      </c>
      <c r="K2" s="11" t="e">
        <v>#DIV/0!</v>
      </c>
      <c r="M2" s="10">
        <v>23</v>
      </c>
      <c r="N2" s="11">
        <v>15.091794793630333</v>
      </c>
      <c r="O2" s="11">
        <v>4.3073215531110653</v>
      </c>
      <c r="Q2" s="10">
        <v>25</v>
      </c>
      <c r="R2" s="11">
        <v>12.594188332992141</v>
      </c>
      <c r="S2" s="11">
        <v>3.2283832198260503</v>
      </c>
      <c r="U2" s="10">
        <v>20</v>
      </c>
      <c r="V2" s="11">
        <v>13.628699999999998</v>
      </c>
      <c r="W2" s="11">
        <v>4.9600712273111451</v>
      </c>
    </row>
    <row r="3" spans="1:23" x14ac:dyDescent="0.25">
      <c r="A3" t="s">
        <v>5</v>
      </c>
      <c r="B3">
        <v>40</v>
      </c>
      <c r="C3">
        <v>6.0750000000000002</v>
      </c>
      <c r="E3" s="10">
        <v>23</v>
      </c>
      <c r="F3" s="11">
        <v>13.783725</v>
      </c>
      <c r="G3" s="11">
        <v>4.644422194340831</v>
      </c>
      <c r="I3" s="10">
        <v>33</v>
      </c>
      <c r="J3" s="11">
        <v>11.077500000000001</v>
      </c>
      <c r="K3" s="11" t="e">
        <v>#DIV/0!</v>
      </c>
      <c r="M3" s="10">
        <v>27</v>
      </c>
      <c r="N3" s="11">
        <v>20.7</v>
      </c>
      <c r="O3" s="11" t="e">
        <v>#DIV/0!</v>
      </c>
      <c r="Q3" s="10">
        <v>40</v>
      </c>
      <c r="R3" s="11">
        <v>2.0204999999999997</v>
      </c>
      <c r="S3" s="11">
        <v>0.10172389099912124</v>
      </c>
      <c r="U3" s="10">
        <v>23</v>
      </c>
      <c r="V3" s="11">
        <v>9.8595000000000006</v>
      </c>
      <c r="W3" s="11">
        <v>4.1429386309719778</v>
      </c>
    </row>
    <row r="4" spans="1:23" x14ac:dyDescent="0.25">
      <c r="A4" t="s">
        <v>19</v>
      </c>
      <c r="B4">
        <v>30.5</v>
      </c>
      <c r="C4">
        <v>21.347999999999999</v>
      </c>
      <c r="E4" s="10">
        <v>25</v>
      </c>
      <c r="F4" s="11">
        <v>11.959388888888888</v>
      </c>
      <c r="G4" s="11">
        <v>3.6161679788293974</v>
      </c>
      <c r="I4" s="10">
        <v>40</v>
      </c>
      <c r="J4" s="11">
        <v>15.066249999999998</v>
      </c>
      <c r="K4" s="11">
        <v>6.9756760425065654</v>
      </c>
      <c r="M4" s="10">
        <v>30.5</v>
      </c>
      <c r="N4" s="11">
        <v>8.0344792461040182</v>
      </c>
      <c r="O4" s="11">
        <v>0.89650111131840982</v>
      </c>
      <c r="Q4" s="10">
        <v>48</v>
      </c>
      <c r="R4" s="11">
        <v>7.3975541723365525</v>
      </c>
      <c r="S4" s="11">
        <v>2.8366271865671866</v>
      </c>
      <c r="U4" s="10">
        <v>25</v>
      </c>
      <c r="V4" s="11">
        <v>11.778015621066057</v>
      </c>
      <c r="W4" s="11">
        <v>3.9402826182339421</v>
      </c>
    </row>
    <row r="5" spans="1:23" x14ac:dyDescent="0.25">
      <c r="A5" t="s">
        <v>20</v>
      </c>
      <c r="B5">
        <v>33</v>
      </c>
      <c r="C5">
        <v>11.077500000000001</v>
      </c>
      <c r="E5" s="10">
        <v>27</v>
      </c>
      <c r="F5" s="11">
        <v>20.7</v>
      </c>
      <c r="G5" s="11" t="e">
        <v>#DIV/0!</v>
      </c>
      <c r="I5" s="10">
        <v>41.8</v>
      </c>
      <c r="J5" s="11">
        <v>8.1</v>
      </c>
      <c r="K5" s="11" t="e">
        <v>#DIV/0!</v>
      </c>
      <c r="M5" s="10">
        <v>33</v>
      </c>
      <c r="N5" s="11">
        <v>15.341520323194549</v>
      </c>
      <c r="O5" s="11">
        <v>5.903412690188647</v>
      </c>
      <c r="Q5" s="10" t="s">
        <v>80</v>
      </c>
      <c r="R5" s="11">
        <v>6.8759274272730542</v>
      </c>
      <c r="S5" s="11">
        <v>4.3408585733147884</v>
      </c>
      <c r="U5" s="10">
        <v>30.5</v>
      </c>
      <c r="V5" s="11">
        <v>18.018000000000001</v>
      </c>
      <c r="W5" s="11">
        <v>7.2294597308512616</v>
      </c>
    </row>
    <row r="6" spans="1:23" x14ac:dyDescent="0.25">
      <c r="A6" t="s">
        <v>21</v>
      </c>
      <c r="B6">
        <v>41.8</v>
      </c>
      <c r="C6">
        <v>8.1</v>
      </c>
      <c r="E6" s="10">
        <v>30.5</v>
      </c>
      <c r="F6" s="11">
        <v>11.362539999999999</v>
      </c>
      <c r="G6" s="11">
        <v>5.9899788670003735</v>
      </c>
      <c r="I6" s="10" t="s">
        <v>80</v>
      </c>
      <c r="J6" s="11">
        <v>14.398642857142859</v>
      </c>
      <c r="K6" s="11">
        <v>6.4130001085963722</v>
      </c>
      <c r="M6" s="10" t="s">
        <v>80</v>
      </c>
      <c r="N6" s="11">
        <v>12.977062271183874</v>
      </c>
      <c r="O6" s="11">
        <v>5.442827130257796</v>
      </c>
      <c r="U6" s="10">
        <v>48</v>
      </c>
      <c r="V6" s="11">
        <v>5.5093067060905998</v>
      </c>
      <c r="W6" s="11">
        <v>0.62211659624577886</v>
      </c>
    </row>
    <row r="7" spans="1:23" x14ac:dyDescent="0.25">
      <c r="A7" t="s">
        <v>7</v>
      </c>
      <c r="B7">
        <v>40</v>
      </c>
      <c r="C7">
        <v>16.89</v>
      </c>
      <c r="E7" s="10">
        <v>33</v>
      </c>
      <c r="F7" s="11">
        <v>14.732371428571428</v>
      </c>
      <c r="G7" s="11">
        <v>5.6248872269330237</v>
      </c>
      <c r="U7" s="10" t="s">
        <v>80</v>
      </c>
      <c r="V7" s="11">
        <v>11.765141517309575</v>
      </c>
      <c r="W7" s="11">
        <v>5.0585891836694374</v>
      </c>
    </row>
    <row r="8" spans="1:23" x14ac:dyDescent="0.25">
      <c r="A8" t="s">
        <v>6</v>
      </c>
      <c r="B8">
        <v>40</v>
      </c>
      <c r="C8">
        <v>14.4</v>
      </c>
      <c r="E8" s="10">
        <v>40</v>
      </c>
      <c r="F8" s="11">
        <v>9.4752142857142836</v>
      </c>
      <c r="G8" s="11">
        <v>8.5416419277226012</v>
      </c>
    </row>
    <row r="9" spans="1:23" x14ac:dyDescent="0.25">
      <c r="A9" t="s">
        <v>22</v>
      </c>
      <c r="B9">
        <v>30.5</v>
      </c>
      <c r="C9">
        <v>7.96</v>
      </c>
      <c r="E9" s="10">
        <v>41.8</v>
      </c>
      <c r="F9" s="11">
        <v>8.1</v>
      </c>
      <c r="G9" s="11" t="e">
        <v>#DIV/0!</v>
      </c>
    </row>
    <row r="10" spans="1:23" x14ac:dyDescent="0.25">
      <c r="A10" t="s">
        <v>23</v>
      </c>
      <c r="B10">
        <v>23</v>
      </c>
      <c r="C10">
        <v>14.5</v>
      </c>
      <c r="E10" s="10">
        <v>48</v>
      </c>
      <c r="F10" s="11">
        <v>6.9254875</v>
      </c>
      <c r="G10" s="11">
        <v>2.5625786607787435</v>
      </c>
    </row>
    <row r="11" spans="1:23" x14ac:dyDescent="0.25">
      <c r="A11" t="s">
        <v>24</v>
      </c>
      <c r="B11">
        <v>23</v>
      </c>
      <c r="C11">
        <v>11.8</v>
      </c>
      <c r="E11" s="10" t="s">
        <v>80</v>
      </c>
      <c r="F11" s="11">
        <v>11.555549056603775</v>
      </c>
      <c r="G11" s="11">
        <v>5.7090455468500734</v>
      </c>
    </row>
    <row r="12" spans="1:23" x14ac:dyDescent="0.25">
      <c r="A12" t="s">
        <v>25</v>
      </c>
      <c r="B12">
        <v>23</v>
      </c>
      <c r="C12">
        <v>10.6</v>
      </c>
    </row>
    <row r="13" spans="1:23" x14ac:dyDescent="0.25">
      <c r="A13" t="s">
        <v>26</v>
      </c>
      <c r="B13">
        <v>30.5</v>
      </c>
      <c r="C13">
        <v>7.86</v>
      </c>
    </row>
    <row r="14" spans="1:23" x14ac:dyDescent="0.25">
      <c r="A14" t="s">
        <v>27</v>
      </c>
      <c r="B14">
        <v>30.5</v>
      </c>
      <c r="C14">
        <v>7.97</v>
      </c>
    </row>
    <row r="15" spans="1:23" x14ac:dyDescent="0.25">
      <c r="A15" t="s">
        <v>28</v>
      </c>
      <c r="B15">
        <v>23</v>
      </c>
      <c r="C15">
        <v>17.050799999999999</v>
      </c>
    </row>
    <row r="16" spans="1:23" x14ac:dyDescent="0.25">
      <c r="A16" t="s">
        <v>29</v>
      </c>
      <c r="B16">
        <v>30.5</v>
      </c>
      <c r="C16">
        <v>8.35</v>
      </c>
    </row>
    <row r="17" spans="1:3" x14ac:dyDescent="0.25">
      <c r="A17" t="s">
        <v>8</v>
      </c>
      <c r="B17">
        <v>30.5</v>
      </c>
      <c r="C17">
        <v>7.11</v>
      </c>
    </row>
    <row r="18" spans="1:3" x14ac:dyDescent="0.25">
      <c r="A18" t="s">
        <v>30</v>
      </c>
      <c r="B18">
        <v>33</v>
      </c>
      <c r="C18">
        <v>15.96</v>
      </c>
    </row>
    <row r="19" spans="1:3" x14ac:dyDescent="0.25">
      <c r="A19" t="s">
        <v>31</v>
      </c>
      <c r="B19">
        <v>33</v>
      </c>
      <c r="C19">
        <v>12.936500000000001</v>
      </c>
    </row>
    <row r="20" spans="1:3" x14ac:dyDescent="0.25">
      <c r="A20" t="s">
        <v>32</v>
      </c>
      <c r="B20">
        <v>33</v>
      </c>
      <c r="C20">
        <v>13.4</v>
      </c>
    </row>
    <row r="21" spans="1:3" x14ac:dyDescent="0.25">
      <c r="A21" t="s">
        <v>33</v>
      </c>
      <c r="B21">
        <v>33</v>
      </c>
      <c r="C21">
        <v>10.342599999999999</v>
      </c>
    </row>
    <row r="22" spans="1:3" x14ac:dyDescent="0.25">
      <c r="A22" t="s">
        <v>34</v>
      </c>
      <c r="B22">
        <v>30.5</v>
      </c>
      <c r="C22">
        <v>9.8000000000000007</v>
      </c>
    </row>
    <row r="23" spans="1:3" x14ac:dyDescent="0.25">
      <c r="A23" t="s">
        <v>35</v>
      </c>
      <c r="B23">
        <v>33</v>
      </c>
      <c r="C23">
        <v>12.59</v>
      </c>
    </row>
    <row r="24" spans="1:3" x14ac:dyDescent="0.25">
      <c r="A24" t="s">
        <v>36</v>
      </c>
      <c r="B24">
        <v>33</v>
      </c>
      <c r="C24">
        <v>26.82</v>
      </c>
    </row>
    <row r="25" spans="1:3" x14ac:dyDescent="0.25">
      <c r="A25" t="s">
        <v>40</v>
      </c>
      <c r="B25">
        <v>23</v>
      </c>
      <c r="C25">
        <v>22.6</v>
      </c>
    </row>
    <row r="26" spans="1:3" x14ac:dyDescent="0.25">
      <c r="A26" t="s">
        <v>37</v>
      </c>
      <c r="B26">
        <v>30.5</v>
      </c>
      <c r="C26">
        <v>7.1913999999999998</v>
      </c>
    </row>
    <row r="27" spans="1:3" x14ac:dyDescent="0.25">
      <c r="A27" t="s">
        <v>38</v>
      </c>
      <c r="B27">
        <v>27</v>
      </c>
      <c r="C27">
        <v>20.7</v>
      </c>
    </row>
    <row r="28" spans="1:3" x14ac:dyDescent="0.25">
      <c r="A28" t="s">
        <v>39</v>
      </c>
      <c r="B28">
        <v>23</v>
      </c>
      <c r="C28">
        <v>14</v>
      </c>
    </row>
    <row r="29" spans="1:3" x14ac:dyDescent="0.25">
      <c r="A29" t="s">
        <v>43</v>
      </c>
      <c r="B29">
        <v>48</v>
      </c>
      <c r="C29">
        <v>6.5475000000000003</v>
      </c>
    </row>
    <row r="30" spans="1:3" x14ac:dyDescent="0.25">
      <c r="A30" t="s">
        <v>44</v>
      </c>
      <c r="B30">
        <v>40</v>
      </c>
      <c r="C30">
        <v>2.0880000000000001</v>
      </c>
    </row>
    <row r="31" spans="1:3" x14ac:dyDescent="0.25">
      <c r="A31" t="s">
        <v>45</v>
      </c>
      <c r="B31">
        <v>40</v>
      </c>
      <c r="C31">
        <v>2.0699999999999998</v>
      </c>
    </row>
    <row r="32" spans="1:3" x14ac:dyDescent="0.25">
      <c r="A32" t="s">
        <v>46</v>
      </c>
      <c r="B32">
        <v>40</v>
      </c>
      <c r="C32">
        <v>1.9035</v>
      </c>
    </row>
    <row r="33" spans="1:3" x14ac:dyDescent="0.25">
      <c r="A33" t="s">
        <v>47</v>
      </c>
      <c r="B33">
        <v>48</v>
      </c>
      <c r="C33">
        <v>4.7332000000000001</v>
      </c>
    </row>
    <row r="34" spans="1:3" x14ac:dyDescent="0.25">
      <c r="A34" t="s">
        <v>48</v>
      </c>
      <c r="B34">
        <v>25</v>
      </c>
      <c r="C34">
        <v>10.311400000000001</v>
      </c>
    </row>
    <row r="35" spans="1:3" x14ac:dyDescent="0.25">
      <c r="A35" t="s">
        <v>49</v>
      </c>
      <c r="B35">
        <v>48</v>
      </c>
      <c r="C35">
        <v>12.545999999999999</v>
      </c>
    </row>
    <row r="36" spans="1:3" x14ac:dyDescent="0.25">
      <c r="A36" t="s">
        <v>50</v>
      </c>
      <c r="B36">
        <v>25</v>
      </c>
      <c r="C36">
        <v>14.877000000000001</v>
      </c>
    </row>
    <row r="37" spans="1:3" x14ac:dyDescent="0.25">
      <c r="A37" t="s">
        <v>51</v>
      </c>
      <c r="B37">
        <v>48</v>
      </c>
      <c r="C37">
        <v>7.7850000000000001</v>
      </c>
    </row>
    <row r="38" spans="1:3" x14ac:dyDescent="0.25">
      <c r="A38" t="s">
        <v>52</v>
      </c>
      <c r="B38">
        <v>48</v>
      </c>
      <c r="C38">
        <v>7.7489999999999997</v>
      </c>
    </row>
    <row r="39" spans="1:3" x14ac:dyDescent="0.25">
      <c r="A39" t="s">
        <v>53</v>
      </c>
      <c r="B39">
        <v>48</v>
      </c>
      <c r="C39">
        <v>5.0246000000000004</v>
      </c>
    </row>
    <row r="40" spans="1:3" x14ac:dyDescent="0.25">
      <c r="A40" t="s">
        <v>54</v>
      </c>
      <c r="B40">
        <v>25</v>
      </c>
      <c r="C40">
        <v>18.888300000000001</v>
      </c>
    </row>
    <row r="41" spans="1:3" x14ac:dyDescent="0.25">
      <c r="A41" t="s">
        <v>60</v>
      </c>
      <c r="B41">
        <v>48</v>
      </c>
      <c r="C41">
        <v>5.9492000000000003</v>
      </c>
    </row>
    <row r="42" spans="1:3" x14ac:dyDescent="0.25">
      <c r="A42" t="s">
        <v>59</v>
      </c>
      <c r="B42">
        <v>25</v>
      </c>
      <c r="C42">
        <v>7.5273000000000003</v>
      </c>
    </row>
    <row r="43" spans="1:3" x14ac:dyDescent="0.25">
      <c r="A43" t="s">
        <v>55</v>
      </c>
      <c r="B43">
        <v>25</v>
      </c>
      <c r="C43">
        <v>9.4062999999999999</v>
      </c>
    </row>
    <row r="44" spans="1:3" x14ac:dyDescent="0.25">
      <c r="A44" t="s">
        <v>56</v>
      </c>
      <c r="B44">
        <v>25</v>
      </c>
      <c r="C44">
        <v>13.5585</v>
      </c>
    </row>
    <row r="45" spans="1:3" x14ac:dyDescent="0.25">
      <c r="A45" t="s">
        <v>61</v>
      </c>
      <c r="B45">
        <v>48</v>
      </c>
      <c r="C45">
        <v>5.0693999999999999</v>
      </c>
    </row>
    <row r="46" spans="1:3" x14ac:dyDescent="0.25">
      <c r="A46" t="s">
        <v>62</v>
      </c>
      <c r="B46">
        <v>25</v>
      </c>
      <c r="C46">
        <v>7.9646999999999997</v>
      </c>
    </row>
    <row r="47" spans="1:3" x14ac:dyDescent="0.25">
      <c r="A47" t="s">
        <v>57</v>
      </c>
      <c r="B47">
        <v>25</v>
      </c>
      <c r="C47">
        <v>12.545999999999999</v>
      </c>
    </row>
    <row r="48" spans="1:3" x14ac:dyDescent="0.25">
      <c r="A48" t="s">
        <v>58</v>
      </c>
      <c r="B48">
        <v>25</v>
      </c>
      <c r="C48">
        <v>12.555</v>
      </c>
    </row>
    <row r="49" spans="1:3" x14ac:dyDescent="0.25">
      <c r="A49" t="s">
        <v>66</v>
      </c>
      <c r="B49">
        <v>20</v>
      </c>
      <c r="C49">
        <v>17.135999999999999</v>
      </c>
    </row>
    <row r="50" spans="1:3" x14ac:dyDescent="0.25">
      <c r="A50" t="s">
        <v>67</v>
      </c>
      <c r="B50">
        <v>20</v>
      </c>
      <c r="C50">
        <v>10.1214</v>
      </c>
    </row>
    <row r="51" spans="1:3" x14ac:dyDescent="0.25">
      <c r="A51" t="s">
        <v>68</v>
      </c>
      <c r="B51">
        <v>30.5</v>
      </c>
      <c r="C51">
        <v>23.13</v>
      </c>
    </row>
    <row r="52" spans="1:3" x14ac:dyDescent="0.25">
      <c r="A52" t="s">
        <v>65</v>
      </c>
      <c r="B52">
        <v>30.5</v>
      </c>
      <c r="C52">
        <v>12.906000000000001</v>
      </c>
    </row>
    <row r="53" spans="1:3" x14ac:dyDescent="0.25">
      <c r="A53" t="s">
        <v>63</v>
      </c>
      <c r="B53">
        <v>23</v>
      </c>
      <c r="C53">
        <v>12.789</v>
      </c>
    </row>
    <row r="54" spans="1:3" x14ac:dyDescent="0.25">
      <c r="A54" t="s">
        <v>64</v>
      </c>
      <c r="B54">
        <v>23</v>
      </c>
      <c r="C54">
        <v>6.93</v>
      </c>
    </row>
    <row r="56" spans="1:3" x14ac:dyDescent="0.25">
      <c r="A56" s="8" t="s">
        <v>41</v>
      </c>
      <c r="B56" s="11">
        <f>AVERAGE(B2:B54)</f>
        <v>32.411320754716982</v>
      </c>
      <c r="C56" s="11">
        <f>AVERAGE(C2:C54)</f>
        <v>11.555549056603772</v>
      </c>
    </row>
    <row r="57" spans="1:3" x14ac:dyDescent="0.25">
      <c r="A57" s="8" t="s">
        <v>42</v>
      </c>
      <c r="B57" s="11">
        <f>STDEV(B2:B54)</f>
        <v>8.7865426030019691</v>
      </c>
      <c r="C57" s="11">
        <f>STDEV(C2:C54)</f>
        <v>5.7090455468500823</v>
      </c>
    </row>
    <row r="58" spans="1:3" x14ac:dyDescent="0.25">
      <c r="A58" s="8" t="s">
        <v>74</v>
      </c>
      <c r="B58">
        <f>MIN(B2:B54)</f>
        <v>20</v>
      </c>
      <c r="C58" s="11">
        <f>MIN(C2:C54)</f>
        <v>1.9035</v>
      </c>
    </row>
    <row r="59" spans="1:3" x14ac:dyDescent="0.25">
      <c r="A59" s="8">
        <v>10</v>
      </c>
      <c r="B59">
        <f>PERCENTILE(B$2:B$54,$A59/100)</f>
        <v>23</v>
      </c>
      <c r="C59" s="11">
        <f>PERCENTILE(C$2:C$54,$A59/100)</f>
        <v>5.2453599999999998</v>
      </c>
    </row>
    <row r="60" spans="1:3" x14ac:dyDescent="0.25">
      <c r="A60" s="8">
        <v>25</v>
      </c>
      <c r="B60">
        <f t="shared" ref="B60:C63" si="0">PERCENTILE(B$2:B$54,$A60/100)</f>
        <v>25</v>
      </c>
      <c r="C60" s="11">
        <f t="shared" si="0"/>
        <v>7.7489999999999997</v>
      </c>
    </row>
    <row r="61" spans="1:3" x14ac:dyDescent="0.25">
      <c r="A61" s="8">
        <v>50</v>
      </c>
      <c r="B61">
        <f t="shared" si="0"/>
        <v>30.5</v>
      </c>
      <c r="C61" s="11">
        <f t="shared" si="0"/>
        <v>10.6</v>
      </c>
    </row>
    <row r="62" spans="1:3" x14ac:dyDescent="0.25">
      <c r="A62" s="8">
        <v>75</v>
      </c>
      <c r="B62">
        <f t="shared" si="0"/>
        <v>40</v>
      </c>
      <c r="C62" s="11">
        <f t="shared" si="0"/>
        <v>14.4</v>
      </c>
    </row>
    <row r="63" spans="1:3" x14ac:dyDescent="0.25">
      <c r="A63" s="8">
        <v>90</v>
      </c>
      <c r="B63">
        <f t="shared" si="0"/>
        <v>48</v>
      </c>
      <c r="C63" s="11">
        <f t="shared" si="0"/>
        <v>20.337660000000007</v>
      </c>
    </row>
    <row r="64" spans="1:3" x14ac:dyDescent="0.25">
      <c r="A64" s="8" t="s">
        <v>75</v>
      </c>
      <c r="B64">
        <f>MAX(B2:B54)</f>
        <v>48</v>
      </c>
      <c r="C64" s="11">
        <f>MAX(C2:C54)</f>
        <v>26.82</v>
      </c>
    </row>
  </sheetData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4" sqref="M4:M11"/>
    </sheetView>
  </sheetViews>
  <sheetFormatPr defaultRowHeight="15" x14ac:dyDescent="0.25"/>
  <sheetData>
    <row r="1" spans="1:13" x14ac:dyDescent="0.25">
      <c r="B1" t="s">
        <v>77</v>
      </c>
      <c r="C1" s="7" t="s">
        <v>9</v>
      </c>
      <c r="E1" s="7" t="s">
        <v>3</v>
      </c>
      <c r="H1" s="8"/>
      <c r="I1" s="21" t="s">
        <v>87</v>
      </c>
      <c r="J1" s="21"/>
      <c r="K1" s="21"/>
      <c r="L1" s="21"/>
      <c r="M1" s="21"/>
    </row>
    <row r="2" spans="1:13" x14ac:dyDescent="0.25">
      <c r="A2" s="6" t="s">
        <v>69</v>
      </c>
      <c r="B2" s="7">
        <v>7</v>
      </c>
      <c r="C2" s="11">
        <v>38.700000000000003</v>
      </c>
      <c r="D2" s="11">
        <v>3.8935844667863559</v>
      </c>
      <c r="E2" s="11">
        <v>12.616875</v>
      </c>
      <c r="F2" s="11">
        <v>3.838878620443738</v>
      </c>
      <c r="H2" s="8"/>
      <c r="I2" s="8" t="s">
        <v>69</v>
      </c>
      <c r="J2" s="8" t="s">
        <v>70</v>
      </c>
      <c r="K2" s="8" t="s">
        <v>71</v>
      </c>
      <c r="L2" s="8" t="s">
        <v>86</v>
      </c>
      <c r="M2" s="8" t="s">
        <v>88</v>
      </c>
    </row>
    <row r="3" spans="1:13" x14ac:dyDescent="0.25">
      <c r="A3" s="6" t="s">
        <v>70</v>
      </c>
      <c r="B3" s="7">
        <v>20</v>
      </c>
      <c r="C3" s="11">
        <v>25.875</v>
      </c>
      <c r="D3" s="11">
        <v>3.6142080737002402</v>
      </c>
      <c r="E3" s="11">
        <v>12.977062271183872</v>
      </c>
      <c r="F3" s="11">
        <v>5.4428271302578022</v>
      </c>
      <c r="H3" s="8" t="s">
        <v>41</v>
      </c>
      <c r="I3" s="2">
        <f>Fluoro!E12</f>
        <v>14.398642857142857</v>
      </c>
      <c r="J3" s="2">
        <f>Fluoro!E45</f>
        <v>12.977062271183872</v>
      </c>
      <c r="K3" s="2">
        <f>Fluoro!E68</f>
        <v>6.8759274272730542</v>
      </c>
      <c r="L3" s="2">
        <f>Fluoro!E95</f>
        <v>11.765141517309575</v>
      </c>
      <c r="M3" s="11">
        <f>Sheet2!C56</f>
        <v>11.555549056603772</v>
      </c>
    </row>
    <row r="4" spans="1:13" x14ac:dyDescent="0.25">
      <c r="A4" s="6" t="s">
        <v>71</v>
      </c>
      <c r="B4" s="7">
        <v>11</v>
      </c>
      <c r="C4" s="11">
        <v>42.25</v>
      </c>
      <c r="D4" s="11">
        <v>11.5</v>
      </c>
      <c r="E4" s="11">
        <v>6.8759274272730542</v>
      </c>
      <c r="F4" s="11">
        <v>4.3408585733147858</v>
      </c>
      <c r="H4" s="8" t="s">
        <v>42</v>
      </c>
      <c r="I4" s="2">
        <f>Fluoro!E13</f>
        <v>6.4130001085963784</v>
      </c>
      <c r="J4" s="2">
        <f>Fluoro!E46</f>
        <v>5.4428271302578022</v>
      </c>
      <c r="K4" s="2">
        <f>Fluoro!E69</f>
        <v>4.3408585733147858</v>
      </c>
      <c r="L4" s="2">
        <f>Fluoro!E96</f>
        <v>5.0585891836694374</v>
      </c>
      <c r="M4" s="11">
        <f>Sheet2!C57</f>
        <v>5.7090455468500823</v>
      </c>
    </row>
    <row r="5" spans="1:13" x14ac:dyDescent="0.25">
      <c r="A5" s="6" t="s">
        <v>72</v>
      </c>
      <c r="B5" s="7">
        <v>15</v>
      </c>
      <c r="C5" s="11">
        <v>26.75</v>
      </c>
      <c r="D5" s="11">
        <v>4.3301270189221936</v>
      </c>
      <c r="E5" s="11">
        <v>11.765141517309575</v>
      </c>
      <c r="F5" s="11">
        <v>5.0585891836694374</v>
      </c>
      <c r="H5" s="8" t="s">
        <v>74</v>
      </c>
      <c r="I5" s="2">
        <f>Fluoro!E14</f>
        <v>6.0750000000000002</v>
      </c>
      <c r="J5" s="2">
        <f>Fluoro!E47</f>
        <v>7.11</v>
      </c>
      <c r="K5" s="2">
        <f>Fluoro!E70</f>
        <v>1.9035</v>
      </c>
      <c r="L5" s="2">
        <f>Fluoro!E97</f>
        <v>5.0694038421965111</v>
      </c>
      <c r="M5" s="11">
        <f>Sheet2!C58</f>
        <v>1.9035</v>
      </c>
    </row>
    <row r="6" spans="1:13" x14ac:dyDescent="0.25">
      <c r="H6" s="8">
        <v>10</v>
      </c>
      <c r="I6" s="2">
        <f>Fluoro!E15</f>
        <v>7.29</v>
      </c>
      <c r="J6" s="2">
        <f>Fluoro!E48</f>
        <v>7.7931354722728141</v>
      </c>
      <c r="K6" s="2">
        <f>Fluoro!E71</f>
        <v>2.0699999999999998</v>
      </c>
      <c r="L6" s="2">
        <f>Fluoro!E98</f>
        <v>6.3415257419908126</v>
      </c>
      <c r="M6" s="11">
        <f>Sheet2!C59</f>
        <v>5.2453599999999998</v>
      </c>
    </row>
    <row r="7" spans="1:13" x14ac:dyDescent="0.25">
      <c r="H7" s="8">
        <v>25</v>
      </c>
      <c r="I7" s="2">
        <f>Fluoro!E16</f>
        <v>9.588750000000001</v>
      </c>
      <c r="J7" s="2">
        <f>Fluoro!E49</f>
        <v>8.254999999999999</v>
      </c>
      <c r="K7" s="2">
        <f>Fluoro!E72</f>
        <v>3.4106187454046131</v>
      </c>
      <c r="L7" s="2">
        <f>Fluoro!E99</f>
        <v>7.7459905484266507</v>
      </c>
      <c r="M7" s="11">
        <f>Sheet2!C60</f>
        <v>7.7489999999999997</v>
      </c>
    </row>
    <row r="8" spans="1:13" x14ac:dyDescent="0.25">
      <c r="H8" s="8">
        <v>50</v>
      </c>
      <c r="I8" s="2">
        <f>Fluoro!E17</f>
        <v>14.4</v>
      </c>
      <c r="J8" s="2">
        <f>Fluoro!E50</f>
        <v>12.195</v>
      </c>
      <c r="K8" s="2">
        <f>Fluoro!E73</f>
        <v>6.5475000000000003</v>
      </c>
      <c r="L8" s="2">
        <f>Fluoro!E100</f>
        <v>12.545999999999999</v>
      </c>
      <c r="M8" s="11">
        <f>Sheet2!C61</f>
        <v>10.6</v>
      </c>
    </row>
    <row r="9" spans="1:13" x14ac:dyDescent="0.25">
      <c r="H9" s="8">
        <v>75</v>
      </c>
      <c r="I9" s="2">
        <f>Fluoro!E18</f>
        <v>19.119</v>
      </c>
      <c r="J9" s="2">
        <f>Fluoro!E51</f>
        <v>14.865</v>
      </c>
      <c r="K9" s="2">
        <f>Fluoro!E74</f>
        <v>9.0481883329921402</v>
      </c>
      <c r="L9" s="2">
        <f>Fluoro!E101</f>
        <v>13.232250000000001</v>
      </c>
      <c r="M9" s="11">
        <f>Sheet2!C62</f>
        <v>14.4</v>
      </c>
    </row>
    <row r="10" spans="1:13" x14ac:dyDescent="0.25">
      <c r="H10" s="8">
        <v>90</v>
      </c>
      <c r="I10" s="2">
        <f>Fluoro!E19</f>
        <v>21.968799999999998</v>
      </c>
      <c r="J10" s="2">
        <f>Fluoro!E52</f>
        <v>20.89</v>
      </c>
      <c r="K10" s="2">
        <f>Fluoro!E75</f>
        <v>12.545999999999999</v>
      </c>
      <c r="L10" s="2">
        <f>Fluoro!E102</f>
        <v>18.187385120524507</v>
      </c>
      <c r="M10" s="11">
        <f>Sheet2!C63</f>
        <v>20.337660000000007</v>
      </c>
    </row>
    <row r="11" spans="1:13" x14ac:dyDescent="0.25">
      <c r="H11" s="8" t="s">
        <v>75</v>
      </c>
      <c r="I11" s="2">
        <f>Fluoro!E20</f>
        <v>22.9</v>
      </c>
      <c r="J11" s="2">
        <f>Fluoro!E53</f>
        <v>26.82</v>
      </c>
      <c r="K11" s="2">
        <f>Fluoro!E76</f>
        <v>14.877000000000002</v>
      </c>
      <c r="L11" s="2">
        <f>Fluoro!E103</f>
        <v>23.13</v>
      </c>
      <c r="M11" s="11">
        <f>Sheet2!C64</f>
        <v>26.82</v>
      </c>
    </row>
  </sheetData>
  <mergeCells count="1">
    <mergeCell ref="I1:M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K1" workbookViewId="0">
      <selection activeCell="I62" sqref="I62"/>
    </sheetView>
  </sheetViews>
  <sheetFormatPr defaultRowHeight="15" x14ac:dyDescent="0.25"/>
  <cols>
    <col min="1" max="1" width="14.42578125" style="12" bestFit="1" customWidth="1"/>
    <col min="2" max="4" width="9.140625" style="15"/>
    <col min="5" max="11" width="9.140625" style="12"/>
    <col min="13" max="13" width="9.140625" style="12"/>
    <col min="14" max="16" width="9.140625" style="15"/>
    <col min="17" max="17" width="9.140625" style="2"/>
    <col min="18" max="23" width="9.140625" style="14"/>
    <col min="25" max="25" width="13.140625" bestFit="1" customWidth="1"/>
    <col min="26" max="26" width="19.7109375" bestFit="1" customWidth="1"/>
    <col min="27" max="27" width="18.7109375" bestFit="1" customWidth="1"/>
  </cols>
  <sheetData>
    <row r="1" spans="1:27" x14ac:dyDescent="0.25">
      <c r="F1" s="21" t="s">
        <v>16</v>
      </c>
      <c r="G1" s="21"/>
      <c r="H1" s="21" t="s">
        <v>17</v>
      </c>
      <c r="I1" s="21"/>
      <c r="J1" s="21" t="s">
        <v>18</v>
      </c>
      <c r="K1" s="21"/>
      <c r="M1" s="12" t="s">
        <v>88</v>
      </c>
      <c r="R1" s="22" t="s">
        <v>16</v>
      </c>
      <c r="S1" s="22"/>
      <c r="T1" s="22" t="s">
        <v>17</v>
      </c>
      <c r="U1" s="22"/>
      <c r="V1" s="22" t="s">
        <v>18</v>
      </c>
      <c r="W1" s="22"/>
      <c r="Y1" s="9" t="s">
        <v>81</v>
      </c>
      <c r="Z1" t="s">
        <v>84</v>
      </c>
      <c r="AA1" t="s">
        <v>92</v>
      </c>
    </row>
    <row r="2" spans="1:27" x14ac:dyDescent="0.25">
      <c r="A2" s="12" t="s">
        <v>2</v>
      </c>
      <c r="B2" s="15" t="s">
        <v>9</v>
      </c>
      <c r="C2" s="15" t="s">
        <v>0</v>
      </c>
      <c r="D2" s="15" t="s">
        <v>1</v>
      </c>
      <c r="E2" s="12" t="s">
        <v>3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M2" s="12" t="s">
        <v>2</v>
      </c>
      <c r="N2" s="15" t="s">
        <v>9</v>
      </c>
      <c r="O2" s="15" t="s">
        <v>0</v>
      </c>
      <c r="P2" s="15" t="s">
        <v>1</v>
      </c>
      <c r="Q2" s="2" t="s">
        <v>3</v>
      </c>
      <c r="R2" s="14" t="s">
        <v>10</v>
      </c>
      <c r="S2" s="14" t="s">
        <v>11</v>
      </c>
      <c r="T2" s="14" t="s">
        <v>12</v>
      </c>
      <c r="U2" s="14" t="s">
        <v>13</v>
      </c>
      <c r="V2" s="14" t="s">
        <v>14</v>
      </c>
      <c r="W2" s="14" t="s">
        <v>15</v>
      </c>
      <c r="Y2" s="23">
        <v>20</v>
      </c>
      <c r="Z2" s="11">
        <v>13.628699999999998</v>
      </c>
      <c r="AA2" s="11">
        <v>4.9600712273111451</v>
      </c>
    </row>
    <row r="3" spans="1:27" x14ac:dyDescent="0.25">
      <c r="A3" s="12" t="str">
        <f>Fluoro!A5</f>
        <v>NT03</v>
      </c>
      <c r="B3" s="15">
        <f>Fluoro!B5</f>
        <v>40</v>
      </c>
      <c r="C3" s="15">
        <f>Fluoro!C5</f>
        <v>95</v>
      </c>
      <c r="D3" s="15">
        <f>Fluoro!D5</f>
        <v>1.9</v>
      </c>
      <c r="E3" s="2">
        <f>Fluoro!E5</f>
        <v>22.9</v>
      </c>
      <c r="F3" s="14" t="str">
        <f>Fluoro!F5</f>
        <v/>
      </c>
      <c r="G3" s="14" t="str">
        <f>Fluoro!G5</f>
        <v/>
      </c>
      <c r="H3" s="14">
        <f>Fluoro!H5</f>
        <v>0.13187772925764193</v>
      </c>
      <c r="I3" s="14">
        <f>Fluoro!I5</f>
        <v>3.7074235807860267</v>
      </c>
      <c r="J3" s="14">
        <f>Fluoro!J5</f>
        <v>1.097816593886463</v>
      </c>
      <c r="K3" s="14">
        <f>Fluoro!K5</f>
        <v>1.4672489082969433</v>
      </c>
      <c r="M3" s="12" t="str">
        <f>Fluoro!A95</f>
        <v>Avg</v>
      </c>
      <c r="N3" s="15">
        <f>Fluoro!B95</f>
        <v>27.866666666666667</v>
      </c>
      <c r="O3" s="15">
        <f>Fluoro!C95</f>
        <v>67.373333333333335</v>
      </c>
      <c r="P3" s="15">
        <f>Fluoro!D95</f>
        <v>142.02666666666667</v>
      </c>
      <c r="Q3" s="2">
        <f>Fluoro!E95</f>
        <v>11.765141517309575</v>
      </c>
      <c r="R3" s="14">
        <f>Fluoro!F95</f>
        <v>0.51477032819978108</v>
      </c>
      <c r="S3" s="14">
        <f>Fluoro!G95</f>
        <v>2.0276914593212543</v>
      </c>
      <c r="T3" s="14">
        <f>Fluoro!H95</f>
        <v>0.12007275854077794</v>
      </c>
      <c r="U3" s="14">
        <f>Fluoro!I95</f>
        <v>5.685782047721391</v>
      </c>
      <c r="V3" s="14">
        <f>Fluoro!J95</f>
        <v>1.3546218774066532</v>
      </c>
      <c r="W3" s="14">
        <f>Fluoro!K95</f>
        <v>2.0527292936678792</v>
      </c>
      <c r="Y3" s="23">
        <v>23</v>
      </c>
      <c r="Z3" s="11">
        <v>13.783721095222749</v>
      </c>
      <c r="AA3" s="11">
        <v>4.6444190551772095</v>
      </c>
    </row>
    <row r="4" spans="1:27" x14ac:dyDescent="0.25">
      <c r="A4" s="12" t="str">
        <f>Fluoro!A6</f>
        <v>NT04</v>
      </c>
      <c r="B4" s="15">
        <f>Fluoro!B6</f>
        <v>40</v>
      </c>
      <c r="C4" s="15">
        <f>Fluoro!C6</f>
        <v>77</v>
      </c>
      <c r="D4" s="15">
        <f>Fluoro!D6</f>
        <v>1.7</v>
      </c>
      <c r="E4" s="2">
        <f>Fluoro!E6</f>
        <v>6.0750000000000002</v>
      </c>
      <c r="F4" s="14">
        <f>Fluoro!F6</f>
        <v>0.70370370370370372</v>
      </c>
      <c r="G4" s="14">
        <f>Fluoro!G6</f>
        <v>2.0518518518518518</v>
      </c>
      <c r="H4" s="14">
        <f>Fluoro!H6</f>
        <v>0.21234567901234569</v>
      </c>
      <c r="I4" s="14">
        <f>Fluoro!I6</f>
        <v>3.5123456790123453</v>
      </c>
      <c r="J4" s="14">
        <f>Fluoro!J6</f>
        <v>1.1938271604938271</v>
      </c>
      <c r="K4" s="14">
        <f>Fluoro!K6</f>
        <v>2.0185185185185186</v>
      </c>
      <c r="M4" s="12" t="str">
        <f>Fluoro!A96</f>
        <v>SD</v>
      </c>
      <c r="N4" s="15">
        <f>Fluoro!B96</f>
        <v>8.6735778304545352</v>
      </c>
      <c r="O4" s="15">
        <f>Fluoro!C96</f>
        <v>3.1774802835550293</v>
      </c>
      <c r="P4" s="15">
        <f>Fluoro!D96</f>
        <v>36.513470443242198</v>
      </c>
      <c r="Q4" s="2">
        <f>Fluoro!E96</f>
        <v>5.0585891836694374</v>
      </c>
      <c r="R4" s="14">
        <f>Fluoro!F96</f>
        <v>0.17540051884445923</v>
      </c>
      <c r="S4" s="14">
        <f>Fluoro!G96</f>
        <v>0.63772293831702653</v>
      </c>
      <c r="T4" s="14">
        <f>Fluoro!H96</f>
        <v>2.110394620189774E-2</v>
      </c>
      <c r="U4" s="14">
        <f>Fluoro!I96</f>
        <v>2.1043211625523357</v>
      </c>
      <c r="V4" s="14">
        <f>Fluoro!J96</f>
        <v>0.23575980300754618</v>
      </c>
      <c r="W4" s="14">
        <f>Fluoro!K96</f>
        <v>0.87116611883495998</v>
      </c>
      <c r="Y4" s="23">
        <v>25</v>
      </c>
      <c r="Z4" s="11">
        <v>12.833448601344667</v>
      </c>
      <c r="AA4" s="11">
        <v>4.3890281659576074</v>
      </c>
    </row>
    <row r="5" spans="1:27" x14ac:dyDescent="0.25">
      <c r="A5" s="12" t="str">
        <f>Fluoro!A7</f>
        <v>Ped02</v>
      </c>
      <c r="B5" s="15">
        <f>Fluoro!B7</f>
        <v>30.5</v>
      </c>
      <c r="C5" s="15">
        <f>Fluoro!C7</f>
        <v>103</v>
      </c>
      <c r="D5" s="15">
        <f>Fluoro!D7</f>
        <v>1.9</v>
      </c>
      <c r="E5" s="2">
        <f>Fluoro!E7</f>
        <v>21.347999999999995</v>
      </c>
      <c r="F5" s="14" t="str">
        <f>Fluoro!F7</f>
        <v/>
      </c>
      <c r="G5" s="14" t="str">
        <f>Fluoro!G7</f>
        <v/>
      </c>
      <c r="H5" s="14">
        <f>Fluoro!H7</f>
        <v>0.12478920741989885</v>
      </c>
      <c r="I5" s="14">
        <f>Fluoro!I7</f>
        <v>4.3204047217537953</v>
      </c>
      <c r="J5" s="14">
        <f>Fluoro!J7</f>
        <v>1.537099494097808</v>
      </c>
      <c r="K5" s="14">
        <f>Fluoro!K7</f>
        <v>3.1753794266441826</v>
      </c>
      <c r="M5" s="12" t="s">
        <v>74</v>
      </c>
      <c r="N5" s="15">
        <f t="shared" ref="N5:W5" si="0">MIN(B3:B55)</f>
        <v>20</v>
      </c>
      <c r="O5" s="15">
        <f t="shared" si="0"/>
        <v>60</v>
      </c>
      <c r="P5" s="15">
        <f t="shared" si="0"/>
        <v>1.5</v>
      </c>
      <c r="Q5" s="2">
        <f t="shared" si="0"/>
        <v>1.9035</v>
      </c>
      <c r="R5" s="14">
        <f t="shared" si="0"/>
        <v>0.22568330900063638</v>
      </c>
      <c r="S5" s="14">
        <f t="shared" si="0"/>
        <v>0.79866092778574849</v>
      </c>
      <c r="T5" s="14">
        <f t="shared" si="0"/>
        <v>8.7288416860272139E-2</v>
      </c>
      <c r="U5" s="14">
        <f t="shared" si="0"/>
        <v>1.8605518269947798</v>
      </c>
      <c r="V5" s="14">
        <f t="shared" si="0"/>
        <v>0.84774436090225558</v>
      </c>
      <c r="W5" s="14">
        <f t="shared" si="0"/>
        <v>1.2009694258016406</v>
      </c>
      <c r="Y5" s="23">
        <v>30.5</v>
      </c>
      <c r="Z5" s="11">
        <v>11.362535472272814</v>
      </c>
      <c r="AA5" s="11">
        <v>5.9899823702349</v>
      </c>
    </row>
    <row r="6" spans="1:27" x14ac:dyDescent="0.25">
      <c r="A6" s="12" t="str">
        <f>Fluoro!A8</f>
        <v>Ped03</v>
      </c>
      <c r="B6" s="15">
        <f>Fluoro!B8</f>
        <v>33</v>
      </c>
      <c r="C6" s="15">
        <f>Fluoro!C8</f>
        <v>81</v>
      </c>
      <c r="D6" s="15">
        <f>Fluoro!D8</f>
        <v>2.8</v>
      </c>
      <c r="E6" s="2">
        <f>Fluoro!E8</f>
        <v>11.077500000000001</v>
      </c>
      <c r="F6" s="14">
        <f>Fluoro!F8</f>
        <v>0.72105619498984419</v>
      </c>
      <c r="G6" s="14">
        <f>Fluoro!G8</f>
        <v>1.9363574813811779</v>
      </c>
      <c r="H6" s="14">
        <f>Fluoro!H8</f>
        <v>0.19769803656059579</v>
      </c>
      <c r="I6" s="14">
        <f>Fluoro!I8</f>
        <v>3.3581584292484767</v>
      </c>
      <c r="J6" s="14">
        <f>Fluoro!J8</f>
        <v>1.3811780636425184</v>
      </c>
      <c r="K6" s="14">
        <f>Fluoro!K8</f>
        <v>2.4238320920785372</v>
      </c>
      <c r="M6" s="12">
        <v>10</v>
      </c>
      <c r="N6" s="15">
        <f t="shared" ref="N6:W10" si="1">PERCENTILE(B$3:B$55,$M6/100)</f>
        <v>23</v>
      </c>
      <c r="O6" s="15">
        <f t="shared" si="1"/>
        <v>65.2</v>
      </c>
      <c r="P6" s="15">
        <f t="shared" si="1"/>
        <v>1.92</v>
      </c>
      <c r="Q6" s="2">
        <f t="shared" si="1"/>
        <v>5.2453649877541464</v>
      </c>
      <c r="R6" s="14">
        <f t="shared" si="1"/>
        <v>0.35321473004983589</v>
      </c>
      <c r="S6" s="14">
        <f t="shared" si="1"/>
        <v>1.0200504428134973</v>
      </c>
      <c r="T6" s="14">
        <f t="shared" si="1"/>
        <v>0.10242512386260803</v>
      </c>
      <c r="U6" s="14">
        <f t="shared" si="1"/>
        <v>2.5780968127335799</v>
      </c>
      <c r="V6" s="14">
        <f t="shared" si="1"/>
        <v>1.0875870885266858</v>
      </c>
      <c r="W6" s="14">
        <f t="shared" si="1"/>
        <v>1.4537313432835821</v>
      </c>
      <c r="Y6" s="23">
        <v>33</v>
      </c>
      <c r="Z6" s="11">
        <v>14.732374562738183</v>
      </c>
      <c r="AA6" s="11">
        <v>5.6248832042340293</v>
      </c>
    </row>
    <row r="7" spans="1:27" x14ac:dyDescent="0.25">
      <c r="A7" s="12" t="str">
        <f>Fluoro!A9</f>
        <v>RT761</v>
      </c>
      <c r="B7" s="15">
        <v>40</v>
      </c>
      <c r="C7" s="15">
        <f>Fluoro!C9</f>
        <v>73</v>
      </c>
      <c r="D7" s="15">
        <f>Fluoro!D9</f>
        <v>23.7</v>
      </c>
      <c r="E7" s="2">
        <f>Fluoro!E9</f>
        <v>8.1</v>
      </c>
      <c r="F7" s="14">
        <f>Fluoro!F9</f>
        <v>0.76666666666666672</v>
      </c>
      <c r="G7" s="14">
        <f>Fluoro!G9</f>
        <v>1.4933333333333334</v>
      </c>
      <c r="H7" s="14">
        <f>Fluoro!H9</f>
        <v>0.18</v>
      </c>
      <c r="I7" s="14">
        <f>Fluoro!I9</f>
        <v>4.2588888888888885</v>
      </c>
      <c r="J7" s="14">
        <f>Fluoro!J9</f>
        <v>1.3444444444444446</v>
      </c>
      <c r="K7" s="14">
        <f>Fluoro!K9</f>
        <v>1.7555555555555558</v>
      </c>
      <c r="M7" s="12">
        <v>25</v>
      </c>
      <c r="N7" s="15">
        <f t="shared" si="1"/>
        <v>25</v>
      </c>
      <c r="O7" s="15">
        <f t="shared" si="1"/>
        <v>66</v>
      </c>
      <c r="P7" s="15">
        <f t="shared" si="1"/>
        <v>2.9</v>
      </c>
      <c r="Q7" s="2">
        <f t="shared" si="1"/>
        <v>7.7489999999999979</v>
      </c>
      <c r="R7" s="14">
        <f t="shared" si="1"/>
        <v>0.38863985441917925</v>
      </c>
      <c r="S7" s="14">
        <f t="shared" si="1"/>
        <v>1.2112470528446955</v>
      </c>
      <c r="T7" s="14">
        <f t="shared" si="1"/>
        <v>0.12182249583919039</v>
      </c>
      <c r="U7" s="14">
        <f t="shared" si="1"/>
        <v>3.3581584292484767</v>
      </c>
      <c r="V7" s="14">
        <f t="shared" si="1"/>
        <v>1.2710084033613449</v>
      </c>
      <c r="W7" s="14">
        <f t="shared" si="1"/>
        <v>1.5895752961744973</v>
      </c>
      <c r="Y7" s="23">
        <v>40</v>
      </c>
      <c r="Z7" s="11">
        <v>9.303312499999997</v>
      </c>
      <c r="AA7" s="11">
        <v>7.9229566403021074</v>
      </c>
    </row>
    <row r="8" spans="1:27" x14ac:dyDescent="0.25">
      <c r="A8" s="12" t="str">
        <f>Fluoro!A10</f>
        <v>ART2205</v>
      </c>
      <c r="B8" s="15">
        <f>Fluoro!B10</f>
        <v>40</v>
      </c>
      <c r="C8" s="15">
        <f>Fluoro!C10</f>
        <v>74</v>
      </c>
      <c r="D8" s="15">
        <f>Fluoro!D10</f>
        <v>1.5</v>
      </c>
      <c r="E8" s="2">
        <f>Fluoro!E10</f>
        <v>16.89</v>
      </c>
      <c r="F8" s="14">
        <f>Fluoro!F10</f>
        <v>0.75488454706927177</v>
      </c>
      <c r="G8" s="14">
        <f>Fluoro!G10</f>
        <v>1.4801657785671996</v>
      </c>
      <c r="H8" s="14">
        <f>Fluoro!H10</f>
        <v>0.24393132030787448</v>
      </c>
      <c r="I8" s="14">
        <f>Fluoro!I10</f>
        <v>2.9011249259917111</v>
      </c>
      <c r="J8" s="14">
        <f>Fluoro!J10</f>
        <v>1.2196566015393724</v>
      </c>
      <c r="K8" s="14">
        <f>Fluoro!K10</f>
        <v>1.8342214328004736</v>
      </c>
      <c r="M8" s="12">
        <v>50</v>
      </c>
      <c r="N8" s="15">
        <f t="shared" si="1"/>
        <v>30.5</v>
      </c>
      <c r="O8" s="15">
        <f t="shared" si="1"/>
        <v>70</v>
      </c>
      <c r="P8" s="15">
        <f t="shared" si="1"/>
        <v>20.9</v>
      </c>
      <c r="Q8" s="2">
        <f t="shared" si="1"/>
        <v>10.6</v>
      </c>
      <c r="R8" s="14">
        <f t="shared" si="1"/>
        <v>0.47349737363299749</v>
      </c>
      <c r="S8" s="14">
        <f t="shared" si="1"/>
        <v>1.600635723844261</v>
      </c>
      <c r="T8" s="14">
        <f t="shared" si="1"/>
        <v>0.14701492537313432</v>
      </c>
      <c r="U8" s="14">
        <f t="shared" si="1"/>
        <v>4.271448663853727</v>
      </c>
      <c r="V8" s="14">
        <f t="shared" si="1"/>
        <v>1.3811780636425184</v>
      </c>
      <c r="W8" s="14">
        <f t="shared" si="1"/>
        <v>2.0185185185185186</v>
      </c>
      <c r="Y8" s="23">
        <v>48</v>
      </c>
      <c r="Z8" s="11">
        <v>6.9254923057750641</v>
      </c>
      <c r="AA8" s="11">
        <v>2.5625744805304476</v>
      </c>
    </row>
    <row r="9" spans="1:27" x14ac:dyDescent="0.25">
      <c r="A9" s="12" t="str">
        <f>Fluoro!A11</f>
        <v>ART2208</v>
      </c>
      <c r="B9" s="15">
        <f>Fluoro!B11</f>
        <v>40</v>
      </c>
      <c r="C9" s="15">
        <f>Fluoro!C11</f>
        <v>74</v>
      </c>
      <c r="D9" s="15">
        <f>Fluoro!D11</f>
        <v>1.5</v>
      </c>
      <c r="E9" s="2">
        <f>Fluoro!E11</f>
        <v>14.4</v>
      </c>
      <c r="F9" s="14">
        <f>Fluoro!F11</f>
        <v>0.74375000000000002</v>
      </c>
      <c r="G9" s="14">
        <f>Fluoro!G11</f>
        <v>1.4652777777777779</v>
      </c>
      <c r="H9" s="14">
        <f>Fluoro!H11</f>
        <v>0.22222222222222224</v>
      </c>
      <c r="I9" s="14">
        <f>Fluoro!I11</f>
        <v>3.0229166666666667</v>
      </c>
      <c r="J9" s="14">
        <f>Fluoro!J11</f>
        <v>1.2291666666666665</v>
      </c>
      <c r="K9" s="14">
        <f>Fluoro!K11</f>
        <v>1.8513888888888888</v>
      </c>
      <c r="M9" s="12">
        <v>75</v>
      </c>
      <c r="N9" s="15">
        <f t="shared" si="1"/>
        <v>40</v>
      </c>
      <c r="O9" s="15">
        <f t="shared" si="1"/>
        <v>79</v>
      </c>
      <c r="P9" s="15">
        <f t="shared" si="1"/>
        <v>110.2</v>
      </c>
      <c r="Q9" s="2">
        <f t="shared" si="1"/>
        <v>14.4</v>
      </c>
      <c r="R9" s="14">
        <f t="shared" si="1"/>
        <v>0.60565145537721421</v>
      </c>
      <c r="S9" s="14">
        <f t="shared" si="1"/>
        <v>2.0126582278481013</v>
      </c>
      <c r="T9" s="14">
        <f t="shared" si="1"/>
        <v>0.24020408163265305</v>
      </c>
      <c r="U9" s="14">
        <f t="shared" si="1"/>
        <v>6.007581564738488</v>
      </c>
      <c r="V9" s="14">
        <f t="shared" si="1"/>
        <v>1.5726122265577076</v>
      </c>
      <c r="W9" s="14">
        <f t="shared" si="1"/>
        <v>2.4664521177493599</v>
      </c>
      <c r="Y9" s="23" t="s">
        <v>80</v>
      </c>
      <c r="Z9" s="11">
        <v>11.555548488364614</v>
      </c>
      <c r="AA9" s="11">
        <v>5.709044992795044</v>
      </c>
    </row>
    <row r="10" spans="1:27" x14ac:dyDescent="0.25">
      <c r="A10" s="12" t="str">
        <f>Fluoro!A25</f>
        <v>C-arm 7</v>
      </c>
      <c r="B10" s="15">
        <f>Fluoro!B25</f>
        <v>30.5</v>
      </c>
      <c r="C10" s="15">
        <f>Fluoro!C25</f>
        <v>76</v>
      </c>
      <c r="D10" s="15">
        <f>Fluoro!D25</f>
        <v>1.9</v>
      </c>
      <c r="E10" s="2">
        <f>Fluoro!E25</f>
        <v>7.96</v>
      </c>
      <c r="F10" s="14">
        <f>Fluoro!F25</f>
        <v>0.48316582914572864</v>
      </c>
      <c r="G10" s="14">
        <f>Fluoro!G25</f>
        <v>1.8052763819095476</v>
      </c>
      <c r="H10" s="14">
        <f>Fluoro!H25</f>
        <v>0.26381909547738697</v>
      </c>
      <c r="I10" s="14">
        <f>Fluoro!I25</f>
        <v>3.9798994974874371</v>
      </c>
      <c r="J10" s="14">
        <f>Fluoro!J25</f>
        <v>1.7801507537688441</v>
      </c>
      <c r="K10" s="14">
        <f>Fluoro!K25</f>
        <v>2.5376884422110551</v>
      </c>
      <c r="M10" s="12">
        <v>90</v>
      </c>
      <c r="N10" s="15">
        <f t="shared" si="1"/>
        <v>48</v>
      </c>
      <c r="O10" s="15">
        <f t="shared" si="1"/>
        <v>81</v>
      </c>
      <c r="P10" s="15">
        <f t="shared" si="1"/>
        <v>148.94000000000005</v>
      </c>
      <c r="Q10" s="2">
        <f t="shared" si="1"/>
        <v>20.337661706841509</v>
      </c>
      <c r="R10" s="14">
        <f t="shared" si="1"/>
        <v>0.76931709052107422</v>
      </c>
      <c r="S10" s="14">
        <f t="shared" si="1"/>
        <v>2.7895981087470449</v>
      </c>
      <c r="T10" s="14">
        <f t="shared" si="1"/>
        <v>0.26327646241511604</v>
      </c>
      <c r="U10" s="14">
        <f t="shared" si="1"/>
        <v>7.5487280180826577</v>
      </c>
      <c r="V10" s="14">
        <f t="shared" si="1"/>
        <v>1.766189568532317</v>
      </c>
      <c r="W10" s="14">
        <f t="shared" si="1"/>
        <v>3.1753794266441826</v>
      </c>
    </row>
    <row r="11" spans="1:27" x14ac:dyDescent="0.25">
      <c r="A11" s="12" t="str">
        <f>Fluoro!A26</f>
        <v>C-arm 8</v>
      </c>
      <c r="B11" s="15">
        <f>Fluoro!B26</f>
        <v>23</v>
      </c>
      <c r="C11" s="15">
        <f>Fluoro!C26</f>
        <v>80</v>
      </c>
      <c r="D11" s="15">
        <f>Fluoro!D26</f>
        <v>3</v>
      </c>
      <c r="E11" s="2">
        <f>Fluoro!E26</f>
        <v>14.5</v>
      </c>
      <c r="F11" s="14">
        <f>Fluoro!F26</f>
        <v>0.45655172413793105</v>
      </c>
      <c r="G11" s="14">
        <f>Fluoro!G26</f>
        <v>1.9517241379310346</v>
      </c>
      <c r="H11" s="14">
        <f>Fluoro!H26</f>
        <v>0.25310344827586206</v>
      </c>
      <c r="I11" s="14">
        <f>Fluoro!I26</f>
        <v>3.6275862068965519</v>
      </c>
      <c r="J11" s="14">
        <f>Fluoro!J26</f>
        <v>1.710344827586207</v>
      </c>
      <c r="K11" s="14">
        <f>Fluoro!K26</f>
        <v>2.1103448275862071</v>
      </c>
      <c r="M11" s="12" t="s">
        <v>75</v>
      </c>
      <c r="N11" s="15">
        <f t="shared" ref="N11:W11" si="2">MAX(B3:B55)</f>
        <v>48</v>
      </c>
      <c r="O11" s="15">
        <f t="shared" si="2"/>
        <v>103</v>
      </c>
      <c r="P11" s="15">
        <f t="shared" si="2"/>
        <v>200</v>
      </c>
      <c r="Q11" s="2">
        <f t="shared" si="2"/>
        <v>26.82</v>
      </c>
      <c r="R11" s="14">
        <f t="shared" si="2"/>
        <v>1.0307328605200947</v>
      </c>
      <c r="S11" s="14">
        <f t="shared" si="2"/>
        <v>2.9165925662457761</v>
      </c>
      <c r="T11" s="14">
        <f t="shared" si="2"/>
        <v>0.34130434782608698</v>
      </c>
      <c r="U11" s="14">
        <f t="shared" si="2"/>
        <v>10.545454545454545</v>
      </c>
      <c r="V11" s="14">
        <f t="shared" si="2"/>
        <v>2.0581896551724137</v>
      </c>
      <c r="W11" s="14">
        <f t="shared" si="2"/>
        <v>4.775187467909304</v>
      </c>
    </row>
    <row r="12" spans="1:27" x14ac:dyDescent="0.25">
      <c r="A12" s="12" t="str">
        <f>Fluoro!A27</f>
        <v>C-arm 9</v>
      </c>
      <c r="B12" s="15">
        <f>Fluoro!B27</f>
        <v>23</v>
      </c>
      <c r="C12" s="15">
        <f>Fluoro!C27</f>
        <v>79</v>
      </c>
      <c r="D12" s="15">
        <f>Fluoro!D27</f>
        <v>2.9</v>
      </c>
      <c r="E12" s="2">
        <f>Fluoro!E27</f>
        <v>11.8</v>
      </c>
      <c r="F12" s="14">
        <f>Fluoro!F27</f>
        <v>0.43474576271186438</v>
      </c>
      <c r="G12" s="14">
        <f>Fluoro!G27</f>
        <v>1.8008474576271185</v>
      </c>
      <c r="H12" s="14">
        <f>Fluoro!H27</f>
        <v>0.24406779661016947</v>
      </c>
      <c r="I12" s="14">
        <f>Fluoro!I27</f>
        <v>4.3135593220338979</v>
      </c>
      <c r="J12" s="14">
        <f>Fluoro!J27</f>
        <v>1.6550847457627118</v>
      </c>
      <c r="K12" s="14">
        <f>Fluoro!K27</f>
        <v>2.2449152542372879</v>
      </c>
    </row>
    <row r="13" spans="1:27" x14ac:dyDescent="0.25">
      <c r="A13" s="12" t="str">
        <f>Fluoro!A28</f>
        <v>C-arm 10</v>
      </c>
      <c r="B13" s="15">
        <f>Fluoro!B28</f>
        <v>23</v>
      </c>
      <c r="C13" s="15">
        <f>Fluoro!C28</f>
        <v>79</v>
      </c>
      <c r="D13" s="15">
        <f>Fluoro!D28</f>
        <v>2.9</v>
      </c>
      <c r="E13" s="2">
        <f>Fluoro!E28</f>
        <v>10.6</v>
      </c>
      <c r="F13" s="14">
        <f>Fluoro!F28</f>
        <v>0.43962264150943398</v>
      </c>
      <c r="G13" s="14">
        <f>Fluoro!G28</f>
        <v>1.8066037735849056</v>
      </c>
      <c r="H13" s="14">
        <f>Fluoro!H28</f>
        <v>0.25518867924528305</v>
      </c>
      <c r="I13" s="14">
        <f>Fluoro!I28</f>
        <v>4.0886792452830196</v>
      </c>
      <c r="J13" s="14">
        <f>Fluoro!J28</f>
        <v>1.4179245283018869</v>
      </c>
      <c r="K13" s="14">
        <f>Fluoro!K28</f>
        <v>1.9943396226415095</v>
      </c>
      <c r="M13" s="12" t="s">
        <v>69</v>
      </c>
      <c r="R13" s="22" t="s">
        <v>16</v>
      </c>
      <c r="S13" s="22"/>
      <c r="T13" s="22" t="s">
        <v>17</v>
      </c>
      <c r="U13" s="22"/>
      <c r="V13" s="22" t="s">
        <v>18</v>
      </c>
      <c r="W13" s="22"/>
    </row>
    <row r="14" spans="1:27" x14ac:dyDescent="0.25">
      <c r="A14" s="12" t="str">
        <f>Fluoro!A29</f>
        <v>C-arm 11</v>
      </c>
      <c r="B14" s="15">
        <f>Fluoro!B29</f>
        <v>30.5</v>
      </c>
      <c r="C14" s="15">
        <f>Fluoro!C29</f>
        <v>78</v>
      </c>
      <c r="D14" s="15">
        <f>Fluoro!D29</f>
        <v>2</v>
      </c>
      <c r="E14" s="2">
        <f>Fluoro!E29</f>
        <v>7.86</v>
      </c>
      <c r="F14" s="14">
        <f>Fluoro!F29</f>
        <v>0.49618320610687022</v>
      </c>
      <c r="G14" s="14">
        <f>Fluoro!G29</f>
        <v>1.866412213740458</v>
      </c>
      <c r="H14" s="14">
        <f>Fluoro!H29</f>
        <v>0.25928753180661573</v>
      </c>
      <c r="I14" s="14">
        <f>Fluoro!I29</f>
        <v>4.3193384223918576</v>
      </c>
      <c r="J14" s="14">
        <f>Fluoro!J29</f>
        <v>1.5687022900763359</v>
      </c>
      <c r="K14" s="14">
        <f>Fluoro!K29</f>
        <v>2.7989821882951653</v>
      </c>
      <c r="M14" s="12" t="s">
        <v>2</v>
      </c>
      <c r="N14" s="15" t="s">
        <v>9</v>
      </c>
      <c r="O14" s="15" t="s">
        <v>0</v>
      </c>
      <c r="P14" s="15" t="s">
        <v>1</v>
      </c>
      <c r="Q14" s="2" t="s">
        <v>3</v>
      </c>
      <c r="R14" s="14" t="s">
        <v>10</v>
      </c>
      <c r="S14" s="14" t="s">
        <v>11</v>
      </c>
      <c r="T14" s="14" t="s">
        <v>12</v>
      </c>
      <c r="U14" s="14" t="s">
        <v>13</v>
      </c>
      <c r="V14" s="14" t="s">
        <v>14</v>
      </c>
      <c r="W14" s="14" t="s">
        <v>15</v>
      </c>
    </row>
    <row r="15" spans="1:27" x14ac:dyDescent="0.25">
      <c r="A15" s="12" t="str">
        <f>Fluoro!A30</f>
        <v>C-arm 12</v>
      </c>
      <c r="B15" s="15">
        <f>Fluoro!B30</f>
        <v>30.5</v>
      </c>
      <c r="C15" s="15">
        <f>Fluoro!C30</f>
        <v>80</v>
      </c>
      <c r="D15" s="15">
        <f>Fluoro!D30</f>
        <v>2.1</v>
      </c>
      <c r="E15" s="2">
        <f>Fluoro!E30</f>
        <v>7.97</v>
      </c>
      <c r="F15" s="14">
        <f>Fluoro!F30</f>
        <v>0.51317440401505643</v>
      </c>
      <c r="G15" s="14">
        <f>Fluoro!G30</f>
        <v>1.9824341279799249</v>
      </c>
      <c r="H15" s="14">
        <f>Fluoro!H30</f>
        <v>0.2710163111668758</v>
      </c>
      <c r="I15" s="14">
        <f>Fluoro!I30</f>
        <v>4.4918444165621079</v>
      </c>
      <c r="J15" s="14">
        <f>Fluoro!J30</f>
        <v>1.6311166875784191</v>
      </c>
      <c r="K15" s="14">
        <f>Fluoro!K30</f>
        <v>2.544542032622334</v>
      </c>
      <c r="M15" s="12" t="str">
        <f>Fluoro!A12</f>
        <v>Avg</v>
      </c>
      <c r="N15" s="15">
        <f>Fluoro!B12</f>
        <v>37.9</v>
      </c>
      <c r="O15" s="15">
        <f>Fluoro!C12</f>
        <v>82.428571428571431</v>
      </c>
      <c r="P15" s="15">
        <f>Fluoro!D12</f>
        <v>5</v>
      </c>
      <c r="Q15" s="2">
        <f>Fluoro!E12</f>
        <v>14.398642857142857</v>
      </c>
      <c r="R15" s="14">
        <f>Fluoro!F12</f>
        <v>0.73801222248589726</v>
      </c>
      <c r="S15" s="14">
        <f>Fluoro!G12</f>
        <v>1.685397244582268</v>
      </c>
      <c r="T15" s="14">
        <f>Fluoro!H12</f>
        <v>0.18755202782579702</v>
      </c>
      <c r="U15" s="14">
        <f>Fluoro!I12</f>
        <v>3.583037556049701</v>
      </c>
      <c r="V15" s="14">
        <f>Fluoro!J12</f>
        <v>1.2861698606815859</v>
      </c>
      <c r="W15" s="14">
        <f>Fluoro!K12</f>
        <v>2.0751635461118716</v>
      </c>
    </row>
    <row r="16" spans="1:27" x14ac:dyDescent="0.25">
      <c r="A16" s="12" t="str">
        <f>Fluoro!A31</f>
        <v>C-arm 15</v>
      </c>
      <c r="B16" s="15">
        <f>Fluoro!B31</f>
        <v>23</v>
      </c>
      <c r="C16" s="15">
        <f>Fluoro!C31</f>
        <v>67</v>
      </c>
      <c r="D16" s="15">
        <f>Fluoro!D31</f>
        <v>3.5</v>
      </c>
      <c r="E16" s="2">
        <f>Fluoro!E31</f>
        <v>17.050768761782003</v>
      </c>
      <c r="F16" s="14">
        <f>Fluoro!F31</f>
        <v>0.38784779696596128</v>
      </c>
      <c r="G16" s="14">
        <f>Fluoro!G31</f>
        <v>1.0200504428134973</v>
      </c>
      <c r="H16" s="14">
        <f>Fluoro!H31</f>
        <v>0.12182249583919039</v>
      </c>
      <c r="I16" s="14">
        <f>Fluoro!I31</f>
        <v>3.1516153590970646</v>
      </c>
      <c r="J16" s="14">
        <f>Fluoro!J31</f>
        <v>1.5143812593534793</v>
      </c>
      <c r="K16" s="14" t="str">
        <f>Fluoro!K31</f>
        <v/>
      </c>
      <c r="M16" s="12" t="str">
        <f>Fluoro!A13</f>
        <v>SD</v>
      </c>
      <c r="N16" s="15">
        <f>Fluoro!B13</f>
        <v>4.3131581623368698</v>
      </c>
      <c r="O16" s="15">
        <f>Fluoro!C13</f>
        <v>11.858290248558058</v>
      </c>
      <c r="P16" s="15">
        <f>Fluoro!D13</f>
        <v>8.2577236572798913</v>
      </c>
      <c r="Q16" s="2">
        <f>Fluoro!E13</f>
        <v>6.4130001085963784</v>
      </c>
      <c r="R16" s="14">
        <f>Fluoro!F13</f>
        <v>2.5511056075905376E-2</v>
      </c>
      <c r="S16" s="14">
        <f>Fluoro!G13</f>
        <v>0.2849259114035157</v>
      </c>
      <c r="T16" s="14">
        <f>Fluoro!H13</f>
        <v>4.508167754811445E-2</v>
      </c>
      <c r="U16" s="14">
        <f>Fluoro!I13</f>
        <v>0.55531754477573736</v>
      </c>
      <c r="V16" s="14">
        <f>Fluoro!J13</f>
        <v>0.14552529667207817</v>
      </c>
      <c r="W16" s="14">
        <f>Fluoro!K13</f>
        <v>0.56496180867270007</v>
      </c>
    </row>
    <row r="17" spans="1:23" x14ac:dyDescent="0.25">
      <c r="A17" s="12" t="str">
        <f>Fluoro!A32</f>
        <v>C-arm 18</v>
      </c>
      <c r="B17" s="15">
        <f>Fluoro!B32</f>
        <v>30.5</v>
      </c>
      <c r="C17" s="15">
        <f>Fluoro!C32</f>
        <v>81</v>
      </c>
      <c r="D17" s="15">
        <f>Fluoro!D32</f>
        <v>2.2200000000000002</v>
      </c>
      <c r="E17" s="2">
        <f>Fluoro!E32</f>
        <v>8.35</v>
      </c>
      <c r="F17" s="14">
        <f>Fluoro!F32</f>
        <v>0.4946107784431138</v>
      </c>
      <c r="G17" s="14">
        <f>Fluoro!G32</f>
        <v>1.9520958083832336</v>
      </c>
      <c r="H17" s="14">
        <f>Fluoro!H32</f>
        <v>0.26467065868263473</v>
      </c>
      <c r="I17" s="14">
        <f>Fluoro!I32</f>
        <v>4.3113772455089823</v>
      </c>
      <c r="J17" s="14">
        <f>Fluoro!J32</f>
        <v>1.6526946107784433</v>
      </c>
      <c r="K17" s="14">
        <f>Fluoro!K32</f>
        <v>3.0059880239520962</v>
      </c>
      <c r="M17" s="12" t="str">
        <f>Fluoro!A14</f>
        <v>Min</v>
      </c>
      <c r="N17" s="15">
        <f>Fluoro!B14</f>
        <v>30.5</v>
      </c>
      <c r="O17" s="15">
        <f>Fluoro!C14</f>
        <v>73</v>
      </c>
      <c r="P17" s="15">
        <f>Fluoro!D14</f>
        <v>1.5</v>
      </c>
      <c r="Q17" s="2">
        <f>Fluoro!E14</f>
        <v>6.0750000000000002</v>
      </c>
      <c r="R17" s="14">
        <f>Fluoro!F14</f>
        <v>0.70370370370370372</v>
      </c>
      <c r="S17" s="14">
        <f>Fluoro!G14</f>
        <v>1.4652777777777779</v>
      </c>
      <c r="T17" s="14">
        <f>Fluoro!H14</f>
        <v>0.12478920741989885</v>
      </c>
      <c r="U17" s="14">
        <f>Fluoro!I14</f>
        <v>2.9011249259917111</v>
      </c>
      <c r="V17" s="14">
        <f>Fluoro!J14</f>
        <v>1.097816593886463</v>
      </c>
      <c r="W17" s="14">
        <f>Fluoro!K14</f>
        <v>1.4672489082969433</v>
      </c>
    </row>
    <row r="18" spans="1:23" x14ac:dyDescent="0.25">
      <c r="A18" s="12" t="str">
        <f>Fluoro!A33</f>
        <v>C-arm 19</v>
      </c>
      <c r="B18" s="15">
        <f>Fluoro!B33</f>
        <v>30.5</v>
      </c>
      <c r="C18" s="15">
        <f>Fluoro!C33</f>
        <v>81</v>
      </c>
      <c r="D18" s="15">
        <f>Fluoro!D33</f>
        <v>2.2200000000000002</v>
      </c>
      <c r="E18" s="2">
        <f>Fluoro!E33</f>
        <v>7.11</v>
      </c>
      <c r="F18" s="14">
        <f>Fluoro!F33</f>
        <v>0.47046413502109707</v>
      </c>
      <c r="G18" s="14">
        <f>Fluoro!G33</f>
        <v>2.0253164556962027</v>
      </c>
      <c r="H18" s="14">
        <f>Fluoro!H33</f>
        <v>0.25977496483825596</v>
      </c>
      <c r="I18" s="14">
        <f>Fluoro!I33</f>
        <v>4.271448663853727</v>
      </c>
      <c r="J18" s="14">
        <f>Fluoro!J33</f>
        <v>1.6399437412095639</v>
      </c>
      <c r="K18" s="14">
        <f>Fluoro!K33</f>
        <v>3.4571026722925455</v>
      </c>
      <c r="M18" s="12">
        <f>Fluoro!A15</f>
        <v>10</v>
      </c>
      <c r="N18" s="15">
        <f>Fluoro!B15</f>
        <v>32</v>
      </c>
      <c r="O18" s="15">
        <f>Fluoro!C15</f>
        <v>73.599999999999994</v>
      </c>
      <c r="P18" s="15">
        <f>Fluoro!D15</f>
        <v>1.5</v>
      </c>
      <c r="Q18" s="2">
        <f>Fluoro!E15</f>
        <v>7.29</v>
      </c>
      <c r="R18" s="14">
        <f>Fluoro!F15</f>
        <v>0.71064470021815995</v>
      </c>
      <c r="S18" s="14">
        <f>Fluoro!G15</f>
        <v>1.4712329780935465</v>
      </c>
      <c r="T18" s="14">
        <f>Fluoro!H15</f>
        <v>0.12904232052254469</v>
      </c>
      <c r="U18" s="14">
        <f>Fluoro!I15</f>
        <v>2.9741999703966844</v>
      </c>
      <c r="V18" s="14">
        <f>Fluoro!J15</f>
        <v>1.1554229338508815</v>
      </c>
      <c r="W18" s="14">
        <f>Fluoro!K15</f>
        <v>1.6402328966521109</v>
      </c>
    </row>
    <row r="19" spans="1:23" x14ac:dyDescent="0.25">
      <c r="A19" s="12" t="str">
        <f>Fluoro!A34</f>
        <v>ART C-arm 1</v>
      </c>
      <c r="B19" s="15">
        <f>Fluoro!B34</f>
        <v>33</v>
      </c>
      <c r="C19" s="15">
        <f>Fluoro!C34</f>
        <v>68</v>
      </c>
      <c r="D19" s="15">
        <f>Fluoro!D34</f>
        <v>6.1</v>
      </c>
      <c r="E19" s="2">
        <f>Fluoro!E34</f>
        <v>15.96</v>
      </c>
      <c r="F19" s="14">
        <f>Fluoro!F34</f>
        <v>0.38095238095238093</v>
      </c>
      <c r="G19" s="14">
        <f>Fluoro!G34</f>
        <v>1.1215538847117792</v>
      </c>
      <c r="H19" s="14">
        <f>Fluoro!H34</f>
        <v>0.14849624060150377</v>
      </c>
      <c r="I19" s="14">
        <f>Fluoro!I34</f>
        <v>2.4999999999999996</v>
      </c>
      <c r="J19" s="14">
        <f>Fluoro!J34</f>
        <v>0.84774436090225558</v>
      </c>
      <c r="K19" s="14">
        <f>Fluoro!K34</f>
        <v>1.2399749373433582</v>
      </c>
      <c r="M19" s="12">
        <f>Fluoro!A16</f>
        <v>25</v>
      </c>
      <c r="N19" s="15">
        <f>Fluoro!B16</f>
        <v>36.5</v>
      </c>
      <c r="O19" s="15">
        <f>Fluoro!C16</f>
        <v>74</v>
      </c>
      <c r="P19" s="15">
        <f>Fluoro!D16</f>
        <v>1.6</v>
      </c>
      <c r="Q19" s="2">
        <f>Fluoro!E16</f>
        <v>9.588750000000001</v>
      </c>
      <c r="R19" s="14">
        <f>Fluoro!F16</f>
        <v>0.72105619498984419</v>
      </c>
      <c r="S19" s="14">
        <f>Fluoro!G16</f>
        <v>1.4801657785671996</v>
      </c>
      <c r="T19" s="14">
        <f>Fluoro!H16</f>
        <v>0.15593886462882095</v>
      </c>
      <c r="U19" s="14">
        <f>Fluoro!I16</f>
        <v>3.1905375479575717</v>
      </c>
      <c r="V19" s="14">
        <f>Fluoro!J16</f>
        <v>1.2067418810165997</v>
      </c>
      <c r="W19" s="14">
        <f>Fluoro!K16</f>
        <v>1.7948884941780148</v>
      </c>
    </row>
    <row r="20" spans="1:23" x14ac:dyDescent="0.25">
      <c r="A20" s="12" t="str">
        <f>Fluoro!A35</f>
        <v>ART C-arm 2</v>
      </c>
      <c r="B20" s="15">
        <f>Fluoro!B35</f>
        <v>33</v>
      </c>
      <c r="C20" s="15">
        <f>Fluoro!C35</f>
        <v>66</v>
      </c>
      <c r="D20" s="15">
        <f>Fluoro!D35</f>
        <v>7.4</v>
      </c>
      <c r="E20" s="2">
        <f>Fluoro!E35</f>
        <v>12.936484788865258</v>
      </c>
      <c r="F20" s="14">
        <f>Fluoro!F35</f>
        <v>0.2933274929321219</v>
      </c>
      <c r="G20" s="14">
        <f>Fluoro!G35</f>
        <v>1.0121351544861574</v>
      </c>
      <c r="H20" s="14">
        <f>Fluoro!H35</f>
        <v>0.10128774511607846</v>
      </c>
      <c r="I20" s="14">
        <f>Fluoro!I35</f>
        <v>2.2215239888205178</v>
      </c>
      <c r="J20" s="14">
        <f>Fluoro!J35</f>
        <v>1.0822319129141866</v>
      </c>
      <c r="K20" s="14">
        <f>Fluoro!K35</f>
        <v>1.336454643235981</v>
      </c>
      <c r="M20" s="12">
        <f>Fluoro!A17</f>
        <v>50</v>
      </c>
      <c r="N20" s="15">
        <f>Fluoro!B17</f>
        <v>40</v>
      </c>
      <c r="O20" s="15">
        <f>Fluoro!C17</f>
        <v>77</v>
      </c>
      <c r="P20" s="15">
        <f>Fluoro!D17</f>
        <v>1.9</v>
      </c>
      <c r="Q20" s="2">
        <f>Fluoro!E17</f>
        <v>14.4</v>
      </c>
      <c r="R20" s="14">
        <f>Fluoro!F17</f>
        <v>0.74375000000000002</v>
      </c>
      <c r="S20" s="14">
        <f>Fluoro!G17</f>
        <v>1.4933333333333334</v>
      </c>
      <c r="T20" s="14">
        <f>Fluoro!H17</f>
        <v>0.19769803656059579</v>
      </c>
      <c r="U20" s="14">
        <f>Fluoro!I17</f>
        <v>3.5123456790123453</v>
      </c>
      <c r="V20" s="14">
        <f>Fluoro!J17</f>
        <v>1.2291666666666665</v>
      </c>
      <c r="W20" s="14">
        <f>Fluoro!K17</f>
        <v>1.8513888888888888</v>
      </c>
    </row>
    <row r="21" spans="1:23" x14ac:dyDescent="0.25">
      <c r="A21" s="12" t="str">
        <f>Fluoro!A36</f>
        <v>ART C-arm 3</v>
      </c>
      <c r="B21" s="15">
        <f>Fluoro!B36</f>
        <v>33</v>
      </c>
      <c r="C21" s="15">
        <f>Fluoro!C36</f>
        <v>68</v>
      </c>
      <c r="D21" s="15">
        <f>Fluoro!D36</f>
        <v>5.8</v>
      </c>
      <c r="E21" s="2">
        <f>Fluoro!E36</f>
        <v>13.4</v>
      </c>
      <c r="F21" s="14">
        <f>Fluoro!F36</f>
        <v>0.38805970149253732</v>
      </c>
      <c r="G21" s="14">
        <f>Fluoro!G36</f>
        <v>1.1492537313432836</v>
      </c>
      <c r="H21" s="14">
        <f>Fluoro!H36</f>
        <v>0.14701492537313432</v>
      </c>
      <c r="I21" s="14">
        <f>Fluoro!I36</f>
        <v>3.2835820895522385</v>
      </c>
      <c r="J21" s="14">
        <f>Fluoro!J36</f>
        <v>1.1507462686567165</v>
      </c>
      <c r="K21" s="14">
        <f>Fluoro!K36</f>
        <v>1.4537313432835821</v>
      </c>
      <c r="M21" s="12">
        <f>Fluoro!A18</f>
        <v>75</v>
      </c>
      <c r="N21" s="15">
        <f>Fluoro!B18</f>
        <v>40</v>
      </c>
      <c r="O21" s="15">
        <f>Fluoro!C18</f>
        <v>88</v>
      </c>
      <c r="P21" s="15">
        <f>Fluoro!D18</f>
        <v>2.3499999999999996</v>
      </c>
      <c r="Q21" s="2">
        <f>Fluoro!E18</f>
        <v>19.119</v>
      </c>
      <c r="R21" s="14">
        <f>Fluoro!F18</f>
        <v>0.75488454706927177</v>
      </c>
      <c r="S21" s="14">
        <f>Fluoro!G18</f>
        <v>1.9363574813811779</v>
      </c>
      <c r="T21" s="14">
        <f>Fluoro!H18</f>
        <v>0.21728395061728395</v>
      </c>
      <c r="U21" s="14">
        <f>Fluoro!I18</f>
        <v>3.9831562348374576</v>
      </c>
      <c r="V21" s="14">
        <f>Fluoro!J18</f>
        <v>1.3628112540434816</v>
      </c>
      <c r="W21" s="14">
        <f>Fluoro!K18</f>
        <v>2.2211753052985279</v>
      </c>
    </row>
    <row r="22" spans="1:23" x14ac:dyDescent="0.25">
      <c r="A22" s="12" t="str">
        <f>Fluoro!A37</f>
        <v>ART C-arm 4</v>
      </c>
      <c r="B22" s="15">
        <f>Fluoro!B37</f>
        <v>33</v>
      </c>
      <c r="C22" s="15">
        <f>Fluoro!C37</f>
        <v>68</v>
      </c>
      <c r="D22" s="15">
        <f>Fluoro!D37</f>
        <v>5.8</v>
      </c>
      <c r="E22" s="2">
        <f>Fluoro!E37</f>
        <v>10.342637150302032</v>
      </c>
      <c r="F22" s="14">
        <f>Fluoro!F37</f>
        <v>0.38553223294477307</v>
      </c>
      <c r="G22" s="14">
        <f>Fluoro!G37</f>
        <v>1.1525919265292337</v>
      </c>
      <c r="H22" s="14">
        <f>Fluoro!H37</f>
        <v>0.15462456985106002</v>
      </c>
      <c r="I22" s="14">
        <f>Fluoro!I37</f>
        <v>2.4972225483188568</v>
      </c>
      <c r="J22" s="14">
        <f>Fluoro!J37</f>
        <v>1.0196537853056244</v>
      </c>
      <c r="K22" s="14">
        <f>Fluoro!K37</f>
        <v>1.4883023613310651</v>
      </c>
      <c r="M22" s="12">
        <f>Fluoro!A19</f>
        <v>90</v>
      </c>
      <c r="N22" s="15">
        <f>Fluoro!B19</f>
        <v>40.72</v>
      </c>
      <c r="O22" s="15">
        <f>Fluoro!C19</f>
        <v>98.2</v>
      </c>
      <c r="P22" s="15">
        <f>Fluoro!D19</f>
        <v>11.160000000000007</v>
      </c>
      <c r="Q22" s="2">
        <f>Fluoro!E19</f>
        <v>21.968799999999998</v>
      </c>
      <c r="R22" s="14">
        <f>Fluoro!F19</f>
        <v>0.76195381882770874</v>
      </c>
      <c r="S22" s="14">
        <f>Fluoro!G19</f>
        <v>2.0056541036635824</v>
      </c>
      <c r="T22" s="14">
        <f>Fluoro!H19</f>
        <v>0.23090586145648315</v>
      </c>
      <c r="U22" s="14">
        <f>Fluoro!I19</f>
        <v>4.2834952220348512</v>
      </c>
      <c r="V22" s="14">
        <f>Fluoro!J19</f>
        <v>1.4435466358246343</v>
      </c>
      <c r="W22" s="14">
        <f>Fluoro!K19</f>
        <v>2.7244510259047958</v>
      </c>
    </row>
    <row r="23" spans="1:23" x14ac:dyDescent="0.25">
      <c r="A23" s="12" t="str">
        <f>Fluoro!A38</f>
        <v>RT Uro</v>
      </c>
      <c r="B23" s="15">
        <f>Fluoro!B38</f>
        <v>30.5</v>
      </c>
      <c r="C23" s="15">
        <f>Fluoro!C38</f>
        <v>80</v>
      </c>
      <c r="D23" s="15">
        <f>Fluoro!D38</f>
        <v>2.2000000000000002</v>
      </c>
      <c r="E23" s="2">
        <f>Fluoro!E38</f>
        <v>9.8000000000000007</v>
      </c>
      <c r="F23" s="14">
        <f>Fluoro!F38</f>
        <v>0.4765306122448979</v>
      </c>
      <c r="G23" s="14">
        <f>Fluoro!G38</f>
        <v>1.9183673469387754</v>
      </c>
      <c r="H23" s="14">
        <f>Fluoro!H38</f>
        <v>0.24020408163265305</v>
      </c>
      <c r="I23" s="14">
        <f>Fluoro!I38</f>
        <v>4.0612244897959178</v>
      </c>
      <c r="J23" s="14">
        <f>Fluoro!J38</f>
        <v>1.4826530612244897</v>
      </c>
      <c r="K23" s="14">
        <f>Fluoro!K38</f>
        <v>2.1642857142857141</v>
      </c>
      <c r="M23" s="12" t="str">
        <f>Fluoro!A20</f>
        <v>Max</v>
      </c>
      <c r="N23" s="15">
        <f>Fluoro!B20</f>
        <v>41.8</v>
      </c>
      <c r="O23" s="15">
        <f>Fluoro!C20</f>
        <v>103</v>
      </c>
      <c r="P23" s="15">
        <f>Fluoro!D20</f>
        <v>23.7</v>
      </c>
      <c r="Q23" s="2">
        <f>Fluoro!E20</f>
        <v>22.9</v>
      </c>
      <c r="R23" s="14">
        <f>Fluoro!F20</f>
        <v>0.76666666666666672</v>
      </c>
      <c r="S23" s="14">
        <f>Fluoro!G20</f>
        <v>2.0518518518518518</v>
      </c>
      <c r="T23" s="14">
        <f>Fluoro!H20</f>
        <v>0.24393132030787448</v>
      </c>
      <c r="U23" s="14">
        <f>Fluoro!I20</f>
        <v>4.3204047217537953</v>
      </c>
      <c r="V23" s="14">
        <f>Fluoro!J20</f>
        <v>1.537099494097808</v>
      </c>
      <c r="W23" s="14">
        <f>Fluoro!K20</f>
        <v>3.1753794266441826</v>
      </c>
    </row>
    <row r="24" spans="1:23" x14ac:dyDescent="0.25">
      <c r="A24" s="12" t="str">
        <f>Fluoro!A39</f>
        <v>EC1</v>
      </c>
      <c r="B24" s="15">
        <f>Fluoro!B39</f>
        <v>33</v>
      </c>
      <c r="C24" s="15">
        <f>Fluoro!C39</f>
        <v>67</v>
      </c>
      <c r="D24" s="15">
        <f>Fluoro!D39</f>
        <v>5.6</v>
      </c>
      <c r="E24" s="2">
        <f>Fluoro!E39</f>
        <v>12.59</v>
      </c>
      <c r="F24" s="14">
        <f>Fluoro!F39</f>
        <v>0.34630659253375695</v>
      </c>
      <c r="G24" s="14">
        <f>Fluoro!G39</f>
        <v>1.1270849880857823</v>
      </c>
      <c r="H24" s="14">
        <f>Fluoro!H39</f>
        <v>0.13653693407466244</v>
      </c>
      <c r="I24" s="14">
        <f>Fluoro!I39</f>
        <v>3.5520254169976173</v>
      </c>
      <c r="J24" s="14">
        <f>Fluoro!J39</f>
        <v>1.3423351866560762</v>
      </c>
      <c r="K24" s="14">
        <f>Fluoro!K39</f>
        <v>1.5679110405083398</v>
      </c>
    </row>
    <row r="25" spans="1:23" x14ac:dyDescent="0.25">
      <c r="A25" s="12" t="str">
        <f>Fluoro!A40</f>
        <v>EC2</v>
      </c>
      <c r="B25" s="15">
        <f>Fluoro!B40</f>
        <v>33</v>
      </c>
      <c r="C25" s="15">
        <f>Fluoro!C40</f>
        <v>75</v>
      </c>
      <c r="D25" s="15">
        <f>Fluoro!D40</f>
        <v>7.3</v>
      </c>
      <c r="E25" s="2">
        <f>Fluoro!E40</f>
        <v>26.82</v>
      </c>
      <c r="F25" s="14">
        <f>Fluoro!F40</f>
        <v>0.39038031319910516</v>
      </c>
      <c r="G25" s="14">
        <f>Fluoro!G40</f>
        <v>1.325876211782252</v>
      </c>
      <c r="H25" s="14">
        <f>Fluoro!H40</f>
        <v>0.20193885160328115</v>
      </c>
      <c r="I25" s="14">
        <f>Fluoro!I40</f>
        <v>1.8605518269947798</v>
      </c>
      <c r="J25" s="14">
        <f>Fluoro!J40</f>
        <v>1.0950782997762865</v>
      </c>
      <c r="K25" s="14">
        <f>Fluoro!K40</f>
        <v>1.2009694258016406</v>
      </c>
      <c r="M25" s="12" t="s">
        <v>89</v>
      </c>
      <c r="R25" s="22" t="s">
        <v>16</v>
      </c>
      <c r="S25" s="22"/>
      <c r="T25" s="22" t="s">
        <v>17</v>
      </c>
      <c r="U25" s="22"/>
      <c r="V25" s="22" t="s">
        <v>18</v>
      </c>
      <c r="W25" s="22"/>
    </row>
    <row r="26" spans="1:23" x14ac:dyDescent="0.25">
      <c r="A26" s="12" t="str">
        <f>Fluoro!A41</f>
        <v>EC Neuro</v>
      </c>
      <c r="B26" s="15">
        <f>Fluoro!B41</f>
        <v>23</v>
      </c>
      <c r="C26" s="15">
        <f>Fluoro!C41</f>
        <v>80</v>
      </c>
      <c r="D26" s="15">
        <f>Fluoro!D41</f>
        <v>3</v>
      </c>
      <c r="E26" s="2">
        <f>Fluoro!E41</f>
        <v>22.6</v>
      </c>
      <c r="F26" s="14">
        <f>Fluoro!F41</f>
        <v>0.35398230088495575</v>
      </c>
      <c r="G26" s="14">
        <f>Fluoro!G41</f>
        <v>1.5853982300884955</v>
      </c>
      <c r="H26" s="14">
        <f>Fluoro!H41</f>
        <v>0.26323008849557522</v>
      </c>
      <c r="I26" s="14">
        <f>Fluoro!I41</f>
        <v>2.6172566371681412</v>
      </c>
      <c r="J26" s="14">
        <f>Fluoro!J41</f>
        <v>1.5323008849557522</v>
      </c>
      <c r="K26" s="14">
        <f>Fluoro!K41</f>
        <v>1.747787610619469</v>
      </c>
      <c r="M26" s="12" t="s">
        <v>2</v>
      </c>
      <c r="N26" s="15" t="s">
        <v>9</v>
      </c>
      <c r="O26" s="15" t="s">
        <v>0</v>
      </c>
      <c r="P26" s="15" t="s">
        <v>1</v>
      </c>
      <c r="Q26" s="2" t="s">
        <v>3</v>
      </c>
      <c r="R26" s="14" t="s">
        <v>10</v>
      </c>
      <c r="S26" s="14" t="s">
        <v>11</v>
      </c>
      <c r="T26" s="14" t="s">
        <v>12</v>
      </c>
      <c r="U26" s="14" t="s">
        <v>13</v>
      </c>
      <c r="V26" s="14" t="s">
        <v>14</v>
      </c>
      <c r="W26" s="14" t="s">
        <v>15</v>
      </c>
    </row>
    <row r="27" spans="1:23" x14ac:dyDescent="0.25">
      <c r="A27" s="12" t="str">
        <f>Fluoro!A42</f>
        <v>Neuro</v>
      </c>
      <c r="B27" s="15">
        <f>Fluoro!B42</f>
        <v>30.5</v>
      </c>
      <c r="C27" s="15">
        <f>Fluoro!C42</f>
        <v>83</v>
      </c>
      <c r="D27" s="15">
        <f>Fluoro!D42</f>
        <v>2.4</v>
      </c>
      <c r="E27" s="2">
        <f>Fluoro!E42</f>
        <v>7.1913547227281311</v>
      </c>
      <c r="F27" s="14">
        <f>Fluoro!F42</f>
        <v>0.51974635149814408</v>
      </c>
      <c r="G27" s="14">
        <f>Fluoro!G42</f>
        <v>1.9944109353978083</v>
      </c>
      <c r="H27" s="14">
        <f>Fluoro!H42</f>
        <v>0.26328805589500126</v>
      </c>
      <c r="I27" s="14">
        <f>Fluoro!I42</f>
        <v>3.3930655327587571</v>
      </c>
      <c r="J27" s="14">
        <f>Fluoro!J42</f>
        <v>1.8578107936351236</v>
      </c>
      <c r="K27" s="14">
        <f>Fluoro!K42</f>
        <v>3.0467740641793717</v>
      </c>
      <c r="M27" s="12" t="str">
        <f>Fluoro!A45</f>
        <v>Avg</v>
      </c>
      <c r="N27" s="15">
        <f>Fluoro!B45</f>
        <v>28.824999999999999</v>
      </c>
      <c r="O27" s="15">
        <f>Fluoro!C45</f>
        <v>75.150000000000006</v>
      </c>
      <c r="P27" s="15">
        <f>Fluoro!D45</f>
        <v>3.722</v>
      </c>
      <c r="Q27" s="2">
        <f>Fluoro!E45</f>
        <v>12.977062271183872</v>
      </c>
      <c r="R27" s="14">
        <f>Fluoro!F45</f>
        <v>0.42934804358780526</v>
      </c>
      <c r="S27" s="14">
        <f>Fluoro!G45</f>
        <v>1.5824320469249045</v>
      </c>
      <c r="T27" s="14">
        <f>Fluoro!H45</f>
        <v>0.21341237804258073</v>
      </c>
      <c r="U27" s="14">
        <f>Fluoro!I45</f>
        <v>3.4196556079329397</v>
      </c>
      <c r="V27" s="14">
        <f>Fluoro!J45</f>
        <v>1.4259151552706366</v>
      </c>
      <c r="W27" s="14">
        <f>Fluoro!K45</f>
        <v>2.1069893605633898</v>
      </c>
    </row>
    <row r="28" spans="1:23" x14ac:dyDescent="0.25">
      <c r="A28" s="12" t="str">
        <f>Fluoro!A43</f>
        <v>PICC</v>
      </c>
      <c r="B28" s="15">
        <v>25</v>
      </c>
      <c r="C28" s="15">
        <f>Fluoro!C43</f>
        <v>66</v>
      </c>
      <c r="D28" s="15">
        <f>Fluoro!D43</f>
        <v>3.1</v>
      </c>
      <c r="E28" s="2">
        <f>Fluoro!E43</f>
        <v>20.7</v>
      </c>
      <c r="F28" s="14" t="str">
        <f>Fluoro!F43</f>
        <v/>
      </c>
      <c r="G28" s="14">
        <f>Fluoro!G43</f>
        <v>1.0512077294685991</v>
      </c>
      <c r="H28" s="14">
        <f>Fluoro!H43</f>
        <v>0.15458937198067635</v>
      </c>
      <c r="I28" s="14">
        <f>Fluoro!I43</f>
        <v>2.4584541062801932</v>
      </c>
      <c r="J28" s="14">
        <f>Fluoro!J43</f>
        <v>1.4516908212560387</v>
      </c>
      <c r="K28" s="14" t="str">
        <f>Fluoro!K43</f>
        <v/>
      </c>
      <c r="M28" s="12" t="str">
        <f>Fluoro!A46</f>
        <v>SD</v>
      </c>
      <c r="N28" s="15">
        <f>Fluoro!B46</f>
        <v>4.1747202868796194</v>
      </c>
      <c r="O28" s="15">
        <f>Fluoro!C46</f>
        <v>6.2851118986814685</v>
      </c>
      <c r="P28" s="15">
        <f>Fluoro!D46</f>
        <v>1.8494824311568618</v>
      </c>
      <c r="Q28" s="2">
        <f>Fluoro!E46</f>
        <v>5.4428271302578022</v>
      </c>
      <c r="R28" s="14">
        <f>Fluoro!F46</f>
        <v>6.3328666737709843E-2</v>
      </c>
      <c r="S28" s="14">
        <f>Fluoro!G46</f>
        <v>0.40367242540555981</v>
      </c>
      <c r="T28" s="14">
        <f>Fluoro!H46</f>
        <v>5.9743816988912034E-2</v>
      </c>
      <c r="U28" s="14">
        <f>Fluoro!I46</f>
        <v>0.81870071924480081</v>
      </c>
      <c r="V28" s="14">
        <f>Fluoro!J46</f>
        <v>0.28595190582244734</v>
      </c>
      <c r="W28" s="14">
        <f>Fluoro!K46</f>
        <v>0.67802412328469008</v>
      </c>
    </row>
    <row r="29" spans="1:23" x14ac:dyDescent="0.25">
      <c r="A29" s="12" t="str">
        <f>Fluoro!A44</f>
        <v>Pain Mgmt</v>
      </c>
      <c r="B29" s="15">
        <f>Fluoro!B44</f>
        <v>23</v>
      </c>
      <c r="C29" s="15">
        <f>Fluoro!C44</f>
        <v>81</v>
      </c>
      <c r="D29" s="15">
        <f>Fluoro!D44</f>
        <v>3</v>
      </c>
      <c r="E29" s="2">
        <f>Fluoro!E44</f>
        <v>14</v>
      </c>
      <c r="F29" s="14">
        <f>Fluoro!F44</f>
        <v>0.44642857142857145</v>
      </c>
      <c r="G29" s="14">
        <f>Fluoro!G44</f>
        <v>2</v>
      </c>
      <c r="H29" s="14">
        <f>Fluoro!H44</f>
        <v>0.26428571428571429</v>
      </c>
      <c r="I29" s="14">
        <f>Fluoro!I44</f>
        <v>3.3928571428571428</v>
      </c>
      <c r="J29" s="14">
        <f>Fluoro!J44</f>
        <v>1.0857142857142856</v>
      </c>
      <c r="K29" s="14">
        <f>Fluoro!K44</f>
        <v>1.9857142857142858</v>
      </c>
      <c r="M29" s="12" t="str">
        <f>Fluoro!A47</f>
        <v>Min</v>
      </c>
      <c r="N29" s="15">
        <f>Fluoro!B47</f>
        <v>23</v>
      </c>
      <c r="O29" s="15">
        <f>Fluoro!C47</f>
        <v>66</v>
      </c>
      <c r="P29" s="15">
        <f>Fluoro!D47</f>
        <v>1.9</v>
      </c>
      <c r="Q29" s="2">
        <f>Fluoro!E47</f>
        <v>7.11</v>
      </c>
      <c r="R29" s="14">
        <f>Fluoro!F47</f>
        <v>0.2933274929321219</v>
      </c>
      <c r="S29" s="14">
        <f>Fluoro!G47</f>
        <v>1.0121351544861574</v>
      </c>
      <c r="T29" s="14">
        <f>Fluoro!H47</f>
        <v>0.10128774511607846</v>
      </c>
      <c r="U29" s="14">
        <f>Fluoro!I47</f>
        <v>1.8605518269947798</v>
      </c>
      <c r="V29" s="14">
        <f>Fluoro!J47</f>
        <v>0.84774436090225558</v>
      </c>
      <c r="W29" s="14">
        <f>Fluoro!K47</f>
        <v>1.2009694258016406</v>
      </c>
    </row>
    <row r="30" spans="1:23" x14ac:dyDescent="0.25">
      <c r="A30" s="12" t="str">
        <f>Fluoro!A57</f>
        <v>HVC01</v>
      </c>
      <c r="B30" s="15">
        <f>Fluoro!B57</f>
        <v>48</v>
      </c>
      <c r="C30" s="15">
        <f>Fluoro!C57</f>
        <v>63.9</v>
      </c>
      <c r="D30" s="15">
        <f>Fluoro!D57</f>
        <v>108.1</v>
      </c>
      <c r="E30" s="2">
        <f>Fluoro!E57</f>
        <v>6.5475000000000003</v>
      </c>
      <c r="F30" s="14">
        <f>Fluoro!F57</f>
        <v>0.60618556701030935</v>
      </c>
      <c r="G30" s="14">
        <f>Fluoro!G57</f>
        <v>1.4460481099656355</v>
      </c>
      <c r="H30" s="14">
        <f>Fluoro!H57</f>
        <v>0.10309278350515465</v>
      </c>
      <c r="I30" s="14">
        <f>Fluoro!I57</f>
        <v>4.7539518900343642</v>
      </c>
      <c r="J30" s="14">
        <f>Fluoro!J57</f>
        <v>1.2962199312714777</v>
      </c>
      <c r="K30" s="14">
        <f>Fluoro!K57</f>
        <v>1.7621993127147766</v>
      </c>
      <c r="M30" s="12">
        <f>Fluoro!A48</f>
        <v>10</v>
      </c>
      <c r="N30" s="15">
        <f>Fluoro!B48</f>
        <v>23</v>
      </c>
      <c r="O30" s="15">
        <f>Fluoro!C48</f>
        <v>66.900000000000006</v>
      </c>
      <c r="P30" s="15">
        <f>Fluoro!D48</f>
        <v>2.0900000000000003</v>
      </c>
      <c r="Q30" s="2">
        <f>Fluoro!E48</f>
        <v>7.7931354722728141</v>
      </c>
      <c r="R30" s="14">
        <f>Fluoro!F48</f>
        <v>0.35244715921471598</v>
      </c>
      <c r="S30" s="14">
        <f>Fluoro!G48</f>
        <v>1.048092000803089</v>
      </c>
      <c r="T30" s="14">
        <f>Fluoro!H48</f>
        <v>0.13506549025111525</v>
      </c>
      <c r="U30" s="14">
        <f>Fluoro!I48</f>
        <v>2.4347610945342257</v>
      </c>
      <c r="V30" s="14">
        <f>Fluoro!J48</f>
        <v>1.0759741001533305</v>
      </c>
      <c r="W30" s="14">
        <f>Fluoro!K48</f>
        <v>1.3075107314681942</v>
      </c>
    </row>
    <row r="31" spans="1:23" x14ac:dyDescent="0.25">
      <c r="A31" s="12" t="str">
        <f>Fluoro!A58</f>
        <v>HVC02</v>
      </c>
      <c r="B31" s="15">
        <f>Fluoro!B58</f>
        <v>40</v>
      </c>
      <c r="C31" s="15">
        <f>Fluoro!C58</f>
        <v>66</v>
      </c>
      <c r="D31" s="15">
        <f>Fluoro!D58</f>
        <v>54</v>
      </c>
      <c r="E31" s="2">
        <f>Fluoro!E58</f>
        <v>2.0880000000000001</v>
      </c>
      <c r="F31" s="14">
        <f>Fluoro!F58</f>
        <v>1.0150862068965516</v>
      </c>
      <c r="G31" s="14">
        <f>Fluoro!G58</f>
        <v>2.8060344827586201</v>
      </c>
      <c r="H31" s="14">
        <f>Fluoro!H58</f>
        <v>0.12715517241379309</v>
      </c>
      <c r="I31" s="14">
        <f>Fluoro!I58</f>
        <v>9.6336206896551708</v>
      </c>
      <c r="J31" s="14">
        <f>Fluoro!J58</f>
        <v>2.0581896551724137</v>
      </c>
      <c r="K31" s="14">
        <f>Fluoro!K58</f>
        <v>4.0086206896551717</v>
      </c>
      <c r="M31" s="12">
        <f>Fluoro!A49</f>
        <v>25</v>
      </c>
      <c r="N31" s="15">
        <f>Fluoro!B49</f>
        <v>23</v>
      </c>
      <c r="O31" s="15">
        <f>Fluoro!C49</f>
        <v>68</v>
      </c>
      <c r="P31" s="15">
        <f>Fluoro!D49</f>
        <v>2.2200000000000002</v>
      </c>
      <c r="Q31" s="2">
        <f>Fluoro!E49</f>
        <v>8.254999999999999</v>
      </c>
      <c r="R31" s="14">
        <f>Fluoro!F49</f>
        <v>0.38669001495536715</v>
      </c>
      <c r="S31" s="14">
        <f>Fluoro!G49</f>
        <v>1.1437115455289082</v>
      </c>
      <c r="T31" s="14">
        <f>Fluoro!H49</f>
        <v>0.15306608913588321</v>
      </c>
      <c r="U31" s="14">
        <f>Fluoro!I49</f>
        <v>2.5879424778761058</v>
      </c>
      <c r="V31" s="14">
        <f>Fluoro!J49</f>
        <v>1.136829276436609</v>
      </c>
      <c r="W31" s="14">
        <f>Fluoro!K49</f>
        <v>1.5082045311253838</v>
      </c>
    </row>
    <row r="32" spans="1:23" x14ac:dyDescent="0.25">
      <c r="A32" s="12" t="str">
        <f>Fluoro!A59</f>
        <v>HVC04</v>
      </c>
      <c r="B32" s="15">
        <f>Fluoro!B59</f>
        <v>40</v>
      </c>
      <c r="C32" s="15">
        <f>Fluoro!C59</f>
        <v>66</v>
      </c>
      <c r="D32" s="15">
        <f>Fluoro!D59</f>
        <v>54</v>
      </c>
      <c r="E32" s="2">
        <f>Fluoro!E59</f>
        <v>2.0699999999999998</v>
      </c>
      <c r="F32" s="14">
        <f>Fluoro!F59</f>
        <v>1.017391304347826</v>
      </c>
      <c r="G32" s="14">
        <f>Fluoro!G59</f>
        <v>2.7869565217391306</v>
      </c>
      <c r="H32" s="14">
        <f>Fluoro!H59</f>
        <v>0.34130434782608698</v>
      </c>
      <c r="I32" s="14">
        <f>Fluoro!I59</f>
        <v>10.152173913043478</v>
      </c>
      <c r="J32" s="14">
        <f>Fluoro!J59</f>
        <v>2.0326086956521738</v>
      </c>
      <c r="K32" s="14">
        <f>Fluoro!K59</f>
        <v>3.9478260869565216</v>
      </c>
      <c r="M32" s="12">
        <f>Fluoro!A50</f>
        <v>50</v>
      </c>
      <c r="N32" s="15">
        <f>Fluoro!B50</f>
        <v>30.5</v>
      </c>
      <c r="O32" s="15">
        <f>Fluoro!C50</f>
        <v>78.5</v>
      </c>
      <c r="P32" s="15">
        <f>Fluoro!D50</f>
        <v>3</v>
      </c>
      <c r="Q32" s="2">
        <f>Fluoro!E50</f>
        <v>12.195</v>
      </c>
      <c r="R32" s="14">
        <f>Fluoro!F50</f>
        <v>0.43962264150943398</v>
      </c>
      <c r="S32" s="14">
        <f>Fluoro!G50</f>
        <v>1.8030619197683331</v>
      </c>
      <c r="T32" s="14">
        <f>Fluoro!H50</f>
        <v>0.24858562244301577</v>
      </c>
      <c r="U32" s="14">
        <f>Fluoro!I50</f>
        <v>3.4725454748781872</v>
      </c>
      <c r="V32" s="14">
        <f>Fluoro!J50</f>
        <v>1.4985171602889844</v>
      </c>
      <c r="W32" s="14">
        <f>Fluoro!K50</f>
        <v>2.0523422251138586</v>
      </c>
    </row>
    <row r="33" spans="1:23" x14ac:dyDescent="0.25">
      <c r="A33" s="12" t="str">
        <f>Fluoro!A60</f>
        <v>HVC05</v>
      </c>
      <c r="B33" s="15">
        <f>Fluoro!B60</f>
        <v>40</v>
      </c>
      <c r="C33" s="15">
        <f>Fluoro!C60</f>
        <v>66</v>
      </c>
      <c r="D33" s="15">
        <f>Fluoro!D60</f>
        <v>53.2</v>
      </c>
      <c r="E33" s="2">
        <f>Fluoro!E60</f>
        <v>1.9035</v>
      </c>
      <c r="F33" s="14">
        <f>Fluoro!F60</f>
        <v>1.0307328605200947</v>
      </c>
      <c r="G33" s="14">
        <f>Fluoro!G60</f>
        <v>2.7895981087470449</v>
      </c>
      <c r="H33" s="14">
        <f>Fluoro!H60</f>
        <v>0.12293144208037828</v>
      </c>
      <c r="I33" s="14">
        <f>Fluoro!I60</f>
        <v>10.208037825059103</v>
      </c>
      <c r="J33" s="14">
        <f>Fluoro!J60</f>
        <v>1.8699763593380614</v>
      </c>
      <c r="K33" s="14">
        <f>Fluoro!K60</f>
        <v>3.6997635933806148</v>
      </c>
      <c r="M33" s="12">
        <f>Fluoro!A51</f>
        <v>75</v>
      </c>
      <c r="N33" s="15">
        <f>Fluoro!B51</f>
        <v>33</v>
      </c>
      <c r="O33" s="15">
        <f>Fluoro!C51</f>
        <v>80</v>
      </c>
      <c r="P33" s="15">
        <f>Fluoro!D51</f>
        <v>5.6499999999999995</v>
      </c>
      <c r="Q33" s="2">
        <f>Fluoro!E51</f>
        <v>14.865</v>
      </c>
      <c r="R33" s="14">
        <f>Fluoro!F51</f>
        <v>0.4798482206953133</v>
      </c>
      <c r="S33" s="14">
        <f>Fluoro!G51</f>
        <v>1.9518170555440844</v>
      </c>
      <c r="T33" s="14">
        <f>Fluoro!H51</f>
        <v>0.26324458034543174</v>
      </c>
      <c r="U33" s="14">
        <f>Fluoro!I51</f>
        <v>4.1343715999256965</v>
      </c>
      <c r="V33" s="14">
        <f>Fluoro!J51</f>
        <v>1.6431314586017838</v>
      </c>
      <c r="W33" s="14">
        <f>Fluoro!K51</f>
        <v>2.5428286350195144</v>
      </c>
    </row>
    <row r="34" spans="1:23" x14ac:dyDescent="0.25">
      <c r="A34" s="12" t="str">
        <f>Fluoro!A61</f>
        <v>Neuro1 AP</v>
      </c>
      <c r="B34" s="15">
        <f>Fluoro!B61</f>
        <v>48</v>
      </c>
      <c r="C34" s="15">
        <f>Fluoro!C61</f>
        <v>80</v>
      </c>
      <c r="D34" s="15">
        <f>Fluoro!D61</f>
        <v>20.9</v>
      </c>
      <c r="E34" s="2">
        <f>Fluoro!E61</f>
        <v>4.7332374908092261</v>
      </c>
      <c r="F34" s="14">
        <f>Fluoro!F61</f>
        <v>0.53635718174797098</v>
      </c>
      <c r="G34" s="14">
        <f>Fluoro!G61</f>
        <v>0.95685495473011495</v>
      </c>
      <c r="H34" s="14">
        <f>Fluoro!H61</f>
        <v>0.23897560817984478</v>
      </c>
      <c r="I34" s="14">
        <f>Fluoro!I61</f>
        <v>5.45670778087075</v>
      </c>
      <c r="J34" s="14">
        <f>Fluoro!J61</f>
        <v>1.5911941396902145</v>
      </c>
      <c r="K34" s="14">
        <f>Fluoro!K61</f>
        <v>2.4471899497844336</v>
      </c>
      <c r="M34" s="12">
        <f>Fluoro!A52</f>
        <v>90</v>
      </c>
      <c r="N34" s="15">
        <f>Fluoro!B52</f>
        <v>33</v>
      </c>
      <c r="O34" s="15">
        <f>Fluoro!C52</f>
        <v>81</v>
      </c>
      <c r="P34" s="15">
        <f>Fluoro!D52</f>
        <v>6.2200000000000015</v>
      </c>
      <c r="Q34" s="2">
        <f>Fluoro!E52</f>
        <v>20.89</v>
      </c>
      <c r="R34" s="14">
        <f>Fluoro!F52</f>
        <v>0.49958144568850743</v>
      </c>
      <c r="S34" s="14">
        <f>Fluoro!G52</f>
        <v>1.9949698418580275</v>
      </c>
      <c r="T34" s="14">
        <f>Fluoro!H52</f>
        <v>0.26432420872540635</v>
      </c>
      <c r="U34" s="14">
        <f>Fluoro!I52</f>
        <v>4.3141372320696938</v>
      </c>
      <c r="V34" s="14">
        <f>Fluoro!J52</f>
        <v>1.7173254202044708</v>
      </c>
      <c r="W34" s="14">
        <f>Fluoro!K52</f>
        <v>3.0182238360202787</v>
      </c>
    </row>
    <row r="35" spans="1:23" x14ac:dyDescent="0.25">
      <c r="A35" s="12" t="str">
        <f>Fluoro!A62</f>
        <v>Neuro1 Lat</v>
      </c>
      <c r="B35" s="15">
        <f>Fluoro!B62</f>
        <v>25</v>
      </c>
      <c r="C35" s="15">
        <f>Fluoro!C62</f>
        <v>80</v>
      </c>
      <c r="D35" s="15">
        <f>Fluoro!D62</f>
        <v>33.6</v>
      </c>
      <c r="E35" s="2">
        <f>Fluoro!E62</f>
        <v>10.31137666598428</v>
      </c>
      <c r="F35" s="14">
        <f>Fluoro!F62</f>
        <v>0.5086663190507047</v>
      </c>
      <c r="G35" s="14">
        <f>Fluoro!G62</f>
        <v>1.0001478211566499</v>
      </c>
      <c r="H35" s="14">
        <f>Fluoro!H62</f>
        <v>0.18131257087315727</v>
      </c>
      <c r="I35" s="14">
        <f>Fluoro!I62</f>
        <v>5.2296427992872188</v>
      </c>
      <c r="J35" s="14">
        <f>Fluoro!J62</f>
        <v>1.399733415681192</v>
      </c>
      <c r="K35" s="14">
        <f>Fluoro!K62</f>
        <v>2.0303531508180788</v>
      </c>
      <c r="M35" s="12" t="str">
        <f>Fluoro!A53</f>
        <v>Max</v>
      </c>
      <c r="N35" s="15">
        <f>Fluoro!B53</f>
        <v>33</v>
      </c>
      <c r="O35" s="15">
        <f>Fluoro!C53</f>
        <v>83</v>
      </c>
      <c r="P35" s="15">
        <f>Fluoro!D53</f>
        <v>7.4</v>
      </c>
      <c r="Q35" s="2">
        <f>Fluoro!E53</f>
        <v>26.82</v>
      </c>
      <c r="R35" s="14">
        <f>Fluoro!F53</f>
        <v>0.51974635149814408</v>
      </c>
      <c r="S35" s="14">
        <f>Fluoro!G53</f>
        <v>2.0253164556962027</v>
      </c>
      <c r="T35" s="14">
        <f>Fluoro!H53</f>
        <v>0.2710163111668758</v>
      </c>
      <c r="U35" s="14">
        <f>Fluoro!I53</f>
        <v>4.4918444165621079</v>
      </c>
      <c r="V35" s="14">
        <f>Fluoro!J53</f>
        <v>1.8578107936351236</v>
      </c>
      <c r="W35" s="14">
        <f>Fluoro!K53</f>
        <v>3.4571026722925455</v>
      </c>
    </row>
    <row r="36" spans="1:23" x14ac:dyDescent="0.25">
      <c r="A36" s="12" t="str">
        <f>Fluoro!A63</f>
        <v>Neuro2 AP</v>
      </c>
      <c r="B36" s="15">
        <f>Fluoro!B63</f>
        <v>48</v>
      </c>
      <c r="C36" s="15">
        <f>Fluoro!C63</f>
        <v>68.400000000000006</v>
      </c>
      <c r="D36" s="15">
        <f>Fluoro!D63</f>
        <v>39</v>
      </c>
      <c r="E36" s="2">
        <f>Fluoro!E63</f>
        <v>12.545999999999999</v>
      </c>
      <c r="F36" s="14">
        <f>Fluoro!F63</f>
        <v>0.40100430416068866</v>
      </c>
      <c r="G36" s="14">
        <f>Fluoro!G63</f>
        <v>0.79866092778574849</v>
      </c>
      <c r="H36" s="14">
        <f>Fluoro!H63</f>
        <v>0.11406025824964133</v>
      </c>
      <c r="I36" s="14">
        <f>Fluoro!I63</f>
        <v>5.3558106169296984</v>
      </c>
      <c r="J36" s="14">
        <f>Fluoro!J63</f>
        <v>1.4992826398852224</v>
      </c>
      <c r="K36" s="14">
        <f>Fluoro!K63</f>
        <v>2.037302725968436</v>
      </c>
    </row>
    <row r="37" spans="1:23" x14ac:dyDescent="0.25">
      <c r="A37" s="12" t="str">
        <f>Fluoro!A64</f>
        <v>Neuro2 Lat</v>
      </c>
      <c r="B37" s="15">
        <f>Fluoro!B64</f>
        <v>25</v>
      </c>
      <c r="C37" s="15">
        <f>Fluoro!C64</f>
        <v>68.400000000000006</v>
      </c>
      <c r="D37" s="15">
        <f>Fluoro!D64</f>
        <v>52.7</v>
      </c>
      <c r="E37" s="2">
        <f>Fluoro!E64</f>
        <v>14.877000000000002</v>
      </c>
      <c r="F37" s="14">
        <f>Fluoro!F64</f>
        <v>0.36842105263157887</v>
      </c>
      <c r="G37" s="14">
        <f>Fluoro!G64</f>
        <v>0.8066142367412783</v>
      </c>
      <c r="H37" s="14">
        <f>Fluoro!H64</f>
        <v>0.10042347247428915</v>
      </c>
      <c r="I37" s="14">
        <f>Fluoro!I64</f>
        <v>7.1022383545069561</v>
      </c>
      <c r="J37" s="14">
        <f>Fluoro!J64</f>
        <v>1.2861464004839687</v>
      </c>
      <c r="K37" s="14">
        <f>Fluoro!K64</f>
        <v>1.5335753176043556</v>
      </c>
      <c r="M37" s="12" t="s">
        <v>71</v>
      </c>
      <c r="R37" s="22" t="s">
        <v>16</v>
      </c>
      <c r="S37" s="22"/>
      <c r="T37" s="22" t="s">
        <v>17</v>
      </c>
      <c r="U37" s="22"/>
      <c r="V37" s="22" t="s">
        <v>18</v>
      </c>
      <c r="W37" s="22"/>
    </row>
    <row r="38" spans="1:23" x14ac:dyDescent="0.25">
      <c r="A38" s="12" t="str">
        <f>Fluoro!A65</f>
        <v>ART Angio 2</v>
      </c>
      <c r="B38" s="15">
        <f>Fluoro!B65</f>
        <v>48</v>
      </c>
      <c r="C38" s="15">
        <f>Fluoro!C65</f>
        <v>65</v>
      </c>
      <c r="D38" s="15">
        <f>Fluoro!D65</f>
        <v>125</v>
      </c>
      <c r="E38" s="2">
        <f>Fluoro!E65</f>
        <v>7.7850000000000001</v>
      </c>
      <c r="F38" s="14">
        <f>Fluoro!F65</f>
        <v>0.38728323699421968</v>
      </c>
      <c r="G38" s="14">
        <f>Fluoro!G65</f>
        <v>1.1491329479768786</v>
      </c>
      <c r="H38" s="14">
        <f>Fluoro!H65</f>
        <v>0.10520231213872831</v>
      </c>
      <c r="I38" s="14">
        <f>Fluoro!I65</f>
        <v>4.2445086705202311</v>
      </c>
      <c r="J38" s="14">
        <f>Fluoro!J65</f>
        <v>1.278034682080925</v>
      </c>
      <c r="K38" s="14">
        <f>Fluoro!K65</f>
        <v>1.6549132947976879</v>
      </c>
      <c r="M38" s="12" t="s">
        <v>2</v>
      </c>
      <c r="N38" s="15" t="s">
        <v>9</v>
      </c>
      <c r="O38" s="15" t="s">
        <v>0</v>
      </c>
      <c r="P38" s="15" t="s">
        <v>1</v>
      </c>
      <c r="Q38" s="2" t="s">
        <v>3</v>
      </c>
      <c r="R38" s="14" t="s">
        <v>10</v>
      </c>
      <c r="S38" s="14" t="s">
        <v>11</v>
      </c>
      <c r="T38" s="14" t="s">
        <v>12</v>
      </c>
      <c r="U38" s="14" t="s">
        <v>13</v>
      </c>
      <c r="V38" s="14" t="s">
        <v>14</v>
      </c>
      <c r="W38" s="14" t="s">
        <v>15</v>
      </c>
    </row>
    <row r="39" spans="1:23" x14ac:dyDescent="0.25">
      <c r="A39" s="12" t="str">
        <f>Fluoro!A66</f>
        <v>ART Angio 3</v>
      </c>
      <c r="B39" s="15">
        <f>Fluoro!B66</f>
        <v>48</v>
      </c>
      <c r="C39" s="15">
        <f>Fluoro!C66</f>
        <v>64.8</v>
      </c>
      <c r="D39" s="15">
        <f>Fluoro!D66</f>
        <v>121.9</v>
      </c>
      <c r="E39" s="2">
        <f>Fluoro!E66</f>
        <v>7.7489999999999979</v>
      </c>
      <c r="F39" s="14">
        <f>Fluoro!F66</f>
        <v>0.3925667828106853</v>
      </c>
      <c r="G39" s="14">
        <f>Fluoro!G66</f>
        <v>1.2241579558652733</v>
      </c>
      <c r="H39" s="14">
        <f>Fluoro!H66</f>
        <v>0.10685249709639956</v>
      </c>
      <c r="I39" s="14">
        <f>Fluoro!I66</f>
        <v>4.4192799070847864</v>
      </c>
      <c r="J39" s="14">
        <f>Fluoro!J66</f>
        <v>1.3002322880371664</v>
      </c>
      <c r="K39" s="14">
        <f>Fluoro!K66</f>
        <v>1.6306620209059237</v>
      </c>
      <c r="M39" s="12" t="str">
        <f>Fluoro!A68</f>
        <v>Avg</v>
      </c>
      <c r="N39" s="15">
        <f>Fluoro!B68</f>
        <v>41.636363636363633</v>
      </c>
      <c r="O39" s="15">
        <f>Fluoro!C68</f>
        <v>68.499999999999986</v>
      </c>
      <c r="P39" s="15">
        <f>Fluoro!D68</f>
        <v>69.945454545454538</v>
      </c>
      <c r="Q39" s="2">
        <f>Fluoro!E68</f>
        <v>6.8759274272730542</v>
      </c>
      <c r="R39" s="14">
        <f>Fluoro!F68</f>
        <v>0.59293885481080055</v>
      </c>
      <c r="S39" s="14">
        <f>Fluoro!G68</f>
        <v>1.6683498278128068</v>
      </c>
      <c r="T39" s="14">
        <f>Fluoro!H68</f>
        <v>0.15209210270631537</v>
      </c>
      <c r="U39" s="14">
        <f>Fluoro!I68</f>
        <v>6.855247131231585</v>
      </c>
      <c r="V39" s="14">
        <f>Fluoro!J68</f>
        <v>1.5506641510652697</v>
      </c>
      <c r="W39" s="14">
        <f>Fluoro!K68</f>
        <v>2.4341722963679153</v>
      </c>
    </row>
    <row r="40" spans="1:23" x14ac:dyDescent="0.25">
      <c r="A40" s="12" t="str">
        <f>Fluoro!A67</f>
        <v>ART OR 10</v>
      </c>
      <c r="B40" s="15">
        <f>Fluoro!B67</f>
        <v>48</v>
      </c>
      <c r="C40" s="15">
        <f>Fluoro!C67</f>
        <v>65</v>
      </c>
      <c r="D40" s="15">
        <f>Fluoro!D67</f>
        <v>107</v>
      </c>
      <c r="E40" s="2">
        <f>Fluoro!E67</f>
        <v>5.0245875432100942</v>
      </c>
      <c r="F40" s="14">
        <f>Fluoro!F67</f>
        <v>0.25863258674817668</v>
      </c>
      <c r="G40" s="14">
        <f>Fluoro!G67</f>
        <v>2.5876420384744971</v>
      </c>
      <c r="H40" s="14">
        <f>Fluoro!H67</f>
        <v>0.13170266493199576</v>
      </c>
      <c r="I40" s="14">
        <f>Fluoro!I67</f>
        <v>8.8517459965556586</v>
      </c>
      <c r="J40" s="14">
        <f>Fluoro!J67</f>
        <v>1.4456874544251508</v>
      </c>
      <c r="K40" s="14">
        <f>Fluoro!K67</f>
        <v>2.0234891174610672</v>
      </c>
      <c r="M40" s="12" t="str">
        <f>Fluoro!A69</f>
        <v>SD</v>
      </c>
      <c r="N40" s="15">
        <f>Fluoro!B69</f>
        <v>8.9696457819997324</v>
      </c>
      <c r="O40" s="15">
        <f>Fluoro!C69</f>
        <v>5.8533750947637042</v>
      </c>
      <c r="P40" s="15">
        <f>Fluoro!D69</f>
        <v>37.854309229897829</v>
      </c>
      <c r="Q40" s="2">
        <f>Fluoro!E69</f>
        <v>4.3408585733147858</v>
      </c>
      <c r="R40" s="14">
        <f>Fluoro!F69</f>
        <v>0.29016575919495591</v>
      </c>
      <c r="S40" s="14">
        <f>Fluoro!G69</f>
        <v>0.87269007757151351</v>
      </c>
      <c r="T40" s="14">
        <f>Fluoro!H69</f>
        <v>7.5401626627050605E-2</v>
      </c>
      <c r="U40" s="14">
        <f>Fluoro!I69</f>
        <v>2.4060226223376651</v>
      </c>
      <c r="V40" s="14">
        <f>Fluoro!J69</f>
        <v>0.30027493199665345</v>
      </c>
      <c r="W40" s="14">
        <f>Fluoro!K69</f>
        <v>0.96833146835887318</v>
      </c>
    </row>
    <row r="41" spans="1:23" x14ac:dyDescent="0.25">
      <c r="A41" s="12" t="str">
        <f>Fluoro!A80</f>
        <v>ART EP 6</v>
      </c>
      <c r="B41" s="15">
        <f>Fluoro!B80</f>
        <v>25</v>
      </c>
      <c r="C41" s="15">
        <f>Fluoro!C80</f>
        <v>70</v>
      </c>
      <c r="D41" s="15">
        <f>Fluoro!D80</f>
        <v>166</v>
      </c>
      <c r="E41" s="2">
        <f>Fluoro!E80</f>
        <v>18.888308534207514</v>
      </c>
      <c r="F41" s="14">
        <f>Fluoro!F80</f>
        <v>0.22568330900063638</v>
      </c>
      <c r="G41" s="14">
        <f>Fluoro!G80</f>
        <v>1.1983361498241178</v>
      </c>
      <c r="H41" s="14">
        <f>Fluoro!H80</f>
        <v>0.10240378976549853</v>
      </c>
      <c r="I41" s="14">
        <f>Fluoro!I80</f>
        <v>2.5683068566249396</v>
      </c>
      <c r="J41" s="14">
        <f>Fluoro!J80</f>
        <v>1.2049795453899772</v>
      </c>
      <c r="K41" s="14">
        <f>Fluoro!K80</f>
        <v>1.4980971414617548</v>
      </c>
      <c r="M41" s="12" t="str">
        <f>Fluoro!A70</f>
        <v>Min</v>
      </c>
      <c r="N41" s="15">
        <f>Fluoro!B70</f>
        <v>25</v>
      </c>
      <c r="O41" s="15">
        <f>Fluoro!C70</f>
        <v>63.9</v>
      </c>
      <c r="P41" s="15">
        <f>Fluoro!D70</f>
        <v>20.9</v>
      </c>
      <c r="Q41" s="2">
        <f>Fluoro!E70</f>
        <v>1.9035</v>
      </c>
      <c r="R41" s="14">
        <f>Fluoro!F70</f>
        <v>0.25863258674817668</v>
      </c>
      <c r="S41" s="14">
        <f>Fluoro!G70</f>
        <v>0.79866092778574849</v>
      </c>
      <c r="T41" s="14">
        <f>Fluoro!H70</f>
        <v>0.10042347247428915</v>
      </c>
      <c r="U41" s="14">
        <f>Fluoro!I70</f>
        <v>4.2445086705202311</v>
      </c>
      <c r="V41" s="14">
        <f>Fluoro!J70</f>
        <v>1.278034682080925</v>
      </c>
      <c r="W41" s="14">
        <f>Fluoro!K70</f>
        <v>1.5335753176043556</v>
      </c>
    </row>
    <row r="42" spans="1:23" x14ac:dyDescent="0.25">
      <c r="A42" s="12" t="str">
        <f>Fluoro!A81</f>
        <v>ART EP 7 AP</v>
      </c>
      <c r="B42" s="15">
        <f>Fluoro!B81</f>
        <v>48</v>
      </c>
      <c r="C42" s="15">
        <f>Fluoro!C81</f>
        <v>66.400000000000006</v>
      </c>
      <c r="D42" s="15">
        <f>Fluoro!D81</f>
        <v>98</v>
      </c>
      <c r="E42" s="2">
        <f>Fluoro!E81</f>
        <v>5.9492095699846876</v>
      </c>
      <c r="F42" s="14">
        <f>Fluoro!F81</f>
        <v>0.4040750881200208</v>
      </c>
      <c r="G42" s="14">
        <f>Fluoro!G81</f>
        <v>1.4295959377223184</v>
      </c>
      <c r="H42" s="14">
        <f>Fluoro!H81</f>
        <v>0.15621473839154948</v>
      </c>
      <c r="I42" s="14">
        <f>Fluoro!I81</f>
        <v>6.455742743939699</v>
      </c>
      <c r="J42" s="14">
        <f>Fluoro!J81</f>
        <v>1.3282570363525139</v>
      </c>
      <c r="K42" s="14">
        <f>Fluoro!K81</f>
        <v>2.1235136820744072</v>
      </c>
      <c r="M42" s="12">
        <f>Fluoro!A71</f>
        <v>10</v>
      </c>
      <c r="N42" s="15">
        <f>Fluoro!B71</f>
        <v>25</v>
      </c>
      <c r="O42" s="15">
        <f>Fluoro!C71</f>
        <v>64.8</v>
      </c>
      <c r="P42" s="15">
        <f>Fluoro!D71</f>
        <v>33.6</v>
      </c>
      <c r="Q42" s="2">
        <f>Fluoro!E71</f>
        <v>2.0699999999999998</v>
      </c>
      <c r="R42" s="14">
        <f>Fluoro!F71</f>
        <v>0.36842105263157887</v>
      </c>
      <c r="S42" s="14">
        <f>Fluoro!G71</f>
        <v>0.8066142367412783</v>
      </c>
      <c r="T42" s="14">
        <f>Fluoro!H71</f>
        <v>0.10309278350515465</v>
      </c>
      <c r="U42" s="14">
        <f>Fluoro!I71</f>
        <v>4.4192799070847864</v>
      </c>
      <c r="V42" s="14">
        <f>Fluoro!J71</f>
        <v>1.2861464004839687</v>
      </c>
      <c r="W42" s="14">
        <f>Fluoro!K71</f>
        <v>1.6306620209059237</v>
      </c>
    </row>
    <row r="43" spans="1:23" x14ac:dyDescent="0.25">
      <c r="A43" s="12" t="str">
        <f>Fluoro!A82</f>
        <v>ART EP 7 Lat</v>
      </c>
      <c r="B43" s="15">
        <f>Fluoro!B82</f>
        <v>25</v>
      </c>
      <c r="C43" s="15">
        <f>Fluoro!C82</f>
        <v>66.400000000000006</v>
      </c>
      <c r="D43" s="15">
        <f>Fluoro!D82</f>
        <v>130.4</v>
      </c>
      <c r="E43" s="2">
        <f>Fluoro!E82</f>
        <v>7.527273646176222</v>
      </c>
      <c r="F43" s="14">
        <f>Fluoro!F82</f>
        <v>0.54448585124563909</v>
      </c>
      <c r="G43" s="14">
        <f>Fluoro!G82</f>
        <v>1.578511002860735</v>
      </c>
      <c r="H43" s="14">
        <f>Fluoro!H82</f>
        <v>0.12698339910741058</v>
      </c>
      <c r="I43" s="14">
        <f>Fluoro!I82</f>
        <v>6.5551158288573941</v>
      </c>
      <c r="J43" s="14">
        <f>Fluoro!J82</f>
        <v>1.281665107265791</v>
      </c>
      <c r="K43" s="14">
        <f>Fluoro!K82</f>
        <v>4.775187467909304</v>
      </c>
      <c r="M43" s="12">
        <f>Fluoro!A72</f>
        <v>25</v>
      </c>
      <c r="N43" s="15">
        <f>Fluoro!B72</f>
        <v>40</v>
      </c>
      <c r="O43" s="15">
        <f>Fluoro!C72</f>
        <v>65</v>
      </c>
      <c r="P43" s="15">
        <f>Fluoro!D72</f>
        <v>45.85</v>
      </c>
      <c r="Q43" s="2">
        <f>Fluoro!E72</f>
        <v>3.4106187454046131</v>
      </c>
      <c r="R43" s="14">
        <f>Fluoro!F72</f>
        <v>0.38992500990245249</v>
      </c>
      <c r="S43" s="14">
        <f>Fluoro!G72</f>
        <v>0.97850138794338237</v>
      </c>
      <c r="T43" s="14">
        <f>Fluoro!H72</f>
        <v>0.10602740461756394</v>
      </c>
      <c r="U43" s="14">
        <f>Fluoro!I72</f>
        <v>4.9917973446607915</v>
      </c>
      <c r="V43" s="14">
        <f>Fluoro!J72</f>
        <v>1.2982261096543222</v>
      </c>
      <c r="W43" s="14">
        <f>Fluoro!K72</f>
        <v>1.7085563037562324</v>
      </c>
    </row>
    <row r="44" spans="1:23" x14ac:dyDescent="0.25">
      <c r="A44" s="12" t="str">
        <f>Fluoro!A83</f>
        <v>ART EP 8</v>
      </c>
      <c r="B44" s="15">
        <f>Fluoro!B83</f>
        <v>25</v>
      </c>
      <c r="C44" s="15">
        <f>Fluoro!C83</f>
        <v>66</v>
      </c>
      <c r="D44" s="15">
        <f>Fluoro!D83</f>
        <v>151.4</v>
      </c>
      <c r="E44" s="2">
        <f>Fluoro!E83</f>
        <v>9.4063197164015797</v>
      </c>
      <c r="F44" s="14">
        <f>Fluoro!F83</f>
        <v>0.40105705543254866</v>
      </c>
      <c r="G44" s="14">
        <f>Fluoro!G83</f>
        <v>1.600635723844261</v>
      </c>
      <c r="H44" s="14">
        <f>Fluoro!H83</f>
        <v>0.12747852720017461</v>
      </c>
      <c r="I44" s="14">
        <f>Fluoro!I83</f>
        <v>6.0095594983599669</v>
      </c>
      <c r="J44" s="14">
        <f>Fluoro!J83</f>
        <v>1.8692023551460744</v>
      </c>
      <c r="K44" s="14">
        <f>Fluoro!K83</f>
        <v>2.3980924511039925</v>
      </c>
      <c r="M44" s="12">
        <f>Fluoro!A73</f>
        <v>50</v>
      </c>
      <c r="N44" s="15">
        <f>Fluoro!B73</f>
        <v>48</v>
      </c>
      <c r="O44" s="15">
        <f>Fluoro!C73</f>
        <v>66</v>
      </c>
      <c r="P44" s="15">
        <f>Fluoro!D73</f>
        <v>54</v>
      </c>
      <c r="Q44" s="2">
        <f>Fluoro!E73</f>
        <v>6.5475000000000003</v>
      </c>
      <c r="R44" s="14">
        <f>Fluoro!F73</f>
        <v>0.5086663190507047</v>
      </c>
      <c r="S44" s="14">
        <f>Fluoro!G73</f>
        <v>1.2241579558652733</v>
      </c>
      <c r="T44" s="14">
        <f>Fluoro!H73</f>
        <v>0.12293144208037828</v>
      </c>
      <c r="U44" s="14">
        <f>Fluoro!I73</f>
        <v>5.45670778087075</v>
      </c>
      <c r="V44" s="14">
        <f>Fluoro!J73</f>
        <v>1.4456874544251508</v>
      </c>
      <c r="W44" s="14">
        <f>Fluoro!K73</f>
        <v>2.0303531508180788</v>
      </c>
    </row>
    <row r="45" spans="1:23" x14ac:dyDescent="0.25">
      <c r="A45" s="12" t="str">
        <f>Fluoro!A84</f>
        <v>ART Cath 10</v>
      </c>
      <c r="B45" s="15">
        <f>Fluoro!B84</f>
        <v>25</v>
      </c>
      <c r="C45" s="15">
        <f>Fluoro!C84</f>
        <v>70</v>
      </c>
      <c r="D45" s="15">
        <f>Fluoro!D84</f>
        <v>116.7</v>
      </c>
      <c r="E45" s="2">
        <f>Fluoro!E84</f>
        <v>13.5585</v>
      </c>
      <c r="F45" s="14">
        <f>Fluoro!F84</f>
        <v>0.60404912047792891</v>
      </c>
      <c r="G45" s="14">
        <f>Fluoro!G84</f>
        <v>2.3378692333222699</v>
      </c>
      <c r="H45" s="14">
        <f>Fluoro!H84</f>
        <v>8.7288416860272139E-2</v>
      </c>
      <c r="I45" s="14">
        <f>Fluoro!I84</f>
        <v>3.1463657484234977</v>
      </c>
      <c r="J45" s="14">
        <f>Fluoro!J84</f>
        <v>1.2827746432127447</v>
      </c>
      <c r="K45" s="14">
        <f>Fluoro!K84</f>
        <v>1.5433123133089943</v>
      </c>
      <c r="M45" s="12">
        <f>Fluoro!A74</f>
        <v>75</v>
      </c>
      <c r="N45" s="15">
        <f>Fluoro!B74</f>
        <v>48</v>
      </c>
      <c r="O45" s="15">
        <f>Fluoro!C74</f>
        <v>68.400000000000006</v>
      </c>
      <c r="P45" s="15">
        <f>Fluoro!D74</f>
        <v>107.55</v>
      </c>
      <c r="Q45" s="2">
        <f>Fluoro!E74</f>
        <v>9.0481883329921402</v>
      </c>
      <c r="R45" s="14">
        <f>Fluoro!F74</f>
        <v>0.81063588695343047</v>
      </c>
      <c r="S45" s="14">
        <f>Fluoro!G74</f>
        <v>2.6872992801068136</v>
      </c>
      <c r="T45" s="14">
        <f>Fluoro!H74</f>
        <v>0.1565076179025765</v>
      </c>
      <c r="U45" s="14">
        <f>Fluoro!I74</f>
        <v>9.2426833431054156</v>
      </c>
      <c r="V45" s="14">
        <f>Fluoro!J74</f>
        <v>1.7305852495141378</v>
      </c>
      <c r="W45" s="14">
        <f>Fluoro!K74</f>
        <v>3.0734767715825244</v>
      </c>
    </row>
    <row r="46" spans="1:23" x14ac:dyDescent="0.25">
      <c r="A46" s="12" t="str">
        <f>Fluoro!A85</f>
        <v>ART Cath 11 AP</v>
      </c>
      <c r="B46" s="15">
        <f>Fluoro!B85</f>
        <v>48</v>
      </c>
      <c r="C46" s="15">
        <f>Fluoro!C85</f>
        <v>66.400000000000006</v>
      </c>
      <c r="D46" s="15">
        <f>Fluoro!D85</f>
        <v>95.7</v>
      </c>
      <c r="E46" s="2">
        <f>Fluoro!E85</f>
        <v>5.0694038421965111</v>
      </c>
      <c r="F46" s="14">
        <f>Fluoro!F85</f>
        <v>0.41209281281251592</v>
      </c>
      <c r="G46" s="14">
        <f>Fluoro!G85</f>
        <v>1.4024521845431974</v>
      </c>
      <c r="H46" s="14">
        <f>Fluoro!H85</f>
        <v>0.1473993296276338</v>
      </c>
      <c r="I46" s="14">
        <f>Fluoro!I85</f>
        <v>7.2261227509147918</v>
      </c>
      <c r="J46" s="14">
        <f>Fluoro!J85</f>
        <v>1.4415989531590576</v>
      </c>
      <c r="K46" s="14">
        <f>Fluoro!K85</f>
        <v>2.2187346058859676</v>
      </c>
      <c r="M46" s="12">
        <f>Fluoro!A75</f>
        <v>90</v>
      </c>
      <c r="N46" s="15">
        <f>Fluoro!B75</f>
        <v>48</v>
      </c>
      <c r="O46" s="15">
        <f>Fluoro!C75</f>
        <v>80</v>
      </c>
      <c r="P46" s="15">
        <f>Fluoro!D75</f>
        <v>121.9</v>
      </c>
      <c r="Q46" s="2">
        <f>Fluoro!E75</f>
        <v>12.545999999999999</v>
      </c>
      <c r="R46" s="14">
        <f>Fluoro!F75</f>
        <v>1.017391304347826</v>
      </c>
      <c r="S46" s="14">
        <f>Fluoro!G75</f>
        <v>2.7895981087470449</v>
      </c>
      <c r="T46" s="14">
        <f>Fluoro!H75</f>
        <v>0.23897560817984478</v>
      </c>
      <c r="U46" s="14">
        <f>Fluoro!I75</f>
        <v>10.152173913043478</v>
      </c>
      <c r="V46" s="14">
        <f>Fluoro!J75</f>
        <v>2.0326086956521738</v>
      </c>
      <c r="W46" s="14">
        <f>Fluoro!K75</f>
        <v>3.9478260869565216</v>
      </c>
    </row>
    <row r="47" spans="1:23" x14ac:dyDescent="0.25">
      <c r="A47" s="12" t="str">
        <f>Fluoro!A86</f>
        <v>ART Cath 11 Lat</v>
      </c>
      <c r="B47" s="15">
        <f>Fluoro!B86</f>
        <v>25</v>
      </c>
      <c r="C47" s="15">
        <f>Fluoro!C86</f>
        <v>66.400000000000006</v>
      </c>
      <c r="D47" s="15">
        <f>Fluoro!D86</f>
        <v>139.1</v>
      </c>
      <c r="E47" s="2">
        <f>Fluoro!E86</f>
        <v>7.9647074506770803</v>
      </c>
      <c r="F47" s="14">
        <f>Fluoro!F86</f>
        <v>0.3781487612058777</v>
      </c>
      <c r="G47" s="14">
        <f>Fluoro!G86</f>
        <v>1.6464162163692588</v>
      </c>
      <c r="H47" s="14">
        <f>Fluoro!H86</f>
        <v>0.11448084108180434</v>
      </c>
      <c r="I47" s="14">
        <f>Fluoro!I86</f>
        <v>6.007581564738488</v>
      </c>
      <c r="J47" s="14">
        <f>Fluoro!J86</f>
        <v>1.5726122265577076</v>
      </c>
      <c r="K47" s="14">
        <f>Fluoro!K86</f>
        <v>2.5287462419871876</v>
      </c>
      <c r="M47" s="12" t="str">
        <f>Fluoro!A76</f>
        <v>Max</v>
      </c>
      <c r="N47" s="15">
        <f>Fluoro!B76</f>
        <v>48</v>
      </c>
      <c r="O47" s="15">
        <f>Fluoro!C76</f>
        <v>80</v>
      </c>
      <c r="P47" s="15">
        <f>Fluoro!D76</f>
        <v>125</v>
      </c>
      <c r="Q47" s="2">
        <f>Fluoro!E76</f>
        <v>14.877000000000002</v>
      </c>
      <c r="R47" s="14">
        <f>Fluoro!F76</f>
        <v>1.0307328605200947</v>
      </c>
      <c r="S47" s="14">
        <f>Fluoro!G76</f>
        <v>2.8060344827586201</v>
      </c>
      <c r="T47" s="14">
        <f>Fluoro!H76</f>
        <v>0.34130434782608698</v>
      </c>
      <c r="U47" s="14">
        <f>Fluoro!I76</f>
        <v>10.208037825059103</v>
      </c>
      <c r="V47" s="14">
        <f>Fluoro!J76</f>
        <v>2.0581896551724137</v>
      </c>
      <c r="W47" s="14">
        <f>Fluoro!K76</f>
        <v>4.0086206896551717</v>
      </c>
    </row>
    <row r="48" spans="1:23" x14ac:dyDescent="0.25">
      <c r="A48" s="12" t="str">
        <f>Fluoro!A87</f>
        <v>ART Cath 12</v>
      </c>
      <c r="B48" s="15">
        <f>Fluoro!B87</f>
        <v>25</v>
      </c>
      <c r="C48" s="15">
        <f>Fluoro!C87</f>
        <v>70</v>
      </c>
      <c r="D48" s="15">
        <f>Fluoro!D87</f>
        <v>107.4</v>
      </c>
      <c r="E48" s="2">
        <f>Fluoro!E87</f>
        <v>12.545999999999999</v>
      </c>
      <c r="F48" s="14">
        <f>Fluoro!F87</f>
        <v>0.69583931133428989</v>
      </c>
      <c r="G48" s="14">
        <f>Fluoro!G87</f>
        <v>2.8981348637015785</v>
      </c>
      <c r="H48" s="14">
        <f>Fluoro!H87</f>
        <v>9.1822094691535142E-2</v>
      </c>
      <c r="I48" s="14">
        <f>Fluoro!I87</f>
        <v>3.4325681492109039</v>
      </c>
      <c r="J48" s="14">
        <f>Fluoro!J87</f>
        <v>1.2944763271162125</v>
      </c>
      <c r="K48" s="14">
        <f>Fluoro!K87</f>
        <v>1.6434720229555237</v>
      </c>
    </row>
    <row r="49" spans="1:23" x14ac:dyDescent="0.25">
      <c r="A49" s="12" t="str">
        <f>Fluoro!A88</f>
        <v>ART Cath 13</v>
      </c>
      <c r="B49" s="15">
        <f>Fluoro!B88</f>
        <v>25</v>
      </c>
      <c r="C49" s="15">
        <f>Fluoro!C88</f>
        <v>70</v>
      </c>
      <c r="D49" s="15">
        <f>Fluoro!D88</f>
        <v>110.2</v>
      </c>
      <c r="E49" s="2">
        <f>Fluoro!E88</f>
        <v>12.555</v>
      </c>
      <c r="F49" s="14">
        <f>Fluoro!F88</f>
        <v>0.699641577060932</v>
      </c>
      <c r="G49" s="14">
        <f>Fluoro!G88</f>
        <v>2.8745519713261651</v>
      </c>
      <c r="H49" s="14">
        <f>Fluoro!H88</f>
        <v>9.2473118279569902E-2</v>
      </c>
      <c r="I49" s="14">
        <f>Fluoro!I88</f>
        <v>3.1684587813620073</v>
      </c>
      <c r="J49" s="14">
        <f>Fluoro!J88</f>
        <v>1.3032258064516129</v>
      </c>
      <c r="K49" s="14">
        <f>Fluoro!K88</f>
        <v>1.6129032258064517</v>
      </c>
      <c r="M49" s="12" t="s">
        <v>86</v>
      </c>
      <c r="R49" s="22" t="s">
        <v>16</v>
      </c>
      <c r="S49" s="22"/>
      <c r="T49" s="22" t="s">
        <v>17</v>
      </c>
      <c r="U49" s="22"/>
      <c r="V49" s="22" t="s">
        <v>18</v>
      </c>
      <c r="W49" s="22"/>
    </row>
    <row r="50" spans="1:23" x14ac:dyDescent="0.25">
      <c r="A50" s="12" t="str">
        <f>Fluoro!A89</f>
        <v>Ped Cath 1 AP</v>
      </c>
      <c r="B50" s="15">
        <f>Fluoro!B89</f>
        <v>20</v>
      </c>
      <c r="C50" s="15">
        <f>Fluoro!C89</f>
        <v>73</v>
      </c>
      <c r="D50" s="15">
        <f>Fluoro!D89</f>
        <v>200</v>
      </c>
      <c r="E50" s="2">
        <f>Fluoro!E89</f>
        <v>17.135999999999996</v>
      </c>
      <c r="F50" s="14">
        <f>Fluoro!F89</f>
        <v>0.81932773109243717</v>
      </c>
      <c r="G50" s="14">
        <f>Fluoro!G89</f>
        <v>2.8834033613445382</v>
      </c>
      <c r="H50" s="14">
        <f>Fluoro!H89</f>
        <v>0.13750000000000004</v>
      </c>
      <c r="I50" s="14">
        <f>Fluoro!I89</f>
        <v>5.0735294117647074</v>
      </c>
      <c r="J50" s="14">
        <f>Fluoro!J89</f>
        <v>1.2710084033613449</v>
      </c>
      <c r="K50" s="14">
        <f>Fluoro!K89</f>
        <v>1.4569327731092439</v>
      </c>
      <c r="M50" s="12" t="s">
        <v>2</v>
      </c>
      <c r="N50" s="15" t="s">
        <v>9</v>
      </c>
      <c r="O50" s="15" t="s">
        <v>0</v>
      </c>
      <c r="P50" s="15" t="s">
        <v>1</v>
      </c>
      <c r="Q50" s="2" t="s">
        <v>3</v>
      </c>
      <c r="R50" s="14" t="s">
        <v>10</v>
      </c>
      <c r="S50" s="14" t="s">
        <v>11</v>
      </c>
      <c r="T50" s="14" t="s">
        <v>12</v>
      </c>
      <c r="U50" s="14" t="s">
        <v>13</v>
      </c>
      <c r="V50" s="14" t="s">
        <v>14</v>
      </c>
      <c r="W50" s="14" t="s">
        <v>15</v>
      </c>
    </row>
    <row r="51" spans="1:23" x14ac:dyDescent="0.25">
      <c r="A51" s="12" t="str">
        <f>Fluoro!A90</f>
        <v>Ped Cath 1 Lat</v>
      </c>
      <c r="B51" s="15">
        <f>Fluoro!B90</f>
        <v>20</v>
      </c>
      <c r="C51" s="15">
        <f>Fluoro!C90</f>
        <v>70</v>
      </c>
      <c r="D51" s="15">
        <f>Fluoro!D90</f>
        <v>172</v>
      </c>
      <c r="E51" s="2">
        <f>Fluoro!E90</f>
        <v>10.1214</v>
      </c>
      <c r="F51" s="14">
        <f>Fluoro!F90</f>
        <v>0.79317090521074163</v>
      </c>
      <c r="G51" s="14">
        <f>Fluoro!G90</f>
        <v>2.9165925662457761</v>
      </c>
      <c r="H51" s="14">
        <f>Fluoro!H90</f>
        <v>0.1211097279032545</v>
      </c>
      <c r="I51" s="14">
        <f>Fluoro!I90</f>
        <v>7.6293793348746224</v>
      </c>
      <c r="J51" s="14">
        <f>Fluoro!J90</f>
        <v>1.3515916770407257</v>
      </c>
      <c r="K51" s="14">
        <f>Fluoro!K90</f>
        <v>1.6112395518406546</v>
      </c>
      <c r="M51" s="12" t="str">
        <f>Fluoro!A95</f>
        <v>Avg</v>
      </c>
      <c r="N51" s="15">
        <f>Fluoro!B95</f>
        <v>27.866666666666667</v>
      </c>
      <c r="O51" s="15">
        <f>Fluoro!C95</f>
        <v>67.373333333333335</v>
      </c>
      <c r="P51" s="15">
        <f>Fluoro!D95</f>
        <v>142.02666666666667</v>
      </c>
      <c r="Q51" s="2">
        <f>Fluoro!E95</f>
        <v>11.765141517309575</v>
      </c>
      <c r="R51" s="14">
        <f>Fluoro!F95</f>
        <v>0.51477032819978108</v>
      </c>
      <c r="S51" s="14">
        <f>Fluoro!G95</f>
        <v>2.0276914593212543</v>
      </c>
      <c r="T51" s="14">
        <f>Fluoro!H95</f>
        <v>0.12007275854077794</v>
      </c>
      <c r="U51" s="14">
        <f>Fluoro!I95</f>
        <v>5.685782047721391</v>
      </c>
      <c r="V51" s="14">
        <f>Fluoro!J95</f>
        <v>1.3546218774066532</v>
      </c>
      <c r="W51" s="14">
        <f>Fluoro!K95</f>
        <v>2.0527292936678792</v>
      </c>
    </row>
    <row r="52" spans="1:23" x14ac:dyDescent="0.25">
      <c r="A52" s="12" t="str">
        <f>Fluoro!A91</f>
        <v>Ped Cath 2 AP</v>
      </c>
      <c r="B52" s="15">
        <f>Fluoro!B91</f>
        <v>30.5</v>
      </c>
      <c r="C52" s="15">
        <f>Fluoro!C91</f>
        <v>64</v>
      </c>
      <c r="D52" s="15">
        <f>Fluoro!D91</f>
        <v>200</v>
      </c>
      <c r="E52" s="2">
        <f>Fluoro!E91</f>
        <v>23.13</v>
      </c>
      <c r="F52" s="14">
        <f>Fluoro!F91</f>
        <v>0.41575875486381325</v>
      </c>
      <c r="G52" s="14">
        <f>Fluoro!G91</f>
        <v>2.463035019455253</v>
      </c>
      <c r="H52" s="14">
        <f>Fluoro!H91</f>
        <v>0.14007782101167315</v>
      </c>
      <c r="I52" s="14">
        <f>Fluoro!I91</f>
        <v>4.4941634241245136</v>
      </c>
      <c r="J52" s="14">
        <f>Fluoro!J91</f>
        <v>0.97665369649805456</v>
      </c>
      <c r="K52" s="14">
        <f>Fluoro!K91</f>
        <v>1.2801556420233464</v>
      </c>
      <c r="M52" s="12" t="str">
        <f>Fluoro!A96</f>
        <v>SD</v>
      </c>
      <c r="N52" s="15">
        <f>Fluoro!B96</f>
        <v>8.6735778304545352</v>
      </c>
      <c r="O52" s="15">
        <f>Fluoro!C96</f>
        <v>3.1774802835550293</v>
      </c>
      <c r="P52" s="15">
        <f>Fluoro!D96</f>
        <v>36.513470443242198</v>
      </c>
      <c r="Q52" s="2">
        <f>Fluoro!E96</f>
        <v>5.0585891836694374</v>
      </c>
      <c r="R52" s="14">
        <f>Fluoro!F96</f>
        <v>0.17540051884445923</v>
      </c>
      <c r="S52" s="14">
        <f>Fluoro!G96</f>
        <v>0.63772293831702653</v>
      </c>
      <c r="T52" s="14">
        <f>Fluoro!H96</f>
        <v>2.110394620189774E-2</v>
      </c>
      <c r="U52" s="14">
        <f>Fluoro!I96</f>
        <v>2.1043211625523357</v>
      </c>
      <c r="V52" s="14">
        <f>Fluoro!J96</f>
        <v>0.23575980300754618</v>
      </c>
      <c r="W52" s="14">
        <f>Fluoro!K96</f>
        <v>0.87116611883495998</v>
      </c>
    </row>
    <row r="53" spans="1:23" x14ac:dyDescent="0.25">
      <c r="A53" s="12" t="str">
        <f>Fluoro!A92</f>
        <v>Ped Cath 2 Lat</v>
      </c>
      <c r="B53" s="15">
        <f>Fluoro!B92</f>
        <v>30.5</v>
      </c>
      <c r="C53" s="15">
        <f>Fluoro!C92</f>
        <v>60</v>
      </c>
      <c r="D53" s="15">
        <f>Fluoro!D92</f>
        <v>194</v>
      </c>
      <c r="E53" s="2">
        <f>Fluoro!E92</f>
        <v>12.906000000000001</v>
      </c>
      <c r="F53" s="14">
        <f>Fluoro!F92</f>
        <v>0.32357043235704325</v>
      </c>
      <c r="G53" s="14">
        <f>Fluoro!G92</f>
        <v>2.0711297071129708</v>
      </c>
      <c r="H53" s="14">
        <f>Fluoro!H92</f>
        <v>0.10251046025104602</v>
      </c>
      <c r="I53" s="14">
        <f>Fluoro!I92</f>
        <v>6.4156206415620636</v>
      </c>
      <c r="J53" s="14">
        <f>Fluoro!J92</f>
        <v>0.96234309623430958</v>
      </c>
      <c r="K53" s="14">
        <f>Fluoro!K92</f>
        <v>1.3319386331938634</v>
      </c>
      <c r="M53" s="12" t="str">
        <f>Fluoro!A97</f>
        <v>Min</v>
      </c>
      <c r="N53" s="15">
        <f>Fluoro!B97</f>
        <v>20</v>
      </c>
      <c r="O53" s="15">
        <f>Fluoro!C97</f>
        <v>60</v>
      </c>
      <c r="P53" s="15">
        <f>Fluoro!D97</f>
        <v>95.7</v>
      </c>
      <c r="Q53" s="2">
        <f>Fluoro!E97</f>
        <v>5.0694038421965111</v>
      </c>
      <c r="R53" s="14">
        <f>Fluoro!F97</f>
        <v>0.22568330900063638</v>
      </c>
      <c r="S53" s="14">
        <f>Fluoro!G97</f>
        <v>1.1983361498241178</v>
      </c>
      <c r="T53" s="14">
        <f>Fluoro!H97</f>
        <v>8.7288416860272139E-2</v>
      </c>
      <c r="U53" s="14">
        <f>Fluoro!I97</f>
        <v>2.5683068566249396</v>
      </c>
      <c r="V53" s="14">
        <f>Fluoro!J97</f>
        <v>0.96234309623430958</v>
      </c>
      <c r="W53" s="14">
        <f>Fluoro!K97</f>
        <v>1.2801556420233464</v>
      </c>
    </row>
    <row r="54" spans="1:23" x14ac:dyDescent="0.25">
      <c r="A54" s="12" t="str">
        <f>Fluoro!A93</f>
        <v>HVC 11 AP</v>
      </c>
      <c r="B54" s="15">
        <f>Fluoro!B93</f>
        <v>23</v>
      </c>
      <c r="C54" s="15">
        <f>Fluoro!C93</f>
        <v>66</v>
      </c>
      <c r="D54" s="15">
        <f>Fluoro!D93</f>
        <v>125.9</v>
      </c>
      <c r="E54" s="2">
        <f>Fluoro!E93</f>
        <v>12.789</v>
      </c>
      <c r="F54" s="14">
        <f>Fluoro!F93</f>
        <v>0.50140745953553834</v>
      </c>
      <c r="G54" s="14">
        <f>Fluoro!G93</f>
        <v>1.5432793807178042</v>
      </c>
      <c r="H54" s="14">
        <f>Fluoro!H93</f>
        <v>0.12737508796622099</v>
      </c>
      <c r="I54" s="14">
        <f>Fluoro!I93</f>
        <v>6.5587614356087265</v>
      </c>
      <c r="J54" s="14">
        <f>Fluoro!J93</f>
        <v>1.5425756509500352</v>
      </c>
      <c r="K54" s="14">
        <f>Fluoro!K93</f>
        <v>2.2828993666432087</v>
      </c>
      <c r="M54" s="12">
        <f>Fluoro!A98</f>
        <v>10</v>
      </c>
      <c r="N54" s="15">
        <f>Fluoro!B98</f>
        <v>21.200000000000003</v>
      </c>
      <c r="O54" s="15">
        <f>Fluoro!C98</f>
        <v>64.8</v>
      </c>
      <c r="P54" s="15">
        <f>Fluoro!D98</f>
        <v>101.76</v>
      </c>
      <c r="Q54" s="2">
        <f>Fluoro!E98</f>
        <v>6.3415257419908126</v>
      </c>
      <c r="R54" s="14">
        <f>Fluoro!F98</f>
        <v>0.34540176389657706</v>
      </c>
      <c r="S54" s="14">
        <f>Fluoro!G98</f>
        <v>1.4133096858148457</v>
      </c>
      <c r="T54" s="14">
        <f>Fluoro!H98</f>
        <v>9.2082504126749051E-2</v>
      </c>
      <c r="U54" s="14">
        <f>Fluoro!I98</f>
        <v>3.1552029615989015</v>
      </c>
      <c r="V54" s="14">
        <f>Fluoro!J98</f>
        <v>1.0679840360548236</v>
      </c>
      <c r="W54" s="14">
        <f>Fluoro!K98</f>
        <v>1.3819362891600155</v>
      </c>
    </row>
    <row r="55" spans="1:23" x14ac:dyDescent="0.25">
      <c r="A55" s="12" t="str">
        <f>Fluoro!A94</f>
        <v>HVC 11 Lat</v>
      </c>
      <c r="B55" s="15">
        <f>Fluoro!B94</f>
        <v>23</v>
      </c>
      <c r="C55" s="15">
        <f>Fluoro!C94</f>
        <v>66</v>
      </c>
      <c r="D55" s="15">
        <f>Fluoro!D94</f>
        <v>123.6</v>
      </c>
      <c r="E55" s="2">
        <f>Fluoro!E94</f>
        <v>6.93</v>
      </c>
      <c r="F55" s="14">
        <f>Fluoro!F94</f>
        <v>0.50324675324675328</v>
      </c>
      <c r="G55" s="14">
        <f>Fluoro!G94</f>
        <v>1.5714285714285716</v>
      </c>
      <c r="H55" s="14">
        <f>Fluoro!H94</f>
        <v>0.12597402597402596</v>
      </c>
      <c r="I55" s="14">
        <f>Fluoro!I94</f>
        <v>10.545454545454545</v>
      </c>
      <c r="J55" s="14">
        <f>Fluoro!J94</f>
        <v>1.6363636363636365</v>
      </c>
      <c r="K55" s="14">
        <f>Fluoro!K94</f>
        <v>2.4857142857142858</v>
      </c>
      <c r="M55" s="12">
        <f>Fluoro!A99</f>
        <v>25</v>
      </c>
      <c r="N55" s="15">
        <f>Fluoro!B99</f>
        <v>24</v>
      </c>
      <c r="O55" s="15">
        <f>Fluoro!C99</f>
        <v>66</v>
      </c>
      <c r="P55" s="15">
        <f>Fluoro!D99</f>
        <v>113.45</v>
      </c>
      <c r="Q55" s="2">
        <f>Fluoro!E99</f>
        <v>7.7459905484266507</v>
      </c>
      <c r="R55" s="14">
        <f>Fluoro!F99</f>
        <v>0.40256607177628473</v>
      </c>
      <c r="S55" s="14">
        <f>Fluoro!G99</f>
        <v>1.557353976073188</v>
      </c>
      <c r="T55" s="14">
        <f>Fluoro!H99</f>
        <v>0.10245712500827228</v>
      </c>
      <c r="U55" s="14">
        <f>Fluoro!I99</f>
        <v>3.9633657866677088</v>
      </c>
      <c r="V55" s="14">
        <f>Fluoro!J99</f>
        <v>1.2763367553135678</v>
      </c>
      <c r="W55" s="14">
        <f>Fluoro!K99</f>
        <v>1.5207047273853744</v>
      </c>
    </row>
    <row r="56" spans="1:23" x14ac:dyDescent="0.25">
      <c r="M56" s="12">
        <f>Fluoro!A100</f>
        <v>50</v>
      </c>
      <c r="N56" s="15">
        <f>Fluoro!B100</f>
        <v>25</v>
      </c>
      <c r="O56" s="15">
        <f>Fluoro!C100</f>
        <v>66.400000000000006</v>
      </c>
      <c r="P56" s="15">
        <f>Fluoro!D100</f>
        <v>130.4</v>
      </c>
      <c r="Q56" s="2">
        <f>Fluoro!E100</f>
        <v>12.545999999999999</v>
      </c>
      <c r="R56" s="14">
        <f>Fluoro!F100</f>
        <v>0.50140745953553834</v>
      </c>
      <c r="S56" s="14">
        <f>Fluoro!G100</f>
        <v>1.6464162163692588</v>
      </c>
      <c r="T56" s="14">
        <f>Fluoro!H100</f>
        <v>0.12597402597402596</v>
      </c>
      <c r="U56" s="14">
        <f>Fluoro!I100</f>
        <v>6.0095594983599669</v>
      </c>
      <c r="V56" s="14">
        <f>Fluoro!J100</f>
        <v>1.3032258064516129</v>
      </c>
      <c r="W56" s="14">
        <f>Fluoro!K100</f>
        <v>1.6434720229555237</v>
      </c>
    </row>
    <row r="57" spans="1:23" x14ac:dyDescent="0.25">
      <c r="A57" s="20" t="s">
        <v>41</v>
      </c>
      <c r="B57" s="15">
        <f>AVERAGE(B3:B55)</f>
        <v>32.339622641509436</v>
      </c>
      <c r="C57" s="15">
        <f t="shared" ref="C57:K57" si="3">AVERAGE(C3:C55)</f>
        <v>72.530188679245299</v>
      </c>
      <c r="D57" s="15">
        <f t="shared" si="3"/>
        <v>56.778113207547172</v>
      </c>
      <c r="E57" s="15">
        <f t="shared" si="3"/>
        <v>11.555548488364613</v>
      </c>
      <c r="F57" s="2">
        <f t="shared" si="3"/>
        <v>0.52183112533026621</v>
      </c>
      <c r="G57" s="2">
        <f t="shared" si="3"/>
        <v>1.7420166109248845</v>
      </c>
      <c r="H57" s="2">
        <f t="shared" si="3"/>
        <v>0.17085313704742133</v>
      </c>
      <c r="I57" s="2">
        <f t="shared" si="3"/>
        <v>4.7956381926485836</v>
      </c>
      <c r="J57" s="2">
        <f t="shared" si="3"/>
        <v>1.4131721877924828</v>
      </c>
      <c r="K57" s="2">
        <f t="shared" si="3"/>
        <v>2.1572311368233206</v>
      </c>
      <c r="M57" s="12">
        <f>Fluoro!A101</f>
        <v>75</v>
      </c>
      <c r="N57" s="15">
        <f>Fluoro!B101</f>
        <v>27.75</v>
      </c>
      <c r="O57" s="15">
        <f>Fluoro!C101</f>
        <v>70</v>
      </c>
      <c r="P57" s="15">
        <f>Fluoro!D101</f>
        <v>169</v>
      </c>
      <c r="Q57" s="2">
        <f>Fluoro!E101</f>
        <v>13.232250000000001</v>
      </c>
      <c r="R57" s="14">
        <f>Fluoro!F101</f>
        <v>0.6499442159061094</v>
      </c>
      <c r="S57" s="14">
        <f>Fluoro!G101</f>
        <v>2.6687934953907089</v>
      </c>
      <c r="T57" s="14">
        <f>Fluoro!H101</f>
        <v>0.13248926360008734</v>
      </c>
      <c r="U57" s="14">
        <f>Fluoro!I101</f>
        <v>6.5569386322330603</v>
      </c>
      <c r="V57" s="14">
        <f>Fluoro!J101</f>
        <v>1.4920873020545464</v>
      </c>
      <c r="W57" s="14">
        <f>Fluoro!K101</f>
        <v>2.3404959088736006</v>
      </c>
    </row>
    <row r="58" spans="1:23" x14ac:dyDescent="0.25">
      <c r="A58" s="20" t="s">
        <v>42</v>
      </c>
      <c r="B58" s="15">
        <f>STDEV(B3:B55)</f>
        <v>8.7808651146999441</v>
      </c>
      <c r="C58" s="15">
        <f t="shared" ref="C58:K58" si="4">STDEV(C3:C55)</f>
        <v>8.1793733281123764</v>
      </c>
      <c r="D58" s="15">
        <f t="shared" si="4"/>
        <v>64.963248102783936</v>
      </c>
      <c r="E58" s="15">
        <f t="shared" si="4"/>
        <v>5.7090449927950528</v>
      </c>
      <c r="F58" s="2">
        <f t="shared" si="4"/>
        <v>0.19166387075461666</v>
      </c>
      <c r="G58" s="2">
        <f t="shared" si="4"/>
        <v>0.60892652310788931</v>
      </c>
      <c r="H58" s="2">
        <f t="shared" si="4"/>
        <v>6.5608074945030972E-2</v>
      </c>
      <c r="I58" s="2">
        <f t="shared" si="4"/>
        <v>2.1536006965050283</v>
      </c>
      <c r="J58" s="2">
        <f t="shared" si="4"/>
        <v>0.26804119540080312</v>
      </c>
      <c r="K58" s="2">
        <f t="shared" si="4"/>
        <v>0.78526442754410042</v>
      </c>
      <c r="M58" s="12">
        <f>Fluoro!A102</f>
        <v>90</v>
      </c>
      <c r="N58" s="15">
        <f>Fluoro!B102</f>
        <v>40.999999999999993</v>
      </c>
      <c r="O58" s="15">
        <f>Fluoro!C102</f>
        <v>70</v>
      </c>
      <c r="P58" s="15">
        <f>Fluoro!D102</f>
        <v>197.6</v>
      </c>
      <c r="Q58" s="2">
        <f>Fluoro!E102</f>
        <v>18.187385120524507</v>
      </c>
      <c r="R58" s="14">
        <f>Fluoro!F102</f>
        <v>0.75575917395081771</v>
      </c>
      <c r="S58" s="14">
        <f>Fluoro!G102</f>
        <v>2.8922422627587623</v>
      </c>
      <c r="T58" s="14">
        <f>Fluoro!H102</f>
        <v>0.14447072618124954</v>
      </c>
      <c r="U58" s="14">
        <f>Fluoro!I102</f>
        <v>7.4680767012906903</v>
      </c>
      <c r="V58" s="14">
        <f>Fluoro!J102</f>
        <v>1.6108630724412649</v>
      </c>
      <c r="W58" s="14">
        <f>Fluoro!K102</f>
        <v>2.5115334594780268</v>
      </c>
    </row>
    <row r="59" spans="1:23" x14ac:dyDescent="0.25">
      <c r="A59" s="20" t="s">
        <v>74</v>
      </c>
      <c r="B59" s="15">
        <f>MIN(B3:B55)</f>
        <v>20</v>
      </c>
      <c r="C59" s="15">
        <f t="shared" ref="C59:K59" si="5">MIN(C3:C55)</f>
        <v>60</v>
      </c>
      <c r="D59" s="15">
        <f t="shared" si="5"/>
        <v>1.5</v>
      </c>
      <c r="E59" s="15">
        <f t="shared" si="5"/>
        <v>1.9035</v>
      </c>
      <c r="F59" s="2">
        <f t="shared" si="5"/>
        <v>0.22568330900063638</v>
      </c>
      <c r="G59" s="2">
        <f t="shared" si="5"/>
        <v>0.79866092778574849</v>
      </c>
      <c r="H59" s="2">
        <f t="shared" si="5"/>
        <v>8.7288416860272139E-2</v>
      </c>
      <c r="I59" s="2">
        <f t="shared" si="5"/>
        <v>1.8605518269947798</v>
      </c>
      <c r="J59" s="2">
        <f t="shared" si="5"/>
        <v>0.84774436090225558</v>
      </c>
      <c r="K59" s="2">
        <f t="shared" si="5"/>
        <v>1.2009694258016406</v>
      </c>
      <c r="M59" s="12" t="str">
        <f>Fluoro!A103</f>
        <v>Max</v>
      </c>
      <c r="N59" s="15">
        <f>Fluoro!B103</f>
        <v>48</v>
      </c>
      <c r="O59" s="15">
        <f>Fluoro!C103</f>
        <v>73</v>
      </c>
      <c r="P59" s="15">
        <f>Fluoro!D103</f>
        <v>200</v>
      </c>
      <c r="Q59" s="2">
        <f>Fluoro!E103</f>
        <v>23.13</v>
      </c>
      <c r="R59" s="14">
        <f>Fluoro!F103</f>
        <v>0.81932773109243717</v>
      </c>
      <c r="S59" s="14">
        <f>Fluoro!G103</f>
        <v>2.9165925662457761</v>
      </c>
      <c r="T59" s="14">
        <f>Fluoro!H103</f>
        <v>0.15621473839154948</v>
      </c>
      <c r="U59" s="14">
        <f>Fluoro!I103</f>
        <v>10.545454545454545</v>
      </c>
      <c r="V59" s="14">
        <f>Fluoro!J103</f>
        <v>1.8692023551460744</v>
      </c>
      <c r="W59" s="14">
        <f>Fluoro!K103</f>
        <v>4.775187467909304</v>
      </c>
    </row>
    <row r="60" spans="1:23" x14ac:dyDescent="0.25">
      <c r="A60" s="20">
        <v>10</v>
      </c>
      <c r="B60" s="15">
        <f>PERCENTILE(B$3:B$55,$A60/100)</f>
        <v>23</v>
      </c>
      <c r="C60" s="15">
        <f t="shared" ref="C60:K60" si="6">PERCENTILE(C$3:C$55,$A60/100)</f>
        <v>65.2</v>
      </c>
      <c r="D60" s="15">
        <f t="shared" si="6"/>
        <v>1.92</v>
      </c>
      <c r="E60" s="15">
        <f t="shared" si="6"/>
        <v>5.2453649877541464</v>
      </c>
      <c r="F60" s="2">
        <f t="shared" si="6"/>
        <v>0.35321473004983589</v>
      </c>
      <c r="G60" s="2">
        <f t="shared" si="6"/>
        <v>1.0200504428134973</v>
      </c>
      <c r="H60" s="2">
        <f t="shared" si="6"/>
        <v>0.10242512386260803</v>
      </c>
      <c r="I60" s="2">
        <f t="shared" si="6"/>
        <v>2.5780968127335799</v>
      </c>
      <c r="J60" s="2">
        <f t="shared" si="6"/>
        <v>1.0875870885266858</v>
      </c>
      <c r="K60" s="2">
        <f t="shared" si="6"/>
        <v>1.4537313432835821</v>
      </c>
    </row>
    <row r="61" spans="1:23" x14ac:dyDescent="0.25">
      <c r="A61" s="20">
        <v>25</v>
      </c>
      <c r="B61" s="15">
        <f t="shared" ref="B61:K64" si="7">PERCENTILE(B$3:B$55,$A61/100)</f>
        <v>25</v>
      </c>
      <c r="C61" s="15">
        <f t="shared" si="7"/>
        <v>66</v>
      </c>
      <c r="D61" s="15">
        <f t="shared" si="7"/>
        <v>2.9</v>
      </c>
      <c r="E61" s="15">
        <f t="shared" si="7"/>
        <v>7.7489999999999979</v>
      </c>
      <c r="F61" s="2">
        <f t="shared" si="7"/>
        <v>0.38863985441917925</v>
      </c>
      <c r="G61" s="2">
        <f t="shared" si="7"/>
        <v>1.2112470528446955</v>
      </c>
      <c r="H61" s="2">
        <f t="shared" si="7"/>
        <v>0.12182249583919039</v>
      </c>
      <c r="I61" s="2">
        <f t="shared" si="7"/>
        <v>3.3581584292484767</v>
      </c>
      <c r="J61" s="2">
        <f t="shared" si="7"/>
        <v>1.2710084033613449</v>
      </c>
      <c r="K61" s="2">
        <f t="shared" si="7"/>
        <v>1.5895752961744973</v>
      </c>
    </row>
    <row r="62" spans="1:23" x14ac:dyDescent="0.25">
      <c r="A62" s="20">
        <v>50</v>
      </c>
      <c r="B62" s="15">
        <f t="shared" si="7"/>
        <v>30.5</v>
      </c>
      <c r="C62" s="15">
        <f t="shared" si="7"/>
        <v>70</v>
      </c>
      <c r="D62" s="15">
        <f t="shared" si="7"/>
        <v>20.9</v>
      </c>
      <c r="E62" s="15">
        <f t="shared" si="7"/>
        <v>10.6</v>
      </c>
      <c r="F62" s="2">
        <f t="shared" si="7"/>
        <v>0.47349737363299749</v>
      </c>
      <c r="G62" s="2">
        <f t="shared" si="7"/>
        <v>1.600635723844261</v>
      </c>
      <c r="H62" s="2">
        <f t="shared" si="7"/>
        <v>0.14701492537313432</v>
      </c>
      <c r="I62" s="2">
        <f t="shared" si="7"/>
        <v>4.271448663853727</v>
      </c>
      <c r="J62" s="2">
        <f t="shared" si="7"/>
        <v>1.3811780636425184</v>
      </c>
      <c r="K62" s="2">
        <f t="shared" si="7"/>
        <v>2.0185185185185186</v>
      </c>
    </row>
    <row r="63" spans="1:23" x14ac:dyDescent="0.25">
      <c r="A63" s="20">
        <v>75</v>
      </c>
      <c r="B63" s="15">
        <f t="shared" si="7"/>
        <v>40</v>
      </c>
      <c r="C63" s="15">
        <f t="shared" si="7"/>
        <v>79</v>
      </c>
      <c r="D63" s="15">
        <f t="shared" si="7"/>
        <v>110.2</v>
      </c>
      <c r="E63" s="15">
        <f t="shared" si="7"/>
        <v>14.4</v>
      </c>
      <c r="F63" s="2">
        <f t="shared" si="7"/>
        <v>0.60565145537721421</v>
      </c>
      <c r="G63" s="2">
        <f t="shared" si="7"/>
        <v>2.0126582278481013</v>
      </c>
      <c r="H63" s="2">
        <f t="shared" si="7"/>
        <v>0.24020408163265305</v>
      </c>
      <c r="I63" s="2">
        <f t="shared" si="7"/>
        <v>6.007581564738488</v>
      </c>
      <c r="J63" s="2">
        <f t="shared" si="7"/>
        <v>1.5726122265577076</v>
      </c>
      <c r="K63" s="2">
        <f t="shared" si="7"/>
        <v>2.4664521177493599</v>
      </c>
      <c r="N63" s="19">
        <v>3.1493000000000002</v>
      </c>
    </row>
    <row r="64" spans="1:23" x14ac:dyDescent="0.25">
      <c r="A64" s="20">
        <v>90</v>
      </c>
      <c r="B64" s="15">
        <f t="shared" si="7"/>
        <v>48</v>
      </c>
      <c r="C64" s="15">
        <f t="shared" si="7"/>
        <v>81</v>
      </c>
      <c r="D64" s="15">
        <f t="shared" si="7"/>
        <v>148.94000000000005</v>
      </c>
      <c r="E64" s="15">
        <f t="shared" si="7"/>
        <v>20.337661706841509</v>
      </c>
      <c r="F64" s="2">
        <f t="shared" si="7"/>
        <v>0.76931709052107422</v>
      </c>
      <c r="G64" s="2">
        <f t="shared" si="7"/>
        <v>2.7895981087470449</v>
      </c>
      <c r="H64" s="2">
        <f t="shared" si="7"/>
        <v>0.26327646241511604</v>
      </c>
      <c r="I64" s="2">
        <f t="shared" si="7"/>
        <v>7.5487280180826577</v>
      </c>
      <c r="J64" s="2">
        <f t="shared" si="7"/>
        <v>1.766189568532317</v>
      </c>
      <c r="K64" s="2">
        <f t="shared" si="7"/>
        <v>3.1753794266441826</v>
      </c>
      <c r="N64" s="19">
        <v>5.641</v>
      </c>
    </row>
    <row r="65" spans="1:14" x14ac:dyDescent="0.25">
      <c r="A65" s="20" t="s">
        <v>75</v>
      </c>
      <c r="B65" s="15">
        <f>MAX(B3:B55)</f>
        <v>48</v>
      </c>
      <c r="C65" s="15">
        <f t="shared" ref="C65:K65" si="8">MAX(C3:C55)</f>
        <v>103</v>
      </c>
      <c r="D65" s="15">
        <f t="shared" si="8"/>
        <v>200</v>
      </c>
      <c r="E65" s="15">
        <f t="shared" si="8"/>
        <v>26.82</v>
      </c>
      <c r="F65" s="2">
        <f t="shared" si="8"/>
        <v>1.0307328605200947</v>
      </c>
      <c r="G65" s="2">
        <f t="shared" si="8"/>
        <v>2.9165925662457761</v>
      </c>
      <c r="H65" s="2">
        <f t="shared" si="8"/>
        <v>0.34130434782608698</v>
      </c>
      <c r="I65" s="2">
        <f t="shared" si="8"/>
        <v>10.545454545454545</v>
      </c>
      <c r="J65" s="2">
        <f t="shared" si="8"/>
        <v>2.0581896551724137</v>
      </c>
      <c r="K65" s="2">
        <f t="shared" si="8"/>
        <v>4.775187467909304</v>
      </c>
      <c r="N65" s="19">
        <f>AVERAGE(N63:N64)</f>
        <v>4.3951500000000001</v>
      </c>
    </row>
  </sheetData>
  <mergeCells count="18">
    <mergeCell ref="R37:S37"/>
    <mergeCell ref="T37:U37"/>
    <mergeCell ref="V37:W37"/>
    <mergeCell ref="R49:S49"/>
    <mergeCell ref="T49:U49"/>
    <mergeCell ref="V49:W49"/>
    <mergeCell ref="R13:S13"/>
    <mergeCell ref="T13:U13"/>
    <mergeCell ref="V13:W13"/>
    <mergeCell ref="R25:S25"/>
    <mergeCell ref="T25:U25"/>
    <mergeCell ref="V25:W25"/>
    <mergeCell ref="V1:W1"/>
    <mergeCell ref="F1:G1"/>
    <mergeCell ref="H1:I1"/>
    <mergeCell ref="J1:K1"/>
    <mergeCell ref="R1:S1"/>
    <mergeCell ref="T1:U1"/>
  </mergeCells>
  <pageMargins left="0.7" right="0.7" top="0.75" bottom="0.75" header="0.3" footer="0.3"/>
  <pageSetup orientation="landscape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0" sqref="E40"/>
    </sheetView>
  </sheetViews>
  <sheetFormatPr defaultRowHeight="15" x14ac:dyDescent="0.25"/>
  <cols>
    <col min="1" max="16384" width="9.140625" style="13"/>
  </cols>
  <sheetData>
    <row r="1" spans="1:21" x14ac:dyDescent="0.25">
      <c r="G1" s="21" t="s">
        <v>17</v>
      </c>
      <c r="H1" s="21"/>
      <c r="I1" s="21" t="s">
        <v>18</v>
      </c>
      <c r="J1" s="21"/>
      <c r="R1" s="21" t="s">
        <v>17</v>
      </c>
      <c r="S1" s="21"/>
      <c r="T1" s="21" t="s">
        <v>18</v>
      </c>
      <c r="U1" s="21"/>
    </row>
    <row r="2" spans="1:21" x14ac:dyDescent="0.25">
      <c r="A2" s="13" t="s">
        <v>2</v>
      </c>
      <c r="B2" s="13" t="s">
        <v>9</v>
      </c>
      <c r="C2" s="13" t="s">
        <v>0</v>
      </c>
      <c r="D2" s="13" t="s">
        <v>1</v>
      </c>
      <c r="E2" s="18" t="s">
        <v>91</v>
      </c>
      <c r="F2" s="13" t="s">
        <v>90</v>
      </c>
      <c r="G2" s="13" t="s">
        <v>12</v>
      </c>
      <c r="H2" s="13" t="s">
        <v>13</v>
      </c>
      <c r="I2" s="13" t="s">
        <v>14</v>
      </c>
      <c r="J2" s="13" t="s">
        <v>15</v>
      </c>
      <c r="L2" s="13" t="s">
        <v>2</v>
      </c>
      <c r="M2" s="13" t="s">
        <v>9</v>
      </c>
      <c r="N2" s="13" t="s">
        <v>0</v>
      </c>
      <c r="O2" s="17" t="s">
        <v>1</v>
      </c>
      <c r="P2" s="18" t="s">
        <v>91</v>
      </c>
      <c r="Q2" s="13" t="s">
        <v>90</v>
      </c>
      <c r="R2" s="13" t="s">
        <v>12</v>
      </c>
      <c r="S2" s="13" t="s">
        <v>13</v>
      </c>
      <c r="T2" s="13" t="s">
        <v>14</v>
      </c>
      <c r="U2" s="13" t="s">
        <v>15</v>
      </c>
    </row>
    <row r="3" spans="1:21" x14ac:dyDescent="0.25">
      <c r="A3" s="6" t="s">
        <v>69</v>
      </c>
      <c r="B3" s="13" t="s">
        <v>77</v>
      </c>
      <c r="C3" s="13">
        <f>COUNTA(A5:A10)</f>
        <v>6</v>
      </c>
      <c r="P3" s="17"/>
    </row>
    <row r="4" spans="1:21" x14ac:dyDescent="0.25">
      <c r="A4" s="13" t="s">
        <v>2</v>
      </c>
      <c r="B4" s="13" t="s">
        <v>9</v>
      </c>
      <c r="C4" s="13" t="s">
        <v>0</v>
      </c>
      <c r="D4" s="13" t="s">
        <v>1</v>
      </c>
      <c r="E4" s="18" t="s">
        <v>91</v>
      </c>
      <c r="F4" s="13" t="s">
        <v>90</v>
      </c>
      <c r="G4" s="13" t="s">
        <v>12</v>
      </c>
      <c r="H4" s="13" t="s">
        <v>13</v>
      </c>
      <c r="I4" s="13" t="s">
        <v>14</v>
      </c>
      <c r="J4" s="13" t="s">
        <v>15</v>
      </c>
    </row>
    <row r="5" spans="1:21" x14ac:dyDescent="0.25">
      <c r="A5" s="13" t="str">
        <f>L5</f>
        <v>NT03</v>
      </c>
      <c r="B5" s="13">
        <f t="shared" ref="B5:F10" si="0">M5</f>
        <v>40</v>
      </c>
      <c r="C5" s="13">
        <f t="shared" si="0"/>
        <v>87</v>
      </c>
      <c r="D5" s="13">
        <f t="shared" si="0"/>
        <v>114.3</v>
      </c>
      <c r="E5" s="2">
        <f t="shared" si="0"/>
        <v>291</v>
      </c>
      <c r="F5" s="2">
        <f t="shared" si="0"/>
        <v>7.5</v>
      </c>
      <c r="G5" s="2">
        <f>IF(R5="","",R5/$P5)</f>
        <v>0.15075601374570446</v>
      </c>
      <c r="H5" s="2">
        <f>IF(S5="","",S5/$P5)</f>
        <v>5.8762886597938149</v>
      </c>
      <c r="I5" s="2">
        <f>IF(T5="","",T5/$P5)</f>
        <v>1.2250859106529211</v>
      </c>
      <c r="J5" s="2">
        <f>IF(U5="","",U5/$P5)</f>
        <v>1.7639175257731958</v>
      </c>
      <c r="L5" s="13" t="s">
        <v>4</v>
      </c>
      <c r="M5" s="13">
        <v>40</v>
      </c>
      <c r="N5" s="13">
        <v>87</v>
      </c>
      <c r="O5" s="13">
        <v>114.3</v>
      </c>
      <c r="P5" s="13">
        <v>291</v>
      </c>
      <c r="Q5" s="13">
        <v>7.5</v>
      </c>
      <c r="R5" s="13">
        <v>43.87</v>
      </c>
      <c r="S5" s="13">
        <v>1710</v>
      </c>
      <c r="T5" s="13">
        <v>356.5</v>
      </c>
      <c r="U5" s="13">
        <v>513.29999999999995</v>
      </c>
    </row>
    <row r="6" spans="1:21" x14ac:dyDescent="0.25">
      <c r="A6" s="13" t="str">
        <f t="shared" ref="A6:A10" si="1">L6</f>
        <v>NT04</v>
      </c>
      <c r="B6" s="13">
        <f t="shared" si="0"/>
        <v>40</v>
      </c>
      <c r="C6" s="13">
        <f t="shared" si="0"/>
        <v>109</v>
      </c>
      <c r="D6" s="13">
        <f t="shared" si="0"/>
        <v>0.84</v>
      </c>
      <c r="E6" s="2">
        <f t="shared" si="0"/>
        <v>288.39999999999998</v>
      </c>
      <c r="F6" s="2">
        <f t="shared" si="0"/>
        <v>8</v>
      </c>
      <c r="G6" s="2">
        <f t="shared" ref="G6:J10" si="2">R6/$P6</f>
        <v>0.22122052704576978</v>
      </c>
      <c r="H6" s="2"/>
      <c r="I6" s="2">
        <f t="shared" si="2"/>
        <v>1.3938973647711512</v>
      </c>
      <c r="J6" s="2">
        <f t="shared" si="2"/>
        <v>2.916088765603329</v>
      </c>
      <c r="L6" s="13" t="s">
        <v>5</v>
      </c>
      <c r="M6" s="13">
        <v>40</v>
      </c>
      <c r="N6" s="13">
        <v>109</v>
      </c>
      <c r="O6" s="13">
        <v>0.84</v>
      </c>
      <c r="P6" s="13">
        <v>288.39999999999998</v>
      </c>
      <c r="Q6" s="13">
        <v>8</v>
      </c>
      <c r="R6" s="13">
        <v>63.8</v>
      </c>
      <c r="T6" s="13">
        <v>402</v>
      </c>
      <c r="U6" s="13">
        <v>841</v>
      </c>
    </row>
    <row r="7" spans="1:21" x14ac:dyDescent="0.25">
      <c r="A7" s="13" t="str">
        <f t="shared" si="1"/>
        <v>Ped02</v>
      </c>
      <c r="B7" s="13">
        <f t="shared" si="0"/>
        <v>30.5</v>
      </c>
      <c r="C7" s="13">
        <f t="shared" si="0"/>
        <v>96</v>
      </c>
      <c r="D7" s="13">
        <f t="shared" si="0"/>
        <v>129.30000000000001</v>
      </c>
      <c r="E7" s="2">
        <f t="shared" si="0"/>
        <v>286</v>
      </c>
      <c r="F7" s="2">
        <f t="shared" si="0"/>
        <v>4</v>
      </c>
      <c r="G7" s="2">
        <f t="shared" si="2"/>
        <v>0.16660839160839161</v>
      </c>
      <c r="H7" s="2">
        <f t="shared" si="2"/>
        <v>6.29020979020979</v>
      </c>
      <c r="I7" s="2">
        <f t="shared" si="2"/>
        <v>1.4055944055944056</v>
      </c>
      <c r="J7" s="2">
        <f t="shared" si="2"/>
        <v>2.4790209790209792</v>
      </c>
      <c r="L7" s="13" t="s">
        <v>19</v>
      </c>
      <c r="M7" s="13">
        <v>30.5</v>
      </c>
      <c r="N7" s="13">
        <v>96</v>
      </c>
      <c r="O7" s="13">
        <v>129.30000000000001</v>
      </c>
      <c r="P7" s="13">
        <v>286</v>
      </c>
      <c r="Q7" s="13">
        <v>4</v>
      </c>
      <c r="R7" s="13">
        <v>47.65</v>
      </c>
      <c r="S7" s="13">
        <v>1799</v>
      </c>
      <c r="T7" s="13">
        <v>402</v>
      </c>
      <c r="U7" s="13">
        <v>709</v>
      </c>
    </row>
    <row r="8" spans="1:21" x14ac:dyDescent="0.25">
      <c r="A8" s="13" t="str">
        <f t="shared" si="1"/>
        <v>Ped03</v>
      </c>
      <c r="B8" s="13">
        <f t="shared" si="0"/>
        <v>33</v>
      </c>
      <c r="C8" s="13">
        <f t="shared" si="0"/>
        <v>81</v>
      </c>
      <c r="D8" s="13">
        <f t="shared" si="0"/>
        <v>12.1</v>
      </c>
      <c r="E8" s="2">
        <f t="shared" si="0"/>
        <v>936.9</v>
      </c>
      <c r="F8" s="2">
        <f t="shared" si="0"/>
        <v>4</v>
      </c>
      <c r="G8" s="2">
        <f t="shared" si="2"/>
        <v>0.11399295549151457</v>
      </c>
      <c r="H8" s="2">
        <f t="shared" si="2"/>
        <v>5.0933931049204828</v>
      </c>
      <c r="I8" s="2">
        <f t="shared" si="2"/>
        <v>1.8806702956558865</v>
      </c>
      <c r="J8" s="2">
        <f t="shared" si="2"/>
        <v>2.6544988792827411</v>
      </c>
      <c r="L8" s="13" t="s">
        <v>20</v>
      </c>
      <c r="M8" s="13">
        <v>33</v>
      </c>
      <c r="N8" s="13">
        <v>81</v>
      </c>
      <c r="O8" s="13">
        <v>12.1</v>
      </c>
      <c r="P8" s="13">
        <v>936.9</v>
      </c>
      <c r="Q8" s="13">
        <v>4</v>
      </c>
      <c r="R8" s="13">
        <v>106.8</v>
      </c>
      <c r="S8" s="13">
        <v>4772</v>
      </c>
      <c r="T8" s="13">
        <v>1762</v>
      </c>
      <c r="U8" s="13">
        <v>2487</v>
      </c>
    </row>
    <row r="9" spans="1:21" x14ac:dyDescent="0.25">
      <c r="A9" s="13" t="str">
        <f t="shared" si="1"/>
        <v>ART2205</v>
      </c>
      <c r="B9" s="13">
        <f t="shared" si="0"/>
        <v>40</v>
      </c>
      <c r="C9" s="13">
        <f t="shared" si="0"/>
        <v>87.5</v>
      </c>
      <c r="D9" s="13">
        <f t="shared" si="0"/>
        <v>2.76</v>
      </c>
      <c r="E9" s="2">
        <f t="shared" si="0"/>
        <v>709.1</v>
      </c>
      <c r="F9" s="2">
        <f t="shared" si="0"/>
        <v>4</v>
      </c>
      <c r="G9" s="2">
        <f t="shared" si="2"/>
        <v>0.16951064729939361</v>
      </c>
      <c r="H9" s="2">
        <f t="shared" si="2"/>
        <v>4.0784092511634462</v>
      </c>
      <c r="I9" s="2">
        <f t="shared" si="2"/>
        <v>1.4567761951769849</v>
      </c>
      <c r="J9" s="2">
        <f t="shared" si="2"/>
        <v>2.9868847835284162</v>
      </c>
      <c r="L9" s="13" t="s">
        <v>7</v>
      </c>
      <c r="M9" s="13">
        <v>40</v>
      </c>
      <c r="N9" s="13">
        <v>87.5</v>
      </c>
      <c r="O9" s="13">
        <v>2.76</v>
      </c>
      <c r="P9" s="13">
        <v>709.1</v>
      </c>
      <c r="Q9" s="13">
        <v>4</v>
      </c>
      <c r="R9" s="13">
        <v>120.2</v>
      </c>
      <c r="S9" s="13">
        <v>2892</v>
      </c>
      <c r="T9" s="13">
        <v>1033</v>
      </c>
      <c r="U9" s="13">
        <v>2118</v>
      </c>
    </row>
    <row r="10" spans="1:21" x14ac:dyDescent="0.25">
      <c r="A10" s="13" t="str">
        <f t="shared" si="1"/>
        <v>ART2208</v>
      </c>
      <c r="B10" s="13">
        <f t="shared" si="0"/>
        <v>40</v>
      </c>
      <c r="C10" s="13">
        <f t="shared" si="0"/>
        <v>90</v>
      </c>
      <c r="D10" s="13">
        <f t="shared" si="0"/>
        <v>2.42</v>
      </c>
      <c r="E10" s="2">
        <f t="shared" si="0"/>
        <v>646.29999999999995</v>
      </c>
      <c r="F10" s="2">
        <f t="shared" si="0"/>
        <v>3</v>
      </c>
      <c r="G10" s="2">
        <f t="shared" si="2"/>
        <v>0.19805044097168498</v>
      </c>
      <c r="H10" s="2">
        <f t="shared" si="2"/>
        <v>4.4174531951106299</v>
      </c>
      <c r="I10" s="2">
        <f t="shared" si="2"/>
        <v>1.464335447934396</v>
      </c>
      <c r="J10" s="2">
        <f t="shared" si="2"/>
        <v>3.0620454897106608</v>
      </c>
      <c r="L10" s="13" t="s">
        <v>6</v>
      </c>
      <c r="M10" s="13">
        <v>40</v>
      </c>
      <c r="N10" s="13">
        <v>90</v>
      </c>
      <c r="O10" s="13">
        <v>2.42</v>
      </c>
      <c r="P10" s="13">
        <v>646.29999999999995</v>
      </c>
      <c r="Q10" s="13">
        <v>3</v>
      </c>
      <c r="R10" s="13">
        <v>128</v>
      </c>
      <c r="S10" s="13">
        <v>2855</v>
      </c>
      <c r="T10" s="13">
        <v>946.4</v>
      </c>
      <c r="U10" s="13">
        <v>1979</v>
      </c>
    </row>
    <row r="11" spans="1:21" x14ac:dyDescent="0.25">
      <c r="A11" s="13" t="s">
        <v>41</v>
      </c>
      <c r="B11" s="2">
        <f>AVERAGE(B8:B10)</f>
        <v>37.666666666666664</v>
      </c>
      <c r="C11" s="2">
        <f>AVERAGE(C8:C10)</f>
        <v>86.166666666666671</v>
      </c>
      <c r="D11" s="2">
        <f>AVERAGE(D5:D10)</f>
        <v>43.620000000000005</v>
      </c>
      <c r="E11" s="2">
        <f>AVERAGE(E5:E10)</f>
        <v>526.2833333333333</v>
      </c>
      <c r="F11" s="2"/>
      <c r="G11" s="2">
        <f t="shared" ref="G11:J11" si="3">AVERAGE(G5:G10)</f>
        <v>0.17002316269374315</v>
      </c>
      <c r="H11" s="2">
        <f t="shared" si="3"/>
        <v>5.1511508002396322</v>
      </c>
      <c r="I11" s="2">
        <f t="shared" si="3"/>
        <v>1.4710599366309574</v>
      </c>
      <c r="J11" s="2">
        <f t="shared" si="3"/>
        <v>2.6437427371532207</v>
      </c>
    </row>
    <row r="12" spans="1:21" x14ac:dyDescent="0.25">
      <c r="A12" s="13" t="s">
        <v>42</v>
      </c>
      <c r="B12" s="2">
        <f>STDEV(B8:B10)</f>
        <v>4.0414518843273806</v>
      </c>
      <c r="C12" s="2">
        <f>STDEV(C8:C10)</f>
        <v>4.6457866215887842</v>
      </c>
      <c r="D12" s="2">
        <f>STDEV(D5:D10)</f>
        <v>60.872560649277773</v>
      </c>
      <c r="E12" s="2">
        <f>STDEV(E5:E10)</f>
        <v>277.89018994319804</v>
      </c>
      <c r="F12" s="2"/>
      <c r="G12" s="2">
        <f t="shared" ref="G12:J12" si="4">STDEV(G5:G10)</f>
        <v>3.7226949715411274E-2</v>
      </c>
      <c r="H12" s="2">
        <f t="shared" si="4"/>
        <v>0.93751038077528337</v>
      </c>
      <c r="I12" s="2">
        <f t="shared" si="4"/>
        <v>0.218528217832137</v>
      </c>
      <c r="J12" s="2">
        <f t="shared" si="4"/>
        <v>0.48337094881174086</v>
      </c>
    </row>
    <row r="13" spans="1:21" x14ac:dyDescent="0.25">
      <c r="A13" s="13" t="s">
        <v>74</v>
      </c>
      <c r="B13" s="2">
        <f>MIN(B5:B10)</f>
        <v>30.5</v>
      </c>
      <c r="C13" s="2">
        <f>MIN(C5:C10)</f>
        <v>81</v>
      </c>
      <c r="D13" s="2">
        <f>MIN(D5:D10)</f>
        <v>0.84</v>
      </c>
      <c r="E13" s="2">
        <f>MIN(E5:E10)</f>
        <v>286</v>
      </c>
      <c r="F13" s="2"/>
      <c r="G13" s="2">
        <f t="shared" ref="G13:J13" si="5">MIN(G5:G10)</f>
        <v>0.11399295549151457</v>
      </c>
      <c r="H13" s="2">
        <f t="shared" si="5"/>
        <v>4.0784092511634462</v>
      </c>
      <c r="I13" s="2">
        <f t="shared" si="5"/>
        <v>1.2250859106529211</v>
      </c>
      <c r="J13" s="2">
        <f t="shared" si="5"/>
        <v>1.7639175257731958</v>
      </c>
    </row>
    <row r="14" spans="1:21" x14ac:dyDescent="0.25">
      <c r="A14" s="13">
        <v>10</v>
      </c>
      <c r="B14" s="2">
        <f t="shared" ref="B14:E18" si="6">PERCENTILE(B$5:B$10,$A14/100)</f>
        <v>31.75</v>
      </c>
      <c r="C14" s="2">
        <f t="shared" si="6"/>
        <v>84</v>
      </c>
      <c r="D14" s="2">
        <f t="shared" si="6"/>
        <v>1.63</v>
      </c>
      <c r="E14" s="2">
        <f t="shared" si="6"/>
        <v>287.2</v>
      </c>
      <c r="F14" s="2"/>
      <c r="G14" s="2">
        <f t="shared" ref="G14:J18" si="7">PERCENTILE(G$5:G$10,$A14/100)</f>
        <v>0.13237448461860951</v>
      </c>
      <c r="H14" s="2">
        <f t="shared" si="7"/>
        <v>4.2140268287423197</v>
      </c>
      <c r="I14" s="2">
        <f t="shared" si="7"/>
        <v>1.309491637712036</v>
      </c>
      <c r="J14" s="2">
        <f t="shared" si="7"/>
        <v>2.1214692523970875</v>
      </c>
    </row>
    <row r="15" spans="1:21" x14ac:dyDescent="0.25">
      <c r="A15" s="13">
        <v>25</v>
      </c>
      <c r="B15" s="2">
        <f t="shared" si="6"/>
        <v>34.75</v>
      </c>
      <c r="C15" s="2">
        <f t="shared" si="6"/>
        <v>87.125</v>
      </c>
      <c r="D15" s="2">
        <f t="shared" si="6"/>
        <v>2.5049999999999999</v>
      </c>
      <c r="E15" s="2">
        <f t="shared" si="6"/>
        <v>289.04999999999995</v>
      </c>
      <c r="F15" s="2"/>
      <c r="G15" s="2">
        <f t="shared" si="7"/>
        <v>0.15471910821137624</v>
      </c>
      <c r="H15" s="2">
        <f t="shared" si="7"/>
        <v>4.4174531951106299</v>
      </c>
      <c r="I15" s="2">
        <f t="shared" si="7"/>
        <v>1.3968216249769649</v>
      </c>
      <c r="J15" s="2">
        <f t="shared" si="7"/>
        <v>2.5228904540864194</v>
      </c>
    </row>
    <row r="16" spans="1:21" x14ac:dyDescent="0.25">
      <c r="A16" s="13">
        <v>50</v>
      </c>
      <c r="B16" s="2">
        <f t="shared" si="6"/>
        <v>40</v>
      </c>
      <c r="C16" s="2">
        <f t="shared" si="6"/>
        <v>88.75</v>
      </c>
      <c r="D16" s="2">
        <f t="shared" si="6"/>
        <v>7.43</v>
      </c>
      <c r="E16" s="2">
        <f t="shared" si="6"/>
        <v>468.65</v>
      </c>
      <c r="F16" s="2"/>
      <c r="G16" s="2">
        <f t="shared" si="7"/>
        <v>0.16805951945389261</v>
      </c>
      <c r="H16" s="2">
        <f t="shared" si="7"/>
        <v>5.0933931049204828</v>
      </c>
      <c r="I16" s="2">
        <f t="shared" si="7"/>
        <v>1.4311853003856951</v>
      </c>
      <c r="J16" s="2">
        <f t="shared" si="7"/>
        <v>2.7852938224430348</v>
      </c>
    </row>
    <row r="17" spans="1:21" x14ac:dyDescent="0.25">
      <c r="A17" s="13">
        <v>75</v>
      </c>
      <c r="B17" s="2">
        <f t="shared" si="6"/>
        <v>40</v>
      </c>
      <c r="C17" s="2">
        <f t="shared" si="6"/>
        <v>94.5</v>
      </c>
      <c r="D17" s="2">
        <f t="shared" si="6"/>
        <v>88.75</v>
      </c>
      <c r="E17" s="2">
        <f t="shared" si="6"/>
        <v>693.4</v>
      </c>
      <c r="F17" s="2"/>
      <c r="G17" s="2">
        <f t="shared" si="7"/>
        <v>0.19091549255361212</v>
      </c>
      <c r="H17" s="2">
        <f t="shared" si="7"/>
        <v>5.8762886597938149</v>
      </c>
      <c r="I17" s="2">
        <f t="shared" si="7"/>
        <v>1.4624456347450432</v>
      </c>
      <c r="J17" s="2">
        <f t="shared" si="7"/>
        <v>2.9691857790471445</v>
      </c>
    </row>
    <row r="18" spans="1:21" x14ac:dyDescent="0.25">
      <c r="A18" s="13">
        <v>90</v>
      </c>
      <c r="B18" s="2">
        <f t="shared" si="6"/>
        <v>40</v>
      </c>
      <c r="C18" s="2">
        <f t="shared" si="6"/>
        <v>102.5</v>
      </c>
      <c r="D18" s="2">
        <f t="shared" si="6"/>
        <v>121.80000000000001</v>
      </c>
      <c r="E18" s="2">
        <f t="shared" si="6"/>
        <v>823</v>
      </c>
      <c r="F18" s="2"/>
      <c r="G18" s="2">
        <f t="shared" si="7"/>
        <v>0.20963548400872739</v>
      </c>
      <c r="H18" s="2">
        <f t="shared" si="7"/>
        <v>6.1246413380433999</v>
      </c>
      <c r="I18" s="2">
        <f t="shared" si="7"/>
        <v>1.6725028717951411</v>
      </c>
      <c r="J18" s="2">
        <f t="shared" si="7"/>
        <v>3.0244651366195385</v>
      </c>
    </row>
    <row r="19" spans="1:21" x14ac:dyDescent="0.25">
      <c r="A19" s="13" t="s">
        <v>75</v>
      </c>
      <c r="B19" s="2">
        <f>MAX(B5:B10)</f>
        <v>40</v>
      </c>
      <c r="C19" s="2">
        <f>MAX(C5:C10)</f>
        <v>109</v>
      </c>
      <c r="D19" s="2">
        <f>MAX(D5:D10)</f>
        <v>129.30000000000001</v>
      </c>
      <c r="E19" s="2">
        <f>MAX(E5:E10)</f>
        <v>936.9</v>
      </c>
      <c r="F19" s="2"/>
      <c r="G19" s="2">
        <f t="shared" ref="G19:J19" si="8">MAX(G5:G10)</f>
        <v>0.22122052704576978</v>
      </c>
      <c r="H19" s="2">
        <f t="shared" si="8"/>
        <v>6.29020979020979</v>
      </c>
      <c r="I19" s="2">
        <f t="shared" si="8"/>
        <v>1.8806702956558865</v>
      </c>
      <c r="J19" s="2">
        <f t="shared" si="8"/>
        <v>3.0620454897106608</v>
      </c>
    </row>
    <row r="20" spans="1:21" x14ac:dyDescent="0.25">
      <c r="B20" s="2"/>
      <c r="C20" s="2"/>
      <c r="D20" s="2"/>
      <c r="E20" s="2"/>
      <c r="F20" s="2"/>
      <c r="G20" s="2"/>
      <c r="H20" s="2"/>
      <c r="I20" s="2"/>
      <c r="J20" s="2"/>
    </row>
    <row r="22" spans="1:21" x14ac:dyDescent="0.25">
      <c r="A22" s="6" t="s">
        <v>70</v>
      </c>
      <c r="B22" s="13" t="s">
        <v>77</v>
      </c>
      <c r="C22" s="13">
        <f>COUNTA(A24:A28)</f>
        <v>5</v>
      </c>
    </row>
    <row r="23" spans="1:21" x14ac:dyDescent="0.25">
      <c r="A23" s="13" t="s">
        <v>2</v>
      </c>
      <c r="B23" s="13" t="s">
        <v>9</v>
      </c>
      <c r="C23" s="13" t="s">
        <v>0</v>
      </c>
      <c r="D23" s="13" t="s">
        <v>1</v>
      </c>
      <c r="E23" s="18" t="s">
        <v>91</v>
      </c>
      <c r="F23" s="16" t="s">
        <v>90</v>
      </c>
      <c r="G23" s="13" t="s">
        <v>12</v>
      </c>
      <c r="H23" s="13" t="s">
        <v>13</v>
      </c>
      <c r="I23" s="13" t="s">
        <v>14</v>
      </c>
      <c r="J23" s="13" t="s">
        <v>15</v>
      </c>
    </row>
    <row r="24" spans="1:21" x14ac:dyDescent="0.25">
      <c r="A24" s="13" t="str">
        <f t="shared" ref="A24:F28" si="9">L24</f>
        <v>C-arm 9</v>
      </c>
      <c r="B24" s="13">
        <f t="shared" si="9"/>
        <v>23</v>
      </c>
      <c r="C24" s="13">
        <f t="shared" si="9"/>
        <v>78</v>
      </c>
      <c r="D24" s="13">
        <f t="shared" si="9"/>
        <v>27.66</v>
      </c>
      <c r="E24" s="2">
        <f t="shared" si="9"/>
        <v>248.5</v>
      </c>
      <c r="F24" s="2">
        <f t="shared" si="9"/>
        <v>1</v>
      </c>
      <c r="G24" s="2">
        <f t="shared" ref="G24:J28" si="10">IF(R24="","",R24/$P24)</f>
        <v>0.37987927565392354</v>
      </c>
      <c r="H24" s="2">
        <f t="shared" si="10"/>
        <v>4.9496981891348089</v>
      </c>
      <c r="I24" s="2">
        <f t="shared" si="10"/>
        <v>2.3995975855130784</v>
      </c>
      <c r="J24" s="2">
        <f t="shared" si="10"/>
        <v>3.6857142857142855</v>
      </c>
      <c r="L24" s="13" t="s">
        <v>24</v>
      </c>
      <c r="M24" s="13">
        <v>23</v>
      </c>
      <c r="N24" s="13">
        <v>78</v>
      </c>
      <c r="O24" s="13">
        <v>27.66</v>
      </c>
      <c r="P24" s="13">
        <v>248.5</v>
      </c>
      <c r="Q24" s="13">
        <v>1</v>
      </c>
      <c r="R24" s="13">
        <v>94.4</v>
      </c>
      <c r="S24" s="13">
        <v>1230</v>
      </c>
      <c r="T24" s="13">
        <v>596.29999999999995</v>
      </c>
      <c r="U24" s="13">
        <v>915.9</v>
      </c>
    </row>
    <row r="25" spans="1:21" x14ac:dyDescent="0.25">
      <c r="A25" s="13" t="str">
        <f t="shared" si="9"/>
        <v>C-arm 15</v>
      </c>
      <c r="B25" s="13">
        <f t="shared" si="9"/>
        <v>23</v>
      </c>
      <c r="C25" s="13">
        <f t="shared" si="9"/>
        <v>66</v>
      </c>
      <c r="D25" s="13">
        <f t="shared" si="9"/>
        <v>3.6</v>
      </c>
      <c r="E25" s="2">
        <f t="shared" si="9"/>
        <v>159.88201274107399</v>
      </c>
      <c r="F25" s="2">
        <f t="shared" si="9"/>
        <v>1</v>
      </c>
      <c r="G25" s="2">
        <f t="shared" si="10"/>
        <v>0.20206466437855083</v>
      </c>
      <c r="H25" s="2">
        <f t="shared" si="10"/>
        <v>6.1116694246858225</v>
      </c>
      <c r="I25" s="2">
        <f t="shared" si="10"/>
        <v>1.5814922306188095</v>
      </c>
      <c r="J25" s="2" t="str">
        <f t="shared" si="10"/>
        <v/>
      </c>
      <c r="L25" s="13" t="s">
        <v>28</v>
      </c>
      <c r="M25" s="13">
        <v>23</v>
      </c>
      <c r="N25" s="13">
        <v>66</v>
      </c>
      <c r="O25" s="13">
        <v>3.6</v>
      </c>
      <c r="P25" s="13">
        <f>1000*0.159882012741074</f>
        <v>159.88201274107399</v>
      </c>
      <c r="Q25" s="13">
        <v>1</v>
      </c>
      <c r="R25" s="13">
        <f>1000*0.0323065052446923</f>
        <v>32.306505244692303</v>
      </c>
      <c r="S25" s="13">
        <f>1000*0.977146008826851</f>
        <v>977.14600882685102</v>
      </c>
      <c r="T25" s="13">
        <f>1000*0.252852160965706</f>
        <v>252.85216096570602</v>
      </c>
    </row>
    <row r="26" spans="1:21" x14ac:dyDescent="0.25">
      <c r="A26" s="13" t="str">
        <f t="shared" si="9"/>
        <v>C-arm 18</v>
      </c>
      <c r="B26" s="13">
        <f t="shared" si="9"/>
        <v>30.5</v>
      </c>
      <c r="C26" s="13">
        <f t="shared" si="9"/>
        <v>82</v>
      </c>
      <c r="D26" s="13">
        <f t="shared" si="9"/>
        <v>23.3</v>
      </c>
      <c r="E26" s="2">
        <f t="shared" si="9"/>
        <v>195.3</v>
      </c>
      <c r="F26" s="2">
        <f t="shared" si="9"/>
        <v>1</v>
      </c>
      <c r="G26" s="2">
        <f t="shared" si="10"/>
        <v>0.21198156682027647</v>
      </c>
      <c r="H26" s="2">
        <f t="shared" si="10"/>
        <v>4.5427547363031238</v>
      </c>
      <c r="I26" s="2">
        <f t="shared" si="10"/>
        <v>1.9764464925755247</v>
      </c>
      <c r="J26" s="2">
        <f t="shared" si="10"/>
        <v>4.3594470046082945</v>
      </c>
      <c r="L26" s="13" t="s">
        <v>29</v>
      </c>
      <c r="M26" s="13">
        <v>30.5</v>
      </c>
      <c r="N26" s="13">
        <v>82</v>
      </c>
      <c r="O26" s="13">
        <v>23.3</v>
      </c>
      <c r="P26" s="13">
        <v>195.3</v>
      </c>
      <c r="Q26" s="13">
        <v>1</v>
      </c>
      <c r="R26" s="13">
        <v>41.4</v>
      </c>
      <c r="S26" s="13">
        <v>887.2</v>
      </c>
      <c r="T26" s="13">
        <v>386</v>
      </c>
      <c r="U26" s="13">
        <v>851.4</v>
      </c>
    </row>
    <row r="27" spans="1:21" x14ac:dyDescent="0.25">
      <c r="A27" s="13" t="str">
        <f t="shared" si="9"/>
        <v>C-arm 19</v>
      </c>
      <c r="B27" s="13">
        <f t="shared" si="9"/>
        <v>30.5</v>
      </c>
      <c r="C27" s="13">
        <f t="shared" si="9"/>
        <v>80</v>
      </c>
      <c r="D27" s="13">
        <f t="shared" si="9"/>
        <v>20.84</v>
      </c>
      <c r="E27" s="2">
        <f t="shared" si="9"/>
        <v>179.5</v>
      </c>
      <c r="F27" s="2">
        <f t="shared" si="9"/>
        <v>1</v>
      </c>
      <c r="G27" s="2">
        <f t="shared" si="10"/>
        <v>0.22228412256267407</v>
      </c>
      <c r="H27" s="2">
        <f t="shared" si="10"/>
        <v>4.2100278551532035</v>
      </c>
      <c r="I27" s="2">
        <f t="shared" si="10"/>
        <v>1.9286908077994429</v>
      </c>
      <c r="J27" s="2">
        <f t="shared" si="10"/>
        <v>4.5476323119777167</v>
      </c>
      <c r="L27" s="13" t="s">
        <v>8</v>
      </c>
      <c r="M27" s="13">
        <v>30.5</v>
      </c>
      <c r="N27" s="13">
        <v>80</v>
      </c>
      <c r="O27" s="13">
        <v>20.84</v>
      </c>
      <c r="P27" s="13">
        <f>1000*0.1795</f>
        <v>179.5</v>
      </c>
      <c r="Q27" s="13">
        <v>1</v>
      </c>
      <c r="R27" s="13">
        <f>1000*0.0399</f>
        <v>39.9</v>
      </c>
      <c r="S27" s="13">
        <f>1000*0.7557</f>
        <v>755.7</v>
      </c>
      <c r="T27" s="13">
        <f>1000*0.3462</f>
        <v>346.2</v>
      </c>
      <c r="U27" s="13">
        <f>1000*0.8163</f>
        <v>816.30000000000007</v>
      </c>
    </row>
    <row r="28" spans="1:21" x14ac:dyDescent="0.25">
      <c r="A28" s="13" t="str">
        <f t="shared" si="9"/>
        <v>RT Uro</v>
      </c>
      <c r="B28" s="13">
        <f t="shared" si="9"/>
        <v>30.5</v>
      </c>
      <c r="C28" s="13">
        <f t="shared" si="9"/>
        <v>89</v>
      </c>
      <c r="D28" s="13">
        <f t="shared" si="9"/>
        <v>28.79</v>
      </c>
      <c r="E28" s="2">
        <f t="shared" si="9"/>
        <v>482.3</v>
      </c>
      <c r="F28" s="2">
        <f t="shared" si="9"/>
        <v>1</v>
      </c>
      <c r="G28" s="2">
        <f t="shared" si="10"/>
        <v>0.22143893842007051</v>
      </c>
      <c r="H28" s="2">
        <f t="shared" si="10"/>
        <v>4.1841177690234286</v>
      </c>
      <c r="I28" s="2">
        <f t="shared" si="10"/>
        <v>1.9848641924113624</v>
      </c>
      <c r="J28" s="2">
        <f t="shared" si="10"/>
        <v>3.0022807381297945</v>
      </c>
      <c r="L28" s="13" t="s">
        <v>34</v>
      </c>
      <c r="M28" s="13">
        <v>30.5</v>
      </c>
      <c r="N28" s="13">
        <v>89</v>
      </c>
      <c r="O28" s="13">
        <v>28.79</v>
      </c>
      <c r="P28" s="13">
        <f>1000*0.4823</f>
        <v>482.3</v>
      </c>
      <c r="Q28" s="13">
        <v>1</v>
      </c>
      <c r="R28" s="13">
        <f>1000*0.1068</f>
        <v>106.80000000000001</v>
      </c>
      <c r="S28" s="13">
        <f>1000*2.018</f>
        <v>2017.9999999999998</v>
      </c>
      <c r="T28" s="13">
        <f>1000*0.9573</f>
        <v>957.30000000000007</v>
      </c>
      <c r="U28" s="13">
        <f>1000*1.448</f>
        <v>1448</v>
      </c>
    </row>
    <row r="29" spans="1:21" x14ac:dyDescent="0.25">
      <c r="A29" s="13" t="s">
        <v>41</v>
      </c>
      <c r="B29" s="2">
        <f t="shared" ref="B29:C29" si="11">AVERAGE(B24:B28)</f>
        <v>27.5</v>
      </c>
      <c r="C29" s="2">
        <f t="shared" si="11"/>
        <v>79</v>
      </c>
      <c r="D29" s="2">
        <f>AVERAGE(D24:D28)</f>
        <v>20.838000000000001</v>
      </c>
      <c r="E29" s="2">
        <f>AVERAGE(E24:E28)</f>
        <v>253.0964025482148</v>
      </c>
      <c r="F29" s="2"/>
      <c r="G29" s="2">
        <f>AVERAGE(G24:G28)</f>
        <v>0.24752971356709913</v>
      </c>
      <c r="H29" s="2">
        <f>AVERAGE(H24:H28)</f>
        <v>4.7996535948600778</v>
      </c>
      <c r="I29" s="2">
        <f>AVERAGE(I24:I28)</f>
        <v>1.9742182617836435</v>
      </c>
      <c r="J29" s="2">
        <f>AVERAGE(J24:J28)</f>
        <v>3.8987685851075229</v>
      </c>
    </row>
    <row r="30" spans="1:21" x14ac:dyDescent="0.25">
      <c r="A30" s="13" t="s">
        <v>42</v>
      </c>
      <c r="B30" s="2">
        <f t="shared" ref="B30:C30" si="12">STDEV(B24:B28)</f>
        <v>4.1079191812887457</v>
      </c>
      <c r="C30" s="2">
        <f t="shared" si="12"/>
        <v>8.3666002653407556</v>
      </c>
      <c r="D30" s="2">
        <f>STDEV(D24:D28)</f>
        <v>10.161004871566593</v>
      </c>
      <c r="E30" s="2">
        <f>STDEV(E24:E28)</f>
        <v>132.28869290674186</v>
      </c>
      <c r="F30" s="2"/>
      <c r="G30" s="2">
        <f>STDEV(G24:G28)</f>
        <v>7.443993624453267E-2</v>
      </c>
      <c r="H30" s="2">
        <f>STDEV(H24:H28)</f>
        <v>0.79631005383040632</v>
      </c>
      <c r="I30" s="2">
        <f>STDEV(I24:I28)</f>
        <v>0.29041881590587049</v>
      </c>
      <c r="J30" s="2">
        <f>STDEV(J24:J28)</f>
        <v>0.70292990084605178</v>
      </c>
    </row>
    <row r="31" spans="1:21" x14ac:dyDescent="0.25">
      <c r="A31" s="13" t="s">
        <v>74</v>
      </c>
      <c r="B31" s="2">
        <f>MIN(B24:B28)</f>
        <v>23</v>
      </c>
      <c r="C31" s="2">
        <f>MIN(C24:C28)</f>
        <v>66</v>
      </c>
      <c r="D31" s="2">
        <f>MIN(D24:D28)</f>
        <v>3.6</v>
      </c>
      <c r="E31" s="2">
        <f>MIN(E24:E28)</f>
        <v>159.88201274107399</v>
      </c>
      <c r="F31" s="2"/>
      <c r="G31" s="2">
        <f>MIN(G24:G28)</f>
        <v>0.20206466437855083</v>
      </c>
      <c r="H31" s="2">
        <f>MIN(H24:H28)</f>
        <v>4.1841177690234286</v>
      </c>
      <c r="I31" s="2">
        <f>MIN(I24:I28)</f>
        <v>1.5814922306188095</v>
      </c>
      <c r="J31" s="2">
        <f>MIN(J24:J28)</f>
        <v>3.0022807381297945</v>
      </c>
    </row>
    <row r="32" spans="1:21" x14ac:dyDescent="0.25">
      <c r="A32" s="13">
        <v>10</v>
      </c>
      <c r="B32" s="2">
        <f t="shared" ref="B32:E36" si="13">PERCENTILE(B$24:B$28,$A32/100)</f>
        <v>23</v>
      </c>
      <c r="C32" s="2">
        <f t="shared" si="13"/>
        <v>70.8</v>
      </c>
      <c r="D32" s="2">
        <f t="shared" si="13"/>
        <v>10.495999999999999</v>
      </c>
      <c r="E32" s="2">
        <f t="shared" si="13"/>
        <v>167.72920764464439</v>
      </c>
      <c r="F32" s="2"/>
      <c r="G32" s="2">
        <f t="shared" ref="G32:J36" si="14">PERCENTILE(G$24:G$28,$A32/100)</f>
        <v>0.20603142535524108</v>
      </c>
      <c r="H32" s="2">
        <f t="shared" si="14"/>
        <v>4.1944818034753384</v>
      </c>
      <c r="I32" s="2">
        <f t="shared" si="14"/>
        <v>1.7203716614910629</v>
      </c>
      <c r="J32" s="2">
        <f t="shared" si="14"/>
        <v>3.207310802405142</v>
      </c>
    </row>
    <row r="33" spans="1:10" x14ac:dyDescent="0.25">
      <c r="A33" s="13">
        <v>25</v>
      </c>
      <c r="B33" s="2">
        <f t="shared" si="13"/>
        <v>23</v>
      </c>
      <c r="C33" s="2">
        <f t="shared" si="13"/>
        <v>78</v>
      </c>
      <c r="D33" s="2">
        <f t="shared" si="13"/>
        <v>20.84</v>
      </c>
      <c r="E33" s="2">
        <f t="shared" si="13"/>
        <v>179.5</v>
      </c>
      <c r="F33" s="2"/>
      <c r="G33" s="2">
        <f t="shared" si="14"/>
        <v>0.21198156682027647</v>
      </c>
      <c r="H33" s="2">
        <f t="shared" si="14"/>
        <v>4.2100278551532035</v>
      </c>
      <c r="I33" s="2">
        <f t="shared" si="14"/>
        <v>1.9286908077994429</v>
      </c>
      <c r="J33" s="2">
        <f t="shared" si="14"/>
        <v>3.5148558988181628</v>
      </c>
    </row>
    <row r="34" spans="1:10" x14ac:dyDescent="0.25">
      <c r="A34" s="13">
        <v>50</v>
      </c>
      <c r="B34" s="2">
        <f t="shared" si="13"/>
        <v>30.5</v>
      </c>
      <c r="C34" s="2">
        <f t="shared" si="13"/>
        <v>80</v>
      </c>
      <c r="D34" s="2">
        <f t="shared" si="13"/>
        <v>23.3</v>
      </c>
      <c r="E34" s="2">
        <f t="shared" si="13"/>
        <v>195.3</v>
      </c>
      <c r="F34" s="2"/>
      <c r="G34" s="2">
        <f t="shared" si="14"/>
        <v>0.22143893842007051</v>
      </c>
      <c r="H34" s="2">
        <f t="shared" si="14"/>
        <v>4.5427547363031238</v>
      </c>
      <c r="I34" s="2">
        <f t="shared" si="14"/>
        <v>1.9764464925755247</v>
      </c>
      <c r="J34" s="2">
        <f t="shared" si="14"/>
        <v>4.0225806451612902</v>
      </c>
    </row>
    <row r="35" spans="1:10" x14ac:dyDescent="0.25">
      <c r="A35" s="13">
        <v>75</v>
      </c>
      <c r="B35" s="2">
        <f t="shared" si="13"/>
        <v>30.5</v>
      </c>
      <c r="C35" s="2">
        <f t="shared" si="13"/>
        <v>82</v>
      </c>
      <c r="D35" s="2">
        <f t="shared" si="13"/>
        <v>27.66</v>
      </c>
      <c r="E35" s="2">
        <f t="shared" si="13"/>
        <v>248.5</v>
      </c>
      <c r="F35" s="2"/>
      <c r="G35" s="2">
        <f t="shared" si="14"/>
        <v>0.22228412256267407</v>
      </c>
      <c r="H35" s="2">
        <f t="shared" si="14"/>
        <v>4.9496981891348089</v>
      </c>
      <c r="I35" s="2">
        <f t="shared" si="14"/>
        <v>1.9848641924113624</v>
      </c>
      <c r="J35" s="2">
        <f t="shared" si="14"/>
        <v>4.4064933314506503</v>
      </c>
    </row>
    <row r="36" spans="1:10" x14ac:dyDescent="0.25">
      <c r="A36" s="13">
        <v>90</v>
      </c>
      <c r="B36" s="2">
        <f t="shared" si="13"/>
        <v>30.5</v>
      </c>
      <c r="C36" s="2">
        <f t="shared" si="13"/>
        <v>86.2</v>
      </c>
      <c r="D36" s="2">
        <f t="shared" si="13"/>
        <v>28.338000000000001</v>
      </c>
      <c r="E36" s="2">
        <f t="shared" si="13"/>
        <v>388.77999999999992</v>
      </c>
      <c r="F36" s="2"/>
      <c r="G36" s="2">
        <f t="shared" si="14"/>
        <v>0.31684121441742369</v>
      </c>
      <c r="H36" s="2">
        <f t="shared" si="14"/>
        <v>5.6468809304654162</v>
      </c>
      <c r="I36" s="2">
        <f t="shared" si="14"/>
        <v>2.233704228272392</v>
      </c>
      <c r="J36" s="2">
        <f t="shared" si="14"/>
        <v>4.4911767197668899</v>
      </c>
    </row>
    <row r="37" spans="1:10" x14ac:dyDescent="0.25">
      <c r="A37" s="13" t="s">
        <v>75</v>
      </c>
      <c r="B37" s="2">
        <f>MAX(B24:B28)</f>
        <v>30.5</v>
      </c>
      <c r="C37" s="2">
        <f>MAX(C24:C28)</f>
        <v>89</v>
      </c>
      <c r="D37" s="2">
        <f>MAX(D24:D28)</f>
        <v>28.79</v>
      </c>
      <c r="E37" s="2">
        <f>MAX(E24:E28)</f>
        <v>482.3</v>
      </c>
      <c r="F37" s="2"/>
      <c r="G37" s="2">
        <f>MAX(G24:G28)</f>
        <v>0.37987927565392354</v>
      </c>
      <c r="H37" s="2">
        <f>MAX(H24:H28)</f>
        <v>6.1116694246858225</v>
      </c>
      <c r="I37" s="2">
        <f>MAX(I24:I28)</f>
        <v>2.3995975855130784</v>
      </c>
      <c r="J37" s="2">
        <f>MAX(J24:J28)</f>
        <v>4.5476323119777167</v>
      </c>
    </row>
    <row r="39" spans="1:10" x14ac:dyDescent="0.25">
      <c r="A39" s="6" t="s">
        <v>73</v>
      </c>
    </row>
    <row r="40" spans="1:10" x14ac:dyDescent="0.25">
      <c r="A40" s="13" t="s">
        <v>41</v>
      </c>
      <c r="B40" s="2">
        <f t="shared" ref="B40:C40" si="15">AVERAGE(B5:B10,B24:B28)</f>
        <v>32.81818181818182</v>
      </c>
      <c r="C40" s="2">
        <f t="shared" si="15"/>
        <v>85.954545454545453</v>
      </c>
      <c r="D40" s="2">
        <f>AVERAGE(D5:D10,D24:D28)</f>
        <v>33.264545454545463</v>
      </c>
      <c r="E40" s="2">
        <f>AVERAGE(E5:E10,E24:E28)</f>
        <v>402.10745570373399</v>
      </c>
      <c r="F40" s="2"/>
      <c r="G40" s="2">
        <f t="shared" ref="G40:J40" si="16">AVERAGE(G5:G10,G24:G28)</f>
        <v>0.20525341309072312</v>
      </c>
      <c r="H40" s="2">
        <f t="shared" si="16"/>
        <v>4.9754021975498546</v>
      </c>
      <c r="I40" s="2">
        <f t="shared" si="16"/>
        <v>1.6997682662458147</v>
      </c>
      <c r="J40" s="2">
        <f t="shared" si="16"/>
        <v>3.1457530763349415</v>
      </c>
    </row>
    <row r="41" spans="1:10" x14ac:dyDescent="0.25">
      <c r="A41" s="13" t="s">
        <v>42</v>
      </c>
      <c r="B41" s="2">
        <f t="shared" ref="B41:C41" si="17">STDEV(B5:B10,B24:B28)</f>
        <v>6.4856484921429711</v>
      </c>
      <c r="C41" s="2">
        <f t="shared" si="17"/>
        <v>10.946356803646038</v>
      </c>
      <c r="D41" s="2">
        <f>STDEV(D5:D10,D24:D28)</f>
        <v>45.11744127577191</v>
      </c>
      <c r="E41" s="2">
        <f>STDEV(E5:E10,E24:E28)</f>
        <v>256.83756398554749</v>
      </c>
      <c r="F41" s="2"/>
      <c r="G41" s="2">
        <f t="shared" ref="G41:J41" si="18">STDEV(G5:G10,G24:G28)</f>
        <v>6.7437301640840358E-2</v>
      </c>
      <c r="H41" s="2">
        <f t="shared" si="18"/>
        <v>0.84070191421251994</v>
      </c>
      <c r="I41" s="2">
        <f t="shared" si="18"/>
        <v>0.35589384160701676</v>
      </c>
      <c r="J41" s="2">
        <f t="shared" si="18"/>
        <v>0.84529971127710057</v>
      </c>
    </row>
    <row r="42" spans="1:10" x14ac:dyDescent="0.25">
      <c r="A42" s="13" t="s">
        <v>74</v>
      </c>
      <c r="B42" s="2">
        <f t="shared" ref="B42:C42" si="19">MIN(B5:B10,B24:B28)</f>
        <v>23</v>
      </c>
      <c r="C42" s="2">
        <f t="shared" si="19"/>
        <v>66</v>
      </c>
      <c r="D42" s="2">
        <f>MIN(D5:D10,D24:D28)</f>
        <v>0.84</v>
      </c>
      <c r="E42" s="2">
        <f>MIN(E5:E10,E24:E28)</f>
        <v>159.88201274107399</v>
      </c>
      <c r="F42" s="2"/>
      <c r="G42" s="2">
        <f t="shared" ref="G42:J42" si="20">MIN(G5:G10,G24:G28)</f>
        <v>0.11399295549151457</v>
      </c>
      <c r="H42" s="2">
        <f t="shared" si="20"/>
        <v>4.0784092511634462</v>
      </c>
      <c r="I42" s="2">
        <f t="shared" si="20"/>
        <v>1.2250859106529211</v>
      </c>
      <c r="J42" s="2">
        <f t="shared" si="20"/>
        <v>1.7639175257731958</v>
      </c>
    </row>
    <row r="43" spans="1:10" x14ac:dyDescent="0.25">
      <c r="A43" s="13" t="s">
        <v>76</v>
      </c>
      <c r="B43" s="2">
        <f t="shared" ref="B43:C43" si="21">MEDIAN(B5:B10,B24:B28)</f>
        <v>30.5</v>
      </c>
      <c r="C43" s="2">
        <f t="shared" si="21"/>
        <v>87</v>
      </c>
      <c r="D43" s="2">
        <f>MEDIAN(D5:D10,D24:D28)</f>
        <v>20.84</v>
      </c>
      <c r="E43" s="2">
        <f>MEDIAN(E5:E10,E24:E28)</f>
        <v>288.39999999999998</v>
      </c>
      <c r="F43" s="2"/>
      <c r="G43" s="2">
        <f t="shared" ref="G43:J43" si="22">MEDIAN(G5:G10,G24:G28)</f>
        <v>0.20206466437855083</v>
      </c>
      <c r="H43" s="2">
        <f t="shared" si="22"/>
        <v>4.7462264627189663</v>
      </c>
      <c r="I43" s="2">
        <f t="shared" si="22"/>
        <v>1.5814922306188095</v>
      </c>
      <c r="J43" s="2">
        <f t="shared" si="22"/>
        <v>2.9945827608291054</v>
      </c>
    </row>
    <row r="44" spans="1:10" x14ac:dyDescent="0.25">
      <c r="A44" s="13" t="s">
        <v>75</v>
      </c>
      <c r="B44" s="2">
        <f t="shared" ref="B44:C44" si="23">MAX(B5:B10,B24:B28)</f>
        <v>40</v>
      </c>
      <c r="C44" s="2">
        <f t="shared" si="23"/>
        <v>109</v>
      </c>
      <c r="D44" s="2">
        <f>MAX(D5:D10,D24:D28)</f>
        <v>129.30000000000001</v>
      </c>
      <c r="E44" s="2">
        <f>MAX(E5:E10,E24:E28)</f>
        <v>936.9</v>
      </c>
      <c r="F44" s="2"/>
      <c r="G44" s="2">
        <f t="shared" ref="G44:J44" si="24">MAX(G5:G10,G24:G28)</f>
        <v>0.37987927565392354</v>
      </c>
      <c r="H44" s="2">
        <f t="shared" si="24"/>
        <v>6.29020979020979</v>
      </c>
      <c r="I44" s="2">
        <f t="shared" si="24"/>
        <v>2.3995975855130784</v>
      </c>
      <c r="J44" s="2">
        <f t="shared" si="24"/>
        <v>4.5476323119777167</v>
      </c>
    </row>
  </sheetData>
  <mergeCells count="4">
    <mergeCell ref="G1:H1"/>
    <mergeCell ref="I1:J1"/>
    <mergeCell ref="R1:S1"/>
    <mergeCell ref="T1:U1"/>
  </mergeCells>
  <pageMargins left="0.7" right="0.7" top="0.75" bottom="0.75" header="0.3" footer="0.3"/>
  <pageSetup scale="8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Normal="10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RowHeight="15" x14ac:dyDescent="0.25"/>
  <cols>
    <col min="1" max="16384" width="9.140625" style="13"/>
  </cols>
  <sheetData>
    <row r="1" spans="1:21" x14ac:dyDescent="0.25">
      <c r="G1" s="21" t="s">
        <v>17</v>
      </c>
      <c r="H1" s="21"/>
      <c r="I1" s="21" t="s">
        <v>18</v>
      </c>
      <c r="J1" s="21"/>
      <c r="R1" s="21" t="s">
        <v>17</v>
      </c>
      <c r="S1" s="21"/>
      <c r="T1" s="21" t="s">
        <v>18</v>
      </c>
      <c r="U1" s="21"/>
    </row>
    <row r="2" spans="1:21" x14ac:dyDescent="0.25">
      <c r="A2" s="13" t="s">
        <v>2</v>
      </c>
      <c r="B2" s="13" t="s">
        <v>9</v>
      </c>
      <c r="C2" s="13" t="s">
        <v>0</v>
      </c>
      <c r="D2" s="13" t="s">
        <v>1</v>
      </c>
      <c r="E2" s="18" t="s">
        <v>91</v>
      </c>
      <c r="F2" s="13" t="s">
        <v>90</v>
      </c>
      <c r="G2" s="13" t="s">
        <v>12</v>
      </c>
      <c r="H2" s="13" t="s">
        <v>13</v>
      </c>
      <c r="I2" s="13" t="s">
        <v>14</v>
      </c>
      <c r="J2" s="13" t="s">
        <v>15</v>
      </c>
      <c r="L2" s="13" t="s">
        <v>2</v>
      </c>
      <c r="M2" s="13" t="s">
        <v>9</v>
      </c>
      <c r="N2" s="13" t="s">
        <v>0</v>
      </c>
      <c r="O2" s="13" t="s">
        <v>1</v>
      </c>
      <c r="P2" s="18" t="s">
        <v>91</v>
      </c>
      <c r="Q2" s="13" t="s">
        <v>90</v>
      </c>
      <c r="R2" s="13" t="s">
        <v>12</v>
      </c>
      <c r="S2" s="13" t="s">
        <v>13</v>
      </c>
      <c r="T2" s="13" t="s">
        <v>14</v>
      </c>
      <c r="U2" s="13" t="s">
        <v>15</v>
      </c>
    </row>
    <row r="3" spans="1:21" x14ac:dyDescent="0.25">
      <c r="A3" s="6" t="s">
        <v>71</v>
      </c>
      <c r="B3" s="13" t="s">
        <v>77</v>
      </c>
      <c r="C3" s="13">
        <f>COUNTA(A5:A15)</f>
        <v>11</v>
      </c>
      <c r="E3" s="2"/>
      <c r="F3" s="2"/>
      <c r="G3" s="2"/>
      <c r="H3" s="2"/>
      <c r="I3" s="2"/>
      <c r="J3" s="2"/>
    </row>
    <row r="4" spans="1:21" x14ac:dyDescent="0.25">
      <c r="A4" s="13" t="s">
        <v>2</v>
      </c>
      <c r="B4" s="13" t="s">
        <v>9</v>
      </c>
      <c r="C4" s="13" t="s">
        <v>0</v>
      </c>
      <c r="D4" s="13" t="s">
        <v>1</v>
      </c>
      <c r="E4" s="18" t="s">
        <v>91</v>
      </c>
      <c r="F4" s="13" t="s">
        <v>90</v>
      </c>
      <c r="G4" s="13" t="s">
        <v>12</v>
      </c>
      <c r="H4" s="13" t="s">
        <v>13</v>
      </c>
      <c r="I4" s="13" t="s">
        <v>14</v>
      </c>
      <c r="J4" s="13" t="s">
        <v>15</v>
      </c>
    </row>
    <row r="5" spans="1:21" x14ac:dyDescent="0.25">
      <c r="A5" s="13" t="str">
        <f t="shared" ref="A5:F15" si="0">L5</f>
        <v>HVC01</v>
      </c>
      <c r="B5" s="13">
        <f t="shared" si="0"/>
        <v>48</v>
      </c>
      <c r="C5" s="13">
        <f t="shared" si="0"/>
        <v>68</v>
      </c>
      <c r="D5" s="13">
        <f t="shared" si="0"/>
        <v>154.9</v>
      </c>
      <c r="E5" s="2">
        <f t="shared" si="0"/>
        <v>1531</v>
      </c>
      <c r="F5" s="19">
        <f t="shared" si="0"/>
        <v>2</v>
      </c>
      <c r="G5" s="2">
        <f t="shared" ref="G5:G15" si="1">IF(R5="","",R5/$P5)</f>
        <v>7.6616590463749176E-2</v>
      </c>
      <c r="H5" s="2">
        <f t="shared" ref="H5:H15" si="2">IF(S5="","",S5/$P5)</f>
        <v>7.4918354016982365</v>
      </c>
      <c r="I5" s="2">
        <f t="shared" ref="I5:I15" si="3">IF(T5="","",T5/$P5)</f>
        <v>1.2116263879817113</v>
      </c>
      <c r="J5" s="2">
        <f t="shared" ref="J5:J15" si="4">IF(U5="","",U5/$P5)</f>
        <v>1.6564337034617898</v>
      </c>
      <c r="L5" s="13" t="s">
        <v>43</v>
      </c>
      <c r="M5" s="13">
        <v>48</v>
      </c>
      <c r="N5" s="13">
        <v>68</v>
      </c>
      <c r="O5" s="13">
        <v>154.9</v>
      </c>
      <c r="P5" s="13">
        <v>1531</v>
      </c>
      <c r="Q5" s="13">
        <v>2</v>
      </c>
      <c r="R5" s="13">
        <v>117.3</v>
      </c>
      <c r="S5" s="13">
        <v>11470</v>
      </c>
      <c r="T5" s="13">
        <v>1855</v>
      </c>
      <c r="U5" s="13">
        <v>2536</v>
      </c>
    </row>
    <row r="6" spans="1:21" x14ac:dyDescent="0.25">
      <c r="A6" s="13" t="str">
        <f t="shared" si="0"/>
        <v>HVC02</v>
      </c>
      <c r="B6" s="13">
        <f t="shared" si="0"/>
        <v>40</v>
      </c>
      <c r="C6" s="13">
        <f t="shared" si="0"/>
        <v>68</v>
      </c>
      <c r="D6" s="13">
        <f t="shared" si="0"/>
        <v>277.3</v>
      </c>
      <c r="E6" s="2">
        <f t="shared" si="0"/>
        <v>1425</v>
      </c>
      <c r="F6" s="19">
        <f t="shared" si="0"/>
        <v>2</v>
      </c>
      <c r="G6" s="2">
        <f t="shared" si="1"/>
        <v>6.5740350877192988E-2</v>
      </c>
      <c r="H6" s="2">
        <f t="shared" si="2"/>
        <v>5.2687719298245614</v>
      </c>
      <c r="I6" s="2">
        <f t="shared" si="3"/>
        <v>1.8210526315789475</v>
      </c>
      <c r="J6" s="2">
        <f t="shared" si="4"/>
        <v>2.8919298245614034</v>
      </c>
      <c r="L6" s="13" t="s">
        <v>44</v>
      </c>
      <c r="M6" s="13">
        <v>40</v>
      </c>
      <c r="N6" s="13">
        <v>68</v>
      </c>
      <c r="O6" s="13">
        <v>277.3</v>
      </c>
      <c r="P6" s="13">
        <v>1425</v>
      </c>
      <c r="Q6" s="13">
        <v>2</v>
      </c>
      <c r="R6" s="13">
        <v>93.68</v>
      </c>
      <c r="S6" s="13">
        <v>7508</v>
      </c>
      <c r="T6" s="13">
        <v>2595</v>
      </c>
      <c r="U6" s="13">
        <v>4121</v>
      </c>
    </row>
    <row r="7" spans="1:21" x14ac:dyDescent="0.25">
      <c r="A7" s="13" t="str">
        <f t="shared" si="0"/>
        <v>HVC04</v>
      </c>
      <c r="B7" s="13">
        <f t="shared" si="0"/>
        <v>40</v>
      </c>
      <c r="C7" s="13">
        <f t="shared" si="0"/>
        <v>67</v>
      </c>
      <c r="D7" s="13">
        <f t="shared" si="0"/>
        <v>278.60000000000002</v>
      </c>
      <c r="E7" s="2">
        <f t="shared" si="0"/>
        <v>865.8</v>
      </c>
      <c r="F7" s="19">
        <f t="shared" si="0"/>
        <v>1</v>
      </c>
      <c r="G7" s="2">
        <f t="shared" si="1"/>
        <v>5.3823053823053829E-2</v>
      </c>
      <c r="H7" s="2">
        <f t="shared" si="2"/>
        <v>5.2321552321552325</v>
      </c>
      <c r="I7" s="2">
        <f t="shared" si="3"/>
        <v>1.6308616308616311</v>
      </c>
      <c r="J7" s="2">
        <f t="shared" si="4"/>
        <v>5.1039501039501038</v>
      </c>
      <c r="L7" s="13" t="s">
        <v>45</v>
      </c>
      <c r="M7" s="13">
        <v>40</v>
      </c>
      <c r="N7" s="13">
        <v>67</v>
      </c>
      <c r="O7" s="13">
        <v>278.60000000000002</v>
      </c>
      <c r="P7" s="13">
        <v>865.8</v>
      </c>
      <c r="Q7" s="13">
        <v>1</v>
      </c>
      <c r="R7" s="13">
        <v>46.6</v>
      </c>
      <c r="S7" s="13">
        <v>4530</v>
      </c>
      <c r="T7" s="13">
        <v>1412</v>
      </c>
      <c r="U7" s="13">
        <v>4419</v>
      </c>
    </row>
    <row r="8" spans="1:21" x14ac:dyDescent="0.25">
      <c r="A8" s="13" t="str">
        <f t="shared" si="0"/>
        <v>HVC05</v>
      </c>
      <c r="B8" s="13">
        <f t="shared" si="0"/>
        <v>40</v>
      </c>
      <c r="C8" s="13">
        <f t="shared" si="0"/>
        <v>63.7</v>
      </c>
      <c r="D8" s="13">
        <f t="shared" si="0"/>
        <v>431.5</v>
      </c>
      <c r="E8" s="2">
        <f t="shared" si="0"/>
        <v>735.7</v>
      </c>
      <c r="F8" s="19">
        <f t="shared" si="0"/>
        <v>1</v>
      </c>
      <c r="G8" s="2">
        <f t="shared" si="1"/>
        <v>8.9982329753975798E-2</v>
      </c>
      <c r="H8" s="2">
        <f t="shared" si="2"/>
        <v>7.683838521136332</v>
      </c>
      <c r="I8" s="2">
        <f t="shared" si="3"/>
        <v>1.5277966562457523</v>
      </c>
      <c r="J8" s="2">
        <f t="shared" si="4"/>
        <v>4.0886230800598069</v>
      </c>
      <c r="L8" s="13" t="s">
        <v>46</v>
      </c>
      <c r="M8" s="13">
        <v>40</v>
      </c>
      <c r="N8" s="13">
        <v>63.7</v>
      </c>
      <c r="O8" s="13">
        <v>431.5</v>
      </c>
      <c r="P8" s="13">
        <v>735.7</v>
      </c>
      <c r="Q8" s="13">
        <v>1</v>
      </c>
      <c r="R8" s="13">
        <v>66.2</v>
      </c>
      <c r="S8" s="13">
        <v>5653</v>
      </c>
      <c r="T8" s="13">
        <v>1124</v>
      </c>
      <c r="U8" s="13">
        <v>3008</v>
      </c>
    </row>
    <row r="9" spans="1:21" x14ac:dyDescent="0.25">
      <c r="A9" s="13" t="str">
        <f t="shared" si="0"/>
        <v>Neuro1 AP</v>
      </c>
      <c r="B9" s="13">
        <f t="shared" si="0"/>
        <v>48</v>
      </c>
      <c r="C9" s="13">
        <f t="shared" si="0"/>
        <v>84</v>
      </c>
      <c r="D9" s="13">
        <f t="shared" si="0"/>
        <v>137.69999999999999</v>
      </c>
      <c r="E9" s="2">
        <f t="shared" si="0"/>
        <v>971.73847991574894</v>
      </c>
      <c r="F9" s="19">
        <f t="shared" si="0"/>
        <v>7.5</v>
      </c>
      <c r="G9" s="2">
        <f t="shared" si="1"/>
        <v>0.11071755368739296</v>
      </c>
      <c r="H9" s="2">
        <f t="shared" si="2"/>
        <v>2.2727556168072911</v>
      </c>
      <c r="I9" s="2">
        <f t="shared" si="3"/>
        <v>1.1241992510898149</v>
      </c>
      <c r="J9" s="2">
        <f t="shared" si="4"/>
        <v>2.0596551969405494</v>
      </c>
      <c r="L9" s="13" t="s">
        <v>47</v>
      </c>
      <c r="M9" s="13">
        <v>48</v>
      </c>
      <c r="N9" s="13">
        <v>84</v>
      </c>
      <c r="O9" s="13">
        <v>137.69999999999999</v>
      </c>
      <c r="P9" s="13">
        <f>437.282315962087/(7.5*60/1000)</f>
        <v>971.73847991574894</v>
      </c>
      <c r="Q9" s="13">
        <v>7.5</v>
      </c>
      <c r="R9" s="13">
        <f>48.4148282940799/(7.5*60/1000)</f>
        <v>107.58850732017756</v>
      </c>
      <c r="S9" s="13">
        <f>993.835839733334/(7.5*60/1000)</f>
        <v>2208.5240882962976</v>
      </c>
      <c r="T9" s="13">
        <f>491.592452119398/(7.5*60/1000)</f>
        <v>1092.42767137644</v>
      </c>
      <c r="U9" s="13">
        <f>900.650794601512/(7.5*60/1000)</f>
        <v>2001.446210225582</v>
      </c>
    </row>
    <row r="10" spans="1:21" x14ac:dyDescent="0.25">
      <c r="A10" s="13" t="str">
        <f t="shared" si="0"/>
        <v>Neuro1 Lat</v>
      </c>
      <c r="B10" s="13">
        <f t="shared" si="0"/>
        <v>25</v>
      </c>
      <c r="C10" s="13">
        <f t="shared" si="0"/>
        <v>87.4</v>
      </c>
      <c r="D10" s="13">
        <f t="shared" si="0"/>
        <v>263</v>
      </c>
      <c r="E10" s="2">
        <f t="shared" si="0"/>
        <v>806.71046159130265</v>
      </c>
      <c r="F10" s="19">
        <f t="shared" si="0"/>
        <v>7.5</v>
      </c>
      <c r="G10" s="2">
        <f t="shared" si="1"/>
        <v>0.40266532526597215</v>
      </c>
      <c r="H10" s="2">
        <f t="shared" si="2"/>
        <v>2.9836180427780254</v>
      </c>
      <c r="I10" s="2">
        <f t="shared" si="3"/>
        <v>2.5683004726514076</v>
      </c>
      <c r="J10" s="2">
        <f t="shared" si="4"/>
        <v>2.6062594619203403</v>
      </c>
      <c r="L10" s="13" t="s">
        <v>48</v>
      </c>
      <c r="M10" s="13">
        <v>25</v>
      </c>
      <c r="N10" s="13">
        <v>87.4</v>
      </c>
      <c r="O10" s="13">
        <v>263</v>
      </c>
      <c r="P10" s="13">
        <v>806.71046159130265</v>
      </c>
      <c r="Q10" s="13">
        <v>7.5</v>
      </c>
      <c r="R10" s="13">
        <f>146.175448685456/(7.5*60/1000)</f>
        <v>324.83433041212442</v>
      </c>
      <c r="S10" s="13">
        <f>1083.11214982572/(7.5*60/1000)</f>
        <v>2406.9158885016</v>
      </c>
      <c r="T10" s="13">
        <f>932.343686909/(7.5*60/1000)</f>
        <v>2071.8748597977778</v>
      </c>
      <c r="U10" s="13">
        <f>946.123548098606/(7.5*60/1000)</f>
        <v>2102.4967735524579</v>
      </c>
    </row>
    <row r="11" spans="1:21" x14ac:dyDescent="0.25">
      <c r="A11" s="13" t="str">
        <f t="shared" si="0"/>
        <v>Neuro2 AP</v>
      </c>
      <c r="B11" s="13">
        <f t="shared" si="0"/>
        <v>48</v>
      </c>
      <c r="C11" s="13">
        <f t="shared" si="0"/>
        <v>96</v>
      </c>
      <c r="D11" s="13">
        <f t="shared" si="0"/>
        <v>157</v>
      </c>
      <c r="E11" s="2">
        <f t="shared" si="0"/>
        <v>874</v>
      </c>
      <c r="F11" s="19">
        <f t="shared" si="0"/>
        <v>7.5</v>
      </c>
      <c r="G11" s="2">
        <f t="shared" si="1"/>
        <v>0.31727688787185354</v>
      </c>
      <c r="H11" s="2">
        <f t="shared" si="2"/>
        <v>1.9096109839816933</v>
      </c>
      <c r="I11" s="2">
        <f t="shared" si="3"/>
        <v>1.4141876430205951</v>
      </c>
      <c r="J11" s="2">
        <f t="shared" si="4"/>
        <v>1.3203661327231122</v>
      </c>
      <c r="L11" s="13" t="s">
        <v>49</v>
      </c>
      <c r="M11" s="13">
        <v>48</v>
      </c>
      <c r="N11" s="13">
        <v>96</v>
      </c>
      <c r="O11" s="13">
        <v>157</v>
      </c>
      <c r="P11" s="13">
        <v>874</v>
      </c>
      <c r="Q11" s="13">
        <v>7.5</v>
      </c>
      <c r="R11" s="13">
        <v>277.3</v>
      </c>
      <c r="S11" s="13">
        <v>1669</v>
      </c>
      <c r="T11" s="13">
        <v>1236</v>
      </c>
      <c r="U11" s="13">
        <v>1154</v>
      </c>
    </row>
    <row r="12" spans="1:21" x14ac:dyDescent="0.25">
      <c r="A12" s="13" t="str">
        <f t="shared" si="0"/>
        <v>Neuro2 Lat</v>
      </c>
      <c r="B12" s="13">
        <f t="shared" si="0"/>
        <v>25</v>
      </c>
      <c r="C12" s="13">
        <f t="shared" si="0"/>
        <v>96</v>
      </c>
      <c r="D12" s="13">
        <f t="shared" si="0"/>
        <v>152.5</v>
      </c>
      <c r="E12" s="2">
        <f t="shared" si="0"/>
        <v>647</v>
      </c>
      <c r="F12" s="19">
        <f t="shared" si="0"/>
        <v>7.5</v>
      </c>
      <c r="G12" s="2">
        <f t="shared" si="1"/>
        <v>0.48037094281298304</v>
      </c>
      <c r="H12" s="2">
        <f t="shared" si="2"/>
        <v>1.7542503863987635</v>
      </c>
      <c r="I12" s="2">
        <f t="shared" si="3"/>
        <v>1.2697063369397219</v>
      </c>
      <c r="J12" s="2">
        <f t="shared" si="4"/>
        <v>1.3678516228748068</v>
      </c>
      <c r="L12" s="13" t="s">
        <v>50</v>
      </c>
      <c r="M12" s="13">
        <v>25</v>
      </c>
      <c r="N12" s="13">
        <v>96</v>
      </c>
      <c r="O12" s="13">
        <v>152.5</v>
      </c>
      <c r="P12" s="13">
        <v>647</v>
      </c>
      <c r="Q12" s="13">
        <v>7.5</v>
      </c>
      <c r="R12" s="13">
        <v>310.8</v>
      </c>
      <c r="S12" s="13">
        <v>1135</v>
      </c>
      <c r="T12" s="13">
        <v>821.5</v>
      </c>
      <c r="U12" s="13">
        <v>885</v>
      </c>
    </row>
    <row r="13" spans="1:21" x14ac:dyDescent="0.25">
      <c r="A13" s="13" t="str">
        <f t="shared" si="0"/>
        <v>ART Angio 2</v>
      </c>
      <c r="B13" s="13">
        <f t="shared" si="0"/>
        <v>48</v>
      </c>
      <c r="C13" s="13">
        <f t="shared" si="0"/>
        <v>68</v>
      </c>
      <c r="D13" s="13">
        <f t="shared" si="0"/>
        <v>206.1</v>
      </c>
      <c r="E13" s="2">
        <f t="shared" si="0"/>
        <v>1598</v>
      </c>
      <c r="F13" s="19">
        <f t="shared" si="0"/>
        <v>3</v>
      </c>
      <c r="G13" s="2">
        <f t="shared" si="1"/>
        <v>0.10826032540675845</v>
      </c>
      <c r="H13" s="2">
        <f t="shared" si="2"/>
        <v>4.9937421777221527</v>
      </c>
      <c r="I13" s="2">
        <f t="shared" si="3"/>
        <v>1.274718397997497</v>
      </c>
      <c r="J13" s="2">
        <f t="shared" si="4"/>
        <v>1.4011264080100125</v>
      </c>
      <c r="L13" s="13" t="s">
        <v>51</v>
      </c>
      <c r="M13" s="13">
        <v>48</v>
      </c>
      <c r="N13" s="13">
        <v>68</v>
      </c>
      <c r="O13" s="13">
        <v>206.1</v>
      </c>
      <c r="P13" s="13">
        <v>1598</v>
      </c>
      <c r="Q13" s="13">
        <v>3</v>
      </c>
      <c r="R13" s="13">
        <v>173</v>
      </c>
      <c r="S13" s="13">
        <v>7980</v>
      </c>
      <c r="T13" s="13">
        <v>2037</v>
      </c>
      <c r="U13" s="13">
        <v>2239</v>
      </c>
    </row>
    <row r="14" spans="1:21" x14ac:dyDescent="0.25">
      <c r="A14" s="13" t="str">
        <f t="shared" si="0"/>
        <v>ART Angio 3</v>
      </c>
      <c r="B14" s="13">
        <f t="shared" si="0"/>
        <v>48</v>
      </c>
      <c r="C14" s="13">
        <f t="shared" si="0"/>
        <v>68</v>
      </c>
      <c r="D14" s="13">
        <f t="shared" si="0"/>
        <v>198.2</v>
      </c>
      <c r="E14" s="2">
        <f t="shared" si="0"/>
        <v>1611</v>
      </c>
      <c r="F14" s="19">
        <f t="shared" si="0"/>
        <v>3</v>
      </c>
      <c r="G14" s="2">
        <f t="shared" si="1"/>
        <v>0.10198634388578523</v>
      </c>
      <c r="H14" s="2">
        <f t="shared" si="2"/>
        <v>5.6132836747361887</v>
      </c>
      <c r="I14" s="2">
        <f t="shared" si="3"/>
        <v>1.3296089385474861</v>
      </c>
      <c r="J14" s="2">
        <f t="shared" si="4"/>
        <v>1.4419615145872129</v>
      </c>
      <c r="L14" s="13" t="s">
        <v>52</v>
      </c>
      <c r="M14" s="13">
        <v>48</v>
      </c>
      <c r="N14" s="13">
        <v>68</v>
      </c>
      <c r="O14" s="13">
        <v>198.2</v>
      </c>
      <c r="P14" s="13">
        <v>1611</v>
      </c>
      <c r="Q14" s="13">
        <v>3</v>
      </c>
      <c r="R14" s="13">
        <v>164.3</v>
      </c>
      <c r="S14" s="13">
        <v>9043</v>
      </c>
      <c r="T14" s="13">
        <v>2142</v>
      </c>
      <c r="U14" s="13">
        <v>2323</v>
      </c>
    </row>
    <row r="15" spans="1:21" x14ac:dyDescent="0.25">
      <c r="A15" s="13" t="str">
        <f t="shared" si="0"/>
        <v>ART OR 10</v>
      </c>
      <c r="B15" s="13">
        <f t="shared" si="0"/>
        <v>48</v>
      </c>
      <c r="C15" s="13">
        <f t="shared" si="0"/>
        <v>71.5</v>
      </c>
      <c r="D15" s="13">
        <f t="shared" si="0"/>
        <v>311</v>
      </c>
      <c r="E15" s="2">
        <f t="shared" si="0"/>
        <v>746.26691881327349</v>
      </c>
      <c r="F15" s="19">
        <f t="shared" si="0"/>
        <v>7.5</v>
      </c>
      <c r="G15" s="2">
        <f t="shared" si="1"/>
        <v>6.8475054543885264E-2</v>
      </c>
      <c r="H15" s="2">
        <f t="shared" si="2"/>
        <v>2.7641052170527889</v>
      </c>
      <c r="I15" s="2">
        <f t="shared" si="3"/>
        <v>0.98621397032569103</v>
      </c>
      <c r="J15" s="2">
        <f t="shared" si="4"/>
        <v>1.0695362910229647</v>
      </c>
      <c r="L15" s="13" t="s">
        <v>53</v>
      </c>
      <c r="M15" s="13">
        <v>48</v>
      </c>
      <c r="N15" s="13">
        <v>71.5</v>
      </c>
      <c r="O15" s="13">
        <v>311</v>
      </c>
      <c r="P15" s="13">
        <v>746.26691881327349</v>
      </c>
      <c r="Q15" s="13">
        <v>7.5</v>
      </c>
      <c r="R15" s="13">
        <v>51.100667970036099</v>
      </c>
      <c r="S15" s="13">
        <v>2062.7602836056794</v>
      </c>
      <c r="T15" s="13">
        <v>735.97886092555859</v>
      </c>
      <c r="U15" s="13">
        <v>798.15955246068438</v>
      </c>
    </row>
    <row r="16" spans="1:21" x14ac:dyDescent="0.25">
      <c r="A16" s="13" t="s">
        <v>41</v>
      </c>
      <c r="B16" s="2">
        <f>AVERAGE(B5:B15)</f>
        <v>41.636363636363633</v>
      </c>
      <c r="C16" s="2">
        <f t="shared" ref="C16:E16" si="5">AVERAGE(C5:C15)</f>
        <v>76.145454545454541</v>
      </c>
      <c r="D16" s="2">
        <f t="shared" si="5"/>
        <v>233.43636363636367</v>
      </c>
      <c r="E16" s="2">
        <f t="shared" si="5"/>
        <v>1073.8378054836658</v>
      </c>
      <c r="F16" s="19"/>
      <c r="G16" s="2">
        <f t="shared" ref="G16:J16" si="6">AVERAGE(G5:G15)</f>
        <v>0.17053770530841839</v>
      </c>
      <c r="H16" s="2">
        <f t="shared" si="6"/>
        <v>4.3607242894810252</v>
      </c>
      <c r="I16" s="2">
        <f t="shared" si="6"/>
        <v>1.4689338470218412</v>
      </c>
      <c r="J16" s="2">
        <f t="shared" si="6"/>
        <v>2.2734266672829184</v>
      </c>
    </row>
    <row r="17" spans="1:21" x14ac:dyDescent="0.25">
      <c r="A17" s="13" t="s">
        <v>42</v>
      </c>
      <c r="B17" s="2">
        <f>STDEV(B5:B15)</f>
        <v>8.9696457819997324</v>
      </c>
      <c r="C17" s="2">
        <f t="shared" ref="C17:E17" si="7">STDEV(C5:C15)</f>
        <v>12.256701321021382</v>
      </c>
      <c r="D17" s="2">
        <f t="shared" si="7"/>
        <v>89.330065182191234</v>
      </c>
      <c r="E17" s="2">
        <f t="shared" si="7"/>
        <v>382.67844582092022</v>
      </c>
      <c r="F17" s="19"/>
      <c r="G17" s="2">
        <f t="shared" ref="G17:J17" si="8">STDEV(G5:G15)</f>
        <v>0.15293802367036724</v>
      </c>
      <c r="H17" s="2">
        <f t="shared" si="8"/>
        <v>2.1449334245647189</v>
      </c>
      <c r="I17" s="2">
        <f t="shared" si="8"/>
        <v>0.43360897376898855</v>
      </c>
      <c r="J17" s="2">
        <f t="shared" si="8"/>
        <v>1.2983253810306346</v>
      </c>
    </row>
    <row r="18" spans="1:21" x14ac:dyDescent="0.25">
      <c r="A18" s="13" t="s">
        <v>74</v>
      </c>
      <c r="B18" s="2">
        <f>MIN(B5:B15)</f>
        <v>25</v>
      </c>
      <c r="C18" s="2">
        <f t="shared" ref="C18:J18" si="9">MIN(C5:C15)</f>
        <v>63.7</v>
      </c>
      <c r="D18" s="2">
        <f t="shared" si="9"/>
        <v>137.69999999999999</v>
      </c>
      <c r="E18" s="2">
        <f t="shared" si="9"/>
        <v>647</v>
      </c>
      <c r="F18" s="19"/>
      <c r="G18" s="2">
        <f t="shared" si="9"/>
        <v>5.3823053823053829E-2</v>
      </c>
      <c r="H18" s="2">
        <f t="shared" si="9"/>
        <v>1.7542503863987635</v>
      </c>
      <c r="I18" s="2">
        <f t="shared" si="9"/>
        <v>0.98621397032569103</v>
      </c>
      <c r="J18" s="2">
        <f t="shared" si="9"/>
        <v>1.0695362910229647</v>
      </c>
    </row>
    <row r="19" spans="1:21" x14ac:dyDescent="0.25">
      <c r="A19" s="13">
        <v>10</v>
      </c>
      <c r="B19" s="2">
        <f>PERCENTILE(B$5:B$15,$A19/100)</f>
        <v>25</v>
      </c>
      <c r="C19" s="2">
        <f t="shared" ref="C19:J19" si="10">PERCENTILE(C$5:C$15,$A19/100)</f>
        <v>67</v>
      </c>
      <c r="D19" s="2">
        <f t="shared" si="10"/>
        <v>152.5</v>
      </c>
      <c r="E19" s="2">
        <f t="shared" si="10"/>
        <v>735.7</v>
      </c>
      <c r="F19" s="19"/>
      <c r="G19" s="2">
        <f t="shared" si="10"/>
        <v>6.5740350877192988E-2</v>
      </c>
      <c r="H19" s="2">
        <f t="shared" si="10"/>
        <v>1.9096109839816933</v>
      </c>
      <c r="I19" s="2">
        <f t="shared" si="10"/>
        <v>1.1241992510898149</v>
      </c>
      <c r="J19" s="2">
        <f t="shared" si="10"/>
        <v>1.3203661327231122</v>
      </c>
    </row>
    <row r="20" spans="1:21" x14ac:dyDescent="0.25">
      <c r="A20" s="13">
        <v>25</v>
      </c>
      <c r="B20" s="2">
        <f t="shared" ref="B20:J23" si="11">PERCENTILE(B$5:B$15,$A20/100)</f>
        <v>40</v>
      </c>
      <c r="C20" s="2">
        <f t="shared" si="11"/>
        <v>68</v>
      </c>
      <c r="D20" s="2">
        <f t="shared" si="11"/>
        <v>155.94999999999999</v>
      </c>
      <c r="E20" s="2">
        <f t="shared" si="11"/>
        <v>776.48869020228813</v>
      </c>
      <c r="F20" s="19"/>
      <c r="G20" s="2">
        <f t="shared" si="11"/>
        <v>7.254582250381722E-2</v>
      </c>
      <c r="H20" s="2">
        <f t="shared" si="11"/>
        <v>2.5184304169300402</v>
      </c>
      <c r="I20" s="2">
        <f t="shared" si="11"/>
        <v>1.2406663624607166</v>
      </c>
      <c r="J20" s="2">
        <f t="shared" si="11"/>
        <v>1.3844890154424097</v>
      </c>
    </row>
    <row r="21" spans="1:21" x14ac:dyDescent="0.25">
      <c r="A21" s="13">
        <v>50</v>
      </c>
      <c r="B21" s="2">
        <f t="shared" si="11"/>
        <v>48</v>
      </c>
      <c r="C21" s="2">
        <f t="shared" si="11"/>
        <v>68</v>
      </c>
      <c r="D21" s="2">
        <f t="shared" si="11"/>
        <v>206.1</v>
      </c>
      <c r="E21" s="2">
        <f t="shared" si="11"/>
        <v>874</v>
      </c>
      <c r="F21" s="19"/>
      <c r="G21" s="2">
        <f t="shared" si="11"/>
        <v>0.10198634388578523</v>
      </c>
      <c r="H21" s="2">
        <f t="shared" si="11"/>
        <v>4.9937421777221527</v>
      </c>
      <c r="I21" s="2">
        <f t="shared" si="11"/>
        <v>1.3296089385474861</v>
      </c>
      <c r="J21" s="2">
        <f t="shared" si="11"/>
        <v>1.6564337034617898</v>
      </c>
    </row>
    <row r="22" spans="1:21" x14ac:dyDescent="0.25">
      <c r="A22" s="13">
        <v>75</v>
      </c>
      <c r="B22" s="2">
        <f t="shared" si="11"/>
        <v>48</v>
      </c>
      <c r="C22" s="2">
        <f t="shared" si="11"/>
        <v>85.7</v>
      </c>
      <c r="D22" s="2">
        <f t="shared" si="11"/>
        <v>277.95000000000005</v>
      </c>
      <c r="E22" s="2">
        <f t="shared" si="11"/>
        <v>1478</v>
      </c>
      <c r="F22" s="19"/>
      <c r="G22" s="2">
        <f t="shared" si="11"/>
        <v>0.21399722077962324</v>
      </c>
      <c r="H22" s="2">
        <f t="shared" si="11"/>
        <v>5.4410278022803755</v>
      </c>
      <c r="I22" s="2">
        <f t="shared" si="11"/>
        <v>1.5793291435536916</v>
      </c>
      <c r="J22" s="2">
        <f t="shared" si="11"/>
        <v>2.7490946432408716</v>
      </c>
    </row>
    <row r="23" spans="1:21" x14ac:dyDescent="0.25">
      <c r="A23" s="13">
        <v>90</v>
      </c>
      <c r="B23" s="2">
        <f t="shared" si="11"/>
        <v>48</v>
      </c>
      <c r="C23" s="2">
        <f t="shared" si="11"/>
        <v>96</v>
      </c>
      <c r="D23" s="2">
        <f t="shared" si="11"/>
        <v>311</v>
      </c>
      <c r="E23" s="2">
        <f t="shared" si="11"/>
        <v>1598</v>
      </c>
      <c r="F23" s="19"/>
      <c r="G23" s="2">
        <f t="shared" si="11"/>
        <v>0.40266532526597215</v>
      </c>
      <c r="H23" s="2">
        <f t="shared" si="11"/>
        <v>7.4918354016982365</v>
      </c>
      <c r="I23" s="2">
        <f t="shared" si="11"/>
        <v>1.8210526315789475</v>
      </c>
      <c r="J23" s="2">
        <f t="shared" si="11"/>
        <v>4.0886230800598069</v>
      </c>
    </row>
    <row r="24" spans="1:21" x14ac:dyDescent="0.25">
      <c r="A24" s="13" t="s">
        <v>75</v>
      </c>
      <c r="B24" s="2">
        <f>MAX(B5:B15)</f>
        <v>48</v>
      </c>
      <c r="C24" s="2">
        <f t="shared" ref="C24:J24" si="12">MAX(C5:C15)</f>
        <v>96</v>
      </c>
      <c r="D24" s="2">
        <f t="shared" si="12"/>
        <v>431.5</v>
      </c>
      <c r="E24" s="2">
        <f t="shared" si="12"/>
        <v>1611</v>
      </c>
      <c r="F24" s="19"/>
      <c r="G24" s="2">
        <f t="shared" si="12"/>
        <v>0.48037094281298304</v>
      </c>
      <c r="H24" s="2">
        <f t="shared" si="12"/>
        <v>7.683838521136332</v>
      </c>
      <c r="I24" s="2">
        <f t="shared" si="12"/>
        <v>2.5683004726514076</v>
      </c>
      <c r="J24" s="2">
        <f t="shared" si="12"/>
        <v>5.1039501039501038</v>
      </c>
    </row>
    <row r="26" spans="1:21" x14ac:dyDescent="0.25">
      <c r="A26" s="6" t="s">
        <v>72</v>
      </c>
      <c r="B26" s="13" t="s">
        <v>77</v>
      </c>
      <c r="C26" s="13">
        <f>COUNTA(A28:A39)</f>
        <v>12</v>
      </c>
    </row>
    <row r="27" spans="1:21" x14ac:dyDescent="0.25">
      <c r="A27" s="13" t="s">
        <v>2</v>
      </c>
      <c r="B27" s="13" t="s">
        <v>9</v>
      </c>
      <c r="C27" s="13" t="s">
        <v>0</v>
      </c>
      <c r="D27" s="13" t="s">
        <v>1</v>
      </c>
      <c r="E27" s="18" t="s">
        <v>91</v>
      </c>
      <c r="F27" s="13" t="s">
        <v>90</v>
      </c>
      <c r="G27" s="13" t="s">
        <v>12</v>
      </c>
      <c r="H27" s="13" t="s">
        <v>13</v>
      </c>
      <c r="I27" s="13" t="s">
        <v>14</v>
      </c>
      <c r="J27" s="13" t="s">
        <v>15</v>
      </c>
    </row>
    <row r="28" spans="1:21" x14ac:dyDescent="0.25">
      <c r="A28" s="13" t="str">
        <f t="shared" ref="A28:E39" si="13">L28</f>
        <v>ART EP 6</v>
      </c>
      <c r="B28" s="13">
        <f t="shared" si="13"/>
        <v>25</v>
      </c>
      <c r="C28" s="13">
        <f t="shared" si="13"/>
        <v>68</v>
      </c>
      <c r="D28" s="13">
        <f t="shared" si="13"/>
        <v>669.9</v>
      </c>
      <c r="E28" s="2">
        <f>P28</f>
        <v>201.32199660521889</v>
      </c>
      <c r="F28" s="19">
        <f t="shared" ref="F28:F39" si="14">Q28</f>
        <v>7.5</v>
      </c>
      <c r="G28" s="2">
        <f t="shared" ref="G28:G39" si="15">IF(R28="","",R28/$P28)</f>
        <v>8.4627178452328172E-2</v>
      </c>
      <c r="H28" s="2">
        <f t="shared" ref="H28:H39" si="16">IF(S28="","",S28/$P28)</f>
        <v>4.2740240173104471</v>
      </c>
      <c r="I28" s="2">
        <f t="shared" ref="I28:I39" si="17">IF(T28="","",T28/$P28)</f>
        <v>1.3143577730918365</v>
      </c>
      <c r="J28" s="2">
        <f t="shared" ref="J28:J39" si="18">IF(U28="","",U28/$P28)</f>
        <v>1.5526548910385527</v>
      </c>
      <c r="L28" s="13" t="s">
        <v>54</v>
      </c>
      <c r="M28" s="13">
        <v>25</v>
      </c>
      <c r="N28" s="13">
        <v>68</v>
      </c>
      <c r="O28" s="13">
        <v>669.9</v>
      </c>
      <c r="P28" s="13">
        <f>90.5948984723485/(7.5*60/1000)</f>
        <v>201.32199660521889</v>
      </c>
      <c r="Q28" s="13">
        <v>7.5</v>
      </c>
      <c r="R28" s="13">
        <f>7.66679063988999/(7.5*60/1000)</f>
        <v>17.037312533088866</v>
      </c>
      <c r="S28" s="13">
        <f>387.204771916619/(7.5*60/1000)</f>
        <v>860.45504870359775</v>
      </c>
      <c r="T28" s="13">
        <f>119.074109009597/(7.5*60/1000)</f>
        <v>264.60913113243777</v>
      </c>
      <c r="U28" s="13">
        <f>140.662612216233/(7.5*60/1000)</f>
        <v>312.58358270273999</v>
      </c>
    </row>
    <row r="29" spans="1:21" x14ac:dyDescent="0.25">
      <c r="A29" s="13" t="str">
        <f t="shared" si="13"/>
        <v>ART EP 7 AP</v>
      </c>
      <c r="B29" s="13">
        <f t="shared" si="13"/>
        <v>48</v>
      </c>
      <c r="C29" s="13">
        <f t="shared" si="13"/>
        <v>73</v>
      </c>
      <c r="D29" s="13">
        <f t="shared" si="13"/>
        <v>252.8</v>
      </c>
      <c r="E29" s="2">
        <f t="shared" si="13"/>
        <v>113.26373632549222</v>
      </c>
      <c r="F29" s="19">
        <f t="shared" si="14"/>
        <v>15</v>
      </c>
      <c r="G29" s="2">
        <f t="shared" si="15"/>
        <v>0.15023023688284975</v>
      </c>
      <c r="H29" s="2">
        <f t="shared" si="16"/>
        <v>4.0322087067038401</v>
      </c>
      <c r="I29" s="2">
        <f t="shared" si="17"/>
        <v>1.423463723951879</v>
      </c>
      <c r="J29" s="2">
        <f t="shared" si="18"/>
        <v>1.9580486822485743</v>
      </c>
      <c r="L29" s="13" t="s">
        <v>60</v>
      </c>
      <c r="M29" s="13">
        <v>48</v>
      </c>
      <c r="N29" s="13">
        <v>73</v>
      </c>
      <c r="O29" s="13">
        <v>252.8</v>
      </c>
      <c r="P29" s="13">
        <f>101.937362692943/(15*60/1000)</f>
        <v>113.26373632549222</v>
      </c>
      <c r="Q29" s="13">
        <v>15</v>
      </c>
      <c r="R29" s="13">
        <f>15.3140741445738/(15*60/1000)</f>
        <v>17.015637938415331</v>
      </c>
      <c r="S29" s="13">
        <f>411.032721388912/(15*60/1000)</f>
        <v>456.70302376545777</v>
      </c>
      <c r="T29" s="13">
        <f>145.10413790873/(15*60/1000)</f>
        <v>161.22681989858887</v>
      </c>
      <c r="U29" s="13">
        <f>199.598318692812/(15*60/1000)</f>
        <v>221.77590965868001</v>
      </c>
    </row>
    <row r="30" spans="1:21" x14ac:dyDescent="0.25">
      <c r="A30" s="13" t="str">
        <f t="shared" si="13"/>
        <v>ART EP 7 Lat</v>
      </c>
      <c r="B30" s="13">
        <f t="shared" si="13"/>
        <v>25</v>
      </c>
      <c r="C30" s="13">
        <f t="shared" si="13"/>
        <v>73</v>
      </c>
      <c r="D30" s="13">
        <f t="shared" si="13"/>
        <v>362</v>
      </c>
      <c r="E30" s="2">
        <f t="shared" si="13"/>
        <v>174.04557770838554</v>
      </c>
      <c r="F30" s="19">
        <f t="shared" si="14"/>
        <v>15</v>
      </c>
      <c r="G30" s="2">
        <f t="shared" si="15"/>
        <v>0.15378181379218123</v>
      </c>
      <c r="H30" s="2">
        <f t="shared" si="16"/>
        <v>5.0108965564015264</v>
      </c>
      <c r="I30" s="2">
        <f t="shared" si="17"/>
        <v>1.3049671883361147</v>
      </c>
      <c r="J30" s="2">
        <f t="shared" si="18"/>
        <v>3.9350787814778752</v>
      </c>
      <c r="L30" s="13" t="s">
        <v>59</v>
      </c>
      <c r="M30" s="13">
        <v>25</v>
      </c>
      <c r="N30" s="13">
        <v>73</v>
      </c>
      <c r="O30" s="13">
        <v>362</v>
      </c>
      <c r="P30" s="13">
        <f>156.641019937547/(15*60/1000)</f>
        <v>174.04557770838554</v>
      </c>
      <c r="Q30" s="13">
        <v>15</v>
      </c>
      <c r="R30" s="13">
        <f>24.0885401602532/(15*60/1000)</f>
        <v>26.765044622503552</v>
      </c>
      <c r="S30" s="13">
        <f>784.911947396277/(15*60/1000)</f>
        <v>872.12438599586335</v>
      </c>
      <c r="T30" s="13">
        <f>204.411391366002/(15*60/1000)</f>
        <v>227.12376818444665</v>
      </c>
      <c r="U30" s="13">
        <f>616.394753865294/(15*60/1000)</f>
        <v>684.88305985032662</v>
      </c>
    </row>
    <row r="31" spans="1:21" x14ac:dyDescent="0.25">
      <c r="A31" s="13" t="str">
        <f t="shared" si="13"/>
        <v>ART EP 8</v>
      </c>
      <c r="B31" s="13">
        <f t="shared" si="13"/>
        <v>25</v>
      </c>
      <c r="C31" s="13">
        <f t="shared" si="13"/>
        <v>68</v>
      </c>
      <c r="D31" s="13">
        <f t="shared" si="13"/>
        <v>626.6</v>
      </c>
      <c r="E31" s="2">
        <f t="shared" si="13"/>
        <v>124.97350656782277</v>
      </c>
      <c r="F31" s="19">
        <f t="shared" si="14"/>
        <v>30</v>
      </c>
      <c r="G31" s="2">
        <f t="shared" si="15"/>
        <v>6.8417610048462155E-2</v>
      </c>
      <c r="H31" s="2">
        <f t="shared" si="16"/>
        <v>4.4896318223185494</v>
      </c>
      <c r="I31" s="2">
        <f t="shared" si="17"/>
        <v>1.328445970349986</v>
      </c>
      <c r="J31" s="2">
        <f t="shared" si="18"/>
        <v>1.5317743196393856</v>
      </c>
      <c r="L31" s="13" t="s">
        <v>55</v>
      </c>
      <c r="M31" s="13">
        <v>25</v>
      </c>
      <c r="N31" s="13">
        <v>68</v>
      </c>
      <c r="O31" s="13">
        <v>626.6</v>
      </c>
      <c r="P31" s="13">
        <f>224.952311822081/(30*60/1000)</f>
        <v>124.97350656782277</v>
      </c>
      <c r="Q31" s="13">
        <v>30</v>
      </c>
      <c r="R31" s="13">
        <f>15.3906995497432/(30*60/1000)</f>
        <v>8.550388638746222</v>
      </c>
      <c r="S31" s="13">
        <f>1009.95305766054/(30*60/1000)</f>
        <v>561.0850320336333</v>
      </c>
      <c r="T31" s="13">
        <f>298.836992160957/(30*60/1000)</f>
        <v>166.02055120053166</v>
      </c>
      <c r="U31" s="13">
        <f>344.576174392575/(30*60/1000)</f>
        <v>191.43120799587501</v>
      </c>
    </row>
    <row r="32" spans="1:21" x14ac:dyDescent="0.25">
      <c r="A32" s="13" t="str">
        <f t="shared" si="13"/>
        <v>ART Cath 10</v>
      </c>
      <c r="B32" s="13">
        <f t="shared" si="13"/>
        <v>25</v>
      </c>
      <c r="C32" s="13">
        <f t="shared" si="13"/>
        <v>68.400000000000006</v>
      </c>
      <c r="D32" s="13">
        <f t="shared" si="13"/>
        <v>365.6</v>
      </c>
      <c r="E32" s="2">
        <f t="shared" si="13"/>
        <v>148.6</v>
      </c>
      <c r="F32" s="19">
        <f t="shared" si="14"/>
        <v>30</v>
      </c>
      <c r="G32" s="2">
        <f t="shared" si="15"/>
        <v>7.8600269179004034E-2</v>
      </c>
      <c r="H32" s="2">
        <f t="shared" si="16"/>
        <v>3.4892328398384929</v>
      </c>
      <c r="I32" s="2">
        <f t="shared" si="17"/>
        <v>1.0834454912516824</v>
      </c>
      <c r="J32" s="2">
        <f t="shared" si="18"/>
        <v>1.1655450874831763</v>
      </c>
      <c r="L32" s="13" t="s">
        <v>56</v>
      </c>
      <c r="M32" s="13">
        <v>25</v>
      </c>
      <c r="N32" s="13">
        <v>68.400000000000006</v>
      </c>
      <c r="O32" s="13">
        <v>365.6</v>
      </c>
      <c r="P32" s="13">
        <v>148.6</v>
      </c>
      <c r="Q32" s="13">
        <v>30</v>
      </c>
      <c r="R32" s="13">
        <v>11.68</v>
      </c>
      <c r="S32" s="13">
        <v>518.5</v>
      </c>
      <c r="T32" s="13">
        <v>161</v>
      </c>
      <c r="U32" s="13">
        <v>173.2</v>
      </c>
    </row>
    <row r="33" spans="1:21" x14ac:dyDescent="0.25">
      <c r="A33" s="13" t="str">
        <f t="shared" si="13"/>
        <v>ART Cath 11 AP</v>
      </c>
      <c r="B33" s="13">
        <f t="shared" si="13"/>
        <v>48</v>
      </c>
      <c r="C33" s="13">
        <f t="shared" si="13"/>
        <v>73</v>
      </c>
      <c r="D33" s="13">
        <f t="shared" si="13"/>
        <v>235.8</v>
      </c>
      <c r="E33" s="2">
        <f t="shared" si="13"/>
        <v>112.29180504434444</v>
      </c>
      <c r="F33" s="19">
        <f t="shared" si="14"/>
        <v>15</v>
      </c>
      <c r="G33" s="2">
        <f t="shared" si="15"/>
        <v>0.1474291677851321</v>
      </c>
      <c r="H33" s="2">
        <f t="shared" si="16"/>
        <v>4.3476357377223351</v>
      </c>
      <c r="I33" s="2">
        <f t="shared" si="17"/>
        <v>1.42683791040851</v>
      </c>
      <c r="J33" s="2">
        <f t="shared" si="18"/>
        <v>2.0881024474123353</v>
      </c>
      <c r="L33" s="13" t="s">
        <v>61</v>
      </c>
      <c r="M33" s="13">
        <v>48</v>
      </c>
      <c r="N33" s="13">
        <v>73</v>
      </c>
      <c r="O33" s="13">
        <v>235.8</v>
      </c>
      <c r="P33" s="13">
        <f>101.06262453991/(15*60/1000)</f>
        <v>112.29180504434444</v>
      </c>
      <c r="Q33" s="13">
        <v>15</v>
      </c>
      <c r="R33" s="13">
        <f>14.8995786301002/(15*60/1000)</f>
        <v>16.555087366778</v>
      </c>
      <c r="S33" s="13">
        <f>439.383478197727/(15*60/1000)</f>
        <v>488.20386466414112</v>
      </c>
      <c r="T33" s="13">
        <f>144.199984018925/(15*60/1000)</f>
        <v>160.2222044654722</v>
      </c>
      <c r="U33" s="13">
        <f>211.0291136437/(15*60/1000)</f>
        <v>234.47679293744443</v>
      </c>
    </row>
    <row r="34" spans="1:21" x14ac:dyDescent="0.25">
      <c r="A34" s="13" t="str">
        <f t="shared" si="13"/>
        <v>ART Cath 11 Lat</v>
      </c>
      <c r="B34" s="13">
        <f t="shared" si="13"/>
        <v>25</v>
      </c>
      <c r="C34" s="13">
        <f t="shared" si="13"/>
        <v>73</v>
      </c>
      <c r="D34" s="13">
        <f t="shared" si="13"/>
        <v>396</v>
      </c>
      <c r="E34" s="2">
        <f t="shared" si="13"/>
        <v>157.59912773409226</v>
      </c>
      <c r="F34" s="19">
        <f t="shared" si="14"/>
        <v>15</v>
      </c>
      <c r="G34" s="2">
        <f t="shared" si="15"/>
        <v>0.11374645515079465</v>
      </c>
      <c r="H34" s="2">
        <f t="shared" si="16"/>
        <v>3.3062664921075293</v>
      </c>
      <c r="I34" s="2">
        <f t="shared" si="17"/>
        <v>1.2898405225920675</v>
      </c>
      <c r="J34" s="2">
        <f t="shared" si="18"/>
        <v>1.7641807746966127</v>
      </c>
      <c r="L34" s="13" t="s">
        <v>62</v>
      </c>
      <c r="M34" s="13">
        <v>25</v>
      </c>
      <c r="N34" s="13">
        <v>73</v>
      </c>
      <c r="O34" s="13">
        <v>396</v>
      </c>
      <c r="P34" s="13">
        <v>157.59912773409226</v>
      </c>
      <c r="Q34" s="13">
        <v>15</v>
      </c>
      <c r="R34" s="13">
        <v>17.926342114610282</v>
      </c>
      <c r="S34" s="13">
        <v>521.06471521260369</v>
      </c>
      <c r="T34" s="13">
        <v>203.27774127659555</v>
      </c>
      <c r="U34" s="13">
        <v>278.03335125744132</v>
      </c>
    </row>
    <row r="35" spans="1:21" x14ac:dyDescent="0.25">
      <c r="A35" s="13" t="str">
        <f t="shared" si="13"/>
        <v>ART Cath 12</v>
      </c>
      <c r="B35" s="13">
        <f t="shared" si="13"/>
        <v>25</v>
      </c>
      <c r="C35" s="13">
        <f t="shared" si="13"/>
        <v>71.400000000000006</v>
      </c>
      <c r="D35" s="13">
        <f t="shared" si="13"/>
        <v>354</v>
      </c>
      <c r="E35" s="2">
        <f t="shared" si="13"/>
        <v>145.69999999999999</v>
      </c>
      <c r="F35" s="19">
        <f t="shared" si="14"/>
        <v>30</v>
      </c>
      <c r="G35" s="2">
        <f t="shared" si="15"/>
        <v>8.7989018531228563E-2</v>
      </c>
      <c r="H35" s="2">
        <f t="shared" si="16"/>
        <v>2.7549759780370624</v>
      </c>
      <c r="I35" s="2">
        <f t="shared" si="17"/>
        <v>1.0947151681537406</v>
      </c>
      <c r="J35" s="2">
        <f t="shared" si="18"/>
        <v>1.8414550446122171</v>
      </c>
      <c r="L35" s="13" t="s">
        <v>57</v>
      </c>
      <c r="M35" s="13">
        <v>25</v>
      </c>
      <c r="N35" s="13">
        <v>71.400000000000006</v>
      </c>
      <c r="O35" s="13">
        <v>354</v>
      </c>
      <c r="P35" s="13">
        <v>145.69999999999999</v>
      </c>
      <c r="Q35" s="13">
        <v>30</v>
      </c>
      <c r="R35" s="13">
        <v>12.82</v>
      </c>
      <c r="S35" s="13">
        <v>401.4</v>
      </c>
      <c r="T35" s="13">
        <v>159.5</v>
      </c>
      <c r="U35" s="13">
        <v>268.3</v>
      </c>
    </row>
    <row r="36" spans="1:21" x14ac:dyDescent="0.25">
      <c r="A36" s="13" t="str">
        <f t="shared" si="13"/>
        <v>ART Cath 13</v>
      </c>
      <c r="B36" s="13">
        <f t="shared" si="13"/>
        <v>25</v>
      </c>
      <c r="C36" s="13">
        <f t="shared" si="13"/>
        <v>71.599999999999994</v>
      </c>
      <c r="D36" s="13">
        <f t="shared" si="13"/>
        <v>352.4</v>
      </c>
      <c r="E36" s="2">
        <f t="shared" si="13"/>
        <v>152.6</v>
      </c>
      <c r="F36" s="19">
        <f t="shared" si="14"/>
        <v>30</v>
      </c>
      <c r="G36" s="2">
        <f t="shared" si="15"/>
        <v>8.9777195281782435E-2</v>
      </c>
      <c r="H36" s="2">
        <f t="shared" si="16"/>
        <v>2.6965923984272608</v>
      </c>
      <c r="I36" s="2">
        <f t="shared" si="17"/>
        <v>1.0878112712975099</v>
      </c>
      <c r="J36" s="2">
        <f t="shared" si="18"/>
        <v>1.7863695937090434</v>
      </c>
      <c r="L36" s="13" t="s">
        <v>58</v>
      </c>
      <c r="M36" s="13">
        <v>25</v>
      </c>
      <c r="N36" s="13">
        <v>71.599999999999994</v>
      </c>
      <c r="O36" s="13">
        <v>352.4</v>
      </c>
      <c r="P36" s="13">
        <v>152.6</v>
      </c>
      <c r="Q36" s="13">
        <v>30</v>
      </c>
      <c r="R36" s="13">
        <v>13.7</v>
      </c>
      <c r="S36" s="13">
        <v>411.5</v>
      </c>
      <c r="T36" s="13">
        <v>166</v>
      </c>
      <c r="U36" s="13">
        <v>272.60000000000002</v>
      </c>
    </row>
    <row r="37" spans="1:21" x14ac:dyDescent="0.25">
      <c r="A37" s="13" t="str">
        <f t="shared" si="13"/>
        <v>Ped Cath 2 AP</v>
      </c>
      <c r="B37" s="13">
        <f t="shared" si="13"/>
        <v>30.5</v>
      </c>
      <c r="C37" s="13">
        <f t="shared" si="13"/>
        <v>73</v>
      </c>
      <c r="D37" s="13">
        <f t="shared" si="13"/>
        <v>314</v>
      </c>
      <c r="E37" s="2">
        <f t="shared" si="13"/>
        <v>153</v>
      </c>
      <c r="F37" s="19">
        <f t="shared" si="14"/>
        <v>30</v>
      </c>
      <c r="G37" s="2">
        <f t="shared" si="15"/>
        <v>0.17483660130718953</v>
      </c>
      <c r="H37" s="2">
        <f t="shared" si="16"/>
        <v>4.6209150326797381</v>
      </c>
      <c r="I37" s="2">
        <f t="shared" si="17"/>
        <v>1.4398692810457516</v>
      </c>
      <c r="J37" s="2">
        <f t="shared" si="18"/>
        <v>1.6928104575163399</v>
      </c>
      <c r="L37" s="13" t="s">
        <v>68</v>
      </c>
      <c r="M37" s="13">
        <v>30.5</v>
      </c>
      <c r="N37" s="13">
        <v>73</v>
      </c>
      <c r="O37" s="13">
        <v>314</v>
      </c>
      <c r="P37" s="13">
        <v>153</v>
      </c>
      <c r="Q37" s="13">
        <v>30</v>
      </c>
      <c r="R37" s="13">
        <v>26.75</v>
      </c>
      <c r="S37" s="13">
        <v>707</v>
      </c>
      <c r="T37" s="13">
        <v>220.3</v>
      </c>
      <c r="U37" s="13">
        <v>259</v>
      </c>
    </row>
    <row r="38" spans="1:21" x14ac:dyDescent="0.25">
      <c r="A38" s="13" t="str">
        <f t="shared" si="13"/>
        <v>HVC 11 AP</v>
      </c>
      <c r="B38" s="13">
        <f t="shared" si="13"/>
        <v>23</v>
      </c>
      <c r="C38" s="13">
        <f t="shared" si="13"/>
        <v>66.599999999999994</v>
      </c>
      <c r="D38" s="13">
        <f t="shared" si="13"/>
        <v>799.8</v>
      </c>
      <c r="E38" s="2">
        <f t="shared" si="13"/>
        <v>135.9</v>
      </c>
      <c r="F38" s="19">
        <f t="shared" si="14"/>
        <v>30</v>
      </c>
      <c r="G38" s="2">
        <f t="shared" si="15"/>
        <v>8.3517292126563641E-2</v>
      </c>
      <c r="H38" s="2">
        <f t="shared" si="16"/>
        <v>5.5320088300220744</v>
      </c>
      <c r="I38" s="2">
        <f t="shared" si="17"/>
        <v>1.7748344370860925</v>
      </c>
      <c r="J38" s="2">
        <f t="shared" si="18"/>
        <v>2.4363502575423106</v>
      </c>
      <c r="L38" s="13" t="s">
        <v>63</v>
      </c>
      <c r="M38" s="13">
        <v>23</v>
      </c>
      <c r="N38" s="13">
        <v>66.599999999999994</v>
      </c>
      <c r="O38" s="13">
        <v>799.8</v>
      </c>
      <c r="P38" s="13">
        <v>135.9</v>
      </c>
      <c r="Q38" s="13">
        <v>30</v>
      </c>
      <c r="R38" s="13">
        <v>11.35</v>
      </c>
      <c r="S38" s="13">
        <v>751.8</v>
      </c>
      <c r="T38" s="13">
        <v>241.2</v>
      </c>
      <c r="U38" s="13">
        <v>331.1</v>
      </c>
    </row>
    <row r="39" spans="1:21" x14ac:dyDescent="0.25">
      <c r="A39" s="13" t="str">
        <f t="shared" si="13"/>
        <v>HVC 11 Lat</v>
      </c>
      <c r="B39" s="13">
        <f t="shared" si="13"/>
        <v>23</v>
      </c>
      <c r="C39" s="13">
        <f t="shared" si="13"/>
        <v>66</v>
      </c>
      <c r="D39" s="13">
        <f t="shared" si="13"/>
        <v>783.4</v>
      </c>
      <c r="E39" s="2">
        <f t="shared" si="13"/>
        <v>77.099999999999994</v>
      </c>
      <c r="F39" s="19">
        <f t="shared" si="14"/>
        <v>30</v>
      </c>
      <c r="G39" s="2">
        <f t="shared" si="15"/>
        <v>7.0428015564202334E-2</v>
      </c>
      <c r="H39" s="2">
        <f t="shared" si="16"/>
        <v>7.2671854734111543</v>
      </c>
      <c r="I39" s="2">
        <f t="shared" si="17"/>
        <v>1.913099870298314</v>
      </c>
      <c r="J39" s="2">
        <f t="shared" si="18"/>
        <v>2.6264591439688716</v>
      </c>
      <c r="L39" s="13" t="s">
        <v>64</v>
      </c>
      <c r="M39" s="13">
        <v>23</v>
      </c>
      <c r="N39" s="13">
        <v>66</v>
      </c>
      <c r="O39" s="13">
        <v>783.4</v>
      </c>
      <c r="P39" s="13">
        <v>77.099999999999994</v>
      </c>
      <c r="Q39" s="13">
        <v>30</v>
      </c>
      <c r="R39" s="13">
        <v>5.43</v>
      </c>
      <c r="S39" s="13">
        <v>560.29999999999995</v>
      </c>
      <c r="T39" s="13">
        <v>147.5</v>
      </c>
      <c r="U39" s="13">
        <v>202.5</v>
      </c>
    </row>
    <row r="40" spans="1:21" x14ac:dyDescent="0.25">
      <c r="A40" s="13" t="s">
        <v>41</v>
      </c>
      <c r="B40" s="2">
        <f>AVERAGE(B28:B39)</f>
        <v>28.958333333333332</v>
      </c>
      <c r="C40" s="2">
        <f>AVERAGE(C28:C39)</f>
        <v>70.416666666666671</v>
      </c>
      <c r="D40" s="2">
        <f>AVERAGE(D28:D39)</f>
        <v>459.35833333333335</v>
      </c>
      <c r="E40" s="2">
        <f>AVERAGE(E28:E39)</f>
        <v>141.36631249877968</v>
      </c>
      <c r="F40" s="19"/>
      <c r="G40" s="2">
        <f>AVERAGE(G28:G39)</f>
        <v>0.1086150711751432</v>
      </c>
      <c r="H40" s="2">
        <f>AVERAGE(H28:H39)</f>
        <v>4.3184644904150007</v>
      </c>
      <c r="I40" s="2">
        <f>AVERAGE(I28:I39)</f>
        <v>1.3734740506552903</v>
      </c>
      <c r="J40" s="2">
        <f>AVERAGE(J28:J39)</f>
        <v>2.0315691234454416</v>
      </c>
    </row>
    <row r="41" spans="1:21" x14ac:dyDescent="0.25">
      <c r="A41" s="13" t="s">
        <v>42</v>
      </c>
      <c r="B41" s="2">
        <f>STDEV(B28:B39)</f>
        <v>9.0865993572286339</v>
      </c>
      <c r="C41" s="2">
        <f>STDEV(C28:C39)</f>
        <v>2.7888848645791722</v>
      </c>
      <c r="D41" s="2">
        <f>STDEV(D28:D39)</f>
        <v>202.66381234283867</v>
      </c>
      <c r="E41" s="2">
        <f>STDEV(E28:E39)</f>
        <v>32.083149890498234</v>
      </c>
      <c r="F41" s="19"/>
      <c r="G41" s="2">
        <f>STDEV(G28:G39)</f>
        <v>3.7719786787363353E-2</v>
      </c>
      <c r="H41" s="2">
        <f>STDEV(H28:H39)</f>
        <v>1.2663399540701032</v>
      </c>
      <c r="I41" s="2">
        <f>STDEV(I28:I39)</f>
        <v>0.25631612290076439</v>
      </c>
      <c r="J41" s="2">
        <f>STDEV(J28:J39)</f>
        <v>0.71740464346866362</v>
      </c>
    </row>
    <row r="42" spans="1:21" x14ac:dyDescent="0.25">
      <c r="A42" s="13" t="s">
        <v>74</v>
      </c>
      <c r="B42" s="2">
        <f>MIN(B28:B39)</f>
        <v>23</v>
      </c>
      <c r="C42" s="2">
        <f>MIN(C28:C39)</f>
        <v>66</v>
      </c>
      <c r="D42" s="2">
        <f>MIN(D28:D39)</f>
        <v>235.8</v>
      </c>
      <c r="E42" s="2">
        <f>MIN(E28:E39)</f>
        <v>77.099999999999994</v>
      </c>
      <c r="F42" s="19"/>
      <c r="G42" s="2">
        <f>MIN(G28:G39)</f>
        <v>6.8417610048462155E-2</v>
      </c>
      <c r="H42" s="2">
        <f>MIN(H28:H39)</f>
        <v>2.6965923984272608</v>
      </c>
      <c r="I42" s="2">
        <f>MIN(I28:I39)</f>
        <v>1.0834454912516824</v>
      </c>
      <c r="J42" s="2">
        <f>MIN(J28:J39)</f>
        <v>1.1655450874831763</v>
      </c>
    </row>
    <row r="43" spans="1:21" x14ac:dyDescent="0.25">
      <c r="A43" s="13">
        <v>10</v>
      </c>
      <c r="B43" s="2">
        <f t="shared" ref="B43:E47" si="19">PERCENTILE(B$28:B$39,$A43/100)</f>
        <v>23.2</v>
      </c>
      <c r="C43" s="2">
        <f t="shared" si="19"/>
        <v>66.739999999999995</v>
      </c>
      <c r="D43" s="2">
        <f t="shared" si="19"/>
        <v>258.92</v>
      </c>
      <c r="E43" s="2">
        <f t="shared" si="19"/>
        <v>112.38899817245922</v>
      </c>
      <c r="F43" s="19"/>
      <c r="G43" s="2">
        <f t="shared" ref="G43:J47" si="20">PERCENTILE(G$28:G$39,$A43/100)</f>
        <v>7.1245240925682504E-2</v>
      </c>
      <c r="H43" s="2">
        <f t="shared" si="20"/>
        <v>2.810105029444109</v>
      </c>
      <c r="I43" s="2">
        <f t="shared" si="20"/>
        <v>1.0885016609831331</v>
      </c>
      <c r="J43" s="2">
        <f t="shared" si="20"/>
        <v>1.5338623767793023</v>
      </c>
    </row>
    <row r="44" spans="1:21" x14ac:dyDescent="0.25">
      <c r="A44" s="13">
        <v>25</v>
      </c>
      <c r="B44" s="2">
        <f t="shared" si="19"/>
        <v>25</v>
      </c>
      <c r="C44" s="2">
        <f t="shared" si="19"/>
        <v>68</v>
      </c>
      <c r="D44" s="2">
        <f t="shared" si="19"/>
        <v>342.79999999999995</v>
      </c>
      <c r="E44" s="2">
        <f t="shared" si="19"/>
        <v>122.04606400724013</v>
      </c>
      <c r="F44" s="19"/>
      <c r="G44" s="2">
        <f t="shared" si="20"/>
        <v>8.2288036389673747E-2</v>
      </c>
      <c r="H44" s="2">
        <f t="shared" si="20"/>
        <v>3.4434912529057522</v>
      </c>
      <c r="I44" s="2">
        <f t="shared" si="20"/>
        <v>1.2410591839824858</v>
      </c>
      <c r="J44" s="2">
        <f t="shared" si="20"/>
        <v>1.657771565896893</v>
      </c>
    </row>
    <row r="45" spans="1:21" x14ac:dyDescent="0.25">
      <c r="A45" s="13">
        <v>50</v>
      </c>
      <c r="B45" s="2">
        <f t="shared" si="19"/>
        <v>25</v>
      </c>
      <c r="C45" s="2">
        <f t="shared" si="19"/>
        <v>71.5</v>
      </c>
      <c r="D45" s="2">
        <f t="shared" si="19"/>
        <v>363.8</v>
      </c>
      <c r="E45" s="2">
        <f t="shared" si="19"/>
        <v>147.14999999999998</v>
      </c>
      <c r="F45" s="19"/>
      <c r="G45" s="2">
        <f t="shared" si="20"/>
        <v>8.8883106906505499E-2</v>
      </c>
      <c r="H45" s="2">
        <f t="shared" si="20"/>
        <v>4.3108298775163911</v>
      </c>
      <c r="I45" s="2">
        <f t="shared" si="20"/>
        <v>1.3214018717209113</v>
      </c>
      <c r="J45" s="2">
        <f t="shared" si="20"/>
        <v>1.8139123191606301</v>
      </c>
    </row>
    <row r="46" spans="1:21" x14ac:dyDescent="0.25">
      <c r="A46" s="13">
        <v>75</v>
      </c>
      <c r="B46" s="2">
        <f t="shared" si="19"/>
        <v>26.375</v>
      </c>
      <c r="C46" s="2">
        <f t="shared" si="19"/>
        <v>73</v>
      </c>
      <c r="D46" s="2">
        <f t="shared" si="19"/>
        <v>637.42499999999995</v>
      </c>
      <c r="E46" s="2">
        <f t="shared" si="19"/>
        <v>154.14978193352306</v>
      </c>
      <c r="F46" s="19"/>
      <c r="G46" s="2">
        <f t="shared" si="20"/>
        <v>0.1481294350595615</v>
      </c>
      <c r="H46" s="2">
        <f t="shared" si="20"/>
        <v>4.7184104136101848</v>
      </c>
      <c r="I46" s="2">
        <f t="shared" si="20"/>
        <v>1.4300957530678204</v>
      </c>
      <c r="J46" s="2">
        <f t="shared" si="20"/>
        <v>2.1751643999448289</v>
      </c>
    </row>
    <row r="47" spans="1:21" x14ac:dyDescent="0.25">
      <c r="A47" s="13">
        <v>90</v>
      </c>
      <c r="B47" s="2">
        <f t="shared" si="19"/>
        <v>46.250000000000007</v>
      </c>
      <c r="C47" s="2">
        <f t="shared" si="19"/>
        <v>73</v>
      </c>
      <c r="D47" s="2">
        <f t="shared" si="19"/>
        <v>772.05</v>
      </c>
      <c r="E47" s="2">
        <f t="shared" si="19"/>
        <v>172.40093271095623</v>
      </c>
      <c r="F47" s="19"/>
      <c r="G47" s="2">
        <f t="shared" si="20"/>
        <v>0.15342665610124809</v>
      </c>
      <c r="H47" s="2">
        <f t="shared" si="20"/>
        <v>5.4798976026600199</v>
      </c>
      <c r="I47" s="2">
        <f t="shared" si="20"/>
        <v>1.7413379214820586</v>
      </c>
      <c r="J47" s="2">
        <f t="shared" si="20"/>
        <v>2.6074482553262155</v>
      </c>
    </row>
    <row r="48" spans="1:21" x14ac:dyDescent="0.25">
      <c r="A48" s="13" t="s">
        <v>75</v>
      </c>
      <c r="B48" s="2">
        <f>MAX(B28:B39)</f>
        <v>48</v>
      </c>
      <c r="C48" s="2">
        <f t="shared" ref="C48:J48" si="21">MAX(C28:C39)</f>
        <v>73</v>
      </c>
      <c r="D48" s="2">
        <f t="shared" si="21"/>
        <v>799.8</v>
      </c>
      <c r="E48" s="2">
        <f t="shared" si="21"/>
        <v>201.32199660521889</v>
      </c>
      <c r="F48" s="19"/>
      <c r="G48" s="2">
        <f t="shared" si="21"/>
        <v>0.17483660130718953</v>
      </c>
      <c r="H48" s="2">
        <f t="shared" si="21"/>
        <v>7.2671854734111543</v>
      </c>
      <c r="I48" s="2">
        <f t="shared" si="21"/>
        <v>1.913099870298314</v>
      </c>
      <c r="J48" s="2">
        <f t="shared" si="21"/>
        <v>3.9350787814778752</v>
      </c>
    </row>
    <row r="49" spans="1:10" x14ac:dyDescent="0.25">
      <c r="E49" s="2">
        <f>AVERAGE(E29:E39)</f>
        <v>135.91579576183065</v>
      </c>
    </row>
    <row r="50" spans="1:10" x14ac:dyDescent="0.25">
      <c r="A50" s="6" t="s">
        <v>73</v>
      </c>
      <c r="E50" s="13">
        <f>STDEV(E29:E39)</f>
        <v>27.205036407785773</v>
      </c>
    </row>
    <row r="51" spans="1:10" x14ac:dyDescent="0.25">
      <c r="A51" s="13" t="s">
        <v>41</v>
      </c>
      <c r="B51" s="2">
        <f>AVERAGE(B5:B15,B28:B39)</f>
        <v>35.021739130434781</v>
      </c>
      <c r="C51" s="2">
        <f>AVERAGE(C5:C15,C28:C39)</f>
        <v>73.156521739130426</v>
      </c>
      <c r="D51" s="2">
        <f>AVERAGE(D5:D15,D28:D39)</f>
        <v>351.30869565217392</v>
      </c>
      <c r="E51" s="2">
        <f>AVERAGE(E5:E15,E28:E39)</f>
        <v>587.33093957850792</v>
      </c>
      <c r="F51" s="2"/>
      <c r="G51" s="2">
        <f>AVERAGE(G5:G15,G28:G39)</f>
        <v>0.13823024402149223</v>
      </c>
      <c r="H51" s="2">
        <f>AVERAGE(H5:H15,H28:H39)</f>
        <v>4.3386756986639687</v>
      </c>
      <c r="I51" s="2">
        <f>AVERAGE(I5:I15,I28:I39)</f>
        <v>1.4191287358740754</v>
      </c>
      <c r="J51" s="2">
        <f>AVERAGE(J5:J15,J28:J39)</f>
        <v>2.1472401226720605</v>
      </c>
    </row>
    <row r="52" spans="1:10" x14ac:dyDescent="0.25">
      <c r="A52" s="13" t="s">
        <v>42</v>
      </c>
      <c r="B52" s="2">
        <f>STDEV(B5:B15,B28:B39)</f>
        <v>10.944569285172657</v>
      </c>
      <c r="C52" s="2">
        <f>STDEV(C5:C15,C28:C39)</f>
        <v>8.9852822127459469</v>
      </c>
      <c r="D52" s="2">
        <f>STDEV(D5:D15,D28:D39)</f>
        <v>193.59363229818061</v>
      </c>
      <c r="E52" s="2">
        <f>STDEV(E5:E15,E28:E39)</f>
        <v>542.13140650050696</v>
      </c>
      <c r="F52" s="2"/>
      <c r="G52" s="2">
        <f>STDEV(G5:G15,G28:G39)</f>
        <v>0.11110134408515202</v>
      </c>
      <c r="H52" s="2">
        <f>STDEV(H5:H15,H28:H39)</f>
        <v>1.7010348332887912</v>
      </c>
      <c r="I52" s="2">
        <f>STDEV(I5:I15,I28:I39)</f>
        <v>0.34740225363190591</v>
      </c>
      <c r="J52" s="2">
        <f>STDEV(J5:J15,J28:J39)</f>
        <v>1.0192145470154057</v>
      </c>
    </row>
    <row r="53" spans="1:10" x14ac:dyDescent="0.25">
      <c r="A53" s="13" t="s">
        <v>74</v>
      </c>
      <c r="B53" s="2">
        <f>MIN(B5:B15,B28:B39)</f>
        <v>23</v>
      </c>
      <c r="C53" s="2">
        <f>MIN(C5:C15,C28:C39)</f>
        <v>63.7</v>
      </c>
      <c r="D53" s="2">
        <f>MIN(D5:D15,D28:D39)</f>
        <v>137.69999999999999</v>
      </c>
      <c r="E53" s="2">
        <f>MIN(E5:E15,E28:E39)</f>
        <v>77.099999999999994</v>
      </c>
      <c r="F53" s="2"/>
      <c r="G53" s="2">
        <f>MIN(G5:G15,G28:G39)</f>
        <v>5.3823053823053829E-2</v>
      </c>
      <c r="H53" s="2">
        <f>MIN(H5:H15,H28:H39)</f>
        <v>1.7542503863987635</v>
      </c>
      <c r="I53" s="2">
        <f>MIN(I5:I15,I28:I39)</f>
        <v>0.98621397032569103</v>
      </c>
      <c r="J53" s="2">
        <f>MIN(J5:J15,J28:J39)</f>
        <v>1.0695362910229647</v>
      </c>
    </row>
    <row r="54" spans="1:10" x14ac:dyDescent="0.25">
      <c r="A54" s="13" t="s">
        <v>76</v>
      </c>
      <c r="B54" s="2">
        <f>MEDIAN(B5:B15,B28:B39)</f>
        <v>30.5</v>
      </c>
      <c r="C54" s="2">
        <f>MEDIAN(C5:C15,C28:C39)</f>
        <v>71.400000000000006</v>
      </c>
      <c r="D54" s="2">
        <f>MEDIAN(D5:D15,D28:D39)</f>
        <v>311</v>
      </c>
      <c r="E54" s="2">
        <f>MEDIAN(E5:E15,E28:E39)</f>
        <v>201.32199660521889</v>
      </c>
      <c r="F54" s="2"/>
      <c r="G54" s="2">
        <f>MEDIAN(G5:G15,G28:G39)</f>
        <v>8.9982329753975798E-2</v>
      </c>
      <c r="H54" s="2">
        <f>MEDIAN(H5:H15,H28:H39)</f>
        <v>4.3476357377223351</v>
      </c>
      <c r="I54" s="2">
        <f>MEDIAN(I5:I15,I28:I39)</f>
        <v>1.328445970349986</v>
      </c>
      <c r="J54" s="2">
        <f>MEDIAN(J5:J15,J28:J39)</f>
        <v>1.7863695937090434</v>
      </c>
    </row>
    <row r="55" spans="1:10" x14ac:dyDescent="0.25">
      <c r="A55" s="13" t="s">
        <v>75</v>
      </c>
      <c r="B55" s="2">
        <f>MAX(B5:B15,B28:B39)</f>
        <v>48</v>
      </c>
      <c r="C55" s="2">
        <f>MAX(C5:C15,C28:C39)</f>
        <v>96</v>
      </c>
      <c r="D55" s="2">
        <f>MAX(D5:D15,D28:D39)</f>
        <v>799.8</v>
      </c>
      <c r="E55" s="2">
        <f>MAX(E5:E15,E28:E39)</f>
        <v>1611</v>
      </c>
      <c r="F55" s="2"/>
      <c r="G55" s="2">
        <f>MAX(G5:G15,G28:G39)</f>
        <v>0.48037094281298304</v>
      </c>
      <c r="H55" s="2">
        <f>MAX(H5:H15,H28:H39)</f>
        <v>7.683838521136332</v>
      </c>
      <c r="I55" s="2">
        <f>MAX(I5:I15,I28:I39)</f>
        <v>2.5683004726514076</v>
      </c>
      <c r="J55" s="2">
        <f>MAX(J5:J15,J28:J39)</f>
        <v>5.1039501039501038</v>
      </c>
    </row>
  </sheetData>
  <mergeCells count="4">
    <mergeCell ref="G1:H1"/>
    <mergeCell ref="I1:J1"/>
    <mergeCell ref="R1:S1"/>
    <mergeCell ref="T1:U1"/>
  </mergeCells>
  <pageMargins left="0.7" right="0.7" top="0.75" bottom="0.75" header="0.3" footer="0.3"/>
  <pageSetup scale="8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Fluoro</vt:lpstr>
      <vt:lpstr>Sheet2</vt:lpstr>
      <vt:lpstr>Sheet3</vt:lpstr>
      <vt:lpstr>Sheet4</vt:lpstr>
      <vt:lpstr>Spot</vt:lpstr>
      <vt:lpstr>DSA</vt:lpstr>
      <vt:lpstr>DSA!Print_Area</vt:lpstr>
      <vt:lpstr>Fluoro!Print_Area</vt:lpstr>
      <vt:lpstr>Spot!Print_Area</vt:lpstr>
    </vt:vector>
  </TitlesOfParts>
  <Company>Medical 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Mah</dc:creator>
  <cp:lastModifiedBy>Eugene Mah</cp:lastModifiedBy>
  <cp:lastPrinted>2014-04-14T16:15:18Z</cp:lastPrinted>
  <dcterms:created xsi:type="dcterms:W3CDTF">2014-03-11T12:14:06Z</dcterms:created>
  <dcterms:modified xsi:type="dcterms:W3CDTF">2014-05-20T19:44:02Z</dcterms:modified>
</cp:coreProperties>
</file>