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hidePivotFieldList="1"/>
  <mc:AlternateContent xmlns:mc="http://schemas.openxmlformats.org/markup-compatibility/2006">
    <mc:Choice Requires="x15">
      <x15ac:absPath xmlns:x15ac="http://schemas.microsoft.com/office/spreadsheetml/2010/11/ac" url="C:\Users\Daniel\Downloads\"/>
    </mc:Choice>
  </mc:AlternateContent>
  <xr:revisionPtr revIDLastSave="0" documentId="13_ncr:1_{6B27DAC5-6A5E-428D-B016-8A80797B2C7B}" xr6:coauthVersionLast="47" xr6:coauthVersionMax="47" xr10:uidLastSave="{00000000-0000-0000-0000-000000000000}"/>
  <bookViews>
    <workbookView xWindow="-108" yWindow="-108" windowWidth="23256" windowHeight="12576" tabRatio="737" xr2:uid="{00000000-000D-0000-FFFF-FFFF00000000}"/>
  </bookViews>
  <sheets>
    <sheet name="Budget" sheetId="1" r:id="rId1"/>
    <sheet name="Suggestions" sheetId="5" r:id="rId2"/>
    <sheet name="SuggestionCalculations" sheetId="3" r:id="rId3"/>
    <sheet name="Chart Data" sheetId="7" r:id="rId4"/>
    <sheet name="RulesOfThumb" sheetId="6" r:id="rId5"/>
    <sheet name="Dropdowns" sheetId="2" r:id="rId6"/>
    <sheet name="HelperFunctions" sheetId="4" r:id="rId7"/>
  </sheets>
  <definedNames>
    <definedName name="_xlnm._FilterDatabase" localSheetId="2" hidden="1">SuggestionCalculations!#REF!</definedName>
    <definedName name="AnnualTotalIncome" comment="Annual Total for income">Budget!$B$3</definedName>
    <definedName name="BalanceTotal">Budget!$L$5</definedName>
    <definedName name="ExpensesTotal">Budget!$J$5</definedName>
    <definedName name="Goal">Budget!$L$3</definedName>
    <definedName name="GoalCreateBudget">Dropdowns!$G$34</definedName>
    <definedName name="GoalCutOnExpenses">Dropdowns!$G$32</definedName>
    <definedName name="GoalOther">Dropdowns!$G$35</definedName>
    <definedName name="GoalReduceDebt">Dropdowns!$G$35</definedName>
    <definedName name="GoalSaveMoney">Dropdowns!$G$33</definedName>
    <definedName name="GoalStayOnTrack">Dropdowns!$G$31</definedName>
    <definedName name="HasPersonalization">Budget!$B$1</definedName>
    <definedName name="HasProfile">HelperFunctions!#REF!</definedName>
    <definedName name="Home">Budget!$J$3</definedName>
    <definedName name="HomeOther">Dropdowns!$G$28</definedName>
    <definedName name="HomeOwner">Dropdowns!$G$26</definedName>
    <definedName name="HomeRenting">Dropdowns!$G$27</definedName>
    <definedName name="IncomeTotal">Budget!$F$5</definedName>
    <definedName name="IsGoalCreateBudget">HelperFunctions!$B$20</definedName>
    <definedName name="IsGoalCutOnExpenses">HelperFunctions!$B$18</definedName>
    <definedName name="IsGoalOther">HelperFunctions!$B$21</definedName>
    <definedName name="IsGoalReduceDebt">HelperFunctions!$B$21</definedName>
    <definedName name="IsGoalSaveMoney">HelperFunctions!$B$19</definedName>
    <definedName name="IsGoalStayOnTrack">HelperFunctions!$B$17</definedName>
    <definedName name="IsHomeOther">HelperFunctions!$B$15</definedName>
    <definedName name="IsHomeOwner">HelperFunctions!$B$14</definedName>
    <definedName name="IsHomeRenting">HelperFunctions!$B$16</definedName>
    <definedName name="IsLifeCouple">HelperFunctions!$B$3</definedName>
    <definedName name="IsLifeCoupleKids">HelperFunctions!$B$5</definedName>
    <definedName name="IsLifeOther">HelperFunctions!$B$6</definedName>
    <definedName name="IsLifeSingle">HelperFunctions!$B$2</definedName>
    <definedName name="IsLifeSingleKids">HelperFunctions!$B$4</definedName>
    <definedName name="IsWorkFullTime">HelperFunctions!$B$8</definedName>
    <definedName name="IsWorkOther">HelperFunctions!$B$13</definedName>
    <definedName name="IsWorkPartTime">HelperFunctions!$B$7</definedName>
    <definedName name="IsWorkRetired">HelperFunctions!$B$11</definedName>
    <definedName name="IsWorkSelfEmployed">HelperFunctions!$B$9</definedName>
    <definedName name="IsWorkStudent">HelperFunctions!$B$10</definedName>
    <definedName name="IsWorkUnemployed">HelperFunctions!$B$12</definedName>
    <definedName name="Life">Budget!$D$3</definedName>
    <definedName name="LifeCouple">Dropdowns!$G$3</definedName>
    <definedName name="LifeCoupleKids">Dropdowns!$G$5</definedName>
    <definedName name="LifeOther">Dropdowns!$G$6</definedName>
    <definedName name="LifeSingle">Dropdowns!$G$2</definedName>
    <definedName name="LifeSingleKids">Dropdowns!$G$4</definedName>
    <definedName name="NoProfile">HelperFunctions!#REF!</definedName>
    <definedName name="Periods">Dropdowns!$A$1:$B$9</definedName>
    <definedName name="SavingsTotal">Budget!$H$5</definedName>
    <definedName name="SavingsType1">Dropdowns!$E$9:$E$12</definedName>
    <definedName name="SavingsTypeAll">Dropdowns!$E$1:$E$7</definedName>
    <definedName name="TotalChildcare">Budget!$D$171</definedName>
    <definedName name="TotalClothing">Budget!$D$241</definedName>
    <definedName name="TotalCommunications">Budget!$D$101</definedName>
    <definedName name="TotalDebt">Budget!$D$58</definedName>
    <definedName name="TotalEducation">Budget!$D$188</definedName>
    <definedName name="TotalFees">Budget!$D$288</definedName>
    <definedName name="TotalFood">Budget!$D$119</definedName>
    <definedName name="TotalGifts">Budget!$D$304</definedName>
    <definedName name="TotalHousing">Budget!$D$75</definedName>
    <definedName name="TotalInsurance">Budget!$D$134</definedName>
    <definedName name="TotalMedical">Budget!$D$257</definedName>
    <definedName name="TotalPersonalCare">Budget!$D$225</definedName>
    <definedName name="TotalPets">Budget!$D$273</definedName>
    <definedName name="TotalRecreation">Budget!$D$204</definedName>
    <definedName name="TotalTranportation">Budget!$D$150</definedName>
    <definedName name="Work">Budget!$H$3</definedName>
    <definedName name="WorkFulltime">Dropdowns!$G$17</definedName>
    <definedName name="WorkOther">Dropdowns!$G$22</definedName>
    <definedName name="WorkParttime">Dropdowns!$G$16</definedName>
    <definedName name="WorkRetired">Dropdowns!$G$20</definedName>
    <definedName name="WorkSelfemployed">Dropdowns!$G$18</definedName>
    <definedName name="WorkStudent">Dropdowns!$G$19</definedName>
    <definedName name="WorkUnemployed">Dropdowns!$G$21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4" l="1"/>
  <c r="B20" i="4"/>
  <c r="B19" i="4"/>
  <c r="B18" i="4"/>
  <c r="B17" i="4"/>
  <c r="B16" i="4"/>
  <c r="B15" i="4"/>
  <c r="B14" i="4"/>
  <c r="B13" i="4"/>
  <c r="B12" i="4"/>
  <c r="B11" i="4"/>
  <c r="B10" i="4"/>
  <c r="B9" i="4"/>
  <c r="B8" i="4"/>
  <c r="B7" i="4"/>
  <c r="B6" i="4"/>
  <c r="B5" i="4"/>
  <c r="B4" i="4"/>
  <c r="B3" i="4"/>
  <c r="B2" i="4"/>
  <c r="H18" i="7"/>
  <c r="F18" i="7"/>
  <c r="E18" i="7"/>
  <c r="A18" i="7"/>
  <c r="H17" i="7"/>
  <c r="F17" i="7"/>
  <c r="E17" i="7"/>
  <c r="A17" i="7"/>
  <c r="H16" i="7"/>
  <c r="F16" i="7"/>
  <c r="E16" i="7"/>
  <c r="A16" i="7"/>
  <c r="H15" i="7"/>
  <c r="F15" i="7"/>
  <c r="E15" i="7"/>
  <c r="A15" i="7"/>
  <c r="H14" i="7"/>
  <c r="F14" i="7"/>
  <c r="E14" i="7"/>
  <c r="A14" i="7"/>
  <c r="H13" i="7"/>
  <c r="F13" i="7"/>
  <c r="E13" i="7"/>
  <c r="A13" i="7"/>
  <c r="H12" i="7"/>
  <c r="F12" i="7"/>
  <c r="E12" i="7"/>
  <c r="A12" i="7"/>
  <c r="H11" i="7"/>
  <c r="F11" i="7"/>
  <c r="E11" i="7"/>
  <c r="A11" i="7"/>
  <c r="H10" i="7"/>
  <c r="F10" i="7"/>
  <c r="E10" i="7"/>
  <c r="A10" i="7"/>
  <c r="H9" i="7"/>
  <c r="F9" i="7"/>
  <c r="E9" i="7"/>
  <c r="A9" i="7"/>
  <c r="H8" i="7"/>
  <c r="F8" i="7"/>
  <c r="E8" i="7"/>
  <c r="A8" i="7"/>
  <c r="H7" i="7"/>
  <c r="F7" i="7"/>
  <c r="E7" i="7"/>
  <c r="A7" i="7"/>
  <c r="H6" i="7"/>
  <c r="F6" i="7"/>
  <c r="E6" i="7"/>
  <c r="A6" i="7"/>
  <c r="H5" i="7"/>
  <c r="F5" i="7"/>
  <c r="E5" i="7"/>
  <c r="A5" i="7"/>
  <c r="E4" i="7"/>
  <c r="A4" i="7"/>
  <c r="H3" i="7"/>
  <c r="F3" i="7"/>
  <c r="E3" i="7"/>
  <c r="A3" i="7"/>
  <c r="A2" i="7"/>
  <c r="D44" i="3"/>
  <c r="D42" i="3"/>
  <c r="D39" i="3"/>
  <c r="D36" i="3"/>
  <c r="D35" i="3"/>
  <c r="D33" i="3"/>
  <c r="D30" i="3"/>
  <c r="D27" i="3"/>
  <c r="D24" i="3"/>
  <c r="D21" i="3"/>
  <c r="D18" i="3"/>
  <c r="D15" i="3"/>
  <c r="D14" i="3"/>
  <c r="D12" i="3"/>
  <c r="D9" i="3"/>
  <c r="B318" i="1"/>
  <c r="B317" i="1"/>
  <c r="B316" i="1"/>
  <c r="B315" i="1"/>
  <c r="B314" i="1"/>
  <c r="B313" i="1"/>
  <c r="B312" i="1"/>
  <c r="B311" i="1"/>
  <c r="B310" i="1"/>
  <c r="B309" i="1"/>
  <c r="D304" i="1" s="1"/>
  <c r="B308" i="1"/>
  <c r="B307" i="1"/>
  <c r="B306" i="1"/>
  <c r="B303" i="1"/>
  <c r="B302" i="1"/>
  <c r="B301" i="1"/>
  <c r="B300" i="1"/>
  <c r="B299" i="1"/>
  <c r="B298" i="1"/>
  <c r="D288" i="1" s="1"/>
  <c r="E288" i="1" s="1"/>
  <c r="F288" i="1" s="1"/>
  <c r="B297" i="1"/>
  <c r="B296" i="1"/>
  <c r="B295" i="1"/>
  <c r="B294" i="1"/>
  <c r="B293" i="1"/>
  <c r="B292" i="1"/>
  <c r="B291" i="1"/>
  <c r="B290" i="1"/>
  <c r="D43" i="3" s="1"/>
  <c r="B287" i="1"/>
  <c r="B286" i="1"/>
  <c r="B285" i="1"/>
  <c r="B284" i="1"/>
  <c r="B283" i="1"/>
  <c r="B282" i="1"/>
  <c r="B281" i="1"/>
  <c r="B280" i="1"/>
  <c r="B279" i="1"/>
  <c r="B278" i="1"/>
  <c r="B277" i="1"/>
  <c r="B276" i="1"/>
  <c r="B275" i="1"/>
  <c r="D273" i="1" s="1"/>
  <c r="B272" i="1"/>
  <c r="B271" i="1"/>
  <c r="B270" i="1"/>
  <c r="B269" i="1"/>
  <c r="B268" i="1"/>
  <c r="B267" i="1"/>
  <c r="B266" i="1"/>
  <c r="B265" i="1"/>
  <c r="B264" i="1"/>
  <c r="B263" i="1"/>
  <c r="B262" i="1"/>
  <c r="B261" i="1"/>
  <c r="B260" i="1"/>
  <c r="B259" i="1"/>
  <c r="B256" i="1"/>
  <c r="B255" i="1"/>
  <c r="B254" i="1"/>
  <c r="B253" i="1"/>
  <c r="B252" i="1"/>
  <c r="B251" i="1"/>
  <c r="B250" i="1"/>
  <c r="B249" i="1"/>
  <c r="B248" i="1"/>
  <c r="B247" i="1"/>
  <c r="B246" i="1"/>
  <c r="B245" i="1"/>
  <c r="B244" i="1"/>
  <c r="B243" i="1"/>
  <c r="B240" i="1"/>
  <c r="B239" i="1"/>
  <c r="B238" i="1"/>
  <c r="B237" i="1"/>
  <c r="B236" i="1"/>
  <c r="B235" i="1"/>
  <c r="B234" i="1"/>
  <c r="B233" i="1"/>
  <c r="B232" i="1"/>
  <c r="B231" i="1"/>
  <c r="B230" i="1"/>
  <c r="D225" i="1" s="1"/>
  <c r="B229" i="1"/>
  <c r="B228" i="1"/>
  <c r="B227" i="1"/>
  <c r="B224" i="1"/>
  <c r="B223" i="1"/>
  <c r="B222" i="1"/>
  <c r="B221" i="1"/>
  <c r="B220" i="1"/>
  <c r="B219" i="1"/>
  <c r="B218" i="1"/>
  <c r="B217" i="1"/>
  <c r="B216" i="1"/>
  <c r="B215" i="1"/>
  <c r="B214" i="1"/>
  <c r="B213" i="1"/>
  <c r="B212" i="1"/>
  <c r="B211" i="1"/>
  <c r="B210" i="1"/>
  <c r="B209" i="1"/>
  <c r="B208" i="1"/>
  <c r="B207" i="1"/>
  <c r="B206" i="1"/>
  <c r="B203" i="1"/>
  <c r="B202" i="1"/>
  <c r="B201" i="1"/>
  <c r="B200" i="1"/>
  <c r="B199" i="1"/>
  <c r="B198" i="1"/>
  <c r="B197" i="1"/>
  <c r="B196" i="1"/>
  <c r="B195" i="1"/>
  <c r="B194" i="1"/>
  <c r="B193" i="1"/>
  <c r="B192" i="1"/>
  <c r="B191" i="1"/>
  <c r="B190" i="1"/>
  <c r="D188" i="1" s="1"/>
  <c r="B187" i="1"/>
  <c r="B186" i="1"/>
  <c r="B185" i="1"/>
  <c r="B184" i="1"/>
  <c r="B183" i="1"/>
  <c r="B182" i="1"/>
  <c r="B181" i="1"/>
  <c r="B180" i="1"/>
  <c r="B179" i="1"/>
  <c r="B178" i="1"/>
  <c r="B177" i="1"/>
  <c r="B176" i="1"/>
  <c r="B175" i="1"/>
  <c r="B174" i="1"/>
  <c r="B173" i="1"/>
  <c r="B170" i="1"/>
  <c r="B169" i="1"/>
  <c r="B168" i="1"/>
  <c r="B167" i="1"/>
  <c r="B166" i="1"/>
  <c r="B165" i="1"/>
  <c r="B164" i="1"/>
  <c r="B163" i="1"/>
  <c r="B162" i="1"/>
  <c r="B161" i="1"/>
  <c r="B160" i="1"/>
  <c r="B159" i="1"/>
  <c r="B158" i="1"/>
  <c r="B157" i="1"/>
  <c r="B156" i="1"/>
  <c r="B155" i="1"/>
  <c r="B154" i="1"/>
  <c r="B153" i="1"/>
  <c r="B152" i="1"/>
  <c r="B149" i="1"/>
  <c r="B148" i="1"/>
  <c r="B147" i="1"/>
  <c r="B146" i="1"/>
  <c r="B145" i="1"/>
  <c r="B144" i="1"/>
  <c r="B143" i="1"/>
  <c r="B142" i="1"/>
  <c r="B141" i="1"/>
  <c r="B140" i="1"/>
  <c r="B139" i="1"/>
  <c r="D134" i="1" s="1"/>
  <c r="B138" i="1"/>
  <c r="D37" i="3" s="1"/>
  <c r="B137" i="1"/>
  <c r="B136" i="1"/>
  <c r="B133" i="1"/>
  <c r="B132" i="1"/>
  <c r="B131" i="1"/>
  <c r="B130" i="1"/>
  <c r="B129" i="1"/>
  <c r="B128" i="1"/>
  <c r="B127" i="1"/>
  <c r="B126" i="1"/>
  <c r="B125" i="1"/>
  <c r="B124" i="1"/>
  <c r="B123" i="1"/>
  <c r="B122" i="1"/>
  <c r="D34" i="3" s="1"/>
  <c r="B121" i="1"/>
  <c r="B118" i="1"/>
  <c r="B117" i="1"/>
  <c r="B116" i="1"/>
  <c r="B115" i="1"/>
  <c r="B114" i="1"/>
  <c r="B113" i="1"/>
  <c r="B112" i="1"/>
  <c r="B111" i="1"/>
  <c r="B110" i="1"/>
  <c r="B109" i="1"/>
  <c r="B108" i="1"/>
  <c r="B107" i="1"/>
  <c r="B106" i="1"/>
  <c r="B105" i="1"/>
  <c r="D32" i="3" s="1"/>
  <c r="B104" i="1"/>
  <c r="D31" i="3" s="1"/>
  <c r="B103" i="1"/>
  <c r="B100" i="1"/>
  <c r="B99" i="1"/>
  <c r="B98" i="1"/>
  <c r="B97" i="1"/>
  <c r="B96" i="1"/>
  <c r="B95" i="1"/>
  <c r="B94" i="1"/>
  <c r="B93" i="1"/>
  <c r="B92" i="1"/>
  <c r="B91" i="1"/>
  <c r="B90" i="1"/>
  <c r="B89" i="1"/>
  <c r="D29" i="3" s="1"/>
  <c r="B88" i="1"/>
  <c r="D28" i="3" s="1"/>
  <c r="B87" i="1"/>
  <c r="B86" i="1"/>
  <c r="B85" i="1"/>
  <c r="B84" i="1"/>
  <c r="B83" i="1"/>
  <c r="D26" i="3" s="1"/>
  <c r="B82" i="1"/>
  <c r="D25" i="3" s="1"/>
  <c r="B81" i="1"/>
  <c r="B80" i="1"/>
  <c r="B79" i="1"/>
  <c r="B78" i="1"/>
  <c r="D22" i="3" s="1"/>
  <c r="B77" i="1"/>
  <c r="D75" i="1" s="1"/>
  <c r="B74" i="1"/>
  <c r="B73" i="1"/>
  <c r="B72" i="1"/>
  <c r="B71" i="1"/>
  <c r="B70" i="1"/>
  <c r="B69" i="1"/>
  <c r="B68" i="1"/>
  <c r="B67" i="1"/>
  <c r="B66" i="1"/>
  <c r="B65" i="1"/>
  <c r="B64" i="1"/>
  <c r="B63" i="1"/>
  <c r="B62" i="1"/>
  <c r="D20" i="3" s="1"/>
  <c r="B61" i="1"/>
  <c r="D19" i="3" s="1"/>
  <c r="B60" i="1"/>
  <c r="B55" i="1"/>
  <c r="B54" i="1"/>
  <c r="B53" i="1"/>
  <c r="B52" i="1"/>
  <c r="B51" i="1"/>
  <c r="B50" i="1"/>
  <c r="B49" i="1"/>
  <c r="B48" i="1"/>
  <c r="B47" i="1"/>
  <c r="I46" i="1"/>
  <c r="B46" i="1"/>
  <c r="B45" i="1"/>
  <c r="B44" i="1"/>
  <c r="B43" i="1"/>
  <c r="D17" i="3" s="1"/>
  <c r="B42" i="1"/>
  <c r="D16" i="3" s="1"/>
  <c r="B41" i="1"/>
  <c r="B40" i="1"/>
  <c r="D13" i="3" s="1"/>
  <c r="B39" i="1"/>
  <c r="D10" i="3" s="1"/>
  <c r="B38" i="1"/>
  <c r="D36" i="1" s="1"/>
  <c r="H5" i="1" s="1"/>
  <c r="B34" i="1"/>
  <c r="B33" i="1"/>
  <c r="B32" i="1"/>
  <c r="B31" i="1"/>
  <c r="B30" i="1"/>
  <c r="B29" i="1"/>
  <c r="B28" i="1"/>
  <c r="B27" i="1"/>
  <c r="B26" i="1"/>
  <c r="B25" i="1"/>
  <c r="B24" i="1"/>
  <c r="B23" i="1"/>
  <c r="B22" i="1"/>
  <c r="B21" i="1"/>
  <c r="B20" i="1"/>
  <c r="B19" i="1"/>
  <c r="B18" i="1"/>
  <c r="B17" i="1"/>
  <c r="B16" i="1"/>
  <c r="B15" i="1"/>
  <c r="B14" i="1"/>
  <c r="D10" i="1" s="1"/>
  <c r="B13" i="1"/>
  <c r="B3" i="1" s="1"/>
  <c r="B12" i="1"/>
  <c r="H2" i="1"/>
  <c r="D2" i="1"/>
  <c r="E119" i="1" l="1"/>
  <c r="F119" i="1"/>
  <c r="B2" i="7"/>
  <c r="C21" i="7"/>
  <c r="F36" i="1"/>
  <c r="F5" i="1"/>
  <c r="B36" i="1" s="1"/>
  <c r="F134" i="1"/>
  <c r="F10" i="1"/>
  <c r="G36" i="1"/>
  <c r="E10" i="1"/>
  <c r="F241" i="1"/>
  <c r="E241" i="1"/>
  <c r="E134" i="1"/>
  <c r="E225" i="1"/>
  <c r="F225" i="1" s="1"/>
  <c r="E304" i="1"/>
  <c r="F304" i="1" s="1"/>
  <c r="D257" i="1"/>
  <c r="E257" i="1" s="1"/>
  <c r="F257" i="1" s="1"/>
  <c r="E43" i="3"/>
  <c r="E40" i="3"/>
  <c r="F40" i="3" s="1"/>
  <c r="E37" i="3"/>
  <c r="E34" i="3"/>
  <c r="E31" i="3"/>
  <c r="E28" i="3"/>
  <c r="E25" i="3"/>
  <c r="F25" i="3" s="1"/>
  <c r="F26" i="3" s="1"/>
  <c r="E22" i="3"/>
  <c r="F22" i="3" s="1"/>
  <c r="E19" i="3"/>
  <c r="F19" i="3" s="1"/>
  <c r="E16" i="3"/>
  <c r="F16" i="3" s="1"/>
  <c r="E13" i="3"/>
  <c r="E10" i="3"/>
  <c r="F42" i="3"/>
  <c r="F12" i="3"/>
  <c r="F39" i="3"/>
  <c r="F33" i="3"/>
  <c r="F15" i="3"/>
  <c r="E42" i="3"/>
  <c r="E39" i="3"/>
  <c r="E36" i="3"/>
  <c r="E33" i="3"/>
  <c r="E30" i="3"/>
  <c r="F30" i="3" s="1"/>
  <c r="E27" i="3"/>
  <c r="F27" i="3" s="1"/>
  <c r="E24" i="3"/>
  <c r="F24" i="3" s="1"/>
  <c r="E21" i="3"/>
  <c r="F21" i="3" s="1"/>
  <c r="E18" i="3"/>
  <c r="F18" i="3" s="1"/>
  <c r="E15" i="3"/>
  <c r="E12" i="3"/>
  <c r="E9" i="3"/>
  <c r="F9" i="3" s="1"/>
  <c r="F23" i="3"/>
  <c r="F14" i="3"/>
  <c r="F11" i="3"/>
  <c r="F2" i="3"/>
  <c r="E44" i="3"/>
  <c r="F44" i="3" s="1"/>
  <c r="E41" i="3"/>
  <c r="F41" i="3" s="1"/>
  <c r="E38" i="3"/>
  <c r="F38" i="3" s="1"/>
  <c r="E35" i="3"/>
  <c r="F35" i="3" s="1"/>
  <c r="E32" i="3"/>
  <c r="F32" i="3" s="1"/>
  <c r="E29" i="3"/>
  <c r="F29" i="3" s="1"/>
  <c r="E26" i="3"/>
  <c r="E23" i="3"/>
  <c r="E20" i="3"/>
  <c r="F20" i="3" s="1"/>
  <c r="E17" i="3"/>
  <c r="F17" i="3" s="1"/>
  <c r="E14" i="3"/>
  <c r="E11" i="3"/>
  <c r="F43" i="3"/>
  <c r="F34" i="3"/>
  <c r="F31" i="3"/>
  <c r="F28" i="3"/>
  <c r="F13" i="3"/>
  <c r="F10" i="3"/>
  <c r="D171" i="1"/>
  <c r="E171" i="1" s="1"/>
  <c r="F171" i="1" s="1"/>
  <c r="E273" i="1"/>
  <c r="F273" i="1" s="1"/>
  <c r="G3" i="7"/>
  <c r="I3" i="7" s="1"/>
  <c r="D58" i="1"/>
  <c r="E188" i="1"/>
  <c r="F188" i="1" s="1"/>
  <c r="D150" i="1"/>
  <c r="E150" i="1" s="1"/>
  <c r="F150" i="1" s="1"/>
  <c r="D241" i="1"/>
  <c r="E75" i="1"/>
  <c r="F75" i="1" s="1"/>
  <c r="D101" i="1"/>
  <c r="E101" i="1" s="1"/>
  <c r="F101" i="1" s="1"/>
  <c r="D41" i="3"/>
  <c r="D204" i="1"/>
  <c r="E204" i="1" s="1"/>
  <c r="F204" i="1" s="1"/>
  <c r="D11" i="3"/>
  <c r="D23" i="3"/>
  <c r="D38" i="3"/>
  <c r="D119" i="1"/>
  <c r="D40" i="3"/>
  <c r="F36" i="3" l="1"/>
  <c r="F37" i="3"/>
  <c r="G2" i="3"/>
  <c r="E58" i="1"/>
  <c r="F58" i="1" s="1"/>
  <c r="D57" i="1"/>
  <c r="D22" i="7"/>
  <c r="D18" i="7"/>
  <c r="D14" i="7"/>
  <c r="D10" i="7"/>
  <c r="D6" i="7"/>
  <c r="B10" i="1"/>
  <c r="D7" i="7"/>
  <c r="C22" i="7"/>
  <c r="B3" i="7"/>
  <c r="C3" i="7" s="1"/>
  <c r="F7" i="1"/>
  <c r="D7" i="1"/>
  <c r="D15" i="7"/>
  <c r="D11" i="7"/>
  <c r="C2" i="7"/>
  <c r="B22" i="7"/>
  <c r="B18" i="7"/>
  <c r="G18" i="7" s="1"/>
  <c r="I18" i="7" s="1"/>
  <c r="B14" i="7"/>
  <c r="G14" i="7" s="1"/>
  <c r="I14" i="7" s="1"/>
  <c r="B10" i="7"/>
  <c r="G10" i="7" s="1"/>
  <c r="I10" i="7" s="1"/>
  <c r="B6" i="7"/>
  <c r="G6" i="7" s="1"/>
  <c r="I6" i="7" s="1"/>
  <c r="D4" i="7"/>
  <c r="F21" i="7"/>
  <c r="C11" i="7"/>
  <c r="B4" i="7"/>
  <c r="C4" i="7" s="1"/>
  <c r="D16" i="7"/>
  <c r="D12" i="7"/>
  <c r="D8" i="7"/>
  <c r="D5" i="7"/>
  <c r="F22" i="7"/>
  <c r="C17" i="7"/>
  <c r="C13" i="7"/>
  <c r="C9" i="7"/>
  <c r="C5" i="7"/>
  <c r="C16" i="7"/>
  <c r="B16" i="7"/>
  <c r="G16" i="7" s="1"/>
  <c r="I16" i="7" s="1"/>
  <c r="B12" i="7"/>
  <c r="G12" i="7" s="1"/>
  <c r="I12" i="7" s="1"/>
  <c r="B8" i="7"/>
  <c r="G8" i="7" s="1"/>
  <c r="I8" i="7" s="1"/>
  <c r="G11" i="1"/>
  <c r="G22" i="7"/>
  <c r="D17" i="7"/>
  <c r="D13" i="7"/>
  <c r="D9" i="7"/>
  <c r="E22" i="7"/>
  <c r="B17" i="7"/>
  <c r="G17" i="7" s="1"/>
  <c r="I17" i="7" s="1"/>
  <c r="B13" i="7"/>
  <c r="G13" i="7" s="1"/>
  <c r="I13" i="7" s="1"/>
  <c r="B9" i="7"/>
  <c r="G9" i="7" s="1"/>
  <c r="I9" i="7" s="1"/>
  <c r="B5" i="7"/>
  <c r="G5" i="7" s="1"/>
  <c r="I5" i="7" s="1"/>
  <c r="D3" i="7"/>
  <c r="B15" i="7"/>
  <c r="G15" i="7" s="1"/>
  <c r="I15" i="7" s="1"/>
  <c r="B11" i="7"/>
  <c r="G11" i="7" s="1"/>
  <c r="I11" i="7" s="1"/>
  <c r="B7" i="7"/>
  <c r="G7" i="7" s="1"/>
  <c r="I7" i="7" s="1"/>
  <c r="D21" i="7"/>
  <c r="G21" i="7" s="1"/>
  <c r="C10" i="7" l="1"/>
  <c r="C14" i="7"/>
  <c r="C18" i="7"/>
  <c r="C6" i="7"/>
  <c r="B57" i="1"/>
  <c r="J5" i="1"/>
  <c r="L5" i="1" s="1"/>
  <c r="B24" i="7"/>
  <c r="C8" i="7"/>
  <c r="C12" i="7"/>
  <c r="C7" i="7"/>
  <c r="B3" i="5"/>
  <c r="A3" i="5"/>
  <c r="C3" i="5"/>
  <c r="C15" i="7"/>
  <c r="F3" i="3" l="1"/>
  <c r="F8" i="3"/>
  <c r="F5" i="3"/>
  <c r="F7" i="3"/>
  <c r="F4" i="3"/>
  <c r="F6" i="3"/>
  <c r="G5" i="3" l="1"/>
  <c r="G9" i="3"/>
  <c r="G17" i="3"/>
  <c r="G10" i="3"/>
  <c r="G36" i="3"/>
  <c r="G42" i="3"/>
  <c r="G14" i="3"/>
  <c r="G6" i="3"/>
  <c r="G33" i="3"/>
  <c r="G3" i="3"/>
  <c r="G11" i="3"/>
  <c r="G7" i="3"/>
  <c r="G27" i="3"/>
  <c r="G44" i="3"/>
  <c r="G8" i="3"/>
  <c r="G22" i="3"/>
  <c r="G21" i="3"/>
  <c r="G41" i="3"/>
  <c r="G34" i="3"/>
  <c r="G26" i="3"/>
  <c r="G18" i="3"/>
  <c r="G16" i="3"/>
  <c r="G12" i="3"/>
  <c r="G38" i="3"/>
  <c r="G43" i="3"/>
  <c r="G13" i="3"/>
  <c r="G31" i="3"/>
  <c r="G24" i="3"/>
  <c r="G19" i="3"/>
  <c r="G4" i="3"/>
  <c r="G35" i="3"/>
  <c r="G40" i="3"/>
  <c r="G28" i="3"/>
  <c r="G29" i="3"/>
  <c r="G23" i="3"/>
  <c r="G20" i="3"/>
  <c r="G39" i="3"/>
  <c r="G32" i="3"/>
  <c r="G37" i="3"/>
  <c r="G30" i="3"/>
  <c r="G25" i="3"/>
  <c r="G15" i="3"/>
  <c r="C42" i="5" l="1"/>
  <c r="B29" i="5"/>
  <c r="B36" i="5"/>
  <c r="A13" i="5"/>
  <c r="B8" i="5"/>
  <c r="B42" i="5"/>
  <c r="A19" i="5"/>
  <c r="C10" i="5"/>
  <c r="C37" i="5"/>
  <c r="A24" i="5"/>
  <c r="C39" i="5"/>
  <c r="C7" i="5"/>
  <c r="B17" i="5"/>
  <c r="C40" i="5"/>
  <c r="B18" i="5"/>
  <c r="B26" i="5"/>
  <c r="A6" i="5"/>
  <c r="C22" i="5"/>
  <c r="C12" i="5"/>
  <c r="C31" i="5"/>
  <c r="B25" i="5"/>
  <c r="B32" i="5"/>
  <c r="A9" i="5"/>
  <c r="A40" i="5"/>
  <c r="B30" i="5"/>
  <c r="A15" i="5"/>
  <c r="C6" i="5"/>
  <c r="C33" i="5"/>
  <c r="A16" i="5"/>
  <c r="B12" i="5"/>
  <c r="B35" i="5"/>
  <c r="A7" i="5"/>
  <c r="C25" i="5"/>
  <c r="C11" i="5"/>
  <c r="A32" i="5"/>
  <c r="B20" i="5"/>
  <c r="B16" i="5"/>
  <c r="A8" i="5"/>
  <c r="B21" i="5"/>
  <c r="B24" i="5"/>
  <c r="A5" i="5"/>
  <c r="B39" i="5"/>
  <c r="B22" i="5"/>
  <c r="A11" i="5"/>
  <c r="B38" i="5"/>
  <c r="C29" i="5"/>
  <c r="C23" i="5"/>
  <c r="A12" i="5"/>
  <c r="B37" i="5"/>
  <c r="C18" i="5"/>
  <c r="B33" i="5"/>
  <c r="C14" i="5"/>
  <c r="B13" i="5"/>
  <c r="B4" i="5"/>
  <c r="C32" i="5"/>
  <c r="B31" i="5"/>
  <c r="B6" i="5"/>
  <c r="B10" i="5"/>
  <c r="C21" i="5"/>
  <c r="A4" i="5"/>
  <c r="A36" i="5"/>
  <c r="B11" i="5"/>
  <c r="A21" i="5"/>
  <c r="A34" i="5"/>
  <c r="A23" i="5"/>
  <c r="C41" i="5"/>
  <c r="B9" i="5"/>
  <c r="A41" i="5"/>
  <c r="C20" i="5"/>
  <c r="B27" i="5"/>
  <c r="A30" i="5"/>
  <c r="C38" i="5"/>
  <c r="A38" i="5"/>
  <c r="C17" i="5"/>
  <c r="C19" i="5"/>
  <c r="C15" i="5"/>
  <c r="C35" i="5"/>
  <c r="A31" i="5"/>
  <c r="A27" i="5"/>
  <c r="A17" i="5"/>
  <c r="C27" i="5"/>
  <c r="B5" i="5"/>
  <c r="A37" i="5"/>
  <c r="C16" i="5"/>
  <c r="B23" i="5"/>
  <c r="A26" i="5"/>
  <c r="C34" i="5"/>
  <c r="B34" i="5"/>
  <c r="C13" i="5"/>
  <c r="C36" i="5"/>
  <c r="A33" i="5"/>
  <c r="C8" i="5"/>
  <c r="B19" i="5"/>
  <c r="A39" i="5"/>
  <c r="C30" i="5"/>
  <c r="B14" i="5"/>
  <c r="C9" i="5"/>
  <c r="A20" i="5"/>
  <c r="A14" i="5"/>
  <c r="C24" i="5"/>
  <c r="A22" i="5"/>
  <c r="A10" i="5"/>
  <c r="C4" i="5"/>
  <c r="C28" i="5"/>
  <c r="A29" i="5"/>
  <c r="B40" i="5"/>
  <c r="B15" i="5"/>
  <c r="A35" i="5"/>
  <c r="C26" i="5"/>
  <c r="A42" i="5"/>
  <c r="C5" i="5"/>
  <c r="A18" i="5"/>
  <c r="B41" i="5"/>
  <c r="A25" i="5"/>
  <c r="B28" i="5"/>
  <c r="A28" i="5"/>
  <c r="B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Pauley Idurot (FCAC/ACFC) (Contractor)</author>
    <author>Alex Begin (FCAC/ACFC)</author>
  </authors>
  <commentList>
    <comment ref="C12" authorId="0" shapeId="0" xr:uid="{00000000-0006-0000-0000-000001000000}">
      <text>
        <r>
          <rPr>
            <sz val="9"/>
            <color indexed="81"/>
            <rFont val="Tahoma"/>
            <family val="2"/>
          </rPr>
          <t>Amount you receive after 
deductions are taken off, 
in other words, your net pay.</t>
        </r>
      </text>
    </comment>
    <comment ref="C14" authorId="0" shapeId="0" xr:uid="{00000000-0006-0000-0000-000002000000}">
      <text>
        <r>
          <rPr>
            <sz val="9"/>
            <color indexed="81"/>
            <rFont val="Tahoma"/>
            <family val="2"/>
          </rPr>
          <t>Income provided to unemployed 
workers while they look for 
employment or to upgrade their skills.</t>
        </r>
      </text>
    </comment>
    <comment ref="C15" authorId="0" shapeId="0" xr:uid="{00000000-0006-0000-0000-000003000000}">
      <text>
        <r>
          <rPr>
            <sz val="9"/>
            <color indexed="81"/>
            <rFont val="Tahoma"/>
            <family val="2"/>
          </rPr>
          <t>Income earned from a 
property you own if you 
rent space.</t>
        </r>
      </text>
    </comment>
    <comment ref="C16" authorId="0" shapeId="0" xr:uid="{00000000-0006-0000-0000-000004000000}">
      <text>
        <r>
          <rPr>
            <sz val="9"/>
            <color indexed="81"/>
            <rFont val="Tahoma"/>
            <family val="2"/>
          </rPr>
          <t>Income that may be provided during 
retirement, such as Old Age Security (OAS), 
Canada Pension Plan (CPP), Guaranteed 
Income Supplement (GIS), etc.</t>
        </r>
      </text>
    </comment>
    <comment ref="C17" authorId="0" shapeId="0" xr:uid="{00000000-0006-0000-0000-000005000000}">
      <text>
        <r>
          <rPr>
            <sz val="9"/>
            <color indexed="81"/>
            <rFont val="Tahoma"/>
            <family val="2"/>
          </rPr>
          <t>Income that may be provided 
by your former employer(s) 
when you retire.</t>
        </r>
      </text>
    </comment>
    <comment ref="C18" authorId="0" shapeId="0" xr:uid="{00000000-0006-0000-0000-000006000000}">
      <text>
        <r>
          <rPr>
            <sz val="9"/>
            <color indexed="81"/>
            <rFont val="Tahoma"/>
            <family val="2"/>
          </rPr>
          <t>Income you receive during your retirement 
from withdrawing your own savings, such 
as Registered Retirement Savings Plan (RRSP), 
Registered Retirement Income Fund (RRIF), etc.</t>
        </r>
      </text>
    </comment>
    <comment ref="C19" authorId="0" shapeId="0" xr:uid="{00000000-0006-0000-0000-000007000000}">
      <text>
        <r>
          <rPr>
            <sz val="9"/>
            <color indexed="81"/>
            <rFont val="Tahoma"/>
            <family val="2"/>
          </rPr>
          <t>Amounts received from RESPs, 
scholarships, grants or student loans.</t>
        </r>
      </text>
    </comment>
    <comment ref="C20" authorId="0" shapeId="0" xr:uid="{00000000-0006-0000-0000-000008000000}">
      <text>
        <r>
          <rPr>
            <sz val="9"/>
            <color indexed="81"/>
            <rFont val="Tahoma"/>
            <family val="2"/>
          </rPr>
          <t>Money you receive to support 
your child financially after a 
separation or a divorce.</t>
        </r>
      </text>
    </comment>
    <comment ref="C21" authorId="1" shapeId="0" xr:uid="{00000000-0006-0000-0000-000009000000}">
      <text>
        <r>
          <rPr>
            <sz val="9"/>
            <color indexed="81"/>
            <rFont val="Tahoma"/>
            <family val="2"/>
          </rPr>
          <t>Tax-free monthly payment made 
to eligible families to help them 
with the cost of raising children 
under 18 years old.</t>
        </r>
      </text>
    </comment>
    <comment ref="C22" authorId="1" shapeId="0" xr:uid="{00000000-0006-0000-0000-00000A000000}">
      <text>
        <r>
          <rPr>
            <sz val="9"/>
            <color indexed="81"/>
            <rFont val="Tahoma"/>
            <family val="2"/>
          </rPr>
          <t>Income that may be provided to people 
who have contributed to the Canada 
Pension Plan (CPP) and who are not able 
to work regularly because of a disability.</t>
        </r>
      </text>
    </comment>
    <comment ref="C23" authorId="1" shapeId="0" xr:uid="{00000000-0006-0000-0000-00000B000000}">
      <text>
        <r>
          <rPr>
            <sz val="9"/>
            <color indexed="81"/>
            <rFont val="Tahoma"/>
            <family val="2"/>
          </rPr>
          <t>Income that may be provided 
to low-income individuals that 
are in financial need.</t>
        </r>
      </text>
    </comment>
    <comment ref="G36" authorId="1" shapeId="0" xr:uid="{00000000-0006-0000-0000-00000C000000}">
      <text>
        <r>
          <rPr>
            <sz val="9"/>
            <color indexed="81"/>
            <rFont val="Tahoma"/>
            <family val="2"/>
          </rPr>
          <t>Note: the suggested ranges are based on Average 
Canadian data and are to be used as guidelines only. 
These guidelines are not applicable to all personal 
situations.</t>
        </r>
      </text>
    </comment>
    <comment ref="C38" authorId="1" shapeId="0" xr:uid="{00000000-0006-0000-0000-00000D000000}">
      <text>
        <r>
          <rPr>
            <sz val="9"/>
            <color indexed="81"/>
            <rFont val="Tahoma"/>
            <family val="2"/>
          </rPr>
          <t>Money you set aside to pay for unexpected 
expenses. Ideally, the fund should be enough 
for you to live on for 3–6 months.</t>
        </r>
      </text>
    </comment>
    <comment ref="F58" authorId="1" shapeId="0" xr:uid="{00000000-0006-0000-0000-00000E000000}">
      <text>
        <r>
          <rPr>
            <sz val="9"/>
            <color indexed="81"/>
            <rFont val="Tahoma"/>
            <family val="2"/>
          </rPr>
          <t>Note: the suggested ranges are based on Average 
Canadian data and are to be used as guidelines only. 
These guidelines are not applicable to all personal 
situations.</t>
        </r>
      </text>
    </comment>
    <comment ref="C60" authorId="1" shapeId="0" xr:uid="{00000000-0006-0000-0000-00000F000000}">
      <text>
        <r>
          <rPr>
            <sz val="9"/>
            <color indexed="81"/>
            <rFont val="Tahoma"/>
            <family val="2"/>
          </rPr>
          <t>Payments made toward the outstanding portion 
of your credit card bill. For example, a balance 
you've carried over from previous unpaid purchases. 
Make sure you don't duplicate these expenses in 
your budget.</t>
        </r>
      </text>
    </comment>
    <comment ref="C61" authorId="1" shapeId="0" xr:uid="{00000000-0006-0000-0000-000010000000}">
      <text>
        <r>
          <rPr>
            <sz val="9"/>
            <color indexed="81"/>
            <rFont val="Tahoma"/>
            <family val="2"/>
          </rPr>
          <t>Payments made toward the outstanding 
portion of your line of credit bill. For example, 
a balance you've carried over from previous 
unpaid expenses. Make sure you don't 
duplicate these expenses in your budget.</t>
        </r>
      </text>
    </comment>
    <comment ref="C62" authorId="1" shapeId="0" xr:uid="{00000000-0006-0000-0000-000011000000}">
      <text>
        <r>
          <rPr>
            <sz val="9"/>
            <color indexed="81"/>
            <rFont val="Tahoma"/>
            <family val="2"/>
          </rPr>
          <t>Regular payments made toward a personal 
loan, including retail financing such as buy 
now, pay later plans. Make sure you don't 
duplicate these expenses in your budget.</t>
        </r>
      </text>
    </comment>
    <comment ref="C63" authorId="1" shapeId="0" xr:uid="{00000000-0006-0000-0000-000012000000}">
      <text>
        <r>
          <rPr>
            <sz val="9"/>
            <color indexed="81"/>
            <rFont val="Tahoma"/>
            <family val="2"/>
          </rPr>
          <t>Regular payments made toward a 
student loan or a student line of credit.</t>
        </r>
      </text>
    </comment>
    <comment ref="F75" authorId="1" shapeId="0" xr:uid="{00000000-0006-0000-0000-000013000000}">
      <text>
        <r>
          <rPr>
            <sz val="9"/>
            <color indexed="81"/>
            <rFont val="Tahoma"/>
            <family val="2"/>
          </rPr>
          <t>Note: the suggested ranges are based on Average 
Canadian data and are to be used as guidelines only. 
These guidelines are not applicable to all personal 
situations.</t>
        </r>
      </text>
    </comment>
    <comment ref="C79" authorId="1" shapeId="0" xr:uid="{00000000-0006-0000-0000-000014000000}">
      <text>
        <r>
          <rPr>
            <sz val="9"/>
            <color indexed="81"/>
            <rFont val="Tahoma"/>
            <family val="2"/>
          </rPr>
          <t>Payments made toward the outstanding 
portion of your Home equity line of credit 
bill. For example, a balance you've carried 
over from previous unpaid expenses. Make 
sure you don't duplicate these expenses in 
your budget.</t>
        </r>
      </text>
    </comment>
    <comment ref="C85" authorId="1" shapeId="0" xr:uid="{00000000-0006-0000-0000-000015000000}">
      <text>
        <r>
          <rPr>
            <sz val="9"/>
            <color indexed="81"/>
            <rFont val="Tahoma"/>
            <family val="2"/>
          </rPr>
          <t>Costs for outdoor maintenance of your 
home, such as snow removal, garden, etc.</t>
        </r>
      </text>
    </comment>
    <comment ref="C89" authorId="1" shapeId="0" xr:uid="{00000000-0006-0000-0000-000016000000}">
      <text>
        <r>
          <rPr>
            <sz val="9"/>
            <color indexed="81"/>
            <rFont val="Tahoma"/>
            <family val="2"/>
          </rPr>
          <t>Heating bill and any costs for equipment 
rental such a furnace or a water heater.</t>
        </r>
      </text>
    </comment>
    <comment ref="F101" authorId="1" shapeId="0" xr:uid="{00000000-0006-0000-0000-000017000000}">
      <text>
        <r>
          <rPr>
            <sz val="9"/>
            <color indexed="81"/>
            <rFont val="Tahoma"/>
            <family val="2"/>
          </rPr>
          <t>Note: the suggested ranges are based on Average 
Canadian data and are to be used as guidelines only. 
These guidelines are not applicable to all personal 
situations.</t>
        </r>
      </text>
    </comment>
    <comment ref="C106" authorId="1" shapeId="0" xr:uid="{00000000-0006-0000-0000-000018000000}">
      <text>
        <r>
          <rPr>
            <sz val="9"/>
            <color indexed="81"/>
            <rFont val="Tahoma"/>
            <family val="2"/>
          </rPr>
          <t>Offered by service providers that can include 
services such as your telephone, Internet, 
cable, etc., for a set price.</t>
        </r>
      </text>
    </comment>
    <comment ref="C107" authorId="1" shapeId="0" xr:uid="{00000000-0006-0000-0000-000019000000}">
      <text>
        <r>
          <rPr>
            <sz val="9"/>
            <color indexed="81"/>
            <rFont val="Tahoma"/>
            <family val="2"/>
          </rPr>
          <t>Online subscriptions and streaming 
services.</t>
        </r>
      </text>
    </comment>
    <comment ref="F119" authorId="1" shapeId="0" xr:uid="{00000000-0006-0000-0000-00001A000000}">
      <text>
        <r>
          <rPr>
            <sz val="9"/>
            <color indexed="81"/>
            <rFont val="Tahoma"/>
            <family val="2"/>
          </rPr>
          <t>Note: the suggested ranges are based on Average 
Canadian data and are to be used as guidelines only. 
These guidelines are not applicable to all personal 
situations.</t>
        </r>
      </text>
    </comment>
    <comment ref="C121" authorId="1" shapeId="0" xr:uid="{00000000-0006-0000-0000-00001B000000}">
      <text>
        <r>
          <rPr>
            <sz val="9"/>
            <color indexed="81"/>
            <rFont val="Tahoma"/>
            <family val="2"/>
          </rPr>
          <t>Grocery bill and any meal kit 
subscription.</t>
        </r>
      </text>
    </comment>
    <comment ref="C122" authorId="1" shapeId="0" xr:uid="{00000000-0006-0000-0000-00001C000000}">
      <text>
        <r>
          <rPr>
            <sz val="9"/>
            <color indexed="81"/>
            <rFont val="Tahoma"/>
            <family val="2"/>
          </rPr>
          <t>Restaurant and take-out expenses 
also include small purchases like 
coffee, tea and snacks.</t>
        </r>
      </text>
    </comment>
    <comment ref="F134" authorId="1" shapeId="0" xr:uid="{00000000-0006-0000-0000-00001D000000}">
      <text>
        <r>
          <rPr>
            <sz val="9"/>
            <color indexed="81"/>
            <rFont val="Tahoma"/>
            <family val="2"/>
          </rPr>
          <t>Note: the suggested ranges are based on Average 
Canadian data and are to be used as guidelines only. 
These guidelines are not applicable to all personal 
situations.</t>
        </r>
      </text>
    </comment>
    <comment ref="F150" authorId="1" shapeId="0" xr:uid="{00000000-0006-0000-0000-00001E000000}">
      <text>
        <r>
          <rPr>
            <sz val="9"/>
            <color indexed="81"/>
            <rFont val="Tahoma"/>
            <family val="2"/>
          </rPr>
          <t>Note: the suggested ranges are based on Average 
Canadian data and are to be used as guidelines only. 
These guidelines are not applicable to all personal 
situations.</t>
        </r>
      </text>
    </comment>
    <comment ref="C155" authorId="1" shapeId="0" xr:uid="{00000000-0006-0000-0000-00001F000000}">
      <text>
        <r>
          <rPr>
            <sz val="9"/>
            <color indexed="81"/>
            <rFont val="Tahoma"/>
            <family val="2"/>
          </rPr>
          <t>Regular maintenance services like 
seasonal check-ups, changing tires 
and oil, etc.</t>
        </r>
      </text>
    </comment>
    <comment ref="C159" authorId="1" shapeId="0" xr:uid="{00000000-0006-0000-0000-000020000000}">
      <text>
        <r>
          <rPr>
            <sz val="9"/>
            <color indexed="81"/>
            <rFont val="Tahoma"/>
            <family val="2"/>
          </rPr>
          <t>Costs for taxi fares or other 
transportation services.</t>
        </r>
      </text>
    </comment>
    <comment ref="F171" authorId="1" shapeId="0" xr:uid="{00000000-0006-0000-0000-000021000000}">
      <text>
        <r>
          <rPr>
            <sz val="9"/>
            <color indexed="81"/>
            <rFont val="Tahoma"/>
            <family val="2"/>
          </rPr>
          <t>Note: the suggested ranges are based on Average 
Canadian data and are to be used as guidelines only. 
These guidelines are not applicable to all personal 
situations.</t>
        </r>
      </text>
    </comment>
    <comment ref="C175" authorId="1" shapeId="0" xr:uid="{00000000-0006-0000-0000-000022000000}">
      <text>
        <r>
          <rPr>
            <sz val="9"/>
            <color indexed="81"/>
            <rFont val="Tahoma"/>
            <family val="2"/>
          </rPr>
          <t>Payment you make to support 
your child financially after a 
separation or a divorce.</t>
        </r>
      </text>
    </comment>
    <comment ref="C176" authorId="1" shapeId="0" xr:uid="{00000000-0006-0000-0000-000023000000}">
      <text>
        <r>
          <rPr>
            <sz val="9"/>
            <color indexed="81"/>
            <rFont val="Tahoma"/>
            <family val="2"/>
          </rPr>
          <t>Pocket money you may decide to 
give to your child for small expenses 
or savings.</t>
        </r>
      </text>
    </comment>
    <comment ref="F188" authorId="1" shapeId="0" xr:uid="{00000000-0006-0000-0000-000024000000}">
      <text>
        <r>
          <rPr>
            <sz val="9"/>
            <color indexed="81"/>
            <rFont val="Tahoma"/>
            <family val="2"/>
          </rPr>
          <t>Note: the suggested ranges are based on Average 
Canadian data and are to be used as guidelines only. 
These guidelines are not applicable to all personal 
situations.</t>
        </r>
      </text>
    </comment>
    <comment ref="F204" authorId="1" shapeId="0" xr:uid="{00000000-0006-0000-0000-000025000000}">
      <text>
        <r>
          <rPr>
            <sz val="9"/>
            <color indexed="81"/>
            <rFont val="Tahoma"/>
            <family val="2"/>
          </rPr>
          <t>Note: the suggested ranges are based on Average 
Canadian data and are to be used as guidelines only. 
These guidelines are not applicable to all personal 
situations.</t>
        </r>
      </text>
    </comment>
    <comment ref="C206" authorId="1" shapeId="0" xr:uid="{00000000-0006-0000-0000-000026000000}">
      <text>
        <r>
          <rPr>
            <sz val="9"/>
            <color indexed="81"/>
            <rFont val="Tahoma"/>
            <family val="2"/>
          </rPr>
          <t>Flights, hotels, motels and other 
expenses related to travelling or 
being away on vacation.</t>
        </r>
      </text>
    </comment>
    <comment ref="C207" authorId="1" shapeId="0" xr:uid="{00000000-0006-0000-0000-000027000000}">
      <text>
        <r>
          <rPr>
            <sz val="9"/>
            <color indexed="81"/>
            <rFont val="Tahoma"/>
            <family val="2"/>
          </rPr>
          <t>Costs to use the services of a gym, 
swimming pool, sports centre, etc.</t>
        </r>
      </text>
    </comment>
    <comment ref="C209" authorId="1" shapeId="0" xr:uid="{00000000-0006-0000-0000-000028000000}">
      <text>
        <r>
          <rPr>
            <sz val="9"/>
            <color indexed="81"/>
            <rFont val="Tahoma"/>
            <family val="2"/>
          </rPr>
          <t>Tickets for sports events, 
plays, concerts, etc.</t>
        </r>
      </text>
    </comment>
    <comment ref="C210" authorId="1" shapeId="0" xr:uid="{00000000-0006-0000-0000-000029000000}">
      <text>
        <r>
          <rPr>
            <sz val="9"/>
            <color indexed="81"/>
            <rFont val="Tahoma"/>
            <family val="2"/>
          </rPr>
          <t>Costs associated with activities, 
such as skiing, camping, hockey, 
tennis, etc.</t>
        </r>
      </text>
    </comment>
    <comment ref="C211" authorId="1" shapeId="0" xr:uid="{00000000-0006-0000-0000-00002A000000}">
      <text>
        <r>
          <rPr>
            <sz val="9"/>
            <color indexed="81"/>
            <rFont val="Tahoma"/>
            <family val="2"/>
          </rPr>
          <t>Costs for computer and home 
entertainment equipment, audio 
systems, game consoles, etc.</t>
        </r>
      </text>
    </comment>
    <comment ref="C213" authorId="1" shapeId="0" xr:uid="{00000000-0006-0000-0000-00002B000000}">
      <text>
        <r>
          <rPr>
            <sz val="9"/>
            <color indexed="81"/>
            <rFont val="Tahoma"/>
            <family val="2"/>
          </rPr>
          <t>Costs for cigarettes, electronic cigarettes 
and any supplies related to these items.</t>
        </r>
      </text>
    </comment>
    <comment ref="F225" authorId="1" shapeId="0" xr:uid="{00000000-0006-0000-0000-00002C000000}">
      <text>
        <r>
          <rPr>
            <sz val="9"/>
            <color indexed="81"/>
            <rFont val="Tahoma"/>
            <family val="2"/>
          </rPr>
          <t>Note: the suggested ranges are based on Average 
Canadian data and are to be used as guidelines only. 
These guidelines are not applicable to all personal 
situations.</t>
        </r>
      </text>
    </comment>
    <comment ref="F241" authorId="1" shapeId="0" xr:uid="{00000000-0006-0000-0000-00002D000000}">
      <text>
        <r>
          <rPr>
            <sz val="9"/>
            <color indexed="81"/>
            <rFont val="Tahoma"/>
            <family val="2"/>
          </rPr>
          <t>Note: the suggested ranges are based on Average 
Canadian data and are to be used as guidelines only. 
These guidelines are not applicable to all personal 
situations.</t>
        </r>
      </text>
    </comment>
    <comment ref="F257" authorId="1" shapeId="0" xr:uid="{00000000-0006-0000-0000-00002E000000}">
      <text>
        <r>
          <rPr>
            <sz val="9"/>
            <color indexed="81"/>
            <rFont val="Tahoma"/>
            <family val="2"/>
          </rPr>
          <t>Note: the suggested ranges are based on Average 
Canadian data and are to be used as guidelines only. 
These guidelines are not applicable to all personal 
situations.</t>
        </r>
      </text>
    </comment>
    <comment ref="C261" authorId="1" shapeId="0" xr:uid="{00000000-0006-0000-0000-00002F000000}">
      <text>
        <r>
          <rPr>
            <sz val="9"/>
            <color indexed="81"/>
            <rFont val="Tahoma"/>
            <family val="2"/>
          </rPr>
          <t>Specialists include chiropractors, 
physiotherapists, psychologists, 
optometrists, etc.</t>
        </r>
      </text>
    </comment>
    <comment ref="F273" authorId="1" shapeId="0" xr:uid="{00000000-0006-0000-0000-000030000000}">
      <text>
        <r>
          <rPr>
            <sz val="9"/>
            <color indexed="81"/>
            <rFont val="Tahoma"/>
            <family val="2"/>
          </rPr>
          <t>Note: the suggested ranges are based on Average 
Canadian data and are to be used as guidelines only. 
These guidelines are not applicable to all personal 
situations.</t>
        </r>
      </text>
    </comment>
    <comment ref="F288" authorId="1" shapeId="0" xr:uid="{00000000-0006-0000-0000-000031000000}">
      <text>
        <r>
          <rPr>
            <sz val="9"/>
            <color indexed="81"/>
            <rFont val="Tahoma"/>
            <family val="2"/>
          </rPr>
          <t>Note: the suggested ranges are based on Average 
Canadian data and are to be used as guidelines only. 
These guidelines are not applicable to all personal 
situations.</t>
        </r>
      </text>
    </comment>
    <comment ref="C290" authorId="1" shapeId="0" xr:uid="{00000000-0006-0000-0000-000032000000}">
      <text>
        <r>
          <rPr>
            <sz val="9"/>
            <color indexed="81"/>
            <rFont val="Tahoma"/>
            <family val="2"/>
          </rPr>
          <t>Costs you pay for your transactions, 
your monthly package, brokerage 
fees, etc.</t>
        </r>
      </text>
    </comment>
    <comment ref="C291" authorId="1" shapeId="0" xr:uid="{00000000-0006-0000-0000-000033000000}">
      <text>
        <r>
          <rPr>
            <sz val="9"/>
            <color indexed="81"/>
            <rFont val="Tahoma"/>
            <family val="2"/>
          </rPr>
          <t>Annual fees, balance insurance fees or 
any recurring fees you may have to pay 
for a certain service on your credit card.</t>
        </r>
      </text>
    </comment>
    <comment ref="C292" authorId="1" shapeId="0" xr:uid="{00000000-0006-0000-0000-000034000000}">
      <text>
        <r>
          <rPr>
            <sz val="9"/>
            <color indexed="81"/>
            <rFont val="Tahoma"/>
            <family val="2"/>
          </rPr>
          <t>Dues that are usually related to your 
employment including dues for membership 
in a trade union or a professional association.</t>
        </r>
      </text>
    </comment>
    <comment ref="F304" authorId="1" shapeId="0" xr:uid="{00000000-0006-0000-0000-000035000000}">
      <text>
        <r>
          <rPr>
            <sz val="9"/>
            <color indexed="81"/>
            <rFont val="Tahoma"/>
            <family val="2"/>
          </rPr>
          <t>Note: the suggested ranges are based on Average 
Canadian data and are to be used as guidelines only. 
These guidelines are not applicable to all personal 
situations.</t>
        </r>
      </text>
    </comment>
    <comment ref="C306" authorId="1" shapeId="0" xr:uid="{00000000-0006-0000-0000-000036000000}">
      <text>
        <r>
          <rPr>
            <sz val="9"/>
            <color indexed="81"/>
            <rFont val="Tahoma"/>
            <family val="2"/>
          </rPr>
          <t xml:space="preserve">Gifts for the holidays, birthdays, weddings 
and any other special occasions. </t>
        </r>
      </text>
    </comment>
    <comment ref="C307" authorId="1" shapeId="0" xr:uid="{00000000-0006-0000-0000-000037000000}">
      <text>
        <r>
          <rPr>
            <sz val="9"/>
            <color indexed="81"/>
            <rFont val="Tahoma"/>
            <family val="2"/>
          </rPr>
          <t>Money that you give to charities 
and organizations that need funds.</t>
        </r>
      </text>
    </comment>
  </commentList>
</comments>
</file>

<file path=xl/sharedStrings.xml><?xml version="1.0" encoding="utf-8"?>
<sst xmlns="http://schemas.openxmlformats.org/spreadsheetml/2006/main" count="1210" uniqueCount="484">
  <si>
    <t>Has Personalization</t>
  </si>
  <si>
    <t>False</t>
  </si>
  <si>
    <t>Budget Planner</t>
  </si>
  <si>
    <t>To edit your budget personalization, use the online Budget Planner at</t>
  </si>
  <si>
    <t>Personalization:</t>
  </si>
  <si>
    <t>https://itools-ioutils.fcac-acfc.gc.ca/BP-PB/budget-planner-tool?uid=bd0be845-4d4d-4f54-837e-bd42a139f9b6</t>
  </si>
  <si>
    <t>To personalize your budget, use the online Budget Planner at</t>
  </si>
  <si>
    <t>Annual Income Total</t>
  </si>
  <si>
    <t>Life Situation:</t>
  </si>
  <si>
    <t>Age range:</t>
  </si>
  <si>
    <t>Employment Status:</t>
  </si>
  <si>
    <t>Home Situation:</t>
  </si>
  <si>
    <t>Budget Goal:</t>
  </si>
  <si>
    <t>Period for Totals:</t>
  </si>
  <si>
    <t>Monthly</t>
  </si>
  <si>
    <t>Total Income:</t>
  </si>
  <si>
    <t>Total Savings:</t>
  </si>
  <si>
    <t>Total Expenses:</t>
  </si>
  <si>
    <t>Total Balance:</t>
  </si>
  <si>
    <t>You have money left.</t>
  </si>
  <si>
    <t>Income</t>
  </si>
  <si>
    <t xml:space="preserve">Your budget is balanced. </t>
  </si>
  <si>
    <t>Code Value</t>
  </si>
  <si>
    <t>Annual Total</t>
  </si>
  <si>
    <t>Item</t>
  </si>
  <si>
    <t>Amount</t>
  </si>
  <si>
    <t>Period</t>
  </si>
  <si>
    <t>Note: Percentages in these charts are based on income and have been rounded up to the nearest whole value.</t>
  </si>
  <si>
    <t>You spend more than you earn.</t>
  </si>
  <si>
    <t>MyNetIncome</t>
  </si>
  <si>
    <t>My net income</t>
  </si>
  <si>
    <t>Every 2 weeks</t>
  </si>
  <si>
    <t>Enter your income in order to view your graphics.</t>
  </si>
  <si>
    <t>SpouseNetIncome</t>
  </si>
  <si>
    <t xml:space="preserve">My spouse / partner's net income </t>
  </si>
  <si>
    <t>EmploymentInsurance</t>
  </si>
  <si>
    <t xml:space="preserve">Employment insurance </t>
  </si>
  <si>
    <t>RentalIncome</t>
  </si>
  <si>
    <t xml:space="preserve">Rental property income </t>
  </si>
  <si>
    <t>FederalPension</t>
  </si>
  <si>
    <t>Public pension</t>
  </si>
  <si>
    <t>EmployerPension</t>
  </si>
  <si>
    <t>Employer pension</t>
  </si>
  <si>
    <t>PersonalRetirement</t>
  </si>
  <si>
    <t>Personal retirement income</t>
  </si>
  <si>
    <t>StudentLoanIncome</t>
  </si>
  <si>
    <t>Education savings and loans</t>
  </si>
  <si>
    <t>ChildSupportIncome</t>
  </si>
  <si>
    <t xml:space="preserve">Child support income </t>
  </si>
  <si>
    <t>ChildBenefits</t>
  </si>
  <si>
    <t xml:space="preserve">Child benefits </t>
  </si>
  <si>
    <t>DisabilityBenefit</t>
  </si>
  <si>
    <t>Disability benefits</t>
  </si>
  <si>
    <t>SocialAssistance</t>
  </si>
  <si>
    <t xml:space="preserve">Social assistance </t>
  </si>
  <si>
    <t>Custom Rows</t>
  </si>
  <si>
    <t>Enter item name</t>
  </si>
  <si>
    <t>Savings</t>
  </si>
  <si>
    <t>Type</t>
  </si>
  <si>
    <t>EmergencyFund</t>
  </si>
  <si>
    <t>Emergency fund</t>
  </si>
  <si>
    <t>CASH</t>
  </si>
  <si>
    <t>Retirement</t>
  </si>
  <si>
    <t xml:space="preserve">Retirement </t>
  </si>
  <si>
    <t>RRSP</t>
  </si>
  <si>
    <t>Education</t>
  </si>
  <si>
    <t>RESP</t>
  </si>
  <si>
    <t>HomePurchase</t>
  </si>
  <si>
    <t>Home purchase</t>
  </si>
  <si>
    <t>HomeRenovation</t>
  </si>
  <si>
    <t>Home renovations</t>
  </si>
  <si>
    <t>CarPurchase</t>
  </si>
  <si>
    <t>Car purchase</t>
  </si>
  <si>
    <t>Personalize your budget in order to compare your financial habits with your average Canadian.</t>
  </si>
  <si>
    <t>IncomeTax</t>
  </si>
  <si>
    <t xml:space="preserve">Income tax </t>
  </si>
  <si>
    <t>Annually</t>
  </si>
  <si>
    <t>The suggested average for each item below is based on Canadians in your situation (income range, age, family and housing situation).</t>
  </si>
  <si>
    <t>Expenses</t>
  </si>
  <si>
    <t>Debt repayment</t>
  </si>
  <si>
    <t>CreditCard</t>
  </si>
  <si>
    <t>Credit card</t>
  </si>
  <si>
    <t>LineOfCredit</t>
  </si>
  <si>
    <t xml:space="preserve">Line of credit </t>
  </si>
  <si>
    <t>PersonalLoan</t>
  </si>
  <si>
    <t xml:space="preserve">Personal loan </t>
  </si>
  <si>
    <t>StudentLoan</t>
  </si>
  <si>
    <t xml:space="preserve">Student loan </t>
  </si>
  <si>
    <t>Housing</t>
  </si>
  <si>
    <t>Rent</t>
  </si>
  <si>
    <t>Mortgage</t>
  </si>
  <si>
    <t>Mortgage payment</t>
  </si>
  <si>
    <t>HELOC</t>
  </si>
  <si>
    <t>Home equity line of credit</t>
  </si>
  <si>
    <t>PropertyTax</t>
  </si>
  <si>
    <t xml:space="preserve">Property taxes </t>
  </si>
  <si>
    <t>CondoFee</t>
  </si>
  <si>
    <t>Condo fees</t>
  </si>
  <si>
    <t>TenantInsurance</t>
  </si>
  <si>
    <t xml:space="preserve">Tenant insurance </t>
  </si>
  <si>
    <t>HomeInsurance</t>
  </si>
  <si>
    <t xml:space="preserve">Home insurance </t>
  </si>
  <si>
    <t>Furniture</t>
  </si>
  <si>
    <t>Furniture and appliances</t>
  </si>
  <si>
    <t>OutdoorEquipment</t>
  </si>
  <si>
    <t>Outdoor equipment and services</t>
  </si>
  <si>
    <t>HomeSecurity</t>
  </si>
  <si>
    <t>Home security system</t>
  </si>
  <si>
    <t>Electricity</t>
  </si>
  <si>
    <t>WaterSewage</t>
  </si>
  <si>
    <t>Water and sewage</t>
  </si>
  <si>
    <t>Heating</t>
  </si>
  <si>
    <t xml:space="preserve">Heating </t>
  </si>
  <si>
    <t>Communications</t>
  </si>
  <si>
    <t>Telephone</t>
  </si>
  <si>
    <t>Telephone / Cell phone</t>
  </si>
  <si>
    <t>Cable</t>
  </si>
  <si>
    <t xml:space="preserve">Cable or satellite </t>
  </si>
  <si>
    <t>Internet</t>
  </si>
  <si>
    <t xml:space="preserve">Internet </t>
  </si>
  <si>
    <t>Combined</t>
  </si>
  <si>
    <t>Combined packages</t>
  </si>
  <si>
    <t>Subscriptions</t>
  </si>
  <si>
    <t>Entertainment subscriptions</t>
  </si>
  <si>
    <t>Food</t>
  </si>
  <si>
    <t>Groceries</t>
  </si>
  <si>
    <t xml:space="preserve">Groceries </t>
  </si>
  <si>
    <t>Weekly</t>
  </si>
  <si>
    <t>Restaurants</t>
  </si>
  <si>
    <t xml:space="preserve">Restaurant and take-out </t>
  </si>
  <si>
    <t>Insurance</t>
  </si>
  <si>
    <t>Life</t>
  </si>
  <si>
    <t>Life insurance</t>
  </si>
  <si>
    <t>Medical</t>
  </si>
  <si>
    <t>Medical and dental</t>
  </si>
  <si>
    <t>Disability</t>
  </si>
  <si>
    <t>Disability or accident</t>
  </si>
  <si>
    <t>Transportation</t>
  </si>
  <si>
    <t>CarPayments</t>
  </si>
  <si>
    <t xml:space="preserve">Car loan / lease payments </t>
  </si>
  <si>
    <t>CarInsurance</t>
  </si>
  <si>
    <t xml:space="preserve">Car insurance </t>
  </si>
  <si>
    <t>Gas</t>
  </si>
  <si>
    <t xml:space="preserve">Gas </t>
  </si>
  <si>
    <t>Maintenance</t>
  </si>
  <si>
    <t xml:space="preserve">Maintenance </t>
  </si>
  <si>
    <t>CarRegistration</t>
  </si>
  <si>
    <t xml:space="preserve">Car licensing and registration </t>
  </si>
  <si>
    <t>Parking</t>
  </si>
  <si>
    <t xml:space="preserve">Parking </t>
  </si>
  <si>
    <t>TransitPass</t>
  </si>
  <si>
    <t>Public transportation</t>
  </si>
  <si>
    <t>RideServices</t>
  </si>
  <si>
    <t>Ride services</t>
  </si>
  <si>
    <t>Childcare</t>
  </si>
  <si>
    <t>Daycare</t>
  </si>
  <si>
    <t xml:space="preserve">Daycare </t>
  </si>
  <si>
    <t>Babysitting</t>
  </si>
  <si>
    <t xml:space="preserve">Babysitting </t>
  </si>
  <si>
    <t>ChildSupport</t>
  </si>
  <si>
    <t xml:space="preserve">Child support payments </t>
  </si>
  <si>
    <t>ChildrensAllowance</t>
  </si>
  <si>
    <t xml:space="preserve">Children's allowance </t>
  </si>
  <si>
    <t>Tuition</t>
  </si>
  <si>
    <t>SchoolSupplies</t>
  </si>
  <si>
    <t>Textbooks and school supplies</t>
  </si>
  <si>
    <t>SchoolTrips</t>
  </si>
  <si>
    <t xml:space="preserve">School trips </t>
  </si>
  <si>
    <t>Recreation</t>
  </si>
  <si>
    <t>Travel</t>
  </si>
  <si>
    <t>Travel and vacation</t>
  </si>
  <si>
    <t>Memberships</t>
  </si>
  <si>
    <t>Club memberships</t>
  </si>
  <si>
    <t>ChildrenToys</t>
  </si>
  <si>
    <t xml:space="preserve">Children's toys and activities </t>
  </si>
  <si>
    <t>Tickets</t>
  </si>
  <si>
    <t>Tickets for events</t>
  </si>
  <si>
    <t>SportsGear</t>
  </si>
  <si>
    <t>Sports gear and other activities</t>
  </si>
  <si>
    <t>EntertainmentEquipment</t>
  </si>
  <si>
    <t xml:space="preserve">Entertainment equipment </t>
  </si>
  <si>
    <t>Alcohol</t>
  </si>
  <si>
    <t>Smoking</t>
  </si>
  <si>
    <t>Smoking supplies</t>
  </si>
  <si>
    <t>Personal Care</t>
  </si>
  <si>
    <t>Hairdresser</t>
  </si>
  <si>
    <t>Hairdresser / barber</t>
  </si>
  <si>
    <t>Cosmetics</t>
  </si>
  <si>
    <t>Cosmetics and skin care</t>
  </si>
  <si>
    <t>Spa</t>
  </si>
  <si>
    <t>Spa and beauty care</t>
  </si>
  <si>
    <t>Clothing</t>
  </si>
  <si>
    <t>Clothes</t>
  </si>
  <si>
    <t>ChildrenClothes</t>
  </si>
  <si>
    <t>Children's clothes</t>
  </si>
  <si>
    <t>Accessories</t>
  </si>
  <si>
    <t xml:space="preserve">Accessories </t>
  </si>
  <si>
    <t>Doctor</t>
  </si>
  <si>
    <t>Doctor / medical expenses</t>
  </si>
  <si>
    <t>Dentist</t>
  </si>
  <si>
    <t>Dentist expenses</t>
  </si>
  <si>
    <t>Specialists</t>
  </si>
  <si>
    <t>Pets</t>
  </si>
  <si>
    <t>PetFood</t>
  </si>
  <si>
    <t>Pet food / supplies</t>
  </si>
  <si>
    <t>Veterinarian</t>
  </si>
  <si>
    <t>Fees</t>
  </si>
  <si>
    <t>BankFees</t>
  </si>
  <si>
    <t>Bank fees</t>
  </si>
  <si>
    <t>CreditCardFees</t>
  </si>
  <si>
    <t>Credit card fees</t>
  </si>
  <si>
    <t>ProfessionalDues</t>
  </si>
  <si>
    <t>Professional dues</t>
  </si>
  <si>
    <t>Gifts and Donations</t>
  </si>
  <si>
    <t>Gifts</t>
  </si>
  <si>
    <t>Donations</t>
  </si>
  <si>
    <t>Suggestions</t>
  </si>
  <si>
    <t>Category</t>
  </si>
  <si>
    <t>Useful Links</t>
  </si>
  <si>
    <t>CodeValue</t>
  </si>
  <si>
    <t>Condition</t>
  </si>
  <si>
    <t>Annual Amount</t>
  </si>
  <si>
    <t>Percent of Income</t>
  </si>
  <si>
    <t>Is Visible Formula</t>
  </si>
  <si>
    <t>Visible Order</t>
  </si>
  <si>
    <t>English Text</t>
  </si>
  <si>
    <t>Topic</t>
  </si>
  <si>
    <t>English URL</t>
  </si>
  <si>
    <t>Category Value</t>
  </si>
  <si>
    <t>IF(Income = 0)</t>
  </si>
  <si>
    <t>Enter your income in order to view your suggestions</t>
  </si>
  <si>
    <t>Info</t>
  </si>
  <si>
    <t>General</t>
  </si>
  <si>
    <t>IF(Balance&lt;0)</t>
  </si>
  <si>
    <t>As you currently have more money going out than coming in, click on the Financial Goal Calculator in the useful links. It could really help you pay down your debt. The process is quick and simple and the tool provides you with a debt payment plan.</t>
  </si>
  <si>
    <t>Financial Goal Calculator</t>
  </si>
  <si>
    <t>https://itools-ioutils.fcac-acfc.gc.ca/FGC-COF/home-accueil-eng.aspx</t>
  </si>
  <si>
    <t xml:space="preserve">You will also be interested in our page Making a plan to be debt-free in the useful links. It offers a step-by-step process of paying back your debt. </t>
  </si>
  <si>
    <t xml:space="preserve">Making a plan to be debt-free </t>
  </si>
  <si>
    <t>https://www.canada.ca/en/financial-consumer-agency/services/debt/plan-debt-free.html</t>
  </si>
  <si>
    <t>If you feel like you need professional help to pay down your debt, you may wish to consult an accredited credit counsellor or a financial professional in your area. To learn where to find help, click on Getting help from a credit counsellor in the useful links.</t>
  </si>
  <si>
    <t>Getting help from a credit counsellor</t>
  </si>
  <si>
    <t>https://www.canada.ca/en/financial-consumer-agency/services/debt/debt-help.html</t>
  </si>
  <si>
    <t>The Office of the Superintendent of Bankruptcy Canada has developed a portal to help you find the best way to deal with your debt according to your situation. For more information, click on  Options you can trust to help you with your debt in the useful links.</t>
  </si>
  <si>
    <t>Options you can trust to help you with your debt</t>
  </si>
  <si>
    <t>https://www.ic.gc.ca/eic/site/bsf-osb.nsf/eng/br02049.html</t>
  </si>
  <si>
    <t>IF(Balance&gt;0)</t>
  </si>
  <si>
    <t>As you currently have money left in your budget, you could put that money toward a savings goal. In order to set and reach your savings goals, click on the Financial Goal Calculator in the useful links. The process is quick and simple and the tool provides you with a savings plan.</t>
  </si>
  <si>
    <t>IF(Balance=0)</t>
  </si>
  <si>
    <t>Your budget is currently balanced. In order to stay on track, come back regularly to update your budget based on any life changes.</t>
  </si>
  <si>
    <t>If(EmergencyFund &lt;= 1%)</t>
  </si>
  <si>
    <t>You should have an emergency fund so you can pay for unexpected expenses. Learn how to set up an emergency fund by clicking on this topic in the useful links.</t>
  </si>
  <si>
    <t>https://www.canada.ca/en/financial-consumer-agency/services/savings-investments/setting-up-emergency-funds.html</t>
  </si>
  <si>
    <t>IF(!HasPersonalization || Part-Time || Full-Time || Self-Employed || Other)</t>
  </si>
  <si>
    <t>A comfortable retirement requires saving and planning. It’s never too early or too late to start. Click on Retirement planning in the useful links to learn all about it. You’ll find information on the different types of retirement income and how much you’ll need to save.</t>
  </si>
  <si>
    <t>Retirement planning</t>
  </si>
  <si>
    <t>https://www.canada.ca/en/financial-consumer-agency/services/retirement-planning.html</t>
  </si>
  <si>
    <t>IF(SingleKids || CoupleKids)</t>
  </si>
  <si>
    <t>Your children’s future and success are important. See how you can help them reach their full potential by clicking on Education funding in the useful links.</t>
  </si>
  <si>
    <t>Education funding</t>
  </si>
  <si>
    <t>https://www.canada.ca/en/services/finance/educationfunding.html</t>
  </si>
  <si>
    <t>You are not sure how much and when to save for your children’s education? Learn all about education savings and see how the government can help you build those savings.</t>
  </si>
  <si>
    <t>Education savings</t>
  </si>
  <si>
    <t>https://www.canada.ca/en/services/benefits/education/education-savings.html</t>
  </si>
  <si>
    <t>Since you are a parent, you know how important it is to teach your kids how to manage their money. If you start early, you can build on their knowledge as they grow. Click on Teaching your children about money in the useful links to learn all about it.</t>
  </si>
  <si>
    <t>Teaching your children about money</t>
  </si>
  <si>
    <t>https://www.canada.ca/en/financial-consumer-agency/services/teaching-children-money.html</t>
  </si>
  <si>
    <t>IF((!HasPersonalization || HomeOwner || Renting || HomeOther) &amp;&amp; HomePurchase &gt; 0)</t>
  </si>
  <si>
    <t>Since you are planning to buy a house in the future, click on Buying a home in the useful links. It provides information on saving for a home, tax credits, related costs, working with a real estate agent and more.</t>
  </si>
  <si>
    <t>Buying a home</t>
  </si>
  <si>
    <t>https://www.canada.ca/en/financial-consumer-agency/services/buying-home.html</t>
  </si>
  <si>
    <t>To find out if you can qualify for a mortgage based on the property you want, your income and your expenses, click on Mortgage Qualifier Tool in the useful links.</t>
  </si>
  <si>
    <t>Mortgage Qualifier Tool</t>
  </si>
  <si>
    <t>http://itools-ioutils.fcac-acfc.gc.ca/MQ-HQ/MQ-EAPH-eng.aspx</t>
  </si>
  <si>
    <t>IF((!HasPersonalization || HomeOwner || HomeOther) &amp;&amp; HomeRenovation &gt; 0)</t>
  </si>
  <si>
    <t>Great—you’re saving money for home renovations! You’ll be interested to know that the Government of Canada offers programs and services that help with the renovation of your home. Click on Maintaining a home in the useful links to learn all about it.</t>
  </si>
  <si>
    <t>Maintaining a home</t>
  </si>
  <si>
    <t>https://www.canada.ca/en/financial-consumer-agency/services/maintaining-home.html</t>
  </si>
  <si>
    <t>IF(CarPurchase &gt; 0)</t>
  </si>
  <si>
    <t>Since you plan to buy a vehicle, you’ll be interested in our section on car financing. It provides information on shopping around for a car, financing options, how you’re protected and making sure you can afford the payments over time. Click on Financing a car in the useful links to learn all about it.</t>
  </si>
  <si>
    <t>Financing a car</t>
  </si>
  <si>
    <t>https://www.canada.ca/en/financial-consumer-agency/services/loans/financing-car.html</t>
  </si>
  <si>
    <t>Debt</t>
  </si>
  <si>
    <t>IF(CreditCard &gt;0)</t>
  </si>
  <si>
    <t xml:space="preserve">There are many ways you can bring down your credit card balance and avoid overspending. Click on Using your credit card responsibly in the useful links to learn all about it. </t>
  </si>
  <si>
    <t>Using your credit card responsibly</t>
  </si>
  <si>
    <t>https://www.canada.ca/en/financial-consumer-agency/services/credit-cards/use-credit-responsibly.html</t>
  </si>
  <si>
    <t>IF(LineOfCredit &gt;0)</t>
  </si>
  <si>
    <t>Lines of credit can be risky products for some people. However, when used responsibly, they can benefit consumers through convenient access to funds and flexible repayment terms. Click on Lines of credit in the useful links to learn more.</t>
  </si>
  <si>
    <t>Lines of credit</t>
  </si>
  <si>
    <t>https://www.canada.ca/en/financial-consumer-agency/services/loans/loans-lines-credit.html</t>
  </si>
  <si>
    <t>IF(PersonalLoan &gt;0)</t>
  </si>
  <si>
    <t>There are many types of personal loans such as secured, unsecured, buy now, pay later plans, payday loans, etc. Make sure you understand their characteristics and how they work in order to have the right loan for your needs. Click on Loans in the useful links for more information.</t>
  </si>
  <si>
    <t>Loans</t>
  </si>
  <si>
    <t>https://www.canada.ca/en/financial-consumer-agency/services/loans.html</t>
  </si>
  <si>
    <t>IF((!HasPersonalization || PartTime || FullTime || SelfEmployed || ProfessionalOther) &amp;&amp; StudentLoan &gt; 0)</t>
  </si>
  <si>
    <t>Since you currently have a student loan balance, click on Paying back student debt in the useful links to learn all about it.</t>
  </si>
  <si>
    <t>Paying back student debt</t>
  </si>
  <si>
    <t>https://www.canada.ca/en/financial-consumer-agency/services/pay-down-student-debt.html</t>
  </si>
  <si>
    <t>IF((!HasPersonalization || HomeOwner || HomeOther || SaverMoreMoney || ReduceDebt) &amp;&amp; Mortgage &gt;0)</t>
  </si>
  <si>
    <t>Did you know that there are three ways to pay your mortgage faster? You can:
-Put extra money toward your mortgage
-Keep the same monthly payments when you renew your mortgage
-Choose an “accelerated” option for your mortgage payments.
For more details, click on Paying off your mortgage faster in the useful links.</t>
  </si>
  <si>
    <t>Paying off your mortgage faster</t>
  </si>
  <si>
    <t>https://www.canada.ca/en/financial-consumer-agency/services/mortgages/pay-mortgage-faster.html</t>
  </si>
  <si>
    <t>IF((!HasPersonalization || HomeOwner || HomeOther) &amp;&amp; Mortgage &gt;0)</t>
  </si>
  <si>
    <t>Mortgage renewal is a very important time. You might be able to save money by negotiating with your bank or switching lenders. Click on Renewing your mortgage in the useful links to get prepared.</t>
  </si>
  <si>
    <t>Renewing your mortgage</t>
  </si>
  <si>
    <t>https://www.canada.ca/en/financial-consumer-agency/services/mortgages/renew-mortgage.html</t>
  </si>
  <si>
    <t>IF((!HasPersonalization || HomeOwner || HomeOther) &amp;&amp; HELOC &gt;0)</t>
  </si>
  <si>
    <t>HELOCs can be risky products for some people. However, when used responsibly, HELOCs can benefit consumers through low interest rates, convenient access to funds and flexible repayment terms. Learn all about home equity lines of credit by clicking on that topic in the useful links.</t>
  </si>
  <si>
    <t>https://www.canada.ca/en/financial-consumer-agency/services/mortgages/home-equity-line-credit.html</t>
  </si>
  <si>
    <t>IF((!HasPersonalization || Renting || HomeOther) &amp;&amp; TenantInsurance &gt;0)</t>
  </si>
  <si>
    <t>Take the time to review your insurance policy and make sure you understand what it covers. Click on Home insurance in the useful links for more information.</t>
  </si>
  <si>
    <t>Home insurance</t>
  </si>
  <si>
    <t>https://www.canada.ca/en/financial-consumer-agency/services/insurance/home.html</t>
  </si>
  <si>
    <t>IF((!HasPersonalization || HomeOwner || HomeOther) &amp;&amp; TenantInsurance &gt;0)</t>
  </si>
  <si>
    <t>IF((CutOnExpenses || ReduceDebt || CreateFirstBudget) &amp;&amp; Electricity &gt; 0)</t>
  </si>
  <si>
    <t>Check your energy company’s website for ideas about how you can be more energy conscious.</t>
  </si>
  <si>
    <t>IF((CutOnExpenses || ReduceDebt || CreateFirstBudget) &amp;&amp; WaterSewage &gt; 0)</t>
  </si>
  <si>
    <t xml:space="preserve">Contact your provider to find out what an average bill for your type of household might be. </t>
  </si>
  <si>
    <t>IF((CutOnExpenses || ReduceDebt || CreateFirstBudget) &amp;&amp; Heating &gt; 0)</t>
  </si>
  <si>
    <t>Check your company’s website for ideas about how you can reduce your heating bill.</t>
  </si>
  <si>
    <t>IF((CutOnExpenses || ReduceDebt || CreateFirstBudget) &amp;&amp; Telephone &gt; 0)</t>
  </si>
  <si>
    <t>Review your telephone plan to see if you can scale back or combine your communications services to get a discount.</t>
  </si>
  <si>
    <t>IF((CutOnExpenses || ReduceDebt || CreateFirstBudget) &amp;&amp; Cable &gt; 0)</t>
  </si>
  <si>
    <t>See if you can find a cheaper cable package or consider scaling it back or combining your communications services to get a discount.</t>
  </si>
  <si>
    <t>IF((CutOnExpenses || ReduceDebt || CreateFirstBudget) &amp;&amp; Internet &gt; 0)</t>
  </si>
  <si>
    <t>Review your internet usage and shop around to see if you can get a cheaper internet package that suits your needs. Consider combining your services to get a discount.</t>
  </si>
  <si>
    <t>IF((CutOnExpenses || ReduceDebt || CreateFirstBudget) &amp;&amp; Groceries &gt; 0)</t>
  </si>
  <si>
    <t>If you're looking to save on food expenses, review your grocery store receipts to see if you can cut down on unnecessary items. Plan your meals in advance with items on sale or for which you have coupons or cashback offers.</t>
  </si>
  <si>
    <t>IF((CutOnExpenses || ReduceDebt || CreateFirstBudget) &amp;&amp; Restaurants &gt; 0)</t>
  </si>
  <si>
    <t>If you're looking to save on food expenses, plan your meals in advance to avoid costly options, like eating out or take-out. Try setting specific dates to eat out. Packing a lunch and making your coffee at home can also help to save a lot of money.</t>
  </si>
  <si>
    <t>IF(Life &gt;= 5%)</t>
  </si>
  <si>
    <t>Take the time to review your insurance needs, as you may be spending more than necessary. Click on Insurance in the useful links for more information.</t>
  </si>
  <si>
    <t>https://www.canada.ca/en/financial-consumer-agency/services/insurance.html</t>
  </si>
  <si>
    <t>IF(Medical &gt;= 5%)</t>
  </si>
  <si>
    <t>IF(Disability &gt;= 5%)</t>
  </si>
  <si>
    <t>IF(CarPayments &gt; 0)</t>
  </si>
  <si>
    <t>Car loans are usually “open” loans, which means that you can pay it off completely or partially at any time. Increasing your monthly payment could save you interest charges and time. If you wish to shorten your loan term, contact your loan provider to discuss your payment options.</t>
  </si>
  <si>
    <t>Transporation</t>
  </si>
  <si>
    <t>IF(CarInsurances &gt; 0)</t>
  </si>
  <si>
    <t>Take the time to review your car insurance policy and make sure you understand what it covers. Click on Car insurance in the useful links for more information.</t>
  </si>
  <si>
    <t>Car insurance</t>
  </si>
  <si>
    <t>https://www.canada.ca/en/financial-consumer-agency/services/insurance/car.html</t>
  </si>
  <si>
    <t>If(Tuition &gt; 0)</t>
  </si>
  <si>
    <t>If you or someone in your household is a student, learn more about scholarships, paying for education and RESPs by clicking on Education funding in the useful links.</t>
  </si>
  <si>
    <t>If((!HasPersonalization || CutExpenses || SaveMoney || ReduceDebt || CreateBudget) &amp;&amp; Memberships &gt; 0)</t>
  </si>
  <si>
    <t>If you’re really looking to save, think about some free ways you can get your heart pumping instead of paying fees for a gym membership.</t>
  </si>
  <si>
    <t>IF((!HasPersonalization || CutExpenses || ReduceDebt || CreateBudget) &amp;&amp; Clothes &gt;= 5%)</t>
  </si>
  <si>
    <t>When you go out shopping, try this: for each item you place in your shopping cart, ask yourself if this purchase is a need or a desire. This question will help you reduce your next bill. Be patient and do your research to take advantage of sales and the best deals.</t>
  </si>
  <si>
    <t>IF(BankFees &gt; 15$ monthly)</t>
  </si>
  <si>
    <t>Speak with your financial institution to see if you have the best account or package for your account usage at the lowest cost. To compare different account fees and features click on Account Comparison Tool in the useful links.</t>
  </si>
  <si>
    <t>Account Comparison Tool</t>
  </si>
  <si>
    <t>https://itools-ioutils.fcac-acfc.gc.ca/ACT-OCC/SearchFilter-eng.aspx</t>
  </si>
  <si>
    <t>IF(CreditCardFees &gt; 0)</t>
  </si>
  <si>
    <t>Speak with your financial institution to see if you have the best card that suits your needs at the lowest cost. To compare interest rates, annual fees, rewards and other features click on Credit Card Comparison Tool in the useful links.</t>
  </si>
  <si>
    <t>Credit Card Comparison Tool</t>
  </si>
  <si>
    <t>https://itools-ioutils.fcac-acfc.gc.ca/CCCT-OCCC/SearchFilter-eng.aspx</t>
  </si>
  <si>
    <t>Amount + Percent</t>
  </si>
  <si>
    <t>Pie Chart Labels</t>
  </si>
  <si>
    <t>Comparison Amount</t>
  </si>
  <si>
    <t>Avg Percentage</t>
  </si>
  <si>
    <t>Avg Amount</t>
  </si>
  <si>
    <t>Comparison Labels</t>
  </si>
  <si>
    <t>Avg Amount + Avg Percent</t>
  </si>
  <si>
    <t>Series 1</t>
  </si>
  <si>
    <t>Series 2</t>
  </si>
  <si>
    <t>Series 3</t>
  </si>
  <si>
    <t>Label 1</t>
  </si>
  <si>
    <t>Label 2</t>
  </si>
  <si>
    <t>Label 3</t>
  </si>
  <si>
    <t>Incoming</t>
  </si>
  <si>
    <t>Outgoing</t>
  </si>
  <si>
    <t>Expenses Label</t>
  </si>
  <si>
    <t>Green Message</t>
  </si>
  <si>
    <t>Green Min</t>
  </si>
  <si>
    <t>Green Max</t>
  </si>
  <si>
    <t>Yellow Message</t>
  </si>
  <si>
    <t>Yellow Min</t>
  </si>
  <si>
    <t>Yellow Max</t>
  </si>
  <si>
    <t>Red Message</t>
  </si>
  <si>
    <t>Red Min</t>
  </si>
  <si>
    <t>Red Max</t>
  </si>
  <si>
    <t>Zero Message</t>
  </si>
  <si>
    <t>Make sure you enter your income</t>
  </si>
  <si>
    <t>This amount is within the average range
(5% or more of income)</t>
  </si>
  <si>
    <t>This amount is slightly below the average range
(5% or more of income)</t>
  </si>
  <si>
    <t>You're not saving any money (average range: 5% or more of income)</t>
  </si>
  <si>
    <t>This amount is within the average range
(15% or less of income)</t>
  </si>
  <si>
    <t>This amount is slightly above the average range
(15% or less of income)</t>
  </si>
  <si>
    <t>This amount is above the average range
(15% or less of income)</t>
  </si>
  <si>
    <t>This amount is within the average range
(35% or less of income)</t>
  </si>
  <si>
    <t>This amount is slightly above the average range
(35% or less of income)</t>
  </si>
  <si>
    <t>This amount is above the average range
(35% or less of income)</t>
  </si>
  <si>
    <t>This amount is within the average range
(5% or less of income)</t>
  </si>
  <si>
    <t>This amount is slightly above the average range
(5% or less of income)</t>
  </si>
  <si>
    <t>This amount is above the average range
(5% or less of income)</t>
  </si>
  <si>
    <t>This amount is within the average range
(20% or less of income)</t>
  </si>
  <si>
    <t>This amount is slightly above the average range
(20% or less of income)</t>
  </si>
  <si>
    <t>This amount is above the average range
(20% or less of income)</t>
  </si>
  <si>
    <t>Your budget for food is $0 (average range: 1%-20% of income)</t>
  </si>
  <si>
    <t>This amount is within the average range
(3% or less of income)</t>
  </si>
  <si>
    <t>This amount is slightly above the average range
(3% or less of income)</t>
  </si>
  <si>
    <t>This amount is above the average range
(1%-3% of income)</t>
  </si>
  <si>
    <t>Your budget for insurance is $0 (average range: 1%-3% of income)</t>
  </si>
  <si>
    <t>This amount is within the average range
(14% or less of income)</t>
  </si>
  <si>
    <t>This amount is slightly above the average range
(14% or less of income)</t>
  </si>
  <si>
    <t>This amount is above the average range
(14% or less of income)</t>
  </si>
  <si>
    <t>This amount is within the average range
(8% or less of income)</t>
  </si>
  <si>
    <t>This amount is slightly above the average range
(8% or less of income)</t>
  </si>
  <si>
    <t>This amount is above the average range
(8% or less of income)</t>
  </si>
  <si>
    <t>PersonalCare</t>
  </si>
  <si>
    <t>This amount is within the average range
(2% or less of income)</t>
  </si>
  <si>
    <t>This amount is slightly above the average range
(2% or less of income)</t>
  </si>
  <si>
    <t>This amount is above the average range
(2% or less of income)</t>
  </si>
  <si>
    <t>This amount is above the average range
(1%-5% of income)</t>
  </si>
  <si>
    <t>Your budget for clothing is $0 (average range: 1%-5% of income)</t>
  </si>
  <si>
    <t>GiftsDonations</t>
  </si>
  <si>
    <t>Multiplier</t>
  </si>
  <si>
    <t>SavingsTypeAll</t>
  </si>
  <si>
    <t>Your Life Situation</t>
  </si>
  <si>
    <t>Daily</t>
  </si>
  <si>
    <t>Single</t>
  </si>
  <si>
    <t>TFSA</t>
  </si>
  <si>
    <t>Couple</t>
  </si>
  <si>
    <t>Single with kids</t>
  </si>
  <si>
    <t>Semi-monthly</t>
  </si>
  <si>
    <t>Couple with kids</t>
  </si>
  <si>
    <t>RDSP</t>
  </si>
  <si>
    <t>Other</t>
  </si>
  <si>
    <t>Quarterly</t>
  </si>
  <si>
    <t>Every 6 Months</t>
  </si>
  <si>
    <t>Your age range</t>
  </si>
  <si>
    <t>SavingsType1</t>
  </si>
  <si>
    <t>Under 30</t>
  </si>
  <si>
    <t>30 to 39</t>
  </si>
  <si>
    <t>Per</t>
  </si>
  <si>
    <t>40 to 54</t>
  </si>
  <si>
    <t>per week</t>
  </si>
  <si>
    <t>55 to 64</t>
  </si>
  <si>
    <t>every 2 weeks</t>
  </si>
  <si>
    <t>65 +</t>
  </si>
  <si>
    <t>per month</t>
  </si>
  <si>
    <t>SavingsType2</t>
  </si>
  <si>
    <t>per year</t>
  </si>
  <si>
    <t>Your professional situation</t>
  </si>
  <si>
    <t>Part-time or seasonal</t>
  </si>
  <si>
    <t>Full-time</t>
  </si>
  <si>
    <t>Self-employed</t>
  </si>
  <si>
    <t>Student</t>
  </si>
  <si>
    <t>Retired</t>
  </si>
  <si>
    <t>Unemployed</t>
  </si>
  <si>
    <t>SavingsType3</t>
  </si>
  <si>
    <t>Your home</t>
  </si>
  <si>
    <t>Homeowner</t>
  </si>
  <si>
    <t>Renting</t>
  </si>
  <si>
    <t>SavingsType4</t>
  </si>
  <si>
    <t>Your budgeting goal</t>
  </si>
  <si>
    <t>Stay on track</t>
  </si>
  <si>
    <t>Cut my expenses</t>
  </si>
  <si>
    <t>Save more money</t>
  </si>
  <si>
    <t>Create my first budget</t>
  </si>
  <si>
    <t>Reduce my debt</t>
  </si>
  <si>
    <t>Variable Name</t>
  </si>
  <si>
    <t>Calculated Value</t>
  </si>
  <si>
    <t>IsLifeSingle</t>
  </si>
  <si>
    <t>IsLifeCouple</t>
  </si>
  <si>
    <t>IsLifeSingleKids</t>
  </si>
  <si>
    <t>IsLifeCoupleKids</t>
  </si>
  <si>
    <t>IsLifeOther</t>
  </si>
  <si>
    <t>IsWorkPartTime</t>
  </si>
  <si>
    <t>IsWorkFullTime</t>
  </si>
  <si>
    <t>IsWorkSelfEmployed</t>
  </si>
  <si>
    <t>IsWorkStudent</t>
  </si>
  <si>
    <t>IsWorkRetired</t>
  </si>
  <si>
    <t>IsWorkUnemployed</t>
  </si>
  <si>
    <t>IsWorkOther</t>
  </si>
  <si>
    <t>IsHomeOwner</t>
  </si>
  <si>
    <t>IsHomeOther</t>
  </si>
  <si>
    <t>IsHomeRenting</t>
  </si>
  <si>
    <t>IsGoalStayOnTrack</t>
  </si>
  <si>
    <t>IsGoalCutOnExpenses</t>
  </si>
  <si>
    <t>IsGoalSaveMoney</t>
  </si>
  <si>
    <t>IsGoalCreateBudget</t>
  </si>
  <si>
    <t>IsGoalReduceDebt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</si>
</sst>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00_-;_$* \-#,##0.00_-;_-&quot;$&quot;* &quot;-&quot;??_-;_-@_-"/>
  </numFmts>
  <fonts count="23" x14ac:knownFonts="1">
    <font>
      <sz val="11"/>
      <color theme="1"/>
      <name val="Calibri"/>
      <family val="2"/>
      <scheme val="minor"/>
    </font>
    <font>
      <sz val="10"/>
      <color theme="1"/>
      <name val="Calibri"/>
      <family val="2"/>
      <scheme val="minor"/>
    </font>
    <font>
      <b/>
      <sz val="10"/>
      <color theme="0"/>
      <name val="Calibri"/>
      <family val="2"/>
      <scheme val="minor"/>
    </font>
    <font>
      <sz val="11"/>
      <color theme="1"/>
      <name val="Calibri"/>
      <family val="2"/>
      <scheme val="minor"/>
    </font>
    <font>
      <b/>
      <sz val="14"/>
      <color theme="0"/>
      <name val="Calibri"/>
      <family val="2"/>
      <scheme val="minor"/>
    </font>
    <font>
      <sz val="12"/>
      <color rgb="FF222222"/>
      <name val="Arial"/>
      <family val="2"/>
    </font>
    <font>
      <sz val="11"/>
      <color theme="1"/>
      <name val="Calibri"/>
      <family val="2"/>
      <scheme val="minor"/>
    </font>
    <font>
      <b/>
      <sz val="11"/>
      <color theme="1"/>
      <name val="Calibri"/>
      <family val="2"/>
      <scheme val="minor"/>
    </font>
    <font>
      <b/>
      <sz val="16"/>
      <color theme="0"/>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b/>
      <sz val="11"/>
      <color theme="0"/>
      <name val="Calibri"/>
      <family val="2"/>
      <scheme val="minor"/>
    </font>
    <font>
      <sz val="11"/>
      <color rgb="FF006100"/>
      <name val="Calibri"/>
      <family val="2"/>
      <scheme val="minor"/>
    </font>
    <font>
      <b/>
      <sz val="10"/>
      <color theme="1"/>
      <name val="Calibri"/>
      <family val="2"/>
      <scheme val="minor"/>
    </font>
    <font>
      <sz val="10"/>
      <name val="Calibri"/>
      <family val="2"/>
      <scheme val="minor"/>
    </font>
    <font>
      <sz val="11"/>
      <color theme="0"/>
      <name val="Calibri"/>
      <family val="2"/>
      <scheme val="minor"/>
    </font>
    <font>
      <u/>
      <sz val="11"/>
      <color theme="10"/>
      <name val="Calibri"/>
      <family val="2"/>
      <scheme val="minor"/>
    </font>
    <font>
      <u/>
      <sz val="11"/>
      <color theme="4" tint="0.39997558519241921"/>
      <name val="Calibri"/>
      <family val="2"/>
      <scheme val="minor"/>
    </font>
    <font>
      <b/>
      <sz val="12"/>
      <name val="Calibri"/>
      <family val="2"/>
      <scheme val="minor"/>
    </font>
    <font>
      <u/>
      <sz val="11"/>
      <color theme="4"/>
      <name val="Calibri"/>
      <family val="2"/>
      <scheme val="minor"/>
    </font>
    <font>
      <sz val="11"/>
      <name val="Calibri"/>
      <family val="2"/>
      <scheme val="minor"/>
    </font>
    <font>
      <sz val="9"/>
      <color indexed="81"/>
      <name val="Tahoma"/>
      <family val="2"/>
    </font>
  </fonts>
  <fills count="18">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rgb="FF5183BF"/>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EE062"/>
        <bgColor indexed="64"/>
      </patternFill>
    </fill>
    <fill>
      <patternFill patternType="solid">
        <fgColor rgb="FF97DF93"/>
        <bgColor indexed="64"/>
      </patternFill>
    </fill>
    <fill>
      <patternFill patternType="solid">
        <fgColor rgb="FFFF6969"/>
        <bgColor indexed="64"/>
      </patternFill>
    </fill>
    <fill>
      <patternFill patternType="solid">
        <fgColor theme="4" tint="-0.499984740745262"/>
        <bgColor theme="6"/>
      </patternFill>
    </fill>
    <fill>
      <patternFill patternType="solid">
        <fgColor theme="0"/>
        <bgColor indexed="64"/>
      </patternFill>
    </fill>
    <fill>
      <patternFill patternType="solid">
        <fgColor rgb="FF2D507B"/>
        <bgColor indexed="64"/>
      </patternFill>
    </fill>
    <fill>
      <patternFill patternType="solid">
        <fgColor rgb="FF396499"/>
        <bgColor indexed="64"/>
      </patternFill>
    </fill>
    <fill>
      <patternFill patternType="solid">
        <fgColor theme="4"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theme="0" tint="-0.14996795556505021"/>
      </top>
      <bottom style="thin">
        <color theme="0" tint="-0.14996795556505021"/>
      </bottom>
      <diagonal/>
    </border>
    <border>
      <left/>
      <right/>
      <top/>
      <bottom style="thin">
        <color theme="0" tint="-0.14996795556505021"/>
      </bottom>
      <diagonal/>
    </border>
    <border>
      <left/>
      <right/>
      <top style="thin">
        <color theme="0" tint="-0.14996795556505021"/>
      </top>
      <bottom/>
      <diagonal/>
    </border>
    <border>
      <left style="thin">
        <color theme="0"/>
      </left>
      <right/>
      <top style="thin">
        <color theme="0" tint="-0.14996795556505021"/>
      </top>
      <bottom style="thin">
        <color theme="0" tint="-0.14996795556505021"/>
      </bottom>
      <diagonal/>
    </border>
    <border>
      <left/>
      <right style="thin">
        <color theme="0"/>
      </right>
      <top style="thin">
        <color theme="0" tint="-0.14996795556505021"/>
      </top>
      <bottom style="thin">
        <color theme="0" tint="-0.14996795556505021"/>
      </bottom>
      <diagonal/>
    </border>
    <border>
      <left style="thin">
        <color theme="0"/>
      </left>
      <right/>
      <top/>
      <bottom style="thin">
        <color theme="0" tint="-0.14996795556505021"/>
      </bottom>
      <diagonal/>
    </border>
    <border>
      <left/>
      <right style="thin">
        <color theme="0"/>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style="thin">
        <color theme="0"/>
      </right>
      <top style="thin">
        <color theme="0" tint="-0.14996795556505021"/>
      </top>
      <bottom style="thin">
        <color theme="0" tint="-0.14996795556505021"/>
      </bottom>
      <diagonal/>
    </border>
    <border>
      <left/>
      <right style="thin">
        <color theme="0"/>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top style="thin">
        <color theme="0" tint="-0.14996795556505021"/>
      </top>
      <bottom/>
      <diagonal/>
    </border>
    <border>
      <left/>
      <right/>
      <top style="medium">
        <color theme="1"/>
      </top>
      <bottom/>
      <diagonal/>
    </border>
    <border>
      <left/>
      <right/>
      <top style="thin">
        <color theme="0" tint="-0.14996795556505021"/>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style="thick">
        <color theme="3" tint="0.39994506668294322"/>
      </left>
      <right/>
      <top/>
      <bottom/>
      <diagonal/>
    </border>
    <border>
      <left style="thin">
        <color indexed="64"/>
      </left>
      <right style="thin">
        <color indexed="64"/>
      </right>
      <top/>
      <bottom style="thin">
        <color indexed="64"/>
      </bottom>
      <diagonal/>
    </border>
    <border>
      <left/>
      <right style="thin">
        <color auto="1"/>
      </right>
      <top/>
      <bottom/>
      <diagonal/>
    </border>
  </borders>
  <cellStyleXfs count="4">
    <xf numFmtId="0" fontId="0" fillId="0" borderId="0"/>
    <xf numFmtId="0" fontId="13" fillId="5" borderId="0"/>
    <xf numFmtId="0" fontId="17" fillId="0" borderId="0"/>
    <xf numFmtId="9" fontId="3" fillId="0" borderId="0"/>
  </cellStyleXfs>
  <cellXfs count="138">
    <xf numFmtId="0" fontId="0" fillId="0" borderId="0" xfId="0" applyNumberFormat="1" applyFont="1" applyFill="1" applyBorder="1" applyProtection="1"/>
    <xf numFmtId="0" fontId="0" fillId="0" borderId="0" xfId="0" applyNumberFormat="1" applyFont="1" applyFill="1" applyBorder="1" applyProtection="1"/>
    <xf numFmtId="0" fontId="1" fillId="0" borderId="1" xfId="0" applyNumberFormat="1" applyFont="1" applyFill="1" applyBorder="1" applyProtection="1"/>
    <xf numFmtId="0" fontId="1" fillId="0" borderId="0" xfId="0" applyNumberFormat="1" applyFont="1" applyFill="1" applyBorder="1" applyProtection="1"/>
    <xf numFmtId="0" fontId="0"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wrapText="1"/>
    </xf>
    <xf numFmtId="0" fontId="1" fillId="0" borderId="0" xfId="0" applyNumberFormat="1" applyFont="1" applyFill="1" applyBorder="1" applyAlignment="1" applyProtection="1">
      <alignment vertical="center"/>
    </xf>
    <xf numFmtId="0" fontId="14" fillId="8" borderId="1" xfId="0" applyNumberFormat="1" applyFont="1" applyFill="1" applyBorder="1" applyAlignment="1" applyProtection="1">
      <alignment vertical="center" wrapText="1"/>
    </xf>
    <xf numFmtId="0" fontId="14" fillId="9" borderId="1" xfId="0" applyNumberFormat="1" applyFont="1" applyFill="1" applyBorder="1" applyAlignment="1" applyProtection="1">
      <alignment horizontal="left" vertical="center"/>
    </xf>
    <xf numFmtId="0" fontId="14" fillId="11" borderId="1" xfId="1" applyNumberFormat="1" applyFont="1" applyFill="1" applyBorder="1" applyAlignment="1" applyProtection="1">
      <alignment horizontal="center" vertical="center" wrapText="1"/>
    </xf>
    <xf numFmtId="0" fontId="14" fillId="10" borderId="1" xfId="0" applyNumberFormat="1" applyFont="1" applyFill="1" applyBorder="1" applyAlignment="1" applyProtection="1">
      <alignment horizontal="center" wrapText="1"/>
    </xf>
    <xf numFmtId="0" fontId="14" fillId="12" borderId="1" xfId="0" applyNumberFormat="1" applyFont="1" applyFill="1" applyBorder="1" applyAlignment="1" applyProtection="1">
      <alignment horizontal="center" wrapText="1"/>
    </xf>
    <xf numFmtId="0" fontId="1" fillId="0" borderId="1" xfId="0" applyNumberFormat="1" applyFont="1" applyFill="1" applyBorder="1" applyAlignment="1" applyProtection="1">
      <alignment vertical="center" wrapText="1"/>
    </xf>
    <xf numFmtId="0" fontId="12" fillId="3" borderId="10" xfId="0" applyNumberFormat="1" applyFont="1" applyFill="1" applyBorder="1" applyAlignment="1" applyProtection="1">
      <alignment horizontal="left" vertical="center" wrapText="1"/>
    </xf>
    <xf numFmtId="0" fontId="2" fillId="13" borderId="1" xfId="0" applyNumberFormat="1" applyFont="1" applyFill="1" applyBorder="1" applyProtection="1"/>
    <xf numFmtId="0" fontId="1" fillId="2" borderId="2" xfId="0" applyNumberFormat="1" applyFont="1" applyFill="1" applyBorder="1" applyProtection="1"/>
    <xf numFmtId="0" fontId="1" fillId="2" borderId="3" xfId="0" applyNumberFormat="1" applyFont="1" applyFill="1" applyBorder="1" applyProtection="1"/>
    <xf numFmtId="0" fontId="1" fillId="14" borderId="4" xfId="0" applyNumberFormat="1" applyFont="1" applyFill="1" applyBorder="1" applyProtection="1"/>
    <xf numFmtId="0" fontId="1" fillId="14" borderId="5" xfId="0" applyNumberFormat="1" applyFont="1" applyFill="1" applyBorder="1" applyProtection="1"/>
    <xf numFmtId="0" fontId="1" fillId="14" borderId="6" xfId="0" applyNumberFormat="1" applyFont="1" applyFill="1" applyBorder="1" applyProtection="1"/>
    <xf numFmtId="0" fontId="1" fillId="14" borderId="7" xfId="0" applyNumberFormat="1" applyFont="1" applyFill="1" applyBorder="1" applyProtection="1"/>
    <xf numFmtId="0" fontId="2" fillId="2" borderId="1" xfId="0" applyNumberFormat="1" applyFont="1" applyFill="1" applyBorder="1" applyProtection="1"/>
    <xf numFmtId="0" fontId="2" fillId="2" borderId="0" xfId="0" applyNumberFormat="1" applyFont="1" applyFill="1" applyBorder="1" applyProtection="1"/>
    <xf numFmtId="0" fontId="12" fillId="3" borderId="10" xfId="0" applyNumberFormat="1" applyFont="1" applyFill="1" applyBorder="1" applyAlignment="1" applyProtection="1">
      <alignment horizontal="left" vertical="top" wrapText="1"/>
    </xf>
    <xf numFmtId="0" fontId="0" fillId="0" borderId="0" xfId="0" applyNumberFormat="1" applyFont="1" applyFill="1" applyBorder="1" applyAlignment="1" applyProtection="1">
      <alignment horizontal="left" vertical="top" wrapText="1"/>
    </xf>
    <xf numFmtId="0" fontId="0" fillId="0" borderId="22" xfId="0" applyNumberFormat="1" applyFont="1" applyFill="1" applyBorder="1" applyAlignment="1" applyProtection="1">
      <alignment horizontal="left" vertical="center" wrapText="1"/>
    </xf>
    <xf numFmtId="0" fontId="20" fillId="0" borderId="22" xfId="0" applyNumberFormat="1" applyFont="1" applyFill="1" applyBorder="1" applyAlignment="1" applyProtection="1">
      <alignment horizontal="left" vertical="center" wrapText="1"/>
    </xf>
    <xf numFmtId="0" fontId="20" fillId="0" borderId="10" xfId="0" applyNumberFormat="1" applyFont="1" applyFill="1" applyBorder="1" applyAlignment="1" applyProtection="1">
      <alignment horizontal="left" vertical="center" wrapText="1"/>
    </xf>
    <xf numFmtId="0" fontId="12" fillId="3" borderId="10" xfId="0" applyNumberFormat="1" applyFont="1" applyFill="1" applyBorder="1" applyAlignment="1" applyProtection="1">
      <alignment horizontal="center" vertical="center" wrapText="1"/>
    </xf>
    <xf numFmtId="0" fontId="0" fillId="0" borderId="0" xfId="0" applyNumberFormat="1" applyFont="1" applyFill="1" applyBorder="1" applyAlignment="1" applyProtection="1">
      <alignment horizontal="center" vertical="center"/>
    </xf>
    <xf numFmtId="0" fontId="7" fillId="7" borderId="22" xfId="0" applyNumberFormat="1" applyFont="1" applyFill="1" applyBorder="1" applyAlignment="1" applyProtection="1">
      <alignment horizontal="center" vertical="center" wrapText="1"/>
    </xf>
    <xf numFmtId="0" fontId="7" fillId="7" borderId="23" xfId="0" applyNumberFormat="1" applyFont="1" applyFill="1" applyBorder="1" applyAlignment="1" applyProtection="1">
      <alignment horizontal="center" vertical="center" wrapText="1"/>
    </xf>
    <xf numFmtId="0" fontId="7" fillId="7" borderId="24" xfId="0" applyNumberFormat="1" applyFont="1" applyFill="1" applyBorder="1" applyAlignment="1" applyProtection="1">
      <alignment horizontal="center" vertical="center" wrapText="1"/>
    </xf>
    <xf numFmtId="0" fontId="7" fillId="0" borderId="1" xfId="0" applyNumberFormat="1" applyFont="1" applyFill="1" applyBorder="1" applyAlignment="1" applyProtection="1">
      <alignment vertical="center" wrapText="1"/>
    </xf>
    <xf numFmtId="49" fontId="0" fillId="0" borderId="1" xfId="0" applyNumberFormat="1" applyFont="1" applyFill="1" applyBorder="1" applyAlignment="1" applyProtection="1">
      <alignment vertical="center" wrapText="1"/>
    </xf>
    <xf numFmtId="164" fontId="0" fillId="0" borderId="1" xfId="0" applyNumberFormat="1" applyFont="1" applyFill="1" applyBorder="1" applyAlignment="1" applyProtection="1">
      <alignment vertical="center" wrapText="1"/>
    </xf>
    <xf numFmtId="0" fontId="0" fillId="0" borderId="1" xfId="0" applyNumberFormat="1" applyFont="1" applyFill="1" applyBorder="1" applyAlignment="1" applyProtection="1">
      <alignment vertical="center" wrapText="1"/>
    </xf>
    <xf numFmtId="9" fontId="0" fillId="0" borderId="1" xfId="0" applyNumberFormat="1" applyFont="1" applyFill="1" applyBorder="1" applyAlignment="1" applyProtection="1">
      <alignment vertical="center" wrapText="1"/>
    </xf>
    <xf numFmtId="0" fontId="0" fillId="0" borderId="1" xfId="0" applyNumberFormat="1" applyFont="1" applyFill="1" applyBorder="1" applyProtection="1"/>
    <xf numFmtId="0" fontId="7" fillId="0" borderId="1" xfId="0" applyNumberFormat="1" applyFont="1" applyFill="1" applyBorder="1" applyProtection="1"/>
    <xf numFmtId="164" fontId="0" fillId="0" borderId="1" xfId="0" applyNumberFormat="1" applyFont="1" applyFill="1" applyBorder="1" applyProtection="1"/>
    <xf numFmtId="165" fontId="9" fillId="3" borderId="0" xfId="0" applyNumberFormat="1" applyFont="1" applyFill="1" applyBorder="1" applyAlignment="1" applyProtection="1">
      <alignment horizontal="left" vertical="center"/>
    </xf>
    <xf numFmtId="165" fontId="0" fillId="0" borderId="0" xfId="0" applyNumberFormat="1" applyFont="1" applyFill="1" applyBorder="1" applyAlignment="1" applyProtection="1">
      <alignment vertical="center" wrapText="1"/>
    </xf>
    <xf numFmtId="165" fontId="0" fillId="0" borderId="0" xfId="0" applyNumberFormat="1" applyFont="1" applyFill="1" applyBorder="1" applyAlignment="1" applyProtection="1">
      <alignment vertical="center"/>
    </xf>
    <xf numFmtId="165" fontId="0" fillId="2" borderId="0" xfId="0" applyNumberFormat="1" applyFont="1" applyFill="1" applyBorder="1" applyAlignment="1" applyProtection="1">
      <alignment vertical="center"/>
    </xf>
    <xf numFmtId="165" fontId="12" fillId="15" borderId="0" xfId="0" applyNumberFormat="1" applyFont="1" applyFill="1" applyBorder="1" applyAlignment="1" applyProtection="1">
      <alignment horizontal="right" vertical="center"/>
    </xf>
    <xf numFmtId="165" fontId="16" fillId="15" borderId="0" xfId="0" applyNumberFormat="1" applyFont="1" applyFill="1" applyBorder="1" applyAlignment="1" applyProtection="1">
      <alignment vertical="center" wrapText="1"/>
    </xf>
    <xf numFmtId="165" fontId="8" fillId="15" borderId="0" xfId="0" applyNumberFormat="1" applyFont="1" applyFill="1" applyBorder="1" applyAlignment="1" applyProtection="1">
      <alignment vertical="center"/>
    </xf>
    <xf numFmtId="165" fontId="9" fillId="3" borderId="0" xfId="0" applyNumberFormat="1" applyFont="1" applyFill="1" applyBorder="1" applyAlignment="1" applyProtection="1">
      <alignment horizontal="right" vertical="center"/>
    </xf>
    <xf numFmtId="165" fontId="10" fillId="0" borderId="0" xfId="0" applyNumberFormat="1" applyFont="1" applyFill="1" applyBorder="1" applyAlignment="1" applyProtection="1">
      <alignment vertical="center"/>
    </xf>
    <xf numFmtId="165" fontId="9" fillId="16" borderId="0" xfId="0" applyNumberFormat="1" applyFont="1" applyFill="1" applyBorder="1" applyAlignment="1" applyProtection="1">
      <alignment horizontal="right" vertical="center"/>
    </xf>
    <xf numFmtId="165" fontId="10" fillId="16" borderId="0" xfId="0" applyNumberFormat="1" applyFont="1" applyFill="1" applyBorder="1" applyAlignment="1" applyProtection="1">
      <alignment vertical="center"/>
    </xf>
    <xf numFmtId="165" fontId="11" fillId="0" borderId="0" xfId="0" applyNumberFormat="1" applyFont="1" applyFill="1" applyBorder="1" applyAlignment="1" applyProtection="1">
      <alignment vertical="center"/>
      <protection locked="0"/>
    </xf>
    <xf numFmtId="165" fontId="11" fillId="6" borderId="0" xfId="0" applyNumberFormat="1" applyFont="1" applyFill="1" applyBorder="1" applyAlignment="1" applyProtection="1">
      <alignment vertical="center"/>
    </xf>
    <xf numFmtId="165" fontId="11" fillId="16" borderId="0" xfId="0" applyNumberFormat="1" applyFont="1" applyFill="1" applyBorder="1" applyAlignment="1" applyProtection="1">
      <alignment vertical="center"/>
    </xf>
    <xf numFmtId="165" fontId="11" fillId="16" borderId="0" xfId="0" applyNumberFormat="1" applyFont="1" applyFill="1" applyBorder="1" applyAlignment="1" applyProtection="1">
      <alignment vertical="center"/>
      <protection locked="0"/>
    </xf>
    <xf numFmtId="165" fontId="4" fillId="2" borderId="0" xfId="0" applyNumberFormat="1" applyFont="1" applyFill="1" applyBorder="1" applyAlignment="1" applyProtection="1">
      <alignment vertical="center"/>
    </xf>
    <xf numFmtId="165" fontId="19" fillId="2" borderId="0" xfId="0" applyNumberFormat="1" applyFont="1" applyFill="1" applyBorder="1" applyAlignment="1" applyProtection="1">
      <alignment horizontal="right" vertical="center"/>
    </xf>
    <xf numFmtId="165" fontId="0" fillId="3" borderId="10" xfId="0" applyNumberFormat="1" applyFont="1" applyFill="1" applyBorder="1" applyAlignment="1" applyProtection="1">
      <alignment vertical="center"/>
    </xf>
    <xf numFmtId="165" fontId="0" fillId="0" borderId="9" xfId="0" applyNumberFormat="1" applyFont="1" applyFill="1" applyBorder="1" applyAlignment="1" applyProtection="1">
      <alignment vertical="center"/>
    </xf>
    <xf numFmtId="165" fontId="0" fillId="0" borderId="9" xfId="0" applyNumberFormat="1" applyFont="1" applyFill="1" applyBorder="1" applyAlignment="1" applyProtection="1">
      <alignment vertical="center"/>
      <protection locked="0"/>
    </xf>
    <xf numFmtId="165" fontId="0" fillId="6" borderId="9" xfId="0" applyNumberFormat="1" applyFont="1" applyFill="1" applyBorder="1" applyAlignment="1" applyProtection="1">
      <alignment vertical="center"/>
    </xf>
    <xf numFmtId="165" fontId="7" fillId="7" borderId="9" xfId="0" applyNumberFormat="1" applyFont="1" applyFill="1" applyBorder="1" applyAlignment="1" applyProtection="1">
      <alignment vertical="center"/>
    </xf>
    <xf numFmtId="165" fontId="0" fillId="7" borderId="9" xfId="0" applyNumberFormat="1" applyFont="1" applyFill="1" applyBorder="1" applyAlignment="1" applyProtection="1">
      <alignment vertical="center"/>
    </xf>
    <xf numFmtId="165" fontId="3" fillId="0" borderId="11" xfId="0" applyNumberFormat="1" applyFont="1" applyFill="1" applyBorder="1" applyAlignment="1" applyProtection="1">
      <alignment vertical="center"/>
    </xf>
    <xf numFmtId="165" fontId="0" fillId="0" borderId="11" xfId="0" applyNumberFormat="1" applyFont="1" applyFill="1" applyBorder="1" applyAlignment="1" applyProtection="1">
      <alignment vertical="center"/>
    </xf>
    <xf numFmtId="165" fontId="0" fillId="0" borderId="11" xfId="0" applyNumberFormat="1" applyFont="1" applyFill="1" applyBorder="1" applyAlignment="1" applyProtection="1">
      <alignment vertical="center"/>
      <protection locked="0"/>
    </xf>
    <xf numFmtId="165" fontId="12" fillId="2" borderId="7" xfId="0" applyNumberFormat="1" applyFont="1" applyFill="1" applyBorder="1" applyAlignment="1" applyProtection="1">
      <alignment vertical="center"/>
    </xf>
    <xf numFmtId="165" fontId="4" fillId="2" borderId="8" xfId="0" applyNumberFormat="1" applyFont="1" applyFill="1" applyBorder="1" applyAlignment="1" applyProtection="1">
      <alignment vertical="center"/>
    </xf>
    <xf numFmtId="165" fontId="0" fillId="2" borderId="8" xfId="0" applyNumberFormat="1" applyFont="1" applyFill="1" applyBorder="1" applyAlignment="1" applyProtection="1">
      <alignment vertical="center"/>
    </xf>
    <xf numFmtId="165" fontId="19" fillId="2" borderId="8" xfId="0" applyNumberFormat="1" applyFont="1" applyFill="1" applyBorder="1" applyAlignment="1" applyProtection="1">
      <alignment horizontal="right" vertical="center"/>
    </xf>
    <xf numFmtId="165" fontId="3" fillId="0" borderId="9" xfId="0" applyNumberFormat="1" applyFont="1" applyFill="1" applyBorder="1" applyAlignment="1" applyProtection="1">
      <alignment vertical="center"/>
    </xf>
    <xf numFmtId="165" fontId="6" fillId="6" borderId="9" xfId="0" applyNumberFormat="1" applyFont="1" applyFill="1" applyBorder="1" applyAlignment="1" applyProtection="1">
      <alignment vertical="center"/>
    </xf>
    <xf numFmtId="165" fontId="12" fillId="3" borderId="0" xfId="0" applyNumberFormat="1" applyFont="1" applyFill="1" applyBorder="1" applyAlignment="1" applyProtection="1">
      <alignment vertical="center"/>
    </xf>
    <xf numFmtId="165" fontId="9" fillId="3" borderId="0" xfId="0" applyNumberFormat="1" applyFont="1" applyFill="1" applyBorder="1" applyAlignment="1" applyProtection="1">
      <alignment vertical="center"/>
    </xf>
    <xf numFmtId="165" fontId="10" fillId="3" borderId="0" xfId="0" applyNumberFormat="1" applyFont="1" applyFill="1" applyBorder="1" applyAlignment="1" applyProtection="1">
      <alignment horizontal="right" vertical="center"/>
    </xf>
    <xf numFmtId="165" fontId="0" fillId="4" borderId="10" xfId="0" applyNumberFormat="1" applyFont="1" applyFill="1" applyBorder="1" applyAlignment="1" applyProtection="1">
      <alignment vertical="center"/>
    </xf>
    <xf numFmtId="165" fontId="5" fillId="0" borderId="0" xfId="0" applyNumberFormat="1" applyFont="1" applyFill="1" applyBorder="1" applyAlignment="1" applyProtection="1">
      <alignment vertical="center"/>
    </xf>
    <xf numFmtId="165" fontId="0" fillId="4" borderId="15" xfId="0" applyNumberFormat="1" applyFont="1" applyFill="1" applyBorder="1" applyAlignment="1" applyProtection="1">
      <alignment vertical="center"/>
    </xf>
    <xf numFmtId="165" fontId="0" fillId="4" borderId="16" xfId="0" applyNumberFormat="1" applyFont="1" applyFill="1" applyBorder="1" applyAlignment="1" applyProtection="1">
      <alignment vertical="center"/>
    </xf>
    <xf numFmtId="165" fontId="0" fillId="4" borderId="14" xfId="0" applyNumberFormat="1" applyFont="1" applyFill="1" applyBorder="1" applyAlignment="1" applyProtection="1">
      <alignment vertical="center"/>
    </xf>
    <xf numFmtId="165" fontId="0" fillId="0" borderId="13" xfId="0" applyNumberFormat="1" applyFont="1" applyFill="1" applyBorder="1" applyAlignment="1" applyProtection="1">
      <alignment vertical="center"/>
    </xf>
    <xf numFmtId="165" fontId="0" fillId="0" borderId="17" xfId="0" applyNumberFormat="1" applyFont="1" applyFill="1" applyBorder="1" applyAlignment="1" applyProtection="1">
      <alignment vertical="center"/>
    </xf>
    <xf numFmtId="165" fontId="0" fillId="0" borderId="17" xfId="0" applyNumberFormat="1" applyFont="1" applyFill="1" applyBorder="1" applyAlignment="1" applyProtection="1">
      <alignment vertical="center"/>
      <protection locked="0"/>
    </xf>
    <xf numFmtId="165" fontId="0" fillId="0" borderId="12" xfId="0" applyNumberFormat="1" applyFont="1" applyFill="1" applyBorder="1" applyAlignment="1" applyProtection="1">
      <alignment vertical="center"/>
      <protection locked="0"/>
    </xf>
    <xf numFmtId="165" fontId="0" fillId="6" borderId="13" xfId="0" applyNumberFormat="1" applyFont="1" applyFill="1" applyBorder="1" applyAlignment="1" applyProtection="1">
      <alignment vertical="center"/>
    </xf>
    <xf numFmtId="165" fontId="0" fillId="6" borderId="17" xfId="0" applyNumberFormat="1" applyFont="1" applyFill="1" applyBorder="1" applyAlignment="1" applyProtection="1">
      <alignment vertical="center"/>
    </xf>
    <xf numFmtId="165" fontId="3" fillId="0" borderId="18" xfId="0" applyNumberFormat="1" applyFont="1" applyFill="1" applyBorder="1" applyAlignment="1" applyProtection="1">
      <alignment vertical="center"/>
    </xf>
    <xf numFmtId="165" fontId="0" fillId="0" borderId="19" xfId="0" applyNumberFormat="1" applyFont="1" applyFill="1" applyBorder="1" applyAlignment="1" applyProtection="1">
      <alignment vertical="center"/>
    </xf>
    <xf numFmtId="165" fontId="0" fillId="0" borderId="19" xfId="0" applyNumberFormat="1" applyFont="1" applyFill="1" applyBorder="1" applyAlignment="1" applyProtection="1">
      <alignment vertical="center"/>
      <protection locked="0"/>
    </xf>
    <xf numFmtId="165" fontId="0" fillId="0" borderId="20" xfId="0" applyNumberFormat="1" applyFont="1" applyFill="1" applyBorder="1" applyAlignment="1" applyProtection="1">
      <alignment vertical="center"/>
      <protection locked="0"/>
    </xf>
    <xf numFmtId="0" fontId="12" fillId="2" borderId="21" xfId="0" applyNumberFormat="1" applyFont="1" applyFill="1" applyBorder="1" applyAlignment="1" applyProtection="1">
      <alignment vertical="center" wrapText="1"/>
    </xf>
    <xf numFmtId="2" fontId="12" fillId="2" borderId="21" xfId="3" applyNumberFormat="1" applyFont="1" applyFill="1" applyBorder="1" applyAlignment="1" applyProtection="1">
      <alignment vertical="center" wrapText="1"/>
    </xf>
    <xf numFmtId="0" fontId="12" fillId="2" borderId="21" xfId="0" applyNumberFormat="1" applyFont="1" applyFill="1" applyBorder="1" applyAlignment="1" applyProtection="1">
      <alignment horizontal="center" vertical="center" wrapText="1"/>
    </xf>
    <xf numFmtId="0" fontId="12" fillId="2"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center" wrapText="1"/>
    </xf>
    <xf numFmtId="0" fontId="0" fillId="7" borderId="1" xfId="0" applyNumberFormat="1" applyFont="1" applyFill="1" applyBorder="1" applyAlignment="1" applyProtection="1">
      <alignment horizontal="center" vertical="center" wrapText="1"/>
    </xf>
    <xf numFmtId="0" fontId="0" fillId="7" borderId="1" xfId="0" applyNumberFormat="1" applyFont="1" applyFill="1" applyBorder="1" applyAlignment="1" applyProtection="1">
      <alignment vertical="center" wrapText="1"/>
    </xf>
    <xf numFmtId="0" fontId="0" fillId="0" borderId="1" xfId="0" applyNumberFormat="1" applyFont="1" applyFill="1" applyBorder="1" applyAlignment="1" applyProtection="1">
      <alignment vertical="center" wrapText="1"/>
    </xf>
    <xf numFmtId="0" fontId="0" fillId="0" borderId="1" xfId="0" applyNumberFormat="1" applyFont="1" applyFill="1" applyBorder="1" applyAlignment="1" applyProtection="1">
      <alignment horizontal="center" vertical="center" wrapText="1"/>
    </xf>
    <xf numFmtId="2" fontId="0" fillId="7" borderId="1" xfId="3" applyNumberFormat="1" applyFont="1" applyFill="1" applyBorder="1" applyAlignment="1" applyProtection="1">
      <alignment horizontal="center" vertical="center" wrapText="1"/>
    </xf>
    <xf numFmtId="0" fontId="21" fillId="0" borderId="1" xfId="0" applyNumberFormat="1" applyFont="1" applyFill="1" applyBorder="1" applyAlignment="1" applyProtection="1">
      <alignment vertical="center" wrapText="1"/>
    </xf>
    <xf numFmtId="0" fontId="21" fillId="7" borderId="1" xfId="0" applyNumberFormat="1" applyFont="1" applyFill="1" applyBorder="1" applyAlignment="1" applyProtection="1">
      <alignment vertical="center" wrapText="1"/>
    </xf>
    <xf numFmtId="2" fontId="0" fillId="0" borderId="1" xfId="3"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vertical="center" wrapText="1"/>
    </xf>
    <xf numFmtId="0" fontId="0" fillId="0" borderId="1" xfId="0" applyNumberFormat="1" applyFont="1" applyFill="1" applyBorder="1" applyAlignment="1" applyProtection="1">
      <alignment vertical="center" wrapText="1"/>
    </xf>
    <xf numFmtId="2" fontId="0" fillId="0" borderId="0" xfId="3" applyNumberFormat="1" applyFont="1" applyFill="1" applyBorder="1" applyAlignment="1" applyProtection="1">
      <alignment vertical="center" wrapText="1"/>
    </xf>
    <xf numFmtId="0" fontId="0" fillId="0" borderId="0" xfId="0" applyNumberFormat="1" applyFont="1" applyFill="1" applyBorder="1" applyAlignment="1" applyProtection="1">
      <alignment horizontal="center" vertical="center" wrapText="1"/>
    </xf>
    <xf numFmtId="0" fontId="16" fillId="15" borderId="0" xfId="0" applyNumberFormat="1" applyFont="1" applyFill="1" applyBorder="1" applyAlignment="1" applyProtection="1">
      <alignment horizontal="right" vertical="center"/>
    </xf>
    <xf numFmtId="49" fontId="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10" fillId="0" borderId="0" xfId="0" applyNumberFormat="1" applyFont="1" applyFill="1" applyBorder="1" applyAlignment="1" applyProtection="1">
      <alignment vertical="center" wrapText="1"/>
    </xf>
    <xf numFmtId="0" fontId="11" fillId="0" borderId="0" xfId="0" applyNumberFormat="1" applyFont="1" applyFill="1" applyBorder="1" applyAlignment="1" applyProtection="1">
      <alignment vertical="center" wrapText="1"/>
    </xf>
    <xf numFmtId="0" fontId="1" fillId="14" borderId="0" xfId="0" applyNumberFormat="1" applyFont="1" applyFill="1" applyBorder="1" applyProtection="1"/>
    <xf numFmtId="0" fontId="1" fillId="2" borderId="26" xfId="0" applyNumberFormat="1" applyFont="1" applyFill="1" applyBorder="1" applyProtection="1"/>
    <xf numFmtId="0" fontId="1" fillId="14" borderId="1" xfId="0" applyNumberFormat="1" applyFont="1" applyFill="1" applyBorder="1" applyProtection="1"/>
    <xf numFmtId="0" fontId="9" fillId="16" borderId="0" xfId="0" applyNumberFormat="1" applyFont="1" applyFill="1" applyBorder="1" applyAlignment="1" applyProtection="1">
      <alignment horizontal="right" vertical="center"/>
    </xf>
    <xf numFmtId="0" fontId="11" fillId="16" borderId="0" xfId="0" applyNumberFormat="1" applyFont="1" applyFill="1" applyBorder="1" applyAlignment="1" applyProtection="1">
      <alignment vertical="center"/>
    </xf>
    <xf numFmtId="0" fontId="16" fillId="16" borderId="0" xfId="0" applyNumberFormat="1" applyFont="1" applyFill="1" applyBorder="1" applyAlignment="1" applyProtection="1">
      <alignment vertical="center"/>
    </xf>
    <xf numFmtId="0" fontId="12" fillId="16" borderId="0" xfId="0" applyNumberFormat="1" applyFont="1" applyFill="1" applyBorder="1" applyAlignment="1" applyProtection="1">
      <alignment vertical="center"/>
    </xf>
    <xf numFmtId="165" fontId="8" fillId="2" borderId="0" xfId="0" applyNumberFormat="1" applyFont="1" applyFill="1" applyBorder="1" applyAlignment="1" applyProtection="1">
      <alignment horizontal="center" vertical="center"/>
    </xf>
    <xf numFmtId="165" fontId="8" fillId="2" borderId="27" xfId="0" applyNumberFormat="1" applyFont="1" applyFill="1" applyBorder="1" applyAlignment="1" applyProtection="1">
      <alignment horizontal="center" vertical="center"/>
      <protection locked="0"/>
    </xf>
    <xf numFmtId="165" fontId="8" fillId="15" borderId="27" xfId="0" applyNumberFormat="1" applyFont="1" applyFill="1" applyBorder="1" applyAlignment="1" applyProtection="1">
      <alignment vertical="center"/>
    </xf>
    <xf numFmtId="165" fontId="10" fillId="0" borderId="27" xfId="0" applyNumberFormat="1" applyFont="1" applyFill="1" applyBorder="1" applyAlignment="1" applyProtection="1">
      <alignment vertical="center"/>
    </xf>
    <xf numFmtId="165" fontId="10" fillId="16" borderId="27" xfId="0" applyNumberFormat="1" applyFont="1" applyFill="1" applyBorder="1" applyAlignment="1" applyProtection="1">
      <alignment vertical="center"/>
    </xf>
    <xf numFmtId="165" fontId="11" fillId="16" borderId="27" xfId="0" applyNumberFormat="1" applyFont="1" applyFill="1" applyBorder="1" applyAlignment="1" applyProtection="1">
      <alignment vertical="center"/>
    </xf>
    <xf numFmtId="0" fontId="0" fillId="0" borderId="27" xfId="0" applyNumberFormat="1" applyFont="1" applyFill="1" applyBorder="1" applyProtection="1"/>
    <xf numFmtId="165" fontId="8" fillId="2" borderId="0" xfId="0" applyNumberFormat="1" applyFont="1" applyFill="1" applyBorder="1" applyAlignment="1" applyProtection="1">
      <alignment horizontal="center" vertical="center"/>
    </xf>
    <xf numFmtId="165" fontId="15" fillId="7" borderId="0" xfId="0" applyNumberFormat="1" applyFont="1" applyFill="1" applyBorder="1" applyAlignment="1" applyProtection="1">
      <alignment horizontal="left" vertical="center" wrapText="1"/>
    </xf>
    <xf numFmtId="0" fontId="16" fillId="15" borderId="0" xfId="0" applyNumberFormat="1" applyFont="1" applyFill="1" applyBorder="1" applyAlignment="1" applyProtection="1">
      <alignment horizontal="left" vertical="center" wrapText="1"/>
    </xf>
    <xf numFmtId="0" fontId="18" fillId="15" borderId="0" xfId="2" applyNumberFormat="1" applyFont="1" applyFill="1" applyBorder="1" applyAlignment="1" applyProtection="1">
      <alignment horizontal="left" vertical="center"/>
      <protection locked="0"/>
    </xf>
    <xf numFmtId="0" fontId="12" fillId="16" borderId="0" xfId="0" applyNumberFormat="1" applyFont="1" applyFill="1" applyBorder="1" applyAlignment="1" applyProtection="1">
      <alignment horizontal="right" vertical="center"/>
    </xf>
    <xf numFmtId="0" fontId="0" fillId="17" borderId="25" xfId="0" applyNumberFormat="1" applyFont="1" applyFill="1" applyBorder="1" applyAlignment="1" applyProtection="1">
      <alignment horizontal="left" vertical="center" wrapText="1" indent="1"/>
    </xf>
    <xf numFmtId="0" fontId="0" fillId="17" borderId="0" xfId="0" applyNumberFormat="1" applyFont="1" applyFill="1" applyBorder="1" applyAlignment="1" applyProtection="1">
      <alignment horizontal="left" vertical="center" wrapText="1" indent="1"/>
    </xf>
    <xf numFmtId="0" fontId="0" fillId="17" borderId="27" xfId="0" applyNumberFormat="1" applyFont="1" applyFill="1" applyBorder="1" applyAlignment="1" applyProtection="1">
      <alignment horizontal="left" vertical="center" wrapText="1" indent="1"/>
    </xf>
    <xf numFmtId="0" fontId="4" fillId="2" borderId="0" xfId="0" applyNumberFormat="1" applyFont="1" applyFill="1" applyBorder="1" applyAlignment="1" applyProtection="1">
      <alignment horizontal="left" vertical="center" wrapText="1" indent="1"/>
    </xf>
    <xf numFmtId="0" fontId="0" fillId="7" borderId="1" xfId="0" applyNumberFormat="1" applyFont="1" applyFill="1" applyBorder="1" applyAlignment="1" applyProtection="1">
      <alignment horizontal="center" vertical="center" wrapText="1"/>
    </xf>
  </cellXfs>
  <cellStyles count="4">
    <cellStyle name="Good" xfId="1" builtinId="26"/>
    <cellStyle name="Hyperlink" xfId="2" builtinId="8"/>
    <cellStyle name="Normal" xfId="0" builtinId="0"/>
    <cellStyle name="Percent" xfId="3" builtinId="5"/>
  </cellStyles>
  <dxfs count="336">
    <dxf>
      <font>
        <b val="0"/>
        <i val="0"/>
        <strike val="0"/>
        <condense val="0"/>
        <extend val="0"/>
        <outline val="0"/>
        <shadow val="0"/>
        <u val="none"/>
        <vertAlign val="baseline"/>
        <sz val="10"/>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solid">
          <fgColor indexed="64"/>
          <bgColor theme="0"/>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dxf>
    <dxf>
      <border>
        <bottom style="thin">
          <color indexed="64"/>
        </bottom>
      </border>
    </dxf>
    <dxf>
      <font>
        <b val="0"/>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dxf>
    <dxf>
      <font>
        <color theme="0"/>
      </font>
    </dxf>
    <dxf>
      <fill>
        <patternFill>
          <bgColor theme="3" tint="0.59996337778862885"/>
        </patternFill>
      </fill>
    </dxf>
    <dxf>
      <font>
        <color theme="3" tint="0.79998168889431442"/>
      </font>
      <fill>
        <patternFill patternType="solid">
          <bgColor theme="3" tint="0.79998168889431442"/>
        </patternFill>
      </fill>
    </dxf>
    <dxf>
      <font>
        <strike val="0"/>
        <color auto="1"/>
      </font>
      <fill>
        <patternFill>
          <bgColor theme="3"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style="thin">
          <color theme="0"/>
        </left>
        <right/>
        <top style="thin">
          <color theme="0" tint="-0.14996795556505021"/>
        </top>
        <bottom style="thin">
          <color theme="0" tint="-0.14996795556505021"/>
        </bottom>
        <vertical style="thin">
          <color theme="0"/>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style="thin">
          <color theme="0"/>
        </left>
        <right style="thin">
          <color theme="0"/>
        </right>
        <top style="thin">
          <color theme="0" tint="-0.14996795556505021"/>
        </top>
        <bottom style="thin">
          <color theme="0" tint="-0.14996795556505021"/>
        </bottom>
        <vertical style="thin">
          <color theme="0"/>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style="thin">
          <color theme="0"/>
        </left>
        <right style="thin">
          <color theme="0"/>
        </right>
        <top style="thin">
          <color theme="0" tint="-0.14996795556505021"/>
        </top>
        <bottom style="thin">
          <color theme="0" tint="-0.14996795556505021"/>
        </bottom>
        <vertical style="thin">
          <color theme="0"/>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style="thin">
          <color theme="0"/>
        </left>
        <right style="thin">
          <color theme="0"/>
        </right>
        <top style="thin">
          <color theme="0" tint="-0.14996795556505021"/>
        </top>
        <bottom style="thin">
          <color theme="0" tint="-0.14996795556505021"/>
        </bottom>
        <vertical style="thin">
          <color theme="0"/>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style="thin">
          <color theme="0"/>
        </right>
        <top style="thin">
          <color theme="0" tint="-0.14996795556505021"/>
        </top>
        <bottom style="thin">
          <color theme="0" tint="-0.14996795556505021"/>
        </bottom>
        <vertical style="thin">
          <color theme="0"/>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border diagonalUp="0" diagonalDown="0">
        <left style="thin">
          <color theme="0"/>
        </left>
        <right style="thin">
          <color theme="0"/>
        </right>
        <top/>
        <bottom/>
        <vertical style="thin">
          <color theme="0"/>
        </vertical>
        <horizontal style="thin">
          <color theme="0" tint="-0.14996795556505021"/>
        </horizontal>
      </border>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theme="0"/>
        </left>
        <right style="thin">
          <color theme="0"/>
        </right>
        <top/>
        <bottom/>
        <vertical style="thin">
          <color theme="0"/>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horizontal="general"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border outline="0">
        <top style="thin">
          <color indexed="64"/>
        </top>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style="thin">
          <color indexed="64"/>
        </left>
        <right style="thin">
          <color indexed="64"/>
        </right>
        <top/>
        <bottom/>
      </border>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vertical="center" textRotation="0" wrapText="0" indent="0" justifyLastLine="0" shrinkToFit="0" readingOrder="0"/>
      <border diagonalUp="0" diagonalDown="0">
        <left style="thin">
          <color indexed="64"/>
        </left>
        <right style="thin">
          <color indexed="64"/>
        </right>
        <top/>
        <bottom/>
      </border>
      <protection locked="1"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border diagonalUp="0" diagonalDown="0">
        <left style="thin">
          <color indexed="64"/>
        </left>
        <right style="thin">
          <color indexed="64"/>
        </right>
        <top/>
        <bottom/>
      </border>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alignment vertical="center" textRotation="0" wrapText="0" indent="0" justifyLastLine="0" shrinkToFit="0" readingOrder="0"/>
      <border diagonalUp="0" diagonalDown="0">
        <left style="thin">
          <color indexed="64"/>
        </left>
        <right style="thin">
          <color indexed="64"/>
        </right>
        <top/>
        <bottom/>
      </border>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solid">
          <fgColor indexed="64"/>
          <bgColor theme="4" tint="0.39997558519241921"/>
        </patternFill>
      </fill>
      <border diagonalUp="0" diagonalDown="0" outline="0">
        <left style="thin">
          <color indexed="64"/>
        </left>
        <right style="thin">
          <color indexed="64"/>
        </right>
        <top style="thin">
          <color indexed="64"/>
        </top>
        <bottom/>
      </border>
      <protection locked="0" hidden="0"/>
    </dxf>
    <dxf>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solid">
          <fgColor indexed="64"/>
          <bgColor theme="4" tint="0.39997558519241921"/>
        </patternFill>
      </fill>
      <border diagonalUp="0" diagonalDown="0" outline="0">
        <left style="thin">
          <color indexed="64"/>
        </left>
        <right style="thin">
          <color indexed="64"/>
        </right>
        <top style="thin">
          <color indexed="64"/>
        </top>
        <bottom/>
      </border>
    </dxf>
    <dxf>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border outline="0">
        <top style="thin">
          <color indexed="64"/>
        </top>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theme="4" tint="0.39997558519241921"/>
        </patternFill>
      </fill>
      <alignment vertical="center" textRotation="0" wrapText="0" indent="0" justifyLastLine="0" shrinkToFit="0" readingOrder="0"/>
      <border diagonalUp="0" diagonalDown="0">
        <left style="thin">
          <color indexed="64"/>
        </left>
        <right style="thin">
          <color indexed="64"/>
        </right>
        <top/>
        <bottom/>
      </border>
      <protection locked="1" hidden="0"/>
    </dxf>
    <dxf>
      <border diagonalUp="0" diagonalDown="0">
        <left style="thin">
          <color theme="0"/>
        </left>
        <right style="thin">
          <color theme="0"/>
        </right>
        <top style="thin">
          <color theme="4" tint="-0.24994659260841701"/>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solid">
          <fgColor indexed="64"/>
          <bgColor rgb="FF5183BF"/>
        </patternFill>
      </fill>
      <alignment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style="thin">
          <color indexed="64"/>
        </left>
        <right/>
        <top style="thin">
          <color indexed="64"/>
        </top>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style="thin">
          <color indexed="64"/>
        </left>
        <right style="thin">
          <color indexed="64"/>
        </right>
        <top style="thin">
          <color indexed="64"/>
        </top>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solid">
          <fgColor indexed="64"/>
          <bgColor theme="4" tint="0.39997558519241921"/>
        </patternFill>
      </fill>
      <border diagonalUp="0" diagonalDown="0" outline="0">
        <left style="thin">
          <color indexed="64"/>
        </left>
        <right style="thin">
          <color indexed="64"/>
        </right>
        <top style="thin">
          <color indexed="64"/>
        </top>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style="thin">
          <color indexed="64"/>
        </left>
        <right style="thin">
          <color indexed="64"/>
        </right>
        <top style="thin">
          <color indexed="64"/>
        </top>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border>
        <top style="thin">
          <color indexed="64"/>
        </top>
      </border>
    </dxf>
    <dxf>
      <numFmt numFmtId="165" formatCode="_-&quot;$&quot;* #,##0.00_-;_$* \-#,##0.00_-;_-&quot;$&quot;* &quot;-&quot;??_-;_-@_-"/>
      <fill>
        <patternFill patternType="solid">
          <fgColor indexed="64"/>
          <bgColor theme="4" tint="0.39997558519241921"/>
        </patternFill>
      </fill>
      <alignment vertical="center" textRotation="0" wrapText="0" indent="0" justifyLastLine="0" shrinkToFit="0" readingOrder="0"/>
      <border diagonalUp="0" diagonalDown="0">
        <left style="thin">
          <color indexed="64"/>
        </left>
        <right style="thin">
          <color indexed="64"/>
        </right>
        <top/>
        <bottom/>
      </border>
      <protection locked="1" hidden="0"/>
    </dxf>
    <dxf>
      <border diagonalUp="0" diagonalDown="0">
        <left style="thin">
          <color theme="0"/>
        </left>
        <right style="thin">
          <color theme="0"/>
        </right>
        <top style="thin">
          <color theme="4" tint="-0.499984740745262"/>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numFmt numFmtId="165" formatCode="_-&quot;$&quot;* #,##0.00_-;_$* \-#,##0.00_-;_-&quot;$&quot;* &quot;-&quot;??_-;_-@_-"/>
      <fill>
        <patternFill patternType="solid">
          <fgColor indexed="64"/>
          <bgColor theme="4" tint="-0.249977111117893"/>
        </patternFill>
      </fill>
      <alignment vertical="center"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solid">
          <fgColor indexed="64"/>
          <bgColor theme="4" tint="0.39997558519241921"/>
        </patternFill>
      </fill>
      <border diagonalUp="0" diagonalDown="0" outline="0">
        <left style="thin">
          <color indexed="64"/>
        </left>
        <right style="thin">
          <color indexed="64"/>
        </right>
        <top style="thin">
          <color indexed="64"/>
        </top>
        <bottom style="thin">
          <color indexed="64"/>
        </bottom>
      </border>
      <protection locked="0" hidden="0"/>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solid">
          <fgColor indexed="64"/>
          <bgColor theme="4" tint="0.39997558519241921"/>
        </patternFill>
      </fill>
      <border diagonalUp="0" diagonalDown="0" outline="0">
        <left style="thin">
          <color indexed="64"/>
        </left>
        <right style="thin">
          <color indexed="64"/>
        </right>
        <top style="thin">
          <color indexed="64"/>
        </top>
        <bottom style="thin">
          <color indexed="64"/>
        </bottom>
      </border>
    </dxf>
    <dxf>
      <numFmt numFmtId="165" formatCode="_-&quot;$&quot;* #,##0.00_-;_$* \-#,##0.00_-;_-&quot;$&quot;* &quot;-&quot;??_-;_-@_-"/>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75585192419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_-&quot;$&quot;* #,##0.00_-;_$* \-#,##0.00_-;_-&quot;$&quot;* &quot;-&quot;??_-;_-@_-"/>
      <fill>
        <patternFill patternType="none">
          <fgColor indexed="64"/>
          <bgColor indexed="65"/>
        </patternFill>
      </fill>
      <alignment vertical="center" textRotation="0" wrapText="0" indent="0" justifyLastLine="0" shrinkToFit="0" readingOrder="0"/>
      <border diagonalUp="0" diagonalDown="0">
        <left/>
        <right/>
        <top style="thin">
          <color theme="0" tint="-0.14996795556505021"/>
        </top>
        <bottom style="thin">
          <color theme="0" tint="-0.14996795556505021"/>
        </bottom>
        <vertical/>
        <horizontal style="thin">
          <color theme="0" tint="-0.14996795556505021"/>
        </horizontal>
      </border>
      <protection locked="1" hidden="0"/>
    </dxf>
    <dxf>
      <numFmt numFmtId="165" formatCode="_-&quot;$&quot;* #,##0.00_-;_$* \-#,##0.00_-;_-&quot;$&quot;* &quot;-&quot;??_-;_-@_-"/>
      <fill>
        <patternFill patternType="solid">
          <fgColor indexed="64"/>
          <bgColor theme="4" tint="0.39997558519241921"/>
        </patternFill>
      </fill>
      <alignment vertical="center" textRotation="0" wrapText="0" indent="0" justifyLastLine="0" shrinkToFit="0" readingOrder="0"/>
      <border diagonalUp="0" diagonalDown="0">
        <left style="thin">
          <color indexed="64"/>
        </left>
        <right style="thin">
          <color indexed="64"/>
        </right>
        <top/>
        <bottom/>
      </border>
      <protection locked="1" hidden="0"/>
    </dxf>
    <dxf>
      <border diagonalUp="0" diagonalDown="0">
        <left style="thin">
          <color theme="0"/>
        </left>
        <right style="thin">
          <color theme="0"/>
        </right>
        <top style="thin">
          <color theme="4" tint="-0.499984740745262"/>
        </top>
        <bottom style="thin">
          <color theme="0" tint="-0.14996795556505021"/>
        </bottom>
      </border>
    </dxf>
    <dxf>
      <numFmt numFmtId="165" formatCode="_-&quot;$&quot;* #,##0.00_-;_$* \-#,##0.00_-;_-&quot;$&quot;* &quot;-&quot;??_-;_-@_-"/>
      <alignment vertical="center" textRotation="0" wrapText="0" indent="0" justifyLastLine="0" shrinkToFit="0" readingOrder="0"/>
      <protection locked="1" hidden="0"/>
    </dxf>
    <dxf>
      <border>
        <bottom style="thin">
          <color theme="0" tint="-0.14996795556505021"/>
        </bottom>
      </border>
    </dxf>
    <dxf>
      <numFmt numFmtId="165" formatCode="_-&quot;$&quot;* #,##0.00_-;_$* \-#,##0.00_-;_-&quot;$&quot;* &quot;-&quot;??_-;_-@_-"/>
      <fill>
        <patternFill patternType="solid">
          <fgColor indexed="64"/>
          <bgColor theme="4" tint="-0.249977111117893"/>
        </patternFill>
      </fill>
      <alignment vertical="center" textRotation="0" wrapText="0" indent="0" justifyLastLine="0" shrinkToFit="0" readingOrder="0"/>
      <border diagonalUp="0" diagonalDown="0">
        <left style="thin">
          <color indexed="64"/>
        </left>
        <right style="thin">
          <color indexed="64"/>
        </right>
        <top/>
        <bottom/>
      </border>
      <protection locked="1" hidden="0"/>
    </dxf>
    <dxf>
      <font>
        <color theme="0"/>
      </font>
      <fill>
        <patternFill patternType="solid">
          <bgColor theme="0"/>
        </patternFill>
      </fill>
      <border>
        <left/>
        <right style="thin">
          <color auto="1"/>
        </right>
        <top/>
        <bottom/>
        <vertical/>
        <horizontal/>
      </border>
    </dxf>
    <dxf>
      <font>
        <color rgb="FF92D050"/>
      </font>
    </dxf>
    <dxf>
      <font>
        <color rgb="FFFF373C"/>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font>
      <fill>
        <patternFill patternType="none">
          <bgColor auto="1"/>
        </patternFill>
      </fill>
      <border>
        <left/>
        <right/>
        <top/>
        <bottom/>
        <vertical/>
        <horizontal/>
      </border>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colors>
    <mruColors>
      <color rgb="FFFF373C"/>
      <color rgb="FFFF4F53"/>
      <color rgb="FFFF696D"/>
      <color rgb="FFFF7C80"/>
      <color rgb="FFFF5050"/>
      <color rgb="FFFF6600"/>
      <color rgb="FF31B942"/>
      <color rgb="FFE14FE4"/>
      <color rgb="FFD930E5"/>
      <color rgb="FFBF3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595959"/>
                </a:solidFill>
                <a:latin typeface="+mn-lt"/>
                <a:ea typeface="+mn-ea"/>
                <a:cs typeface="+mn-cs"/>
              </a:defRPr>
            </a:pPr>
            <a:r>
              <a:rPr lang="en-CA" b="1">
                <a:solidFill>
                  <a:srgbClr val="595959"/>
                </a:solidFill>
              </a:rPr>
              <a:t>Incoming and outgoing money</a:t>
            </a:r>
          </a:p>
        </c:rich>
      </c:tx>
      <c:layout>
        <c:manualLayout>
          <c:xMode val="edge"/>
          <c:yMode val="edge"/>
          <c:x val="0.2050678713892814"/>
          <c:y val="9.1324200913242004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595959"/>
              </a:solidFill>
              <a:latin typeface="+mn-lt"/>
              <a:ea typeface="+mn-ea"/>
              <a:cs typeface="+mn-cs"/>
            </a:defRPr>
          </a:pPr>
          <a:endParaRPr lang="en-US"/>
        </a:p>
      </c:txPr>
    </c:title>
    <c:autoTitleDeleted val="0"/>
    <c:plotArea>
      <c:layout>
        <c:manualLayout>
          <c:layoutTarget val="inner"/>
          <c:xMode val="edge"/>
          <c:yMode val="edge"/>
          <c:x val="0.15297900966886577"/>
          <c:y val="0.15161902707367059"/>
          <c:w val="0.70313606201931356"/>
          <c:h val="0.73939237047423867"/>
        </c:manualLayout>
      </c:layout>
      <c:barChart>
        <c:barDir val="col"/>
        <c:grouping val="percentStacked"/>
        <c:varyColors val="0"/>
        <c:ser>
          <c:idx val="0"/>
          <c:order val="0"/>
          <c:tx>
            <c:v>Series 1</c:v>
          </c:tx>
          <c:spPr>
            <a:solidFill>
              <a:srgbClr val="145B7F"/>
            </a:solidFill>
            <a:ln>
              <a:noFill/>
            </a:ln>
            <a:effectLst/>
          </c:spPr>
          <c:invertIfNegative val="0"/>
          <c:dLbls>
            <c:dLbl>
              <c:idx val="0"/>
              <c:tx>
                <c:rich>
                  <a:bodyPr/>
                  <a:lstStyle/>
                  <a:p>
                    <a:fld id="{E66604DB-65B8-4A0A-B4A2-7C6E577D08E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73D-4FC8-B5F4-8802111F8A0B}"/>
                </c:ext>
              </c:extLst>
            </c:dLbl>
            <c:dLbl>
              <c:idx val="1"/>
              <c:layout>
                <c:manualLayout>
                  <c:x val="0.17585935682555848"/>
                  <c:y val="-1.288244766505647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3127952-6709-48B6-B120-B6A26880E19E}" type="CELLRANGE">
                      <a:rPr lang="en-US">
                        <a:solidFill>
                          <a:schemeClr val="tx1"/>
                        </a:solidFill>
                      </a:rPr>
                      <a:pPr>
                        <a:defRPr>
                          <a:solidFill>
                            <a:schemeClr val="tx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73D-4FC8-B5F4-8802111F8A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noFill/>
                      <a:round/>
                    </a:ln>
                    <a:effectLst/>
                  </c:spPr>
                </c15:leaderLines>
              </c:ext>
            </c:extLst>
          </c:dLbls>
          <c:cat>
            <c:strLit>
              <c:ptCount val="2"/>
              <c:pt idx="0">
                <c:v>Incoming</c:v>
              </c:pt>
              <c:pt idx="1">
                <c:v>Outgoing</c:v>
              </c:pt>
            </c:strLit>
          </c:cat>
          <c:val>
            <c:numRef>
              <c:f>('Chart Data'!$B$21,'Chart Data'!$B$22)</c:f>
              <c:numCache>
                <c:formatCode>"$"#,##0.00</c:formatCode>
                <c:ptCount val="2"/>
                <c:pt idx="0">
                  <c:v>0</c:v>
                </c:pt>
                <c:pt idx="1">
                  <c:v>0</c:v>
                </c:pt>
              </c:numCache>
            </c:numRef>
          </c:val>
          <c:extLst>
            <c:ext xmlns:c15="http://schemas.microsoft.com/office/drawing/2012/chart" uri="{02D57815-91ED-43cb-92C2-25804820EDAC}">
              <c15:datalabelsRange>
                <c15:f>'Chart Data'!$E$21:$E$22</c15:f>
                <c15:dlblRangeCache>
                  <c:ptCount val="2"/>
                </c15:dlblRangeCache>
              </c15:datalabelsRange>
            </c:ext>
            <c:ext xmlns:c16="http://schemas.microsoft.com/office/drawing/2014/chart" uri="{C3380CC4-5D6E-409C-BE32-E72D297353CC}">
              <c16:uniqueId val="{00000001-A73D-4FC8-B5F4-8802111F8A0B}"/>
            </c:ext>
          </c:extLst>
        </c:ser>
        <c:ser>
          <c:idx val="1"/>
          <c:order val="1"/>
          <c:tx>
            <c:v>Series 2</c:v>
          </c:tx>
          <c:spPr>
            <a:solidFill>
              <a:schemeClr val="accent2"/>
            </a:solidFill>
            <a:ln>
              <a:noFill/>
            </a:ln>
            <a:effectLst/>
          </c:spPr>
          <c:invertIfNegative val="0"/>
          <c:dPt>
            <c:idx val="0"/>
            <c:invertIfNegative val="0"/>
            <c:bubble3D val="0"/>
            <c:spPr>
              <a:solidFill>
                <a:srgbClr val="31B942"/>
              </a:solidFill>
              <a:ln>
                <a:noFill/>
              </a:ln>
              <a:effectLst/>
            </c:spPr>
            <c:extLst>
              <c:ext xmlns:c16="http://schemas.microsoft.com/office/drawing/2014/chart" uri="{C3380CC4-5D6E-409C-BE32-E72D297353CC}">
                <c16:uniqueId val="{00000004-6291-4E93-8B91-647A144ABB81}"/>
              </c:ext>
            </c:extLst>
          </c:dPt>
          <c:dPt>
            <c:idx val="1"/>
            <c:invertIfNegative val="0"/>
            <c:bubble3D val="0"/>
            <c:spPr>
              <a:solidFill>
                <a:srgbClr val="FF8210"/>
              </a:solidFill>
              <a:ln>
                <a:noFill/>
              </a:ln>
              <a:effectLst/>
            </c:spPr>
            <c:extLst>
              <c:ext xmlns:c16="http://schemas.microsoft.com/office/drawing/2014/chart" uri="{C3380CC4-5D6E-409C-BE32-E72D297353CC}">
                <c16:uniqueId val="{00000005-6291-4E93-8B91-647A144ABB81}"/>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8EBDEA8D-EC94-4C12-8018-63D335BDD6B8}" type="CELLRANGE">
                      <a:rPr lang="en-US">
                        <a:solidFill>
                          <a:schemeClr val="tx1">
                            <a:lumMod val="95000"/>
                            <a:lumOff val="5000"/>
                          </a:schemeClr>
                        </a:solidFill>
                      </a:rPr>
                      <a:pPr>
                        <a:defRPr>
                          <a:solidFill>
                            <a:schemeClr val="tx1">
                              <a:lumMod val="95000"/>
                              <a:lumOff val="5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291-4E93-8B91-647A144ABB81}"/>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fld id="{07A997AE-8167-4E3C-980D-AF33D38DC377}" type="CELLRANGE">
                      <a:rPr lang="en-US"/>
                      <a:pPr>
                        <a:defRPr>
                          <a:solidFill>
                            <a:schemeClr val="tx1">
                              <a:lumMod val="95000"/>
                              <a:lumOff val="5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291-4E93-8B91-647A144ABB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Lit>
              <c:ptCount val="2"/>
              <c:pt idx="0">
                <c:v>Incoming</c:v>
              </c:pt>
              <c:pt idx="1">
                <c:v>Outgoing</c:v>
              </c:pt>
            </c:strLit>
          </c:cat>
          <c:val>
            <c:numRef>
              <c:f>('Chart Data'!$C$21,'Chart Data'!$C$22)</c:f>
              <c:numCache>
                <c:formatCode>"$"#,##0.00</c:formatCode>
                <c:ptCount val="2"/>
                <c:pt idx="0">
                  <c:v>0</c:v>
                </c:pt>
                <c:pt idx="1">
                  <c:v>0</c:v>
                </c:pt>
              </c:numCache>
            </c:numRef>
          </c:val>
          <c:extLst>
            <c:ext xmlns:c15="http://schemas.microsoft.com/office/drawing/2012/chart" uri="{02D57815-91ED-43cb-92C2-25804820EDAC}">
              <c15:datalabelsRange>
                <c15:f>'Chart Data'!$F$21:$F$22</c15:f>
                <c15:dlblRangeCache>
                  <c:ptCount val="2"/>
                </c15:dlblRangeCache>
              </c15:datalabelsRange>
            </c:ext>
            <c:ext xmlns:c16="http://schemas.microsoft.com/office/drawing/2014/chart" uri="{C3380CC4-5D6E-409C-BE32-E72D297353CC}">
              <c16:uniqueId val="{00000002-A73D-4FC8-B5F4-8802111F8A0B}"/>
            </c:ext>
          </c:extLst>
        </c:ser>
        <c:ser>
          <c:idx val="2"/>
          <c:order val="2"/>
          <c:tx>
            <c:v>Series 3</c:v>
          </c:tx>
          <c:spPr>
            <a:solidFill>
              <a:schemeClr val="accent3"/>
            </a:solidFill>
            <a:ln>
              <a:noFill/>
            </a:ln>
            <a:effectLst/>
          </c:spPr>
          <c:invertIfNegative val="0"/>
          <c:dPt>
            <c:idx val="0"/>
            <c:invertIfNegative val="0"/>
            <c:bubble3D val="0"/>
            <c:spPr>
              <a:solidFill>
                <a:srgbClr val="E81E25"/>
              </a:solidFill>
              <a:ln>
                <a:noFill/>
              </a:ln>
              <a:effectLst/>
            </c:spPr>
            <c:extLst>
              <c:ext xmlns:c16="http://schemas.microsoft.com/office/drawing/2014/chart" uri="{C3380CC4-5D6E-409C-BE32-E72D297353CC}">
                <c16:uniqueId val="{00000009-3A43-4C3A-BD7F-3347076FC0BC}"/>
              </c:ext>
            </c:extLst>
          </c:dPt>
          <c:dPt>
            <c:idx val="1"/>
            <c:invertIfNegative val="0"/>
            <c:bubble3D val="0"/>
            <c:spPr>
              <a:solidFill>
                <a:srgbClr val="D5D5D5"/>
              </a:solidFill>
              <a:ln>
                <a:noFill/>
              </a:ln>
              <a:effectLst/>
            </c:spPr>
            <c:extLst>
              <c:ext xmlns:c16="http://schemas.microsoft.com/office/drawing/2014/chart" uri="{C3380CC4-5D6E-409C-BE32-E72D297353CC}">
                <c16:uniqueId val="{0000000A-3A43-4C3A-BD7F-3347076FC0BC}"/>
              </c:ext>
            </c:extLst>
          </c:dPt>
          <c:dLbls>
            <c:dLbl>
              <c:idx val="0"/>
              <c:tx>
                <c:rich>
                  <a:bodyPr/>
                  <a:lstStyle/>
                  <a:p>
                    <a:fld id="{BFC1157B-0313-449F-87C5-67C7B9B7352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3A43-4C3A-BD7F-3347076FC0BC}"/>
                </c:ext>
              </c:extLst>
            </c:dLbl>
            <c:dLbl>
              <c:idx val="1"/>
              <c:tx>
                <c:rich>
                  <a:bodyPr/>
                  <a:lstStyle/>
                  <a:p>
                    <a:fld id="{9B19A1F5-5BD7-481B-ACAA-A3CF6B15D00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A43-4C3A-BD7F-3347076FC0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noFill/>
                      <a:round/>
                    </a:ln>
                    <a:effectLst/>
                  </c:spPr>
                </c15:leaderLines>
              </c:ext>
            </c:extLst>
          </c:dLbls>
          <c:cat>
            <c:strLit>
              <c:ptCount val="2"/>
              <c:pt idx="0">
                <c:v>Incoming</c:v>
              </c:pt>
              <c:pt idx="1">
                <c:v>Outgoing</c:v>
              </c:pt>
            </c:strLit>
          </c:cat>
          <c:val>
            <c:numRef>
              <c:f>('Chart Data'!$D$21,'Chart Data'!$D$22)</c:f>
              <c:numCache>
                <c:formatCode>"$"#,##0.00</c:formatCode>
                <c:ptCount val="2"/>
                <c:pt idx="0">
                  <c:v>0</c:v>
                </c:pt>
                <c:pt idx="1">
                  <c:v>0</c:v>
                </c:pt>
              </c:numCache>
            </c:numRef>
          </c:val>
          <c:extLst>
            <c:ext xmlns:c15="http://schemas.microsoft.com/office/drawing/2012/chart" uri="{02D57815-91ED-43cb-92C2-25804820EDAC}">
              <c15:datalabelsRange>
                <c15:f>'Chart Data'!$G$21:$G$22</c15:f>
                <c15:dlblRangeCache>
                  <c:ptCount val="2"/>
                </c15:dlblRangeCache>
              </c15:datalabelsRange>
            </c:ext>
            <c:ext xmlns:c16="http://schemas.microsoft.com/office/drawing/2014/chart" uri="{C3380CC4-5D6E-409C-BE32-E72D297353CC}">
              <c16:uniqueId val="{00000008-3A43-4C3A-BD7F-3347076FC0BC}"/>
            </c:ext>
          </c:extLst>
        </c:ser>
        <c:dLbls>
          <c:dLblPos val="ctr"/>
          <c:showLegendKey val="0"/>
          <c:showVal val="1"/>
          <c:showCatName val="0"/>
          <c:showSerName val="0"/>
          <c:showPercent val="0"/>
          <c:showBubbleSize val="0"/>
        </c:dLbls>
        <c:gapWidth val="150"/>
        <c:overlap val="100"/>
        <c:axId val="2066851440"/>
        <c:axId val="2066851984"/>
      </c:barChart>
      <c:catAx>
        <c:axId val="206685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851984"/>
        <c:crosses val="autoZero"/>
        <c:auto val="1"/>
        <c:lblAlgn val="ctr"/>
        <c:lblOffset val="100"/>
        <c:noMultiLvlLbl val="0"/>
      </c:catAx>
      <c:valAx>
        <c:axId val="20668519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668514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Comparison to your average Canadian</a:t>
            </a:r>
            <a:endParaRPr lang="en-US"/>
          </a:p>
        </c:rich>
      </c:tx>
      <c:overlay val="0"/>
      <c:spPr>
        <a:noFill/>
        <a:ln>
          <a:noFill/>
        </a:ln>
        <a:effectLst/>
      </c:spPr>
    </c:title>
    <c:autoTitleDeleted val="0"/>
    <c:plotArea>
      <c:layout>
        <c:manualLayout>
          <c:layoutTarget val="inner"/>
          <c:xMode val="edge"/>
          <c:yMode val="edge"/>
          <c:x val="0.18377071589150351"/>
          <c:y val="7.4929292929292929E-2"/>
          <c:w val="0.71484238788659304"/>
          <c:h val="0.9028484848484849"/>
        </c:manualLayout>
      </c:layout>
      <c:barChart>
        <c:barDir val="bar"/>
        <c:grouping val="clustered"/>
        <c:varyColors val="0"/>
        <c:ser>
          <c:idx val="0"/>
          <c:order val="0"/>
          <c:tx>
            <c:v>You</c:v>
          </c:tx>
          <c:invertIfNegative val="0"/>
          <c:dPt>
            <c:idx val="0"/>
            <c:invertIfNegative val="0"/>
            <c:bubble3D val="0"/>
            <c:spPr>
              <a:solidFill>
                <a:srgbClr val="145B7F"/>
              </a:solidFill>
            </c:spPr>
            <c:extLst>
              <c:ext xmlns:c16="http://schemas.microsoft.com/office/drawing/2014/chart" uri="{C3380CC4-5D6E-409C-BE32-E72D297353CC}">
                <c16:uniqueId val="{00000022-4269-4CF5-B171-CB279CE3424F}"/>
              </c:ext>
            </c:extLst>
          </c:dPt>
          <c:dPt>
            <c:idx val="1"/>
            <c:invertIfNegative val="0"/>
            <c:bubble3D val="0"/>
            <c:spPr>
              <a:solidFill>
                <a:srgbClr val="FF9A00"/>
              </a:solidFill>
            </c:spPr>
            <c:extLst>
              <c:ext xmlns:c16="http://schemas.microsoft.com/office/drawing/2014/chart" uri="{C3380CC4-5D6E-409C-BE32-E72D297353CC}">
                <c16:uniqueId val="{00000000-BE83-4C65-9FBC-D6EDD5906997}"/>
              </c:ext>
            </c:extLst>
          </c:dPt>
          <c:dPt>
            <c:idx val="2"/>
            <c:invertIfNegative val="0"/>
            <c:bubble3D val="0"/>
            <c:spPr>
              <a:solidFill>
                <a:srgbClr val="FFC100"/>
              </a:solidFill>
            </c:spPr>
            <c:extLst>
              <c:ext xmlns:c16="http://schemas.microsoft.com/office/drawing/2014/chart" uri="{C3380CC4-5D6E-409C-BE32-E72D297353CC}">
                <c16:uniqueId val="{00000001-BE83-4C65-9FBC-D6EDD5906997}"/>
              </c:ext>
            </c:extLst>
          </c:dPt>
          <c:dPt>
            <c:idx val="3"/>
            <c:invertIfNegative val="0"/>
            <c:bubble3D val="0"/>
            <c:spPr>
              <a:solidFill>
                <a:srgbClr val="FFE302"/>
              </a:solidFill>
            </c:spPr>
            <c:extLst>
              <c:ext xmlns:c16="http://schemas.microsoft.com/office/drawing/2014/chart" uri="{C3380CC4-5D6E-409C-BE32-E72D297353CC}">
                <c16:uniqueId val="{00000002-BE83-4C65-9FBC-D6EDD5906997}"/>
              </c:ext>
            </c:extLst>
          </c:dPt>
          <c:dPt>
            <c:idx val="4"/>
            <c:invertIfNegative val="0"/>
            <c:bubble3D val="0"/>
            <c:spPr>
              <a:solidFill>
                <a:srgbClr val="BFDF0B"/>
              </a:solidFill>
            </c:spPr>
            <c:extLst>
              <c:ext xmlns:c16="http://schemas.microsoft.com/office/drawing/2014/chart" uri="{C3380CC4-5D6E-409C-BE32-E72D297353CC}">
                <c16:uniqueId val="{00000003-BE83-4C65-9FBC-D6EDD5906997}"/>
              </c:ext>
            </c:extLst>
          </c:dPt>
          <c:dPt>
            <c:idx val="5"/>
            <c:invertIfNegative val="0"/>
            <c:bubble3D val="0"/>
            <c:spPr>
              <a:solidFill>
                <a:srgbClr val="7FBA00"/>
              </a:solidFill>
            </c:spPr>
            <c:extLst>
              <c:ext xmlns:c16="http://schemas.microsoft.com/office/drawing/2014/chart" uri="{C3380CC4-5D6E-409C-BE32-E72D297353CC}">
                <c16:uniqueId val="{00000004-BE83-4C65-9FBC-D6EDD5906997}"/>
              </c:ext>
            </c:extLst>
          </c:dPt>
          <c:dPt>
            <c:idx val="6"/>
            <c:invertIfNegative val="0"/>
            <c:bubble3D val="0"/>
            <c:spPr>
              <a:solidFill>
                <a:srgbClr val="009E98"/>
              </a:solidFill>
            </c:spPr>
            <c:extLst>
              <c:ext xmlns:c16="http://schemas.microsoft.com/office/drawing/2014/chart" uri="{C3380CC4-5D6E-409C-BE32-E72D297353CC}">
                <c16:uniqueId val="{00000005-BE83-4C65-9FBC-D6EDD5906997}"/>
              </c:ext>
            </c:extLst>
          </c:dPt>
          <c:dPt>
            <c:idx val="7"/>
            <c:invertIfNegative val="0"/>
            <c:bubble3D val="0"/>
            <c:spPr>
              <a:solidFill>
                <a:srgbClr val="00B9B9"/>
              </a:solidFill>
            </c:spPr>
            <c:extLst>
              <c:ext xmlns:c16="http://schemas.microsoft.com/office/drawing/2014/chart" uri="{C3380CC4-5D6E-409C-BE32-E72D297353CC}">
                <c16:uniqueId val="{00000006-BE83-4C65-9FBC-D6EDD5906997}"/>
              </c:ext>
            </c:extLst>
          </c:dPt>
          <c:dPt>
            <c:idx val="8"/>
            <c:invertIfNegative val="0"/>
            <c:bubble3D val="0"/>
            <c:spPr>
              <a:solidFill>
                <a:srgbClr val="01A3D1"/>
              </a:solidFill>
            </c:spPr>
            <c:extLst>
              <c:ext xmlns:c16="http://schemas.microsoft.com/office/drawing/2014/chart" uri="{C3380CC4-5D6E-409C-BE32-E72D297353CC}">
                <c16:uniqueId val="{00000007-BE83-4C65-9FBC-D6EDD5906997}"/>
              </c:ext>
            </c:extLst>
          </c:dPt>
          <c:dPt>
            <c:idx val="9"/>
            <c:invertIfNegative val="0"/>
            <c:bubble3D val="0"/>
            <c:spPr>
              <a:solidFill>
                <a:srgbClr val="0283C8"/>
              </a:solidFill>
            </c:spPr>
            <c:extLst>
              <c:ext xmlns:c16="http://schemas.microsoft.com/office/drawing/2014/chart" uri="{C3380CC4-5D6E-409C-BE32-E72D297353CC}">
                <c16:uniqueId val="{00000008-BE83-4C65-9FBC-D6EDD5906997}"/>
              </c:ext>
            </c:extLst>
          </c:dPt>
          <c:dPt>
            <c:idx val="10"/>
            <c:invertIfNegative val="0"/>
            <c:bubble3D val="0"/>
            <c:spPr>
              <a:solidFill>
                <a:srgbClr val="5C70C9"/>
              </a:solidFill>
            </c:spPr>
            <c:extLst>
              <c:ext xmlns:c16="http://schemas.microsoft.com/office/drawing/2014/chart" uri="{C3380CC4-5D6E-409C-BE32-E72D297353CC}">
                <c16:uniqueId val="{00000009-BE83-4C65-9FBC-D6EDD5906997}"/>
              </c:ext>
            </c:extLst>
          </c:dPt>
          <c:dPt>
            <c:idx val="11"/>
            <c:invertIfNegative val="0"/>
            <c:bubble3D val="0"/>
            <c:spPr>
              <a:solidFill>
                <a:srgbClr val="9457EB"/>
              </a:solidFill>
            </c:spPr>
            <c:extLst>
              <c:ext xmlns:c16="http://schemas.microsoft.com/office/drawing/2014/chart" uri="{C3380CC4-5D6E-409C-BE32-E72D297353CC}">
                <c16:uniqueId val="{0000000A-BE83-4C65-9FBC-D6EDD5906997}"/>
              </c:ext>
            </c:extLst>
          </c:dPt>
          <c:dPt>
            <c:idx val="12"/>
            <c:invertIfNegative val="0"/>
            <c:bubble3D val="0"/>
            <c:spPr>
              <a:solidFill>
                <a:srgbClr val="BF39F9"/>
              </a:solidFill>
            </c:spPr>
            <c:extLst>
              <c:ext xmlns:c16="http://schemas.microsoft.com/office/drawing/2014/chart" uri="{C3380CC4-5D6E-409C-BE32-E72D297353CC}">
                <c16:uniqueId val="{0000000B-BE83-4C65-9FBC-D6EDD5906997}"/>
              </c:ext>
            </c:extLst>
          </c:dPt>
          <c:dPt>
            <c:idx val="13"/>
            <c:invertIfNegative val="0"/>
            <c:bubble3D val="0"/>
            <c:spPr>
              <a:solidFill>
                <a:srgbClr val="D930E5"/>
              </a:solidFill>
            </c:spPr>
            <c:extLst>
              <c:ext xmlns:c16="http://schemas.microsoft.com/office/drawing/2014/chart" uri="{C3380CC4-5D6E-409C-BE32-E72D297353CC}">
                <c16:uniqueId val="{0000000C-BE83-4C65-9FBC-D6EDD5906997}"/>
              </c:ext>
            </c:extLst>
          </c:dPt>
          <c:dPt>
            <c:idx val="14"/>
            <c:invertIfNegative val="0"/>
            <c:bubble3D val="0"/>
            <c:spPr>
              <a:solidFill>
                <a:srgbClr val="E14FE4"/>
              </a:solidFill>
            </c:spPr>
            <c:extLst>
              <c:ext xmlns:c16="http://schemas.microsoft.com/office/drawing/2014/chart" uri="{C3380CC4-5D6E-409C-BE32-E72D297353CC}">
                <c16:uniqueId val="{0000000D-BE83-4C65-9FBC-D6EDD5906997}"/>
              </c:ext>
            </c:extLst>
          </c:dPt>
          <c:dLbls>
            <c:dLbl>
              <c:idx val="0"/>
              <c:tx>
                <c:rich>
                  <a:bodyPr/>
                  <a:lstStyle/>
                  <a:p>
                    <a:fld id="{DC66E2DF-64D8-4577-A452-80A98BCE289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4269-4CF5-B171-CB279CE3424F}"/>
                </c:ext>
              </c:extLst>
            </c:dLbl>
            <c:dLbl>
              <c:idx val="1"/>
              <c:tx>
                <c:rich>
                  <a:bodyPr/>
                  <a:lstStyle/>
                  <a:p>
                    <a:fld id="{C0A115DC-061A-40A7-B45A-A5BAB5972464}"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E83-4C65-9FBC-D6EDD5906997}"/>
                </c:ext>
              </c:extLst>
            </c:dLbl>
            <c:dLbl>
              <c:idx val="2"/>
              <c:tx>
                <c:rich>
                  <a:bodyPr/>
                  <a:lstStyle/>
                  <a:p>
                    <a:fld id="{B7B8D411-9631-40C7-90FD-EAED78290EBC}"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E83-4C65-9FBC-D6EDD5906997}"/>
                </c:ext>
              </c:extLst>
            </c:dLbl>
            <c:dLbl>
              <c:idx val="3"/>
              <c:tx>
                <c:rich>
                  <a:bodyPr/>
                  <a:lstStyle/>
                  <a:p>
                    <a:fld id="{1AC5C1D9-AE19-449A-B019-B82C4E681B2A}"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BE83-4C65-9FBC-D6EDD5906997}"/>
                </c:ext>
              </c:extLst>
            </c:dLbl>
            <c:dLbl>
              <c:idx val="4"/>
              <c:tx>
                <c:rich>
                  <a:bodyPr/>
                  <a:lstStyle/>
                  <a:p>
                    <a:fld id="{52343906-0C70-4B54-B8F0-A2F950FFC793}"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E83-4C65-9FBC-D6EDD5906997}"/>
                </c:ext>
              </c:extLst>
            </c:dLbl>
            <c:dLbl>
              <c:idx val="5"/>
              <c:tx>
                <c:rich>
                  <a:bodyPr/>
                  <a:lstStyle/>
                  <a:p>
                    <a:fld id="{119DE494-0349-492E-9D36-F9500812A21E}"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BE83-4C65-9FBC-D6EDD5906997}"/>
                </c:ext>
              </c:extLst>
            </c:dLbl>
            <c:dLbl>
              <c:idx val="6"/>
              <c:tx>
                <c:rich>
                  <a:bodyPr/>
                  <a:lstStyle/>
                  <a:p>
                    <a:fld id="{FC3D7DEC-2065-42E2-A329-D5B5C1D10398}"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E83-4C65-9FBC-D6EDD5906997}"/>
                </c:ext>
              </c:extLst>
            </c:dLbl>
            <c:dLbl>
              <c:idx val="7"/>
              <c:tx>
                <c:rich>
                  <a:bodyPr/>
                  <a:lstStyle/>
                  <a:p>
                    <a:fld id="{AF132337-C0EB-4EF9-8DD9-05FB3B976BE4}"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BE83-4C65-9FBC-D6EDD5906997}"/>
                </c:ext>
              </c:extLst>
            </c:dLbl>
            <c:dLbl>
              <c:idx val="8"/>
              <c:tx>
                <c:rich>
                  <a:bodyPr/>
                  <a:lstStyle/>
                  <a:p>
                    <a:fld id="{7323F65D-6196-4352-96B8-02F7FBE9EFDC}"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E83-4C65-9FBC-D6EDD5906997}"/>
                </c:ext>
              </c:extLst>
            </c:dLbl>
            <c:dLbl>
              <c:idx val="9"/>
              <c:tx>
                <c:rich>
                  <a:bodyPr/>
                  <a:lstStyle/>
                  <a:p>
                    <a:fld id="{235945EF-A0CF-437B-ABF1-572F7208990D}"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BE83-4C65-9FBC-D6EDD5906997}"/>
                </c:ext>
              </c:extLst>
            </c:dLbl>
            <c:dLbl>
              <c:idx val="10"/>
              <c:tx>
                <c:rich>
                  <a:bodyPr/>
                  <a:lstStyle/>
                  <a:p>
                    <a:fld id="{71748412-68A3-4C9F-A178-1194058DE6E3}"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BE83-4C65-9FBC-D6EDD5906997}"/>
                </c:ext>
              </c:extLst>
            </c:dLbl>
            <c:dLbl>
              <c:idx val="11"/>
              <c:tx>
                <c:rich>
                  <a:bodyPr/>
                  <a:lstStyle/>
                  <a:p>
                    <a:fld id="{5934C6D9-EDC5-418A-B04D-C8FA69AB693F}"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BE83-4C65-9FBC-D6EDD5906997}"/>
                </c:ext>
              </c:extLst>
            </c:dLbl>
            <c:dLbl>
              <c:idx val="12"/>
              <c:tx>
                <c:rich>
                  <a:bodyPr/>
                  <a:lstStyle/>
                  <a:p>
                    <a:fld id="{1AD5114D-34D8-4216-ADEC-21BE2254D4AF}"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BE83-4C65-9FBC-D6EDD5906997}"/>
                </c:ext>
              </c:extLst>
            </c:dLbl>
            <c:dLbl>
              <c:idx val="13"/>
              <c:tx>
                <c:rich>
                  <a:bodyPr/>
                  <a:lstStyle/>
                  <a:p>
                    <a:fld id="{B16F3242-E0EF-4E71-A5C6-CC5B7862C554}"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BE83-4C65-9FBC-D6EDD5906997}"/>
                </c:ext>
              </c:extLst>
            </c:dLbl>
            <c:dLbl>
              <c:idx val="14"/>
              <c:tx>
                <c:rich>
                  <a:bodyPr/>
                  <a:lstStyle/>
                  <a:p>
                    <a:fld id="{AD7F74D5-183E-4907-BE46-CF02E12CBFCD}"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BE83-4C65-9FBC-D6EDD5906997}"/>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('Chart Data'!$A$3,'Chart Data'!$A$5:$A$18)</c:f>
              <c:strCache>
                <c:ptCount val="15"/>
                <c:pt idx="0">
                  <c:v>Savings</c:v>
                </c:pt>
                <c:pt idx="1">
                  <c:v>Housing</c:v>
                </c:pt>
                <c:pt idx="2">
                  <c:v>Communications</c:v>
                </c:pt>
                <c:pt idx="3">
                  <c:v>Food</c:v>
                </c:pt>
                <c:pt idx="4">
                  <c:v>Insurance</c:v>
                </c:pt>
                <c:pt idx="5">
                  <c:v>Transportation</c:v>
                </c:pt>
                <c:pt idx="6">
                  <c:v>Childcare</c:v>
                </c:pt>
                <c:pt idx="7">
                  <c:v>Education</c:v>
                </c:pt>
                <c:pt idx="8">
                  <c:v>Recreation</c:v>
                </c:pt>
                <c:pt idx="9">
                  <c:v>Personal Care</c:v>
                </c:pt>
                <c:pt idx="10">
                  <c:v>Clothing</c:v>
                </c:pt>
                <c:pt idx="11">
                  <c:v>Medical</c:v>
                </c:pt>
                <c:pt idx="12">
                  <c:v>Pets</c:v>
                </c:pt>
                <c:pt idx="13">
                  <c:v>Fees</c:v>
                </c:pt>
                <c:pt idx="14">
                  <c:v>Gifts and Donations</c:v>
                </c:pt>
              </c:strCache>
            </c:strRef>
          </c:cat>
          <c:val>
            <c:numRef>
              <c:f>('Chart Data'!$E$3,'Chart Data'!$E$5:$E$18)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5="http://schemas.microsoft.com/office/drawing/2012/chart" uri="{02D57815-91ED-43cb-92C2-25804820EDAC}">
              <c15:datalabelsRange>
                <c15:f>('Chart Data'!$H$3,'Chart Data'!$H$5:$H$18)</c15:f>
                <c15:dlblRangeCache>
                  <c:ptCount val="15"/>
                </c15:dlblRangeCache>
              </c15:datalabelsRange>
            </c:ext>
            <c:ext xmlns:c16="http://schemas.microsoft.com/office/drawing/2014/chart" uri="{C3380CC4-5D6E-409C-BE32-E72D297353CC}">
              <c16:uniqueId val="{00000041-4269-4CF5-B171-CB279CE3424F}"/>
            </c:ext>
          </c:extLst>
        </c:ser>
        <c:ser>
          <c:idx val="1"/>
          <c:order val="1"/>
          <c:tx>
            <c:v>Your average Canadian</c:v>
          </c:tx>
          <c:spPr>
            <a:solidFill>
              <a:schemeClr val="bg1">
                <a:lumMod val="85000"/>
              </a:schemeClr>
            </a:solidFill>
            <a:ln>
              <a:noFill/>
            </a:ln>
          </c:spPr>
          <c:invertIfNegative val="0"/>
          <c:dLbls>
            <c:dLbl>
              <c:idx val="0"/>
              <c:tx>
                <c:rich>
                  <a:bodyPr/>
                  <a:lstStyle/>
                  <a:p>
                    <a:fld id="{B86C2CA6-FC27-4216-B4D5-3898746AED7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A0CF-45DF-9928-41D7E47E7F1B}"/>
                </c:ext>
              </c:extLst>
            </c:dLbl>
            <c:dLbl>
              <c:idx val="1"/>
              <c:tx>
                <c:rich>
                  <a:bodyPr/>
                  <a:lstStyle/>
                  <a:p>
                    <a:fld id="{A53FCF32-F784-40B4-A680-5B0BCBDFF0EB}"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A0CF-45DF-9928-41D7E47E7F1B}"/>
                </c:ext>
              </c:extLst>
            </c:dLbl>
            <c:dLbl>
              <c:idx val="2"/>
              <c:tx>
                <c:rich>
                  <a:bodyPr/>
                  <a:lstStyle/>
                  <a:p>
                    <a:fld id="{05D9E4C3-7AA6-4ABF-88D0-1438920E029B}"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A0CF-45DF-9928-41D7E47E7F1B}"/>
                </c:ext>
              </c:extLst>
            </c:dLbl>
            <c:dLbl>
              <c:idx val="3"/>
              <c:tx>
                <c:rich>
                  <a:bodyPr/>
                  <a:lstStyle/>
                  <a:p>
                    <a:fld id="{1BD5C506-88DF-4151-A1B3-33579189DE54}"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A0CF-45DF-9928-41D7E47E7F1B}"/>
                </c:ext>
              </c:extLst>
            </c:dLbl>
            <c:dLbl>
              <c:idx val="4"/>
              <c:tx>
                <c:rich>
                  <a:bodyPr/>
                  <a:lstStyle/>
                  <a:p>
                    <a:fld id="{3BEDDCED-522A-42C5-847C-B07E63C069F5}"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A0CF-45DF-9928-41D7E47E7F1B}"/>
                </c:ext>
              </c:extLst>
            </c:dLbl>
            <c:dLbl>
              <c:idx val="5"/>
              <c:tx>
                <c:rich>
                  <a:bodyPr/>
                  <a:lstStyle/>
                  <a:p>
                    <a:fld id="{6C3B167C-6A1F-4CF7-B957-154C3A1C59B8}"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A0CF-45DF-9928-41D7E47E7F1B}"/>
                </c:ext>
              </c:extLst>
            </c:dLbl>
            <c:dLbl>
              <c:idx val="6"/>
              <c:tx>
                <c:rich>
                  <a:bodyPr/>
                  <a:lstStyle/>
                  <a:p>
                    <a:fld id="{F1A20E0B-0AFB-4362-A9A0-32940ED8E417}"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A0CF-45DF-9928-41D7E47E7F1B}"/>
                </c:ext>
              </c:extLst>
            </c:dLbl>
            <c:dLbl>
              <c:idx val="7"/>
              <c:tx>
                <c:rich>
                  <a:bodyPr/>
                  <a:lstStyle/>
                  <a:p>
                    <a:fld id="{8168986D-6213-4FDD-B155-E93799FBDE94}"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A0CF-45DF-9928-41D7E47E7F1B}"/>
                </c:ext>
              </c:extLst>
            </c:dLbl>
            <c:dLbl>
              <c:idx val="8"/>
              <c:tx>
                <c:rich>
                  <a:bodyPr/>
                  <a:lstStyle/>
                  <a:p>
                    <a:fld id="{3495FFD0-6344-4D60-91E3-3261CF891792}"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A0CF-45DF-9928-41D7E47E7F1B}"/>
                </c:ext>
              </c:extLst>
            </c:dLbl>
            <c:dLbl>
              <c:idx val="9"/>
              <c:tx>
                <c:rich>
                  <a:bodyPr/>
                  <a:lstStyle/>
                  <a:p>
                    <a:fld id="{5814EC0A-BF3B-4A89-A0A5-084A08AB04AD}"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A0CF-45DF-9928-41D7E47E7F1B}"/>
                </c:ext>
              </c:extLst>
            </c:dLbl>
            <c:dLbl>
              <c:idx val="10"/>
              <c:tx>
                <c:rich>
                  <a:bodyPr/>
                  <a:lstStyle/>
                  <a:p>
                    <a:fld id="{7AB1A10A-61AA-46F3-84B4-095083E49F71}"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A0CF-45DF-9928-41D7E47E7F1B}"/>
                </c:ext>
              </c:extLst>
            </c:dLbl>
            <c:dLbl>
              <c:idx val="11"/>
              <c:tx>
                <c:rich>
                  <a:bodyPr/>
                  <a:lstStyle/>
                  <a:p>
                    <a:fld id="{367DC8D4-FDF5-47DA-8C51-0072CEB2572B}"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A0CF-45DF-9928-41D7E47E7F1B}"/>
                </c:ext>
              </c:extLst>
            </c:dLbl>
            <c:dLbl>
              <c:idx val="12"/>
              <c:tx>
                <c:rich>
                  <a:bodyPr/>
                  <a:lstStyle/>
                  <a:p>
                    <a:fld id="{FCEF75B1-1305-4165-8837-5F6C0CE889AD}"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A0CF-45DF-9928-41D7E47E7F1B}"/>
                </c:ext>
              </c:extLst>
            </c:dLbl>
            <c:dLbl>
              <c:idx val="13"/>
              <c:tx>
                <c:rich>
                  <a:bodyPr/>
                  <a:lstStyle/>
                  <a:p>
                    <a:fld id="{878E2DA0-BE75-46BA-BA22-488D4B30187E}"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A0CF-45DF-9928-41D7E47E7F1B}"/>
                </c:ext>
              </c:extLst>
            </c:dLbl>
            <c:dLbl>
              <c:idx val="14"/>
              <c:tx>
                <c:rich>
                  <a:bodyPr/>
                  <a:lstStyle/>
                  <a:p>
                    <a:fld id="{078CE2A6-76C4-479D-A0EA-C702126446F2}" type="CELLRANGE">
                      <a:rPr lang="en-CA"/>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A0CF-45DF-9928-41D7E47E7F1B}"/>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('Chart Data'!$A$3,'Chart Data'!$A$5:$A$18)</c:f>
              <c:strCache>
                <c:ptCount val="15"/>
                <c:pt idx="0">
                  <c:v>Savings</c:v>
                </c:pt>
                <c:pt idx="1">
                  <c:v>Housing</c:v>
                </c:pt>
                <c:pt idx="2">
                  <c:v>Communications</c:v>
                </c:pt>
                <c:pt idx="3">
                  <c:v>Food</c:v>
                </c:pt>
                <c:pt idx="4">
                  <c:v>Insurance</c:v>
                </c:pt>
                <c:pt idx="5">
                  <c:v>Transportation</c:v>
                </c:pt>
                <c:pt idx="6">
                  <c:v>Childcare</c:v>
                </c:pt>
                <c:pt idx="7">
                  <c:v>Education</c:v>
                </c:pt>
                <c:pt idx="8">
                  <c:v>Recreation</c:v>
                </c:pt>
                <c:pt idx="9">
                  <c:v>Personal Care</c:v>
                </c:pt>
                <c:pt idx="10">
                  <c:v>Clothing</c:v>
                </c:pt>
                <c:pt idx="11">
                  <c:v>Medical</c:v>
                </c:pt>
                <c:pt idx="12">
                  <c:v>Pets</c:v>
                </c:pt>
                <c:pt idx="13">
                  <c:v>Fees</c:v>
                </c:pt>
                <c:pt idx="14">
                  <c:v>Gifts and Donations</c:v>
                </c:pt>
              </c:strCache>
            </c:strRef>
          </c:cat>
          <c:val>
            <c:numRef>
              <c:f>('Chart Data'!$G$3,'Chart Data'!$G$5:$G$18)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5="http://schemas.microsoft.com/office/drawing/2012/chart" uri="{02D57815-91ED-43cb-92C2-25804820EDAC}">
              <c15:datalabelsRange>
                <c15:f>('Chart Data'!$I$3,'Chart Data'!$I$5:$I$18)</c15:f>
                <c15:dlblRangeCache>
                  <c:ptCount val="15"/>
                </c15:dlblRangeCache>
              </c15:datalabelsRange>
            </c:ext>
            <c:ext xmlns:c16="http://schemas.microsoft.com/office/drawing/2014/chart" uri="{C3380CC4-5D6E-409C-BE32-E72D297353CC}">
              <c16:uniqueId val="{0000001E-A0CF-45DF-9928-41D7E47E7F1B}"/>
            </c:ext>
          </c:extLst>
        </c:ser>
        <c:dLbls>
          <c:showLegendKey val="0"/>
          <c:showVal val="0"/>
          <c:showCatName val="0"/>
          <c:showSerName val="0"/>
          <c:showPercent val="0"/>
          <c:showBubbleSize val="0"/>
        </c:dLbls>
        <c:gapWidth val="200"/>
        <c:overlap val="-40"/>
        <c:axId val="2066841104"/>
        <c:axId val="2066853616"/>
      </c:barChart>
      <c:valAx>
        <c:axId val="2066853616"/>
        <c:scaling>
          <c:orientation val="minMax"/>
        </c:scaling>
        <c:delete val="1"/>
        <c:axPos val="t"/>
        <c:numFmt formatCode="&quot;$&quot;#,##0.00" sourceLinked="1"/>
        <c:majorTickMark val="out"/>
        <c:minorTickMark val="none"/>
        <c:tickLblPos val="nextTo"/>
        <c:crossAx val="2066841104"/>
        <c:crosses val="autoZero"/>
        <c:crossBetween val="between"/>
      </c:valAx>
      <c:catAx>
        <c:axId val="2066841104"/>
        <c:scaling>
          <c:orientation val="maxMin"/>
        </c:scaling>
        <c:delete val="0"/>
        <c:axPos val="l"/>
        <c:numFmt formatCode="General" sourceLinked="1"/>
        <c:majorTickMark val="out"/>
        <c:minorTickMark val="none"/>
        <c:tickLblPos val="nextTo"/>
        <c:crossAx val="2066853616"/>
        <c:crosses val="autoZero"/>
        <c:auto val="1"/>
        <c:lblAlgn val="ctr"/>
        <c:lblOffset val="100"/>
        <c:noMultiLvlLbl val="0"/>
      </c:cat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rgbClr val="595959"/>
                </a:solidFill>
                <a:latin typeface="+mn-lt"/>
                <a:ea typeface="+mn-ea"/>
                <a:cs typeface="+mn-cs"/>
              </a:defRPr>
            </a:pPr>
            <a:r>
              <a:rPr lang="en-CA" sz="1400" b="1" i="0">
                <a:effectLst/>
              </a:rPr>
              <a:t>Where your money goes</a:t>
            </a:r>
          </a:p>
        </c:rich>
      </c:tx>
      <c:layout>
        <c:manualLayout>
          <c:xMode val="edge"/>
          <c:yMode val="edge"/>
          <c:x val="0.3714731257855915"/>
          <c:y val="0"/>
        </c:manualLayout>
      </c:layout>
      <c:overlay val="0"/>
    </c:title>
    <c:autoTitleDeleted val="0"/>
    <c:plotArea>
      <c:layout>
        <c:manualLayout>
          <c:layoutTarget val="inner"/>
          <c:xMode val="edge"/>
          <c:yMode val="edge"/>
          <c:x val="0.14605330351145004"/>
          <c:y val="9.5682993685167167E-2"/>
          <c:w val="0.4292471800896191"/>
          <c:h val="0.5045818244822029"/>
        </c:manualLayout>
      </c:layout>
      <c:pieChart>
        <c:varyColors val="1"/>
        <c:ser>
          <c:idx val="1"/>
          <c:order val="0"/>
          <c:tx>
            <c:v>Expenses</c:v>
          </c:tx>
          <c:spPr>
            <a:ln>
              <a:noFill/>
            </a:ln>
          </c:spPr>
          <c:dPt>
            <c:idx val="0"/>
            <c:bubble3D val="0"/>
            <c:spPr>
              <a:solidFill>
                <a:srgbClr val="145B7F"/>
              </a:solidFill>
              <a:ln>
                <a:noFill/>
              </a:ln>
            </c:spPr>
            <c:extLst>
              <c:ext xmlns:c16="http://schemas.microsoft.com/office/drawing/2014/chart" uri="{C3380CC4-5D6E-409C-BE32-E72D297353CC}">
                <c16:uniqueId val="{00000001-889D-4C35-AA87-4885FC6566C5}"/>
              </c:ext>
            </c:extLst>
          </c:dPt>
          <c:dPt>
            <c:idx val="1"/>
            <c:bubble3D val="0"/>
            <c:spPr>
              <a:solidFill>
                <a:srgbClr val="FD7006"/>
              </a:solidFill>
              <a:ln>
                <a:noFill/>
              </a:ln>
            </c:spPr>
            <c:extLst>
              <c:ext xmlns:c16="http://schemas.microsoft.com/office/drawing/2014/chart" uri="{C3380CC4-5D6E-409C-BE32-E72D297353CC}">
                <c16:uniqueId val="{00000003-889D-4C35-AA87-4885FC6566C5}"/>
              </c:ext>
            </c:extLst>
          </c:dPt>
          <c:dPt>
            <c:idx val="2"/>
            <c:bubble3D val="0"/>
            <c:spPr>
              <a:solidFill>
                <a:srgbClr val="FF9A00"/>
              </a:solidFill>
              <a:ln>
                <a:noFill/>
              </a:ln>
            </c:spPr>
            <c:extLst>
              <c:ext xmlns:c16="http://schemas.microsoft.com/office/drawing/2014/chart" uri="{C3380CC4-5D6E-409C-BE32-E72D297353CC}">
                <c16:uniqueId val="{00000005-889D-4C35-AA87-4885FC6566C5}"/>
              </c:ext>
            </c:extLst>
          </c:dPt>
          <c:dPt>
            <c:idx val="3"/>
            <c:bubble3D val="0"/>
            <c:spPr>
              <a:solidFill>
                <a:srgbClr val="FFC100"/>
              </a:solidFill>
              <a:ln>
                <a:noFill/>
              </a:ln>
            </c:spPr>
            <c:extLst>
              <c:ext xmlns:c16="http://schemas.microsoft.com/office/drawing/2014/chart" uri="{C3380CC4-5D6E-409C-BE32-E72D297353CC}">
                <c16:uniqueId val="{00000007-889D-4C35-AA87-4885FC6566C5}"/>
              </c:ext>
            </c:extLst>
          </c:dPt>
          <c:dPt>
            <c:idx val="4"/>
            <c:bubble3D val="0"/>
            <c:spPr>
              <a:solidFill>
                <a:srgbClr val="FFE302"/>
              </a:solidFill>
              <a:ln>
                <a:noFill/>
              </a:ln>
            </c:spPr>
            <c:extLst>
              <c:ext xmlns:c16="http://schemas.microsoft.com/office/drawing/2014/chart" uri="{C3380CC4-5D6E-409C-BE32-E72D297353CC}">
                <c16:uniqueId val="{00000009-889D-4C35-AA87-4885FC6566C5}"/>
              </c:ext>
            </c:extLst>
          </c:dPt>
          <c:dPt>
            <c:idx val="5"/>
            <c:bubble3D val="0"/>
            <c:spPr>
              <a:solidFill>
                <a:srgbClr val="BFDF0B"/>
              </a:solidFill>
              <a:ln>
                <a:noFill/>
              </a:ln>
            </c:spPr>
            <c:extLst>
              <c:ext xmlns:c16="http://schemas.microsoft.com/office/drawing/2014/chart" uri="{C3380CC4-5D6E-409C-BE32-E72D297353CC}">
                <c16:uniqueId val="{0000000B-889D-4C35-AA87-4885FC6566C5}"/>
              </c:ext>
            </c:extLst>
          </c:dPt>
          <c:dPt>
            <c:idx val="6"/>
            <c:bubble3D val="0"/>
            <c:spPr>
              <a:solidFill>
                <a:srgbClr val="7FBA00"/>
              </a:solidFill>
              <a:ln>
                <a:noFill/>
              </a:ln>
            </c:spPr>
            <c:extLst>
              <c:ext xmlns:c16="http://schemas.microsoft.com/office/drawing/2014/chart" uri="{C3380CC4-5D6E-409C-BE32-E72D297353CC}">
                <c16:uniqueId val="{0000000D-889D-4C35-AA87-4885FC6566C5}"/>
              </c:ext>
            </c:extLst>
          </c:dPt>
          <c:dPt>
            <c:idx val="7"/>
            <c:bubble3D val="0"/>
            <c:spPr>
              <a:solidFill>
                <a:srgbClr val="009E98"/>
              </a:solidFill>
              <a:ln>
                <a:noFill/>
              </a:ln>
            </c:spPr>
            <c:extLst>
              <c:ext xmlns:c16="http://schemas.microsoft.com/office/drawing/2014/chart" uri="{C3380CC4-5D6E-409C-BE32-E72D297353CC}">
                <c16:uniqueId val="{0000000F-889D-4C35-AA87-4885FC6566C5}"/>
              </c:ext>
            </c:extLst>
          </c:dPt>
          <c:dPt>
            <c:idx val="8"/>
            <c:bubble3D val="0"/>
            <c:spPr>
              <a:solidFill>
                <a:srgbClr val="00B9B9"/>
              </a:solidFill>
              <a:ln>
                <a:noFill/>
              </a:ln>
            </c:spPr>
            <c:extLst>
              <c:ext xmlns:c16="http://schemas.microsoft.com/office/drawing/2014/chart" uri="{C3380CC4-5D6E-409C-BE32-E72D297353CC}">
                <c16:uniqueId val="{00000011-889D-4C35-AA87-4885FC6566C5}"/>
              </c:ext>
            </c:extLst>
          </c:dPt>
          <c:dPt>
            <c:idx val="9"/>
            <c:bubble3D val="0"/>
            <c:spPr>
              <a:solidFill>
                <a:srgbClr val="01A3D1"/>
              </a:solidFill>
              <a:ln>
                <a:noFill/>
              </a:ln>
            </c:spPr>
            <c:extLst>
              <c:ext xmlns:c16="http://schemas.microsoft.com/office/drawing/2014/chart" uri="{C3380CC4-5D6E-409C-BE32-E72D297353CC}">
                <c16:uniqueId val="{00000013-889D-4C35-AA87-4885FC6566C5}"/>
              </c:ext>
            </c:extLst>
          </c:dPt>
          <c:dPt>
            <c:idx val="10"/>
            <c:bubble3D val="0"/>
            <c:spPr>
              <a:solidFill>
                <a:srgbClr val="0283C8"/>
              </a:solidFill>
              <a:ln>
                <a:noFill/>
              </a:ln>
            </c:spPr>
            <c:extLst>
              <c:ext xmlns:c16="http://schemas.microsoft.com/office/drawing/2014/chart" uri="{C3380CC4-5D6E-409C-BE32-E72D297353CC}">
                <c16:uniqueId val="{00000015-889D-4C35-AA87-4885FC6566C5}"/>
              </c:ext>
            </c:extLst>
          </c:dPt>
          <c:dPt>
            <c:idx val="11"/>
            <c:bubble3D val="0"/>
            <c:spPr>
              <a:solidFill>
                <a:srgbClr val="5C70C9"/>
              </a:solidFill>
              <a:ln>
                <a:noFill/>
              </a:ln>
            </c:spPr>
            <c:extLst>
              <c:ext xmlns:c16="http://schemas.microsoft.com/office/drawing/2014/chart" uri="{C3380CC4-5D6E-409C-BE32-E72D297353CC}">
                <c16:uniqueId val="{00000017-889D-4C35-AA87-4885FC6566C5}"/>
              </c:ext>
            </c:extLst>
          </c:dPt>
          <c:dPt>
            <c:idx val="12"/>
            <c:bubble3D val="0"/>
            <c:spPr>
              <a:solidFill>
                <a:srgbClr val="9457EB"/>
              </a:solidFill>
              <a:ln>
                <a:noFill/>
              </a:ln>
            </c:spPr>
            <c:extLst>
              <c:ext xmlns:c16="http://schemas.microsoft.com/office/drawing/2014/chart" uri="{C3380CC4-5D6E-409C-BE32-E72D297353CC}">
                <c16:uniqueId val="{00000019-889D-4C35-AA87-4885FC6566C5}"/>
              </c:ext>
            </c:extLst>
          </c:dPt>
          <c:dPt>
            <c:idx val="13"/>
            <c:bubble3D val="0"/>
            <c:spPr>
              <a:solidFill>
                <a:srgbClr val="BF39F9"/>
              </a:solidFill>
              <a:ln>
                <a:noFill/>
              </a:ln>
            </c:spPr>
            <c:extLst>
              <c:ext xmlns:c16="http://schemas.microsoft.com/office/drawing/2014/chart" uri="{C3380CC4-5D6E-409C-BE32-E72D297353CC}">
                <c16:uniqueId val="{0000001B-889D-4C35-AA87-4885FC6566C5}"/>
              </c:ext>
            </c:extLst>
          </c:dPt>
          <c:dPt>
            <c:idx val="14"/>
            <c:bubble3D val="0"/>
            <c:spPr>
              <a:solidFill>
                <a:srgbClr val="D930E5"/>
              </a:solidFill>
              <a:ln>
                <a:noFill/>
              </a:ln>
            </c:spPr>
            <c:extLst>
              <c:ext xmlns:c16="http://schemas.microsoft.com/office/drawing/2014/chart" uri="{C3380CC4-5D6E-409C-BE32-E72D297353CC}">
                <c16:uniqueId val="{0000001D-889D-4C35-AA87-4885FC6566C5}"/>
              </c:ext>
            </c:extLst>
          </c:dPt>
          <c:dPt>
            <c:idx val="15"/>
            <c:bubble3D val="0"/>
            <c:spPr>
              <a:solidFill>
                <a:srgbClr val="E14FE4"/>
              </a:solidFill>
              <a:ln>
                <a:noFill/>
              </a:ln>
            </c:spPr>
            <c:extLst>
              <c:ext xmlns:c16="http://schemas.microsoft.com/office/drawing/2014/chart" uri="{C3380CC4-5D6E-409C-BE32-E72D297353CC}">
                <c16:uniqueId val="{0000001F-889D-4C35-AA87-4885FC6566C5}"/>
              </c:ext>
            </c:extLst>
          </c:dPt>
          <c:cat>
            <c:multiLvlStrRef>
              <c:f>'Chart Data'!$D$3:$D$18</c:f>
            </c:multiLvlStrRef>
          </c:cat>
          <c:val>
            <c:numRef>
              <c:f>'Chart Data'!$B$3:$B$18</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0-889D-4C35-AA87-4885FC6566C5}"/>
            </c:ext>
          </c:extLst>
        </c:ser>
        <c:dLbls>
          <c:showLegendKey val="0"/>
          <c:showVal val="0"/>
          <c:showCatName val="0"/>
          <c:showSerName val="0"/>
          <c:showPercent val="0"/>
          <c:showBubbleSize val="0"/>
          <c:showLeaderLines val="1"/>
        </c:dLbls>
        <c:firstSliceAng val="0"/>
      </c:pieChart>
    </c:plotArea>
    <c:legend>
      <c:legendPos val="tr"/>
      <c:overlay val="0"/>
      <c:txPr>
        <a:bodyPr/>
        <a:lstStyle/>
        <a:p>
          <a:pPr rtl="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1003935</xdr:colOff>
      <xdr:row>12</xdr:row>
      <xdr:rowOff>85725</xdr:rowOff>
    </xdr:from>
    <xdr:to>
      <xdr:col>6</xdr:col>
      <xdr:colOff>832485</xdr:colOff>
      <xdr:row>34</xdr:row>
      <xdr:rowOff>66675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413385</xdr:colOff>
      <xdr:row>47</xdr:row>
      <xdr:rowOff>19050</xdr:rowOff>
    </xdr:from>
    <xdr:to>
      <xdr:col>10</xdr:col>
      <xdr:colOff>45720</xdr:colOff>
      <xdr:row>77</xdr:row>
      <xdr:rowOff>133350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266700</xdr:colOff>
      <xdr:row>12</xdr:row>
      <xdr:rowOff>66676</xdr:rowOff>
    </xdr:from>
    <xdr:to>
      <xdr:col>14</xdr:col>
      <xdr:colOff>619125</xdr:colOff>
      <xdr:row>44</xdr:row>
      <xdr:rowOff>66675</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come" displayName="tblIncome" ref="A11:E34" headerRowDxfId="266" dataDxfId="264" totalsRowDxfId="262" headerRowBorderDxfId="265" tableBorderDxfId="263">
  <autoFilter ref="A11:E34" xr:uid="{00000000-0009-0000-0100-000001000000}"/>
  <tableColumns count="5">
    <tableColumn id="6" xr3:uid="{00000000-0010-0000-0000-000006000000}" name="Code Value" dataDxfId="261" totalsRowDxfId="260"/>
    <tableColumn id="7" xr3:uid="{00000000-0010-0000-0000-000007000000}" name="Annual Total" dataDxfId="259" totalsRowDxfId="258">
      <calculatedColumnFormula>IFERROR(ROUND(tblIncome[[#This Row],[Amount]],2)*VLOOKUP(tblIncome[[#This Row],[Period]],Periods,2,0),"")</calculatedColumnFormula>
    </tableColumn>
    <tableColumn id="1" xr3:uid="{00000000-0010-0000-0000-000001000000}" name="Item" totalsRowLabel="Total" dataDxfId="257" totalsRowDxfId="256"/>
    <tableColumn id="2" xr3:uid="{00000000-0010-0000-0000-000002000000}" name="Amount" totalsRowFunction="custom" dataDxfId="255" totalsRowDxfId="254">
      <totalsRowFormula>ROUND(SUM(tblIncome[Annual Total])/VLOOKUP(D5,TotalPeriods[],2,0),2)</totalsRowFormula>
    </tableColumn>
    <tableColumn id="3" xr3:uid="{00000000-0010-0000-0000-000003000000}" name="Period" dataDxfId="253" totalsRowDxfId="252"/>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blEducation" displayName="tblEducation" ref="A189:E203" headerRowDxfId="131" dataDxfId="129" totalsRowDxfId="127" headerRowBorderDxfId="130" tableBorderDxfId="128">
  <autoFilter ref="A189:E203" xr:uid="{00000000-0009-0000-0100-00000C000000}"/>
  <tableColumns count="5">
    <tableColumn id="6" xr3:uid="{00000000-0010-0000-0900-000006000000}" name="Code Value" dataDxfId="126" totalsRowDxfId="125"/>
    <tableColumn id="7" xr3:uid="{00000000-0010-0000-0900-000007000000}" name="Annual Total" dataDxfId="124" totalsRowDxfId="123">
      <calculatedColumnFormula>IFERROR(ROUND(tblEducation[[#This Row],[Amount]],2)*VLOOKUP(tblEducation[[#This Row],[Period]],Periods,2,0),"")</calculatedColumnFormula>
    </tableColumn>
    <tableColumn id="1" xr3:uid="{00000000-0010-0000-0900-000001000000}" name="Item" totalsRowLabel="Total" dataDxfId="122" totalsRowDxfId="121"/>
    <tableColumn id="2" xr3:uid="{00000000-0010-0000-0900-000002000000}" name="Amount" totalsRowFunction="custom" dataDxfId="120" totalsRowDxfId="119">
      <totalsRowFormula>ROUND(SUM(tblEducation[Annual Total])/VLOOKUP(D5,TotalPeriods[],2,0),2)</totalsRowFormula>
    </tableColumn>
    <tableColumn id="3" xr3:uid="{00000000-0010-0000-0900-000003000000}" name="Period" dataDxfId="118" totalsRowDxfId="11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blRecreation" displayName="tblRecreation" ref="A205:E224" headerRowDxfId="116" dataDxfId="114" totalsRowDxfId="112" headerRowBorderDxfId="115" tableBorderDxfId="113">
  <autoFilter ref="A205:E224" xr:uid="{00000000-0009-0000-0100-00000D000000}"/>
  <tableColumns count="5">
    <tableColumn id="6" xr3:uid="{00000000-0010-0000-0A00-000006000000}" name="Code Value" dataDxfId="111" totalsRowDxfId="110"/>
    <tableColumn id="7" xr3:uid="{00000000-0010-0000-0A00-000007000000}" name="Annual Total" dataDxfId="109" totalsRowDxfId="108">
      <calculatedColumnFormula>IFERROR(ROUND(tblRecreation[[#This Row],[Amount]],2)*VLOOKUP(tblRecreation[[#This Row],[Period]],Periods,2,0),"")</calculatedColumnFormula>
    </tableColumn>
    <tableColumn id="1" xr3:uid="{00000000-0010-0000-0A00-000001000000}" name="Item" totalsRowLabel="Total" dataDxfId="107" totalsRowDxfId="106"/>
    <tableColumn id="2" xr3:uid="{00000000-0010-0000-0A00-000002000000}" name="Amount" totalsRowFunction="custom" dataDxfId="105" totalsRowDxfId="104">
      <totalsRowFormula>ROUND(SUM(tblRecreation[Annual Total])/VLOOKUP(D5,TotalPeriods[],2,0),2)</totalsRowFormula>
    </tableColumn>
    <tableColumn id="3" xr3:uid="{00000000-0010-0000-0A00-000003000000}" name="Period" dataDxfId="103" totalsRowDxfId="102"/>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blPersonalCare" displayName="tblPersonalCare" ref="A226:E240" headerRowDxfId="101" dataDxfId="99" totalsRowDxfId="97" headerRowBorderDxfId="100" tableBorderDxfId="98">
  <autoFilter ref="A226:E240" xr:uid="{00000000-0009-0000-0100-00000E000000}"/>
  <tableColumns count="5">
    <tableColumn id="6" xr3:uid="{00000000-0010-0000-0B00-000006000000}" name="Code Value" dataDxfId="96" totalsRowDxfId="95"/>
    <tableColumn id="7" xr3:uid="{00000000-0010-0000-0B00-000007000000}" name="Annual Total" dataDxfId="94" totalsRowDxfId="93">
      <calculatedColumnFormula>IFERROR(ROUND(tblPersonalCare[[#This Row],[Amount]],2)*VLOOKUP(tblPersonalCare[[#This Row],[Period]],Periods,2,0),"")</calculatedColumnFormula>
    </tableColumn>
    <tableColumn id="1" xr3:uid="{00000000-0010-0000-0B00-000001000000}" name="Item" totalsRowLabel="Total" dataDxfId="92" totalsRowDxfId="91"/>
    <tableColumn id="2" xr3:uid="{00000000-0010-0000-0B00-000002000000}" name="Amount" totalsRowFunction="custom" dataDxfId="90" totalsRowDxfId="89">
      <totalsRowFormula>ROUND(SUM(tblPersonalCare[Annual Total])/VLOOKUP(D5,TotalPeriods[],2,0),2)</totalsRowFormula>
    </tableColumn>
    <tableColumn id="3" xr3:uid="{00000000-0010-0000-0B00-000003000000}" name="Period" dataDxfId="88" totalsRowDxfId="87"/>
  </tableColumns>
  <tableStyleInfo name="TableStyleLight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blClothing" displayName="tblClothing" ref="A242:E256" headerRowDxfId="86" dataDxfId="84" totalsRowDxfId="82" headerRowBorderDxfId="85" tableBorderDxfId="83">
  <autoFilter ref="A242:E256" xr:uid="{00000000-0009-0000-0100-00000F000000}"/>
  <tableColumns count="5">
    <tableColumn id="6" xr3:uid="{00000000-0010-0000-0C00-000006000000}" name="Code Value" dataDxfId="81" totalsRowDxfId="80"/>
    <tableColumn id="7" xr3:uid="{00000000-0010-0000-0C00-000007000000}" name="Annual Total" dataDxfId="79" totalsRowDxfId="78">
      <calculatedColumnFormula>IFERROR(ROUND(tblClothing[[#This Row],[Amount]],2)*VLOOKUP(tblClothing[[#This Row],[Period]],Periods,2,0),"")</calculatedColumnFormula>
    </tableColumn>
    <tableColumn id="1" xr3:uid="{00000000-0010-0000-0C00-000001000000}" name="Item" totalsRowLabel="Total" dataDxfId="77" totalsRowDxfId="76"/>
    <tableColumn id="2" xr3:uid="{00000000-0010-0000-0C00-000002000000}" name="Amount" totalsRowFunction="custom" dataDxfId="75" totalsRowDxfId="74">
      <totalsRowFormula>ROUND(SUM(tblClothing[Annual Total])/VLOOKUP(D5,TotalPeriods[],2,0),2)</totalsRowFormula>
    </tableColumn>
    <tableColumn id="3" xr3:uid="{00000000-0010-0000-0C00-000003000000}" name="Period" dataDxfId="73" totalsRowDxfId="72"/>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D000000}" name="tblMedical" displayName="tblMedical" ref="A258:E272" headerRowDxfId="71" dataDxfId="69" totalsRowDxfId="67" headerRowBorderDxfId="70" tableBorderDxfId="68">
  <autoFilter ref="A258:E272" xr:uid="{00000000-0009-0000-0100-000012000000}"/>
  <tableColumns count="5">
    <tableColumn id="6" xr3:uid="{00000000-0010-0000-0D00-000006000000}" name="Code Value" dataDxfId="66" totalsRowDxfId="65"/>
    <tableColumn id="7" xr3:uid="{00000000-0010-0000-0D00-000007000000}" name="Annual Total" dataDxfId="64" totalsRowDxfId="63">
      <calculatedColumnFormula>IFERROR(ROUND(tblMedical[[#This Row],[Amount]],2)*VLOOKUP(tblMedical[[#This Row],[Period]],Periods,2,0),"")</calculatedColumnFormula>
    </tableColumn>
    <tableColumn id="1" xr3:uid="{00000000-0010-0000-0D00-000001000000}" name="Item" totalsRowLabel="Total" dataDxfId="62" totalsRowDxfId="61"/>
    <tableColumn id="2" xr3:uid="{00000000-0010-0000-0D00-000002000000}" name="Amount" totalsRowFunction="custom" dataDxfId="60" totalsRowDxfId="59">
      <totalsRowFormula>ROUND(SUM(tblMedical[Annual Total])/VLOOKUP(D5,TotalPeriods[],2,0),2)</totalsRowFormula>
    </tableColumn>
    <tableColumn id="3" xr3:uid="{00000000-0010-0000-0D00-000003000000}" name="Period" dataDxfId="58" totalsRowDxfId="57"/>
  </tableColumns>
  <tableStyleInfo name="TableStyleLight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blPets" displayName="tblPets" ref="A274:E287" headerRowDxfId="56" dataDxfId="54" totalsRowDxfId="52" headerRowBorderDxfId="55" tableBorderDxfId="53">
  <autoFilter ref="A274:E287" xr:uid="{00000000-0009-0000-0100-000013000000}"/>
  <tableColumns count="5">
    <tableColumn id="6" xr3:uid="{00000000-0010-0000-0E00-000006000000}" name="Code Value" dataDxfId="51" totalsRowDxfId="50"/>
    <tableColumn id="7" xr3:uid="{00000000-0010-0000-0E00-000007000000}" name="Annual Total" dataDxfId="49" totalsRowDxfId="48">
      <calculatedColumnFormula>IFERROR(ROUND(tblPets[[#This Row],[Amount]],2)*VLOOKUP(tblPets[[#This Row],[Period]],Periods,2,0),"")</calculatedColumnFormula>
    </tableColumn>
    <tableColumn id="1" xr3:uid="{00000000-0010-0000-0E00-000001000000}" name="Item" totalsRowLabel="Total" dataDxfId="47" totalsRowDxfId="46"/>
    <tableColumn id="2" xr3:uid="{00000000-0010-0000-0E00-000002000000}" name="Amount" totalsRowFunction="custom" dataDxfId="45" totalsRowDxfId="44">
      <totalsRowFormula>ROUND(SUM(tblPets[Annual Total])/VLOOKUP(D5,TotalPeriods[],2,0),2)</totalsRowFormula>
    </tableColumn>
    <tableColumn id="3" xr3:uid="{00000000-0010-0000-0E00-000003000000}" name="Period" dataDxfId="43" totalsRowDxfId="42"/>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blFees" displayName="tblFees" ref="A289:E303" headerRowDxfId="41" dataDxfId="39" totalsRowDxfId="37" headerRowBorderDxfId="40" tableBorderDxfId="38">
  <autoFilter ref="A289:E303" xr:uid="{00000000-0009-0000-0100-000014000000}"/>
  <tableColumns count="5">
    <tableColumn id="6" xr3:uid="{00000000-0010-0000-0F00-000006000000}" name="Code Value" dataDxfId="36" totalsRowDxfId="35"/>
    <tableColumn id="7" xr3:uid="{00000000-0010-0000-0F00-000007000000}" name="Annual Total" dataDxfId="34" totalsRowDxfId="33">
      <calculatedColumnFormula>IFERROR(ROUND(tblFees[[#This Row],[Amount]],2)*VLOOKUP(tblFees[[#This Row],[Period]],Periods,2,0),"")</calculatedColumnFormula>
    </tableColumn>
    <tableColumn id="1" xr3:uid="{00000000-0010-0000-0F00-000001000000}" name="Item" totalsRowLabel="Total" dataDxfId="32" totalsRowDxfId="31"/>
    <tableColumn id="2" xr3:uid="{00000000-0010-0000-0F00-000002000000}" name="Amount" totalsRowFunction="custom" dataDxfId="30" totalsRowDxfId="29">
      <totalsRowFormula>ROUND(SUM(tblFees[Annual Total])/VLOOKUP(D5,TotalPeriods[],2,0),2)</totalsRowFormula>
    </tableColumn>
    <tableColumn id="3" xr3:uid="{00000000-0010-0000-0F00-000003000000}" name="Period" dataDxfId="28" totalsRowDxfId="27"/>
  </tableColumns>
  <tableStyleInfo name="TableStyleLight1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0000000}" name="tblGiftsDonations" displayName="tblGiftsDonations" ref="A305:E318" headerRowDxfId="26" dataDxfId="24" totalsRowDxfId="22" headerRowBorderDxfId="25" tableBorderDxfId="23">
  <autoFilter ref="A305:E318" xr:uid="{00000000-0009-0000-0100-000005000000}"/>
  <tableColumns count="5">
    <tableColumn id="6" xr3:uid="{00000000-0010-0000-1000-000006000000}" name="Code Value" dataDxfId="21" totalsRowDxfId="20"/>
    <tableColumn id="7" xr3:uid="{00000000-0010-0000-1000-000007000000}" name="Annual Total" dataDxfId="19" totalsRowDxfId="18">
      <calculatedColumnFormula>IFERROR(ROUND(tblGiftsDonations[[#This Row],[Amount]],2)*VLOOKUP(tblGiftsDonations[[#This Row],[Period]],Periods,2,0),"")</calculatedColumnFormula>
    </tableColumn>
    <tableColumn id="1" xr3:uid="{00000000-0010-0000-1000-000001000000}" name="Item" totalsRowLabel="Total" dataDxfId="17" totalsRowDxfId="16"/>
    <tableColumn id="2" xr3:uid="{00000000-0010-0000-1000-000002000000}" name="Amount" totalsRowFunction="custom" dataDxfId="15" totalsRowDxfId="14">
      <totalsRowFormula>ROUND(SUM(tblGiftsDonations[Annual Total])/VLOOKUP(D5,TotalPeriods[],2,0),2)</totalsRowFormula>
    </tableColumn>
    <tableColumn id="3" xr3:uid="{00000000-0010-0000-1000-000003000000}" name="Period" dataDxfId="13" totalsRowDxfId="12"/>
  </tableColumns>
  <tableStyleInfo name="TableStyleLight1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1000000}" name="TotalPeriods" displayName="TotalPeriods" ref="A11:C15" totalsRowShown="0" headerRowDxfId="7" dataDxfId="5" headerRowBorderDxfId="6" tableBorderDxfId="4" totalsRowBorderDxfId="3">
  <autoFilter ref="A11:C15" xr:uid="{00000000-0009-0000-0100-000003000000}"/>
  <tableColumns count="3">
    <tableColumn id="1" xr3:uid="{00000000-0010-0000-1100-000001000000}" name="Period" dataDxfId="2"/>
    <tableColumn id="2" xr3:uid="{00000000-0010-0000-1100-000002000000}" name="Multiplier" dataDxfId="1"/>
    <tableColumn id="3" xr3:uid="{00000000-0010-0000-1100-000003000000}" name="Per" dataDxfId="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Savings" displayName="tblSavings" ref="A37:F55" headerRowDxfId="251" dataDxfId="249" totalsRowDxfId="247" headerRowBorderDxfId="250" tableBorderDxfId="248" totalsRowBorderDxfId="246">
  <autoFilter ref="A37:F55" xr:uid="{00000000-0009-0000-0100-000002000000}"/>
  <tableColumns count="6">
    <tableColumn id="6" xr3:uid="{00000000-0010-0000-0100-000006000000}" name="Code Value" dataDxfId="245" totalsRowDxfId="244"/>
    <tableColumn id="8" xr3:uid="{00000000-0010-0000-0100-000008000000}" name="Annual Total" dataDxfId="243" totalsRowDxfId="242">
      <calculatedColumnFormula>IFERROR(ROUND(tblSavings[[#This Row],[Amount]],2)*VLOOKUP(tblSavings[[#This Row],[Period]],Periods,2,0),"")</calculatedColumnFormula>
    </tableColumn>
    <tableColumn id="1" xr3:uid="{00000000-0010-0000-0100-000001000000}" name="Item" totalsRowLabel="Total" dataDxfId="241" totalsRowDxfId="240"/>
    <tableColumn id="2" xr3:uid="{00000000-0010-0000-0100-000002000000}" name="Amount" totalsRowFunction="custom" dataDxfId="239" totalsRowDxfId="238">
      <totalsRowFormula>ROUND(SUM(tblSavings[Annual Total])/VLOOKUP(D5,TotalPeriods[],2,0),2)</totalsRowFormula>
    </tableColumn>
    <tableColumn id="3" xr3:uid="{00000000-0010-0000-0100-000003000000}" name="Period" dataDxfId="237" totalsRowDxfId="236"/>
    <tableColumn id="7" xr3:uid="{00000000-0010-0000-0100-000007000000}" name="Type" dataDxfId="235" totalsRowDxfId="234"/>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blDebt" displayName="tblDebt" ref="A59:E74" headerRowDxfId="233" dataDxfId="231" totalsRowDxfId="229" headerRowBorderDxfId="232" tableBorderDxfId="230" totalsRowBorderDxfId="228">
  <autoFilter ref="A59:E74" xr:uid="{00000000-0009-0000-0100-000004000000}"/>
  <tableColumns count="5">
    <tableColumn id="6" xr3:uid="{00000000-0010-0000-0200-000006000000}" name="Code Value" dataDxfId="227" totalsRowDxfId="226"/>
    <tableColumn id="7" xr3:uid="{00000000-0010-0000-0200-000007000000}" name="Annual Total" dataDxfId="225" totalsRowDxfId="224">
      <calculatedColumnFormula>IFERROR(ROUND(tblDebt[[#This Row],[Amount]],2)*VLOOKUP(tblDebt[[#This Row],[Period]],Periods,2,0),"")</calculatedColumnFormula>
    </tableColumn>
    <tableColumn id="1" xr3:uid="{00000000-0010-0000-0200-000001000000}" name="Item" totalsRowLabel="Total" dataDxfId="223" totalsRowDxfId="222"/>
    <tableColumn id="2" xr3:uid="{00000000-0010-0000-0200-000002000000}" name="Amount" totalsRowFunction="custom" dataDxfId="221" totalsRowDxfId="220">
      <totalsRowFormula>ROUND(SUM(tblDebt[Annual Total])/VLOOKUP(D5,TotalPeriods[],2,0),2)</totalsRowFormula>
    </tableColumn>
    <tableColumn id="3" xr3:uid="{00000000-0010-0000-0200-000003000000}" name="Period" dataDxfId="219" totalsRowDxfId="218"/>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Housing" displayName="tblHousing" ref="A76:E100" headerRowDxfId="217" dataDxfId="215" totalsRowDxfId="213" headerRowBorderDxfId="216" tableBorderDxfId="214">
  <autoFilter ref="A76:E100" xr:uid="{00000000-0009-0000-0100-000006000000}"/>
  <tableColumns count="5">
    <tableColumn id="6" xr3:uid="{00000000-0010-0000-0300-000006000000}" name="Code Value" dataDxfId="212" totalsRowDxfId="211"/>
    <tableColumn id="7" xr3:uid="{00000000-0010-0000-0300-000007000000}" name="Annual Total" dataDxfId="210" totalsRowDxfId="209">
      <calculatedColumnFormula>IFERROR(ROUND(tblHousing[[#This Row],[Amount]],2)*VLOOKUP(tblHousing[[#This Row],[Period]],Periods,2,0),"")</calculatedColumnFormula>
    </tableColumn>
    <tableColumn id="1" xr3:uid="{00000000-0010-0000-0300-000001000000}" name="Item" totalsRowLabel="Total" dataDxfId="208" totalsRowDxfId="207"/>
    <tableColumn id="2" xr3:uid="{00000000-0010-0000-0300-000002000000}" name="Amount" totalsRowFunction="custom" dataDxfId="206" totalsRowDxfId="205">
      <totalsRowFormula>ROUND(SUM(tblHousing[Annual Total])/VLOOKUP(D5,TotalPeriods[],2,0),2)</totalsRowFormula>
    </tableColumn>
    <tableColumn id="3" xr3:uid="{00000000-0010-0000-0300-000003000000}" name="Period" dataDxfId="204" totalsRowDxfId="203"/>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Communications" displayName="tblCommunications" ref="A102:E118" headerRowDxfId="202" dataDxfId="200" totalsRowDxfId="198" headerRowBorderDxfId="201" tableBorderDxfId="199">
  <autoFilter ref="A102:E118" xr:uid="{00000000-0009-0000-0100-000007000000}"/>
  <tableColumns count="5">
    <tableColumn id="6" xr3:uid="{00000000-0010-0000-0400-000006000000}" name="Code Value" dataDxfId="197"/>
    <tableColumn id="7" xr3:uid="{00000000-0010-0000-0400-000007000000}" name="Annual Total" dataDxfId="196">
      <calculatedColumnFormula>IFERROR(ROUND(tblCommunications[[#This Row],[Amount]],2)*VLOOKUP(tblCommunications[[#This Row],[Period]],Periods,2,0),"")</calculatedColumnFormula>
    </tableColumn>
    <tableColumn id="1" xr3:uid="{00000000-0010-0000-0400-000001000000}" name="Item" totalsRowLabel="Total" dataDxfId="195"/>
    <tableColumn id="2" xr3:uid="{00000000-0010-0000-0400-000002000000}" name="Amount" totalsRowFunction="custom" dataDxfId="194">
      <totalsRowFormula>ROUND(SUM(tblCommunications[Annual Total])/VLOOKUP(D5,TotalPeriods[],2,0),2)</totalsRowFormula>
    </tableColumn>
    <tableColumn id="3" xr3:uid="{00000000-0010-0000-0400-000003000000}" name="Period" dataDxfId="193"/>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blFood" displayName="tblFood" ref="A120:E133" headerRowDxfId="192" dataDxfId="190" totalsRowDxfId="188" headerRowBorderDxfId="191" tableBorderDxfId="189" totalsRowBorderDxfId="187">
  <autoFilter ref="A120:E133" xr:uid="{00000000-0009-0000-0100-000008000000}"/>
  <tableColumns count="5">
    <tableColumn id="6" xr3:uid="{00000000-0010-0000-0500-000006000000}" name="Code Value" dataDxfId="186" totalsRowDxfId="185"/>
    <tableColumn id="7" xr3:uid="{00000000-0010-0000-0500-000007000000}" name="Annual Total" dataDxfId="184" totalsRowDxfId="183">
      <calculatedColumnFormula>IFERROR(ROUND(tblFood[[#This Row],[Amount]],2)*VLOOKUP(tblFood[[#This Row],[Period]],Periods,2,0),"")</calculatedColumnFormula>
    </tableColumn>
    <tableColumn id="1" xr3:uid="{00000000-0010-0000-0500-000001000000}" name="Item" totalsRowLabel="Total" dataDxfId="182" totalsRowDxfId="181"/>
    <tableColumn id="2" xr3:uid="{00000000-0010-0000-0500-000002000000}" name="Amount" totalsRowFunction="custom" dataDxfId="180" totalsRowDxfId="179">
      <totalsRowFormula>ROUND(SUM(tblFood[Annual Total])/VLOOKUP(D5,TotalPeriods[],2,0),2)</totalsRowFormula>
    </tableColumn>
    <tableColumn id="3" xr3:uid="{00000000-0010-0000-0500-000003000000}" name="Period" dataDxfId="178" totalsRowDxfId="177"/>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blInsurance" displayName="tblInsurance" ref="A135:E149" headerRowDxfId="176" dataDxfId="174" totalsRowDxfId="172" headerRowBorderDxfId="175" tableBorderDxfId="173">
  <autoFilter ref="A135:E149" xr:uid="{00000000-0009-0000-0100-000009000000}"/>
  <tableColumns count="5">
    <tableColumn id="6" xr3:uid="{00000000-0010-0000-0600-000006000000}" name="Code Value" dataDxfId="171" totalsRowDxfId="170"/>
    <tableColumn id="7" xr3:uid="{00000000-0010-0000-0600-000007000000}" name="Annual Total" dataDxfId="169" totalsRowDxfId="168">
      <calculatedColumnFormula>IFERROR(ROUND(tblInsurance[[#This Row],[Amount]],2)*VLOOKUP(tblInsurance[[#This Row],[Period]],Periods,2,0),"")</calculatedColumnFormula>
    </tableColumn>
    <tableColumn id="1" xr3:uid="{00000000-0010-0000-0600-000001000000}" name="Item" totalsRowLabel="Total" dataDxfId="167" totalsRowDxfId="166"/>
    <tableColumn id="2" xr3:uid="{00000000-0010-0000-0600-000002000000}" name="Amount" totalsRowFunction="custom" dataDxfId="165" totalsRowDxfId="164">
      <totalsRowFormula>ROUND(SUM(tblInsurance[Annual Total])/VLOOKUP(D5,TotalPeriods[],2,0),2)</totalsRowFormula>
    </tableColumn>
    <tableColumn id="3" xr3:uid="{00000000-0010-0000-0600-000003000000}" name="Period" dataDxfId="163" totalsRowDxfId="162"/>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blTransportation" displayName="tblTransportation" ref="A151:E170" headerRowDxfId="161" dataDxfId="159" totalsRowDxfId="157" headerRowBorderDxfId="160" tableBorderDxfId="158">
  <autoFilter ref="A151:E170" xr:uid="{00000000-0009-0000-0100-00000A000000}"/>
  <tableColumns count="5">
    <tableColumn id="6" xr3:uid="{00000000-0010-0000-0700-000006000000}" name="Code Value" dataDxfId="156" totalsRowDxfId="155"/>
    <tableColumn id="7" xr3:uid="{00000000-0010-0000-0700-000007000000}" name="Annual Total" dataDxfId="154" totalsRowDxfId="153">
      <calculatedColumnFormula>IFERROR(ROUND(tblTransportation[[#This Row],[Amount]],2)*VLOOKUP(tblTransportation[[#This Row],[Period]],Periods,2,0),"")</calculatedColumnFormula>
    </tableColumn>
    <tableColumn id="1" xr3:uid="{00000000-0010-0000-0700-000001000000}" name="Item" totalsRowLabel="Total" dataDxfId="152" totalsRowDxfId="151"/>
    <tableColumn id="2" xr3:uid="{00000000-0010-0000-0700-000002000000}" name="Amount" totalsRowFunction="custom" dataDxfId="150" totalsRowDxfId="149">
      <totalsRowFormula>D150</totalsRowFormula>
    </tableColumn>
    <tableColumn id="3" xr3:uid="{00000000-0010-0000-0700-000003000000}" name="Period" dataDxfId="148" totalsRowDxfId="14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blChildcare" displayName="tblChildcare" ref="A172:E187" headerRowDxfId="146" dataDxfId="144" totalsRowDxfId="142" headerRowBorderDxfId="145" tableBorderDxfId="143">
  <autoFilter ref="A172:E187" xr:uid="{00000000-0009-0000-0100-00000B000000}"/>
  <tableColumns count="5">
    <tableColumn id="6" xr3:uid="{00000000-0010-0000-0800-000006000000}" name="Code Value" dataDxfId="141" totalsRowDxfId="140"/>
    <tableColumn id="7" xr3:uid="{00000000-0010-0000-0800-000007000000}" name="Annual Total" dataDxfId="139" totalsRowDxfId="138">
      <calculatedColumnFormula>IFERROR(ROUND(tblChildcare[[#This Row],[Amount]],2)*VLOOKUP(tblChildcare[[#This Row],[Period]],Periods,2,0),"")</calculatedColumnFormula>
    </tableColumn>
    <tableColumn id="1" xr3:uid="{00000000-0010-0000-0800-000001000000}" name="Item" totalsRowLabel="Total" dataDxfId="137" totalsRowDxfId="136"/>
    <tableColumn id="2" xr3:uid="{00000000-0010-0000-0800-000002000000}" name="Amount" totalsRowFunction="custom" dataDxfId="135" totalsRowDxfId="134">
      <totalsRowFormula>ROUND(SUM(tblChildcare[Annual Total])/VLOOKUP(D5,TotalPeriods[],2,0),2)</totalsRowFormula>
    </tableColumn>
    <tableColumn id="3" xr3:uid="{00000000-0010-0000-0800-000003000000}" name="Period" dataDxfId="133" totalsRowDxfId="13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13" Type="http://schemas.openxmlformats.org/officeDocument/2006/relationships/table" Target="../tables/table10.xml"/><Relationship Id="rId18" Type="http://schemas.openxmlformats.org/officeDocument/2006/relationships/table" Target="../tables/table15.xml"/><Relationship Id="rId3" Type="http://schemas.openxmlformats.org/officeDocument/2006/relationships/vmlDrawing" Target="../drawings/vmlDrawing1.vml"/><Relationship Id="rId21" Type="http://schemas.openxmlformats.org/officeDocument/2006/relationships/comments" Target="../comments1.xml"/><Relationship Id="rId7" Type="http://schemas.openxmlformats.org/officeDocument/2006/relationships/table" Target="../tables/table4.xml"/><Relationship Id="rId12" Type="http://schemas.openxmlformats.org/officeDocument/2006/relationships/table" Target="../tables/table9.xml"/><Relationship Id="rId17" Type="http://schemas.openxmlformats.org/officeDocument/2006/relationships/table" Target="../tables/table14.xml"/><Relationship Id="rId2" Type="http://schemas.openxmlformats.org/officeDocument/2006/relationships/drawing" Target="../drawings/drawing1.xml"/><Relationship Id="rId16" Type="http://schemas.openxmlformats.org/officeDocument/2006/relationships/table" Target="../tables/table13.xml"/><Relationship Id="rId20" Type="http://schemas.openxmlformats.org/officeDocument/2006/relationships/table" Target="../tables/table17.xml"/><Relationship Id="rId1" Type="http://schemas.openxmlformats.org/officeDocument/2006/relationships/hyperlink" Target="https://itools-ioutils.fcac-acfc.gc.ca/BP-PB/budget-planner-tool?uid=bd0be845-4d4d-4f54-837e-bd42a139f9b6" TargetMode="External"/><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5" Type="http://schemas.openxmlformats.org/officeDocument/2006/relationships/table" Target="../tables/table12.xml"/><Relationship Id="rId10" Type="http://schemas.openxmlformats.org/officeDocument/2006/relationships/table" Target="../tables/table7.xml"/><Relationship Id="rId19" Type="http://schemas.openxmlformats.org/officeDocument/2006/relationships/table" Target="../tables/table16.xml"/><Relationship Id="rId4" Type="http://schemas.openxmlformats.org/officeDocument/2006/relationships/table" Target="../tables/table1.xml"/><Relationship Id="rId9" Type="http://schemas.openxmlformats.org/officeDocument/2006/relationships/table" Target="../tables/table6.xml"/><Relationship Id="rId14"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heetPr>
  <dimension ref="A1:Z323"/>
  <sheetViews>
    <sheetView showGridLines="0" tabSelected="1" zoomScaleNormal="100" workbookViewId="0">
      <pane ySplit="8" topLeftCell="A9" activePane="bottomLeft" state="frozen"/>
      <selection activeCell="C1" sqref="C1"/>
      <selection pane="bottomLeft" activeCell="C19" sqref="C19"/>
    </sheetView>
  </sheetViews>
  <sheetFormatPr defaultColWidth="9.109375" defaultRowHeight="14.4" x14ac:dyDescent="0.3"/>
  <cols>
    <col min="1" max="1" width="23" style="44" bestFit="1" customWidth="1"/>
    <col min="2" max="2" width="15.33203125" style="44" bestFit="1" customWidth="1"/>
    <col min="3" max="3" width="30.44140625" style="44" bestFit="1" customWidth="1"/>
    <col min="4" max="4" width="19.6640625" style="44" customWidth="1"/>
    <col min="5" max="5" width="22.6640625" style="44" customWidth="1"/>
    <col min="6" max="6" width="19.6640625" style="44" customWidth="1"/>
    <col min="7" max="7" width="22.6640625" style="44" customWidth="1"/>
    <col min="8" max="8" width="19.6640625" style="44" customWidth="1"/>
    <col min="9" max="9" width="22.6640625" style="44" customWidth="1"/>
    <col min="10" max="10" width="19.6640625" style="44" customWidth="1"/>
    <col min="11" max="11" width="22.6640625" style="44" customWidth="1"/>
    <col min="12" max="12" width="19.6640625" style="44" customWidth="1"/>
    <col min="13" max="13" width="9.109375" style="44" customWidth="1"/>
    <col min="14" max="14" width="8.88671875"/>
    <col min="15" max="15" width="9.5546875" style="127" customWidth="1"/>
    <col min="16" max="24" width="9.6640625" style="43" customWidth="1"/>
    <col min="25" max="25" width="0.109375" style="111" customWidth="1"/>
    <col min="26" max="26" width="0.109375" style="43" customWidth="1"/>
    <col min="27" max="27" width="9.109375" style="44" customWidth="1"/>
    <col min="28" max="16384" width="9.109375" style="44"/>
  </cols>
  <sheetData>
    <row r="1" spans="1:26" ht="24.9" customHeight="1" x14ac:dyDescent="0.3">
      <c r="A1" s="42" t="s">
        <v>0</v>
      </c>
      <c r="B1" s="110" t="s">
        <v>1</v>
      </c>
      <c r="C1" s="128" t="s">
        <v>2</v>
      </c>
      <c r="D1" s="128"/>
      <c r="E1" s="128"/>
      <c r="F1" s="128"/>
      <c r="G1" s="128"/>
      <c r="H1" s="128"/>
      <c r="I1" s="128"/>
      <c r="J1" s="128"/>
      <c r="K1" s="128"/>
      <c r="L1" s="128"/>
      <c r="M1" s="121"/>
      <c r="N1" s="121"/>
      <c r="O1" s="122"/>
      <c r="Y1" s="111" t="s">
        <v>3</v>
      </c>
    </row>
    <row r="2" spans="1:26" ht="30" customHeight="1" x14ac:dyDescent="0.3">
      <c r="A2" s="45"/>
      <c r="B2" s="45"/>
      <c r="C2" s="46" t="s">
        <v>4</v>
      </c>
      <c r="D2" s="130" t="str">
        <f>IF(Life="", "None",CONCATENATE(Life, ", ",F3,", ",Work,", ",Home, ", ",Goal))</f>
        <v>None</v>
      </c>
      <c r="E2" s="130"/>
      <c r="F2" s="46"/>
      <c r="G2" s="47"/>
      <c r="H2" s="109" t="str">
        <f>IF(Life="",Y2,Y1)</f>
        <v>To personalize your budget, use the online Budget Planner at</v>
      </c>
      <c r="I2" s="131" t="s">
        <v>5</v>
      </c>
      <c r="J2" s="131"/>
      <c r="K2" s="131"/>
      <c r="L2" s="131"/>
      <c r="M2" s="48"/>
      <c r="N2" s="48"/>
      <c r="O2" s="123"/>
      <c r="Y2" s="111" t="s">
        <v>6</v>
      </c>
    </row>
    <row r="3" spans="1:26" ht="15.9" hidden="1" customHeight="1" x14ac:dyDescent="0.3">
      <c r="A3" s="45" t="s">
        <v>7</v>
      </c>
      <c r="B3" s="45">
        <f>SUM(tblIncome[Annual Total])</f>
        <v>0</v>
      </c>
      <c r="C3" s="49" t="s">
        <v>8</v>
      </c>
      <c r="D3" s="50"/>
      <c r="E3" s="49" t="s">
        <v>9</v>
      </c>
      <c r="F3" s="50"/>
      <c r="G3" s="49" t="s">
        <v>10</v>
      </c>
      <c r="H3" s="50"/>
      <c r="I3" s="49" t="s">
        <v>11</v>
      </c>
      <c r="J3" s="50"/>
      <c r="K3" s="49" t="s">
        <v>12</v>
      </c>
      <c r="L3" s="50"/>
      <c r="M3" s="50"/>
      <c r="N3" s="50"/>
      <c r="O3" s="124"/>
      <c r="Y3" s="112"/>
    </row>
    <row r="4" spans="1:26" ht="3.75" customHeight="1" x14ac:dyDescent="0.3">
      <c r="A4" s="45"/>
      <c r="B4" s="45"/>
      <c r="C4" s="51"/>
      <c r="D4" s="52"/>
      <c r="E4" s="51"/>
      <c r="F4" s="52"/>
      <c r="G4" s="51"/>
      <c r="H4" s="52"/>
      <c r="I4" s="51"/>
      <c r="J4" s="52"/>
      <c r="K4" s="51"/>
      <c r="L4" s="52"/>
      <c r="M4" s="52"/>
      <c r="N4" s="52"/>
      <c r="O4" s="125"/>
      <c r="Y4" s="112"/>
    </row>
    <row r="5" spans="1:26" ht="15.9" customHeight="1" x14ac:dyDescent="0.3">
      <c r="A5" s="45"/>
      <c r="B5" s="45"/>
      <c r="C5" s="51" t="s">
        <v>13</v>
      </c>
      <c r="D5" s="53" t="s">
        <v>14</v>
      </c>
      <c r="E5" s="51" t="s">
        <v>15</v>
      </c>
      <c r="F5" s="54">
        <f>D10</f>
        <v>0</v>
      </c>
      <c r="G5" s="51" t="s">
        <v>16</v>
      </c>
      <c r="H5" s="54">
        <f>D36</f>
        <v>0</v>
      </c>
      <c r="I5" s="51" t="s">
        <v>17</v>
      </c>
      <c r="J5" s="54">
        <f>D57</f>
        <v>0</v>
      </c>
      <c r="K5" s="51" t="s">
        <v>18</v>
      </c>
      <c r="L5" s="54">
        <f>F5-H5-J5</f>
        <v>0</v>
      </c>
      <c r="M5" s="55"/>
      <c r="N5" s="55"/>
      <c r="O5" s="126"/>
      <c r="Y5" s="113"/>
    </row>
    <row r="6" spans="1:26" ht="3.75" customHeight="1" x14ac:dyDescent="0.3">
      <c r="A6" s="45"/>
      <c r="B6" s="45"/>
      <c r="C6" s="51"/>
      <c r="D6" s="56"/>
      <c r="E6" s="51"/>
      <c r="F6" s="55"/>
      <c r="G6" s="51"/>
      <c r="H6" s="55"/>
      <c r="I6" s="51"/>
      <c r="J6" s="55"/>
      <c r="K6" s="51"/>
      <c r="L6" s="55"/>
      <c r="M6" s="55"/>
      <c r="N6" s="55"/>
      <c r="O6" s="126"/>
      <c r="Y6" s="113"/>
    </row>
    <row r="7" spans="1:26" ht="26.1" customHeight="1" x14ac:dyDescent="0.3">
      <c r="A7" s="45"/>
      <c r="B7" s="45"/>
      <c r="C7" s="51"/>
      <c r="D7" s="132" t="str">
        <f>IF(IncomeTotal&gt;0,IF(BalanceTotal&gt;0,Z9,IF(BalanceTotal=0,Z10,IF(BalanceTotal&lt;0,Z11,""))), "")</f>
        <v/>
      </c>
      <c r="E7" s="132"/>
      <c r="F7" s="119" t="str">
        <f>IF(IncomeTotal&gt;0, " You make " &amp; DOLLAR(IncomeTotal,2) &amp; " " &amp; VLOOKUP(D5,TotalPeriods[],3,0)  &amp; " , you spend " &amp; DOLLAR(ExpensesTotal,2) &amp; " and save " &amp; DOLLAR(SavingsTotal,2) &amp; ".","")</f>
        <v/>
      </c>
      <c r="G7" s="120"/>
      <c r="H7" s="120"/>
      <c r="I7" s="120"/>
      <c r="J7" s="120"/>
      <c r="K7" s="117"/>
      <c r="L7" s="118"/>
      <c r="M7" s="55"/>
      <c r="N7" s="55"/>
      <c r="O7" s="126"/>
      <c r="Y7" s="113"/>
    </row>
    <row r="8" spans="1:26" ht="3.75" customHeight="1" x14ac:dyDescent="0.3">
      <c r="A8" s="45"/>
      <c r="B8" s="45"/>
      <c r="C8" s="51"/>
      <c r="D8" s="56"/>
      <c r="E8" s="51"/>
      <c r="F8" s="55"/>
      <c r="G8" s="51"/>
      <c r="H8" s="55"/>
      <c r="I8" s="51"/>
      <c r="J8" s="55"/>
      <c r="K8" s="51"/>
      <c r="L8" s="55"/>
      <c r="M8" s="55"/>
      <c r="N8" s="55"/>
      <c r="O8" s="126"/>
      <c r="Y8" s="113"/>
    </row>
    <row r="9" spans="1:26" ht="15" customHeight="1" x14ac:dyDescent="0.3">
      <c r="Z9" s="43" t="s">
        <v>19</v>
      </c>
    </row>
    <row r="10" spans="1:26" ht="27" customHeight="1" x14ac:dyDescent="0.3">
      <c r="A10" s="57"/>
      <c r="B10" s="57" t="str">
        <f>IF(IncomeTotal=0,"",IncomeTotal)</f>
        <v/>
      </c>
      <c r="C10" s="57" t="s">
        <v>20</v>
      </c>
      <c r="D10" s="57">
        <f>ROUND(SUM(tblIncome[Annual Total])/VLOOKUP(D5,TotalPeriods[],2,0),2)</f>
        <v>0</v>
      </c>
      <c r="E10" s="58">
        <f>D10</f>
        <v>0</v>
      </c>
      <c r="F10" s="129" t="str">
        <f>IF(D10=0,RulesOfThumb!K2,"")</f>
        <v>Make sure you enter your income</v>
      </c>
      <c r="G10" s="129"/>
      <c r="Z10" s="43" t="s">
        <v>21</v>
      </c>
    </row>
    <row r="11" spans="1:26" ht="15" customHeight="1" x14ac:dyDescent="0.3">
      <c r="A11" s="59" t="s">
        <v>22</v>
      </c>
      <c r="B11" s="59" t="s">
        <v>23</v>
      </c>
      <c r="C11" s="59" t="s">
        <v>24</v>
      </c>
      <c r="D11" s="59" t="s">
        <v>25</v>
      </c>
      <c r="E11" s="59" t="s">
        <v>26</v>
      </c>
      <c r="G11" s="133" t="str">
        <f>IF(IncomeTotal&gt;0,Y11,Y12)</f>
        <v>Enter your income in order to view your graphics.</v>
      </c>
      <c r="H11" s="134"/>
      <c r="I11" s="134"/>
      <c r="J11" s="134"/>
      <c r="K11" s="134"/>
      <c r="L11" s="134"/>
      <c r="M11" s="134"/>
      <c r="N11" s="134"/>
      <c r="O11" s="135"/>
      <c r="Y11" s="111" t="s">
        <v>27</v>
      </c>
      <c r="Z11" s="43" t="s">
        <v>28</v>
      </c>
    </row>
    <row r="12" spans="1:26" ht="15" customHeight="1" x14ac:dyDescent="0.3">
      <c r="A12" s="60" t="s">
        <v>29</v>
      </c>
      <c r="B12" s="60">
        <f>IFERROR(ROUND(tblIncome[[#This Row],[Amount]],2)*VLOOKUP(tblIncome[[#This Row],[Period]],Periods,2,0),"")</f>
        <v>0</v>
      </c>
      <c r="C12" s="60" t="s">
        <v>30</v>
      </c>
      <c r="D12" s="61">
        <v>0</v>
      </c>
      <c r="E12" s="61" t="s">
        <v>31</v>
      </c>
      <c r="G12" s="133"/>
      <c r="H12" s="134"/>
      <c r="I12" s="134"/>
      <c r="J12" s="134"/>
      <c r="K12" s="134"/>
      <c r="L12" s="134"/>
      <c r="M12" s="134"/>
      <c r="N12" s="134"/>
      <c r="O12" s="135"/>
      <c r="Y12" s="111" t="s">
        <v>32</v>
      </c>
    </row>
    <row r="13" spans="1:26" x14ac:dyDescent="0.3">
      <c r="A13" s="60" t="s">
        <v>33</v>
      </c>
      <c r="B13" s="60">
        <f>IFERROR(ROUND(tblIncome[[#This Row],[Amount]],2)*VLOOKUP(tblIncome[[#This Row],[Period]],Periods,2,0),"")</f>
        <v>0</v>
      </c>
      <c r="C13" s="60" t="s">
        <v>34</v>
      </c>
      <c r="D13" s="61">
        <v>0</v>
      </c>
      <c r="E13" s="61" t="s">
        <v>31</v>
      </c>
    </row>
    <row r="14" spans="1:26" x14ac:dyDescent="0.3">
      <c r="A14" s="60" t="s">
        <v>35</v>
      </c>
      <c r="B14" s="60">
        <f>IFERROR(ROUND(tblIncome[[#This Row],[Amount]],2)*VLOOKUP(tblIncome[[#This Row],[Period]],Periods,2,0),"")</f>
        <v>0</v>
      </c>
      <c r="C14" s="60" t="s">
        <v>36</v>
      </c>
      <c r="D14" s="61">
        <v>0</v>
      </c>
      <c r="E14" s="61" t="s">
        <v>31</v>
      </c>
    </row>
    <row r="15" spans="1:26" x14ac:dyDescent="0.3">
      <c r="A15" s="60" t="s">
        <v>37</v>
      </c>
      <c r="B15" s="60">
        <f>IFERROR(ROUND(tblIncome[[#This Row],[Amount]],2)*VLOOKUP(tblIncome[[#This Row],[Period]],Periods,2,0),"")</f>
        <v>0</v>
      </c>
      <c r="C15" s="60" t="s">
        <v>38</v>
      </c>
      <c r="D15" s="61">
        <v>0</v>
      </c>
      <c r="E15" s="61" t="s">
        <v>14</v>
      </c>
    </row>
    <row r="16" spans="1:26" x14ac:dyDescent="0.3">
      <c r="A16" s="60" t="s">
        <v>39</v>
      </c>
      <c r="B16" s="60">
        <f>IFERROR(ROUND(tblIncome[[#This Row],[Amount]],2)*VLOOKUP(tblIncome[[#This Row],[Period]],Periods,2,0),"")</f>
        <v>0</v>
      </c>
      <c r="C16" s="60" t="s">
        <v>40</v>
      </c>
      <c r="D16" s="61">
        <v>0</v>
      </c>
      <c r="E16" s="61" t="s">
        <v>14</v>
      </c>
    </row>
    <row r="17" spans="1:5" x14ac:dyDescent="0.3">
      <c r="A17" s="60" t="s">
        <v>41</v>
      </c>
      <c r="B17" s="60">
        <f>IFERROR(ROUND(tblIncome[[#This Row],[Amount]],2)*VLOOKUP(tblIncome[[#This Row],[Period]],Periods,2,0),"")</f>
        <v>0</v>
      </c>
      <c r="C17" s="60" t="s">
        <v>42</v>
      </c>
      <c r="D17" s="61">
        <v>0</v>
      </c>
      <c r="E17" s="61" t="s">
        <v>14</v>
      </c>
    </row>
    <row r="18" spans="1:5" x14ac:dyDescent="0.3">
      <c r="A18" s="60" t="s">
        <v>43</v>
      </c>
      <c r="B18" s="60">
        <f>IFERROR(ROUND(tblIncome[[#This Row],[Amount]],2)*VLOOKUP(tblIncome[[#This Row],[Period]],Periods,2,0),"")</f>
        <v>0</v>
      </c>
      <c r="C18" s="60" t="s">
        <v>44</v>
      </c>
      <c r="D18" s="61">
        <v>0</v>
      </c>
      <c r="E18" s="61" t="s">
        <v>14</v>
      </c>
    </row>
    <row r="19" spans="1:5" x14ac:dyDescent="0.3">
      <c r="A19" s="60" t="s">
        <v>45</v>
      </c>
      <c r="B19" s="60">
        <f>IFERROR(ROUND(tblIncome[[#This Row],[Amount]],2)*VLOOKUP(tblIncome[[#This Row],[Period]],Periods,2,0),"")</f>
        <v>0</v>
      </c>
      <c r="C19" s="60" t="s">
        <v>46</v>
      </c>
      <c r="D19" s="61">
        <v>0</v>
      </c>
      <c r="E19" s="61" t="s">
        <v>14</v>
      </c>
    </row>
    <row r="20" spans="1:5" x14ac:dyDescent="0.3">
      <c r="A20" s="60" t="s">
        <v>47</v>
      </c>
      <c r="B20" s="60">
        <f>IFERROR(ROUND(tblIncome[[#This Row],[Amount]],2)*VLOOKUP(tblIncome[[#This Row],[Period]],Periods,2,0),"")</f>
        <v>0</v>
      </c>
      <c r="C20" s="60" t="s">
        <v>48</v>
      </c>
      <c r="D20" s="61">
        <v>0</v>
      </c>
      <c r="E20" s="61" t="s">
        <v>14</v>
      </c>
    </row>
    <row r="21" spans="1:5" x14ac:dyDescent="0.3">
      <c r="A21" s="60" t="s">
        <v>49</v>
      </c>
      <c r="B21" s="60">
        <f>IFERROR(ROUND(tblIncome[[#This Row],[Amount]],2)*VLOOKUP(tblIncome[[#This Row],[Period]],Periods,2,0),"")</f>
        <v>0</v>
      </c>
      <c r="C21" s="60" t="s">
        <v>50</v>
      </c>
      <c r="D21" s="61">
        <v>0</v>
      </c>
      <c r="E21" s="61" t="s">
        <v>14</v>
      </c>
    </row>
    <row r="22" spans="1:5" x14ac:dyDescent="0.3">
      <c r="A22" s="60" t="s">
        <v>51</v>
      </c>
      <c r="B22" s="60">
        <f>IFERROR(ROUND(tblIncome[[#This Row],[Amount]],2)*VLOOKUP(tblIncome[[#This Row],[Period]],Periods,2,0),"")</f>
        <v>0</v>
      </c>
      <c r="C22" s="60" t="s">
        <v>52</v>
      </c>
      <c r="D22" s="61">
        <v>0</v>
      </c>
      <c r="E22" s="61" t="s">
        <v>14</v>
      </c>
    </row>
    <row r="23" spans="1:5" x14ac:dyDescent="0.3">
      <c r="A23" s="60" t="s">
        <v>53</v>
      </c>
      <c r="B23" s="60">
        <f>IFERROR(ROUND(tblIncome[[#This Row],[Amount]],2)*VLOOKUP(tblIncome[[#This Row],[Period]],Periods,2,0),"")</f>
        <v>0</v>
      </c>
      <c r="C23" s="60" t="s">
        <v>54</v>
      </c>
      <c r="D23" s="61">
        <v>0</v>
      </c>
      <c r="E23" s="61" t="s">
        <v>14</v>
      </c>
    </row>
    <row r="24" spans="1:5" x14ac:dyDescent="0.3">
      <c r="A24" s="62"/>
      <c r="B24" s="62" t="str">
        <f>IFERROR(ROUND(tblIncome[[#This Row],[Amount]],2)*VLOOKUP(tblIncome[[#This Row],[Period]],Periods,2,0),"")</f>
        <v/>
      </c>
      <c r="C24" s="63" t="s">
        <v>55</v>
      </c>
      <c r="D24" s="64"/>
      <c r="E24" s="64"/>
    </row>
    <row r="25" spans="1:5" x14ac:dyDescent="0.3">
      <c r="A25" s="60"/>
      <c r="B25" s="60">
        <f>IFERROR(ROUND(tblIncome[[#This Row],[Amount]],2)*VLOOKUP(tblIncome[[#This Row],[Period]],Periods,2,0),"")</f>
        <v>0</v>
      </c>
      <c r="C25" s="61" t="s">
        <v>56</v>
      </c>
      <c r="D25" s="61">
        <v>0</v>
      </c>
      <c r="E25" s="61" t="s">
        <v>14</v>
      </c>
    </row>
    <row r="26" spans="1:5" x14ac:dyDescent="0.3">
      <c r="A26" s="60"/>
      <c r="B26" s="60">
        <f>IFERROR(ROUND(tblIncome[[#This Row],[Amount]],2)*VLOOKUP(tblIncome[[#This Row],[Period]],Periods,2,0),"")</f>
        <v>0</v>
      </c>
      <c r="C26" s="61" t="s">
        <v>56</v>
      </c>
      <c r="D26" s="61">
        <v>0</v>
      </c>
      <c r="E26" s="61" t="s">
        <v>14</v>
      </c>
    </row>
    <row r="27" spans="1:5" x14ac:dyDescent="0.3">
      <c r="A27" s="60"/>
      <c r="B27" s="60">
        <f>IFERROR(ROUND(tblIncome[[#This Row],[Amount]],2)*VLOOKUP(tblIncome[[#This Row],[Period]],Periods,2,0),"")</f>
        <v>0</v>
      </c>
      <c r="C27" s="61" t="s">
        <v>56</v>
      </c>
      <c r="D27" s="61">
        <v>0</v>
      </c>
      <c r="E27" s="61" t="s">
        <v>14</v>
      </c>
    </row>
    <row r="28" spans="1:5" x14ac:dyDescent="0.3">
      <c r="A28" s="60"/>
      <c r="B28" s="60">
        <f>IFERROR(ROUND(tblIncome[[#This Row],[Amount]],2)*VLOOKUP(tblIncome[[#This Row],[Period]],Periods,2,0),"")</f>
        <v>0</v>
      </c>
      <c r="C28" s="61" t="s">
        <v>56</v>
      </c>
      <c r="D28" s="61">
        <v>0</v>
      </c>
      <c r="E28" s="61" t="s">
        <v>14</v>
      </c>
    </row>
    <row r="29" spans="1:5" x14ac:dyDescent="0.3">
      <c r="A29" s="60"/>
      <c r="B29" s="60">
        <f>IFERROR(ROUND(tblIncome[[#This Row],[Amount]],2)*VLOOKUP(tblIncome[[#This Row],[Period]],Periods,2,0),"")</f>
        <v>0</v>
      </c>
      <c r="C29" s="61" t="s">
        <v>56</v>
      </c>
      <c r="D29" s="61">
        <v>0</v>
      </c>
      <c r="E29" s="61" t="s">
        <v>14</v>
      </c>
    </row>
    <row r="30" spans="1:5" x14ac:dyDescent="0.3">
      <c r="A30" s="60"/>
      <c r="B30" s="60">
        <f>IFERROR(ROUND(tblIncome[[#This Row],[Amount]],2)*VLOOKUP(tblIncome[[#This Row],[Period]],Periods,2,0),"")</f>
        <v>0</v>
      </c>
      <c r="C30" s="61" t="s">
        <v>56</v>
      </c>
      <c r="D30" s="61">
        <v>0</v>
      </c>
      <c r="E30" s="61" t="s">
        <v>14</v>
      </c>
    </row>
    <row r="31" spans="1:5" x14ac:dyDescent="0.3">
      <c r="A31" s="60"/>
      <c r="B31" s="60">
        <f>IFERROR(ROUND(tblIncome[[#This Row],[Amount]],2)*VLOOKUP(tblIncome[[#This Row],[Period]],Periods,2,0),"")</f>
        <v>0</v>
      </c>
      <c r="C31" s="61" t="s">
        <v>56</v>
      </c>
      <c r="D31" s="61">
        <v>0</v>
      </c>
      <c r="E31" s="61" t="s">
        <v>14</v>
      </c>
    </row>
    <row r="32" spans="1:5" x14ac:dyDescent="0.3">
      <c r="A32" s="60"/>
      <c r="B32" s="60">
        <f>IFERROR(ROUND(tblIncome[[#This Row],[Amount]],2)*VLOOKUP(tblIncome[[#This Row],[Period]],Periods,2,0),"")</f>
        <v>0</v>
      </c>
      <c r="C32" s="61" t="s">
        <v>56</v>
      </c>
      <c r="D32" s="61">
        <v>0</v>
      </c>
      <c r="E32" s="61" t="s">
        <v>14</v>
      </c>
    </row>
    <row r="33" spans="1:25" x14ac:dyDescent="0.3">
      <c r="A33" s="60"/>
      <c r="B33" s="60">
        <f>IFERROR(ROUND(tblIncome[[#This Row],[Amount]],2)*VLOOKUP(tblIncome[[#This Row],[Period]],Periods,2,0),"")</f>
        <v>0</v>
      </c>
      <c r="C33" s="61" t="s">
        <v>56</v>
      </c>
      <c r="D33" s="61">
        <v>0</v>
      </c>
      <c r="E33" s="61" t="s">
        <v>14</v>
      </c>
    </row>
    <row r="34" spans="1:25" x14ac:dyDescent="0.3">
      <c r="A34" s="65"/>
      <c r="B34" s="66">
        <f>IFERROR(ROUND(tblIncome[[#This Row],[Amount]],2)*VLOOKUP(tblIncome[[#This Row],[Period]],Periods,2,0),"")</f>
        <v>0</v>
      </c>
      <c r="C34" s="67" t="s">
        <v>56</v>
      </c>
      <c r="D34" s="61">
        <v>0</v>
      </c>
      <c r="E34" s="67" t="s">
        <v>14</v>
      </c>
    </row>
    <row r="36" spans="1:25" ht="24" customHeight="1" x14ac:dyDescent="0.3">
      <c r="A36" s="68"/>
      <c r="B36" s="69" t="str">
        <f>DOLLAR(D36, 2) &amp; IF(IncomeTotal &gt; 0, CHAR(10) &amp;"(" &amp; ROUND((D36/ IncomeTotal)  *100,0) &amp; "%)", "")</f>
        <v>$0.00</v>
      </c>
      <c r="C36" s="69" t="s">
        <v>57</v>
      </c>
      <c r="D36" s="69">
        <f>ROUND(SUM(tblSavings[Annual Total])/VLOOKUP(D5,TotalPeriods[],2,0),2)</f>
        <v>0</v>
      </c>
      <c r="E36" s="70"/>
      <c r="F36" s="71" t="str">
        <f>IF(D10&gt;0,IFERROR(D36/D10,0),"")</f>
        <v/>
      </c>
      <c r="G36" s="129" t="str">
        <f>IF(D10&gt;0,IF(F36&gt;0,IF(F36&gt;=RulesOfThumb!C3,RulesOfThumb!B3,IF(AND(F36&gt;0,F36&lt;RulesOfThumb!G3),RulesOfThumb!E3,"")),RulesOfThumb!K3),"")</f>
        <v/>
      </c>
      <c r="H36" s="129"/>
    </row>
    <row r="37" spans="1:25" x14ac:dyDescent="0.3">
      <c r="A37" s="59" t="s">
        <v>22</v>
      </c>
      <c r="B37" s="59" t="s">
        <v>23</v>
      </c>
      <c r="C37" s="59" t="s">
        <v>24</v>
      </c>
      <c r="D37" s="59" t="s">
        <v>25</v>
      </c>
      <c r="E37" s="59" t="s">
        <v>26</v>
      </c>
      <c r="F37" s="59" t="s">
        <v>58</v>
      </c>
    </row>
    <row r="38" spans="1:25" x14ac:dyDescent="0.3">
      <c r="A38" s="60" t="s">
        <v>59</v>
      </c>
      <c r="B38" s="60">
        <f>IFERROR(ROUND(tblSavings[[#This Row],[Amount]],2)*VLOOKUP(tblSavings[[#This Row],[Period]],Periods,2,0),"")</f>
        <v>0</v>
      </c>
      <c r="C38" s="60" t="s">
        <v>60</v>
      </c>
      <c r="D38" s="61">
        <v>0</v>
      </c>
      <c r="E38" s="61" t="s">
        <v>14</v>
      </c>
      <c r="F38" s="61" t="s">
        <v>61</v>
      </c>
    </row>
    <row r="39" spans="1:25" x14ac:dyDescent="0.3">
      <c r="A39" s="60" t="s">
        <v>62</v>
      </c>
      <c r="B39" s="60">
        <f>IFERROR(ROUND(tblSavings[[#This Row],[Amount]],2)*VLOOKUP(tblSavings[[#This Row],[Period]],Periods,2,0),"")</f>
        <v>0</v>
      </c>
      <c r="C39" s="60" t="s">
        <v>63</v>
      </c>
      <c r="D39" s="61">
        <v>0</v>
      </c>
      <c r="E39" s="61" t="s">
        <v>14</v>
      </c>
      <c r="F39" s="61" t="s">
        <v>64</v>
      </c>
    </row>
    <row r="40" spans="1:25" x14ac:dyDescent="0.3">
      <c r="A40" s="60" t="s">
        <v>65</v>
      </c>
      <c r="B40" s="60">
        <f>IFERROR(ROUND(tblSavings[[#This Row],[Amount]],2)*VLOOKUP(tblSavings[[#This Row],[Period]],Periods,2,0),"")</f>
        <v>0</v>
      </c>
      <c r="C40" s="60" t="s">
        <v>65</v>
      </c>
      <c r="D40" s="61">
        <v>0</v>
      </c>
      <c r="E40" s="61" t="s">
        <v>14</v>
      </c>
      <c r="F40" s="61" t="s">
        <v>66</v>
      </c>
    </row>
    <row r="41" spans="1:25" x14ac:dyDescent="0.3">
      <c r="A41" s="60" t="s">
        <v>67</v>
      </c>
      <c r="B41" s="60">
        <f>IFERROR(ROUND(tblSavings[[#This Row],[Amount]],2)*VLOOKUP(tblSavings[[#This Row],[Period]],Periods,2,0),"")</f>
        <v>0</v>
      </c>
      <c r="C41" s="60" t="s">
        <v>68</v>
      </c>
      <c r="D41" s="61">
        <v>0</v>
      </c>
      <c r="E41" s="61" t="s">
        <v>14</v>
      </c>
      <c r="F41" s="61" t="s">
        <v>61</v>
      </c>
    </row>
    <row r="42" spans="1:25" ht="15" customHeight="1" x14ac:dyDescent="0.3">
      <c r="A42" s="60" t="s">
        <v>69</v>
      </c>
      <c r="B42" s="60">
        <f>IFERROR(ROUND(tblSavings[[#This Row],[Amount]],2)*VLOOKUP(tblSavings[[#This Row],[Period]],Periods,2,0),"")</f>
        <v>0</v>
      </c>
      <c r="C42" s="60" t="s">
        <v>70</v>
      </c>
      <c r="D42" s="61">
        <v>0</v>
      </c>
      <c r="E42" s="61" t="s">
        <v>14</v>
      </c>
      <c r="F42" s="61" t="s">
        <v>61</v>
      </c>
    </row>
    <row r="43" spans="1:25" ht="15" customHeight="1" x14ac:dyDescent="0.3">
      <c r="A43" s="60" t="s">
        <v>71</v>
      </c>
      <c r="B43" s="60">
        <f>IFERROR(ROUND(tblSavings[[#This Row],[Amount]],2)*VLOOKUP(tblSavings[[#This Row],[Period]],Periods,2,0),"")</f>
        <v>0</v>
      </c>
      <c r="C43" s="60" t="s">
        <v>72</v>
      </c>
      <c r="D43" s="61">
        <v>0</v>
      </c>
      <c r="E43" s="61" t="s">
        <v>14</v>
      </c>
      <c r="F43" s="61" t="s">
        <v>61</v>
      </c>
      <c r="Y43" s="111" t="s">
        <v>73</v>
      </c>
    </row>
    <row r="44" spans="1:25" ht="15" customHeight="1" x14ac:dyDescent="0.3">
      <c r="A44" s="60" t="s">
        <v>74</v>
      </c>
      <c r="B44" s="72">
        <f>IFERROR(ROUND(tblSavings[[#This Row],[Amount]],2)*VLOOKUP(tblSavings[[#This Row],[Period]],Periods,2,0),"")</f>
        <v>0</v>
      </c>
      <c r="C44" s="60" t="s">
        <v>75</v>
      </c>
      <c r="D44" s="61">
        <v>0</v>
      </c>
      <c r="E44" s="61" t="s">
        <v>76</v>
      </c>
      <c r="F44" s="61" t="s">
        <v>61</v>
      </c>
      <c r="Y44" s="111" t="s">
        <v>77</v>
      </c>
    </row>
    <row r="45" spans="1:25" x14ac:dyDescent="0.3">
      <c r="A45" s="73"/>
      <c r="B45" s="73" t="str">
        <f>IFERROR(ROUND(tblSavings[[#This Row],[Amount]],2)*VLOOKUP(tblSavings[[#This Row],[Period]],Periods,2,0),"")</f>
        <v/>
      </c>
      <c r="C45" s="63" t="s">
        <v>55</v>
      </c>
      <c r="D45" s="64"/>
      <c r="E45" s="64"/>
      <c r="F45" s="64"/>
      <c r="H45" s="43"/>
      <c r="I45" s="43"/>
      <c r="J45" s="43"/>
      <c r="K45" s="43"/>
      <c r="L45" s="43"/>
    </row>
    <row r="46" spans="1:25" ht="15" customHeight="1" x14ac:dyDescent="0.3">
      <c r="A46" s="60"/>
      <c r="B46" s="72">
        <f>IFERROR(ROUND(tblSavings[[#This Row],[Amount]],2)*VLOOKUP(tblSavings[[#This Row],[Period]],Periods,2,0),"")</f>
        <v>0</v>
      </c>
      <c r="C46" s="61" t="s">
        <v>56</v>
      </c>
      <c r="D46" s="61">
        <v>0</v>
      </c>
      <c r="E46" s="61" t="s">
        <v>76</v>
      </c>
      <c r="F46" s="61" t="s">
        <v>61</v>
      </c>
      <c r="I46" s="133" t="str">
        <f>IF(HasPersonalization="True",Budget!Y44,Budget!Y43)</f>
        <v>Personalize your budget in order to compare your financial habits with your average Canadian.</v>
      </c>
      <c r="J46" s="134"/>
      <c r="K46" s="134"/>
      <c r="L46" s="134"/>
      <c r="M46" s="134"/>
      <c r="N46" s="134"/>
      <c r="O46" s="135"/>
    </row>
    <row r="47" spans="1:25" x14ac:dyDescent="0.3">
      <c r="A47" s="60"/>
      <c r="B47" s="72">
        <f>IFERROR(ROUND(tblSavings[[#This Row],[Amount]],2)*VLOOKUP(tblSavings[[#This Row],[Period]],Periods,2,0),"")</f>
        <v>0</v>
      </c>
      <c r="C47" s="61" t="s">
        <v>56</v>
      </c>
      <c r="D47" s="61">
        <v>0</v>
      </c>
      <c r="E47" s="61" t="s">
        <v>76</v>
      </c>
      <c r="F47" s="61" t="s">
        <v>61</v>
      </c>
      <c r="I47" s="133"/>
      <c r="J47" s="134"/>
      <c r="K47" s="134"/>
      <c r="L47" s="134"/>
      <c r="M47" s="134"/>
      <c r="N47" s="134"/>
      <c r="O47" s="135"/>
    </row>
    <row r="48" spans="1:25" x14ac:dyDescent="0.3">
      <c r="A48" s="60"/>
      <c r="B48" s="72">
        <f>IFERROR(ROUND(tblSavings[[#This Row],[Amount]],2)*VLOOKUP(tblSavings[[#This Row],[Period]],Periods,2,0),"")</f>
        <v>0</v>
      </c>
      <c r="C48" s="61" t="s">
        <v>56</v>
      </c>
      <c r="D48" s="61">
        <v>0</v>
      </c>
      <c r="E48" s="61" t="s">
        <v>76</v>
      </c>
      <c r="F48" s="61" t="s">
        <v>61</v>
      </c>
    </row>
    <row r="49" spans="1:7" x14ac:dyDescent="0.3">
      <c r="A49" s="60"/>
      <c r="B49" s="72">
        <f>IFERROR(ROUND(tblSavings[[#This Row],[Amount]],2)*VLOOKUP(tblSavings[[#This Row],[Period]],Periods,2,0),"")</f>
        <v>0</v>
      </c>
      <c r="C49" s="61" t="s">
        <v>56</v>
      </c>
      <c r="D49" s="61">
        <v>0</v>
      </c>
      <c r="E49" s="61" t="s">
        <v>76</v>
      </c>
      <c r="F49" s="61" t="s">
        <v>61</v>
      </c>
    </row>
    <row r="50" spans="1:7" x14ac:dyDescent="0.3">
      <c r="A50" s="60"/>
      <c r="B50" s="72">
        <f>IFERROR(ROUND(tblSavings[[#This Row],[Amount]],2)*VLOOKUP(tblSavings[[#This Row],[Period]],Periods,2,0),"")</f>
        <v>0</v>
      </c>
      <c r="C50" s="61" t="s">
        <v>56</v>
      </c>
      <c r="D50" s="61">
        <v>0</v>
      </c>
      <c r="E50" s="61" t="s">
        <v>76</v>
      </c>
      <c r="F50" s="61" t="s">
        <v>61</v>
      </c>
    </row>
    <row r="51" spans="1:7" x14ac:dyDescent="0.3">
      <c r="A51" s="60"/>
      <c r="B51" s="72">
        <f>IFERROR(ROUND(tblSavings[[#This Row],[Amount]],2)*VLOOKUP(tblSavings[[#This Row],[Period]],Periods,2,0),"")</f>
        <v>0</v>
      </c>
      <c r="C51" s="61" t="s">
        <v>56</v>
      </c>
      <c r="D51" s="61">
        <v>0</v>
      </c>
      <c r="E51" s="61" t="s">
        <v>76</v>
      </c>
      <c r="F51" s="61" t="s">
        <v>61</v>
      </c>
    </row>
    <row r="52" spans="1:7" x14ac:dyDescent="0.3">
      <c r="A52" s="60"/>
      <c r="B52" s="72">
        <f>IFERROR(ROUND(tblSavings[[#This Row],[Amount]],2)*VLOOKUP(tblSavings[[#This Row],[Period]],Periods,2,0),"")</f>
        <v>0</v>
      </c>
      <c r="C52" s="61" t="s">
        <v>56</v>
      </c>
      <c r="D52" s="61">
        <v>0</v>
      </c>
      <c r="E52" s="61" t="s">
        <v>76</v>
      </c>
      <c r="F52" s="61" t="s">
        <v>61</v>
      </c>
    </row>
    <row r="53" spans="1:7" x14ac:dyDescent="0.3">
      <c r="A53" s="60"/>
      <c r="B53" s="72">
        <f>IFERROR(ROUND(tblSavings[[#This Row],[Amount]],2)*VLOOKUP(tblSavings[[#This Row],[Period]],Periods,2,0),"")</f>
        <v>0</v>
      </c>
      <c r="C53" s="61" t="s">
        <v>56</v>
      </c>
      <c r="D53" s="61">
        <v>0</v>
      </c>
      <c r="E53" s="61" t="s">
        <v>76</v>
      </c>
      <c r="F53" s="61" t="s">
        <v>61</v>
      </c>
    </row>
    <row r="54" spans="1:7" x14ac:dyDescent="0.3">
      <c r="A54" s="60"/>
      <c r="B54" s="72">
        <f>IFERROR(ROUND(tblSavings[[#This Row],[Amount]],2)*VLOOKUP(tblSavings[[#This Row],[Period]],Periods,2,0),"")</f>
        <v>0</v>
      </c>
      <c r="C54" s="61" t="s">
        <v>56</v>
      </c>
      <c r="D54" s="61">
        <v>0</v>
      </c>
      <c r="E54" s="61" t="s">
        <v>76</v>
      </c>
      <c r="F54" s="61" t="s">
        <v>61</v>
      </c>
    </row>
    <row r="55" spans="1:7" x14ac:dyDescent="0.3">
      <c r="A55" s="65"/>
      <c r="B55" s="66">
        <f>IFERROR(ROUND(tblSavings[[#This Row],[Amount]],2)*VLOOKUP(tblSavings[[#This Row],[Period]],Periods,2,0),"")</f>
        <v>0</v>
      </c>
      <c r="C55" s="67" t="s">
        <v>56</v>
      </c>
      <c r="D55" s="67">
        <v>0</v>
      </c>
      <c r="E55" s="67" t="s">
        <v>14</v>
      </c>
      <c r="F55" s="67" t="s">
        <v>61</v>
      </c>
    </row>
    <row r="57" spans="1:7" ht="27" customHeight="1" x14ac:dyDescent="0.3">
      <c r="A57" s="57"/>
      <c r="B57" s="57" t="str">
        <f>DOLLAR(D57) &amp; IF(IncomeTotal &gt; 0,CHAR(10) &amp;" (" &amp; ROUND((D57/ IncomeTotal)  *100,0) &amp; "%)", "")</f>
        <v>$0.00</v>
      </c>
      <c r="C57" s="57" t="s">
        <v>78</v>
      </c>
      <c r="D57" s="57">
        <f>SUM(TotalDebt,TotalHousing,TotalCommunications,TotalFood,TotalInsurance,TotalTranportation,TotalChildcare,TotalEducation,TotalRecreation,TotalPersonalCare,TotalClothing,TotalMedical,TotalPets,TotalFees,TotalGifts)</f>
        <v>0</v>
      </c>
      <c r="E57" s="45"/>
    </row>
    <row r="58" spans="1:7" ht="27" customHeight="1" x14ac:dyDescent="0.3">
      <c r="A58" s="74"/>
      <c r="B58" s="75"/>
      <c r="C58" s="75" t="s">
        <v>79</v>
      </c>
      <c r="D58" s="75">
        <f>ROUND(SUM(tblDebt[Annual Total])/VLOOKUP(D5,TotalPeriods[],2,0),2)</f>
        <v>0</v>
      </c>
      <c r="E58" s="76">
        <f>IFERROR(D58/D10,0)</f>
        <v>0</v>
      </c>
      <c r="F58" s="129" t="str">
        <f>IF(E58&gt;0,IF(AND(E58&gt;0,E58&lt;=RulesOfThumb!D4),RulesOfThumb!B4,IF(AND(E58&gt;RulesOfThumb!F4,E58&lt;=RulesOfThumb!G4),RulesOfThumb!E4,IF(E58&gt;RulesOfThumb!I4,RulesOfThumb!H4,""))),"")</f>
        <v/>
      </c>
      <c r="G58" s="129"/>
    </row>
    <row r="59" spans="1:7" x14ac:dyDescent="0.3">
      <c r="A59" s="77" t="s">
        <v>22</v>
      </c>
      <c r="B59" s="77" t="s">
        <v>23</v>
      </c>
      <c r="C59" s="77" t="s">
        <v>24</v>
      </c>
      <c r="D59" s="77" t="s">
        <v>25</v>
      </c>
      <c r="E59" s="77" t="s">
        <v>26</v>
      </c>
    </row>
    <row r="60" spans="1:7" x14ac:dyDescent="0.3">
      <c r="A60" s="60" t="s">
        <v>80</v>
      </c>
      <c r="B60" s="60">
        <f>IFERROR(ROUND(tblDebt[[#This Row],[Amount]],2)*VLOOKUP(tblDebt[[#This Row],[Period]],Periods,2,0),"")</f>
        <v>0</v>
      </c>
      <c r="C60" s="60" t="s">
        <v>81</v>
      </c>
      <c r="D60" s="61">
        <v>0</v>
      </c>
      <c r="E60" s="61" t="s">
        <v>14</v>
      </c>
    </row>
    <row r="61" spans="1:7" x14ac:dyDescent="0.3">
      <c r="A61" s="60" t="s">
        <v>82</v>
      </c>
      <c r="B61" s="60">
        <f>IFERROR(ROUND(tblDebt[[#This Row],[Amount]],2)*VLOOKUP(tblDebt[[#This Row],[Period]],Periods,2,0),"")</f>
        <v>0</v>
      </c>
      <c r="C61" s="60" t="s">
        <v>83</v>
      </c>
      <c r="D61" s="61">
        <v>0</v>
      </c>
      <c r="E61" s="61" t="s">
        <v>14</v>
      </c>
    </row>
    <row r="62" spans="1:7" x14ac:dyDescent="0.3">
      <c r="A62" s="60" t="s">
        <v>84</v>
      </c>
      <c r="B62" s="60">
        <f>IFERROR(ROUND(tblDebt[[#This Row],[Amount]],2)*VLOOKUP(tblDebt[[#This Row],[Period]],Periods,2,0),"")</f>
        <v>0</v>
      </c>
      <c r="C62" s="60" t="s">
        <v>85</v>
      </c>
      <c r="D62" s="61">
        <v>0</v>
      </c>
      <c r="E62" s="61" t="s">
        <v>14</v>
      </c>
    </row>
    <row r="63" spans="1:7" x14ac:dyDescent="0.3">
      <c r="A63" s="60" t="s">
        <v>86</v>
      </c>
      <c r="B63" s="60">
        <f>IFERROR(ROUND(tblDebt[[#This Row],[Amount]],2)*VLOOKUP(tblDebt[[#This Row],[Period]],Periods,2,0),"")</f>
        <v>0</v>
      </c>
      <c r="C63" s="60" t="s">
        <v>87</v>
      </c>
      <c r="D63" s="61">
        <v>0</v>
      </c>
      <c r="E63" s="61" t="s">
        <v>14</v>
      </c>
    </row>
    <row r="64" spans="1:7" x14ac:dyDescent="0.3">
      <c r="A64" s="62"/>
      <c r="B64" s="62" t="str">
        <f>IFERROR(ROUND(tblDebt[[#This Row],[Amount]],2)*VLOOKUP(tblDebt[[#This Row],[Period]],Periods,2,0),"")</f>
        <v/>
      </c>
      <c r="C64" s="63" t="s">
        <v>55</v>
      </c>
      <c r="D64" s="64"/>
      <c r="E64" s="64"/>
    </row>
    <row r="65" spans="1:7" x14ac:dyDescent="0.3">
      <c r="A65" s="60"/>
      <c r="B65" s="60">
        <f>IFERROR(ROUND(tblDebt[[#This Row],[Amount]],2)*VLOOKUP(tblDebt[[#This Row],[Period]],Periods,2,0),"")</f>
        <v>0</v>
      </c>
      <c r="C65" s="61" t="s">
        <v>56</v>
      </c>
      <c r="D65" s="61">
        <v>0</v>
      </c>
      <c r="E65" s="61" t="s">
        <v>14</v>
      </c>
    </row>
    <row r="66" spans="1:7" x14ac:dyDescent="0.3">
      <c r="A66" s="60"/>
      <c r="B66" s="60">
        <f>IFERROR(ROUND(tblDebt[[#This Row],[Amount]],2)*VLOOKUP(tblDebt[[#This Row],[Period]],Periods,2,0),"")</f>
        <v>0</v>
      </c>
      <c r="C66" s="61" t="s">
        <v>56</v>
      </c>
      <c r="D66" s="61">
        <v>0</v>
      </c>
      <c r="E66" s="61" t="s">
        <v>14</v>
      </c>
    </row>
    <row r="67" spans="1:7" x14ac:dyDescent="0.3">
      <c r="A67" s="60"/>
      <c r="B67" s="60">
        <f>IFERROR(ROUND(tblDebt[[#This Row],[Amount]],2)*VLOOKUP(tblDebt[[#This Row],[Period]],Periods,2,0),"")</f>
        <v>0</v>
      </c>
      <c r="C67" s="61" t="s">
        <v>56</v>
      </c>
      <c r="D67" s="61">
        <v>0</v>
      </c>
      <c r="E67" s="61" t="s">
        <v>14</v>
      </c>
    </row>
    <row r="68" spans="1:7" x14ac:dyDescent="0.3">
      <c r="A68" s="60"/>
      <c r="B68" s="60">
        <f>IFERROR(ROUND(tblDebt[[#This Row],[Amount]],2)*VLOOKUP(tblDebt[[#This Row],[Period]],Periods,2,0),"")</f>
        <v>0</v>
      </c>
      <c r="C68" s="61" t="s">
        <v>56</v>
      </c>
      <c r="D68" s="61">
        <v>0</v>
      </c>
      <c r="E68" s="61" t="s">
        <v>14</v>
      </c>
    </row>
    <row r="69" spans="1:7" x14ac:dyDescent="0.3">
      <c r="A69" s="60"/>
      <c r="B69" s="60">
        <f>IFERROR(ROUND(tblDebt[[#This Row],[Amount]],2)*VLOOKUP(tblDebt[[#This Row],[Period]],Periods,2,0),"")</f>
        <v>0</v>
      </c>
      <c r="C69" s="61" t="s">
        <v>56</v>
      </c>
      <c r="D69" s="61">
        <v>0</v>
      </c>
      <c r="E69" s="61" t="s">
        <v>14</v>
      </c>
    </row>
    <row r="70" spans="1:7" x14ac:dyDescent="0.3">
      <c r="A70" s="60"/>
      <c r="B70" s="60">
        <f>IFERROR(ROUND(tblDebt[[#This Row],[Amount]],2)*VLOOKUP(tblDebt[[#This Row],[Period]],Periods,2,0),"")</f>
        <v>0</v>
      </c>
      <c r="C70" s="61" t="s">
        <v>56</v>
      </c>
      <c r="D70" s="61">
        <v>0</v>
      </c>
      <c r="E70" s="61" t="s">
        <v>14</v>
      </c>
    </row>
    <row r="71" spans="1:7" x14ac:dyDescent="0.3">
      <c r="A71" s="60"/>
      <c r="B71" s="60">
        <f>IFERROR(ROUND(tblDebt[[#This Row],[Amount]],2)*VLOOKUP(tblDebt[[#This Row],[Period]],Periods,2,0),"")</f>
        <v>0</v>
      </c>
      <c r="C71" s="61" t="s">
        <v>56</v>
      </c>
      <c r="D71" s="61">
        <v>0</v>
      </c>
      <c r="E71" s="61" t="s">
        <v>14</v>
      </c>
    </row>
    <row r="72" spans="1:7" x14ac:dyDescent="0.3">
      <c r="A72" s="60"/>
      <c r="B72" s="60">
        <f>IFERROR(ROUND(tblDebt[[#This Row],[Amount]],2)*VLOOKUP(tblDebt[[#This Row],[Period]],Periods,2,0),"")</f>
        <v>0</v>
      </c>
      <c r="C72" s="61" t="s">
        <v>56</v>
      </c>
      <c r="D72" s="61">
        <v>0</v>
      </c>
      <c r="E72" s="61" t="s">
        <v>14</v>
      </c>
    </row>
    <row r="73" spans="1:7" x14ac:dyDescent="0.3">
      <c r="A73" s="60"/>
      <c r="B73" s="60">
        <f>IFERROR(ROUND(tblDebt[[#This Row],[Amount]],2)*VLOOKUP(tblDebt[[#This Row],[Period]],Periods,2,0),"")</f>
        <v>0</v>
      </c>
      <c r="C73" s="61" t="s">
        <v>56</v>
      </c>
      <c r="D73" s="61">
        <v>0</v>
      </c>
      <c r="E73" s="61" t="s">
        <v>14</v>
      </c>
    </row>
    <row r="74" spans="1:7" x14ac:dyDescent="0.3">
      <c r="A74" s="66"/>
      <c r="B74" s="66">
        <f>IFERROR(ROUND(tblDebt[[#This Row],[Amount]],2)*VLOOKUP(tblDebt[[#This Row],[Period]],Periods,2,0),"")</f>
        <v>0</v>
      </c>
      <c r="C74" s="67" t="s">
        <v>56</v>
      </c>
      <c r="D74" s="67">
        <v>0</v>
      </c>
      <c r="E74" s="67" t="s">
        <v>14</v>
      </c>
    </row>
    <row r="75" spans="1:7" ht="27" customHeight="1" x14ac:dyDescent="0.3">
      <c r="A75" s="74"/>
      <c r="B75" s="75"/>
      <c r="C75" s="75" t="s">
        <v>88</v>
      </c>
      <c r="D75" s="75">
        <f>ROUND(SUM(tblHousing[Annual Total])/VLOOKUP(D5,TotalPeriods[],2,0),2)</f>
        <v>0</v>
      </c>
      <c r="E75" s="76">
        <f>IFERROR(D75/D10,0)</f>
        <v>0</v>
      </c>
      <c r="F75" s="129" t="str">
        <f>IF(E75&gt;0,IF(AND(E75&gt;0,E75&lt;=RulesOfThumb!D5),RulesOfThumb!B5,IF(AND(E75&gt;RulesOfThumb!F5,E75&lt;=RulesOfThumb!G5),RulesOfThumb!E5,IF(E75&gt;RulesOfThumb!I5,RulesOfThumb!H5,""))),"")</f>
        <v/>
      </c>
      <c r="G75" s="129"/>
    </row>
    <row r="76" spans="1:7" x14ac:dyDescent="0.3">
      <c r="A76" s="77" t="s">
        <v>22</v>
      </c>
      <c r="B76" s="77" t="s">
        <v>23</v>
      </c>
      <c r="C76" s="77" t="s">
        <v>24</v>
      </c>
      <c r="D76" s="77" t="s">
        <v>25</v>
      </c>
      <c r="E76" s="77" t="s">
        <v>26</v>
      </c>
    </row>
    <row r="77" spans="1:7" x14ac:dyDescent="0.3">
      <c r="A77" s="60" t="s">
        <v>89</v>
      </c>
      <c r="B77" s="60">
        <f>IFERROR(ROUND(tblHousing[[#This Row],[Amount]],2)*VLOOKUP(tblHousing[[#This Row],[Period]],Periods,2,0),"")</f>
        <v>0</v>
      </c>
      <c r="C77" s="60" t="s">
        <v>89</v>
      </c>
      <c r="D77" s="61">
        <v>0</v>
      </c>
      <c r="E77" s="61" t="s">
        <v>14</v>
      </c>
    </row>
    <row r="78" spans="1:7" x14ac:dyDescent="0.3">
      <c r="A78" s="60" t="s">
        <v>90</v>
      </c>
      <c r="B78" s="60">
        <f>IFERROR(ROUND(tblHousing[[#This Row],[Amount]],2)*VLOOKUP(tblHousing[[#This Row],[Period]],Periods,2,0),"")</f>
        <v>0</v>
      </c>
      <c r="C78" s="60" t="s">
        <v>91</v>
      </c>
      <c r="D78" s="61">
        <v>0</v>
      </c>
      <c r="E78" s="61" t="s">
        <v>14</v>
      </c>
    </row>
    <row r="79" spans="1:7" x14ac:dyDescent="0.3">
      <c r="A79" s="60" t="s">
        <v>92</v>
      </c>
      <c r="B79" s="60">
        <f>IFERROR(ROUND(tblHousing[[#This Row],[Amount]],2)*VLOOKUP(tblHousing[[#This Row],[Period]],Periods,2,0),"")</f>
        <v>0</v>
      </c>
      <c r="C79" s="60" t="s">
        <v>93</v>
      </c>
      <c r="D79" s="61">
        <v>0</v>
      </c>
      <c r="E79" s="61" t="s">
        <v>14</v>
      </c>
    </row>
    <row r="80" spans="1:7" x14ac:dyDescent="0.3">
      <c r="A80" s="60" t="s">
        <v>94</v>
      </c>
      <c r="B80" s="60">
        <f>IFERROR(ROUND(tblHousing[[#This Row],[Amount]],2)*VLOOKUP(tblHousing[[#This Row],[Period]],Periods,2,0),"")</f>
        <v>0</v>
      </c>
      <c r="C80" s="60" t="s">
        <v>95</v>
      </c>
      <c r="D80" s="61">
        <v>0</v>
      </c>
      <c r="E80" s="61" t="s">
        <v>14</v>
      </c>
    </row>
    <row r="81" spans="1:5" x14ac:dyDescent="0.3">
      <c r="A81" s="60" t="s">
        <v>96</v>
      </c>
      <c r="B81" s="60">
        <f>IFERROR(ROUND(tblHousing[[#This Row],[Amount]],2)*VLOOKUP(tblHousing[[#This Row],[Period]],Periods,2,0),"")</f>
        <v>0</v>
      </c>
      <c r="C81" s="60" t="s">
        <v>97</v>
      </c>
      <c r="D81" s="61">
        <v>0</v>
      </c>
      <c r="E81" s="61" t="s">
        <v>14</v>
      </c>
    </row>
    <row r="82" spans="1:5" x14ac:dyDescent="0.3">
      <c r="A82" s="60" t="s">
        <v>98</v>
      </c>
      <c r="B82" s="60">
        <f>IFERROR(ROUND(tblHousing[[#This Row],[Amount]],2)*VLOOKUP(tblHousing[[#This Row],[Period]],Periods,2,0),"")</f>
        <v>0</v>
      </c>
      <c r="C82" s="60" t="s">
        <v>99</v>
      </c>
      <c r="D82" s="61">
        <v>0</v>
      </c>
      <c r="E82" s="61" t="s">
        <v>14</v>
      </c>
    </row>
    <row r="83" spans="1:5" x14ac:dyDescent="0.3">
      <c r="A83" s="60" t="s">
        <v>100</v>
      </c>
      <c r="B83" s="60">
        <f>IFERROR(ROUND(tblHousing[[#This Row],[Amount]],2)*VLOOKUP(tblHousing[[#This Row],[Period]],Periods,2,0),"")</f>
        <v>0</v>
      </c>
      <c r="C83" s="60" t="s">
        <v>101</v>
      </c>
      <c r="D83" s="61">
        <v>0</v>
      </c>
      <c r="E83" s="61" t="s">
        <v>14</v>
      </c>
    </row>
    <row r="84" spans="1:5" x14ac:dyDescent="0.3">
      <c r="A84" s="60" t="s">
        <v>102</v>
      </c>
      <c r="B84" s="60">
        <f>IFERROR(ROUND(tblHousing[[#This Row],[Amount]],2)*VLOOKUP(tblHousing[[#This Row],[Period]],Periods,2,0),"")</f>
        <v>0</v>
      </c>
      <c r="C84" s="60" t="s">
        <v>103</v>
      </c>
      <c r="D84" s="61">
        <v>0</v>
      </c>
      <c r="E84" s="61" t="s">
        <v>76</v>
      </c>
    </row>
    <row r="85" spans="1:5" x14ac:dyDescent="0.3">
      <c r="A85" s="60" t="s">
        <v>104</v>
      </c>
      <c r="B85" s="60">
        <f>IFERROR(ROUND(tblHousing[[#This Row],[Amount]],2)*VLOOKUP(tblHousing[[#This Row],[Period]],Periods,2,0),"")</f>
        <v>0</v>
      </c>
      <c r="C85" s="60" t="s">
        <v>105</v>
      </c>
      <c r="D85" s="61">
        <v>0</v>
      </c>
      <c r="E85" s="61" t="s">
        <v>76</v>
      </c>
    </row>
    <row r="86" spans="1:5" x14ac:dyDescent="0.3">
      <c r="A86" s="60" t="s">
        <v>106</v>
      </c>
      <c r="B86" s="60">
        <f>IFERROR(ROUND(tblHousing[[#This Row],[Amount]],2)*VLOOKUP(tblHousing[[#This Row],[Period]],Periods,2,0),"")</f>
        <v>0</v>
      </c>
      <c r="C86" s="60" t="s">
        <v>107</v>
      </c>
      <c r="D86" s="61">
        <v>0</v>
      </c>
      <c r="E86" s="61" t="s">
        <v>14</v>
      </c>
    </row>
    <row r="87" spans="1:5" x14ac:dyDescent="0.3">
      <c r="A87" s="60" t="s">
        <v>108</v>
      </c>
      <c r="B87" s="60">
        <f>IFERROR(ROUND(tblHousing[[#This Row],[Amount]],2)*VLOOKUP(tblHousing[[#This Row],[Period]],Periods,2,0),"")</f>
        <v>0</v>
      </c>
      <c r="C87" s="60" t="s">
        <v>108</v>
      </c>
      <c r="D87" s="61">
        <v>0</v>
      </c>
      <c r="E87" s="61" t="s">
        <v>14</v>
      </c>
    </row>
    <row r="88" spans="1:5" x14ac:dyDescent="0.3">
      <c r="A88" s="60" t="s">
        <v>109</v>
      </c>
      <c r="B88" s="60">
        <f>IFERROR(ROUND(tblHousing[[#This Row],[Amount]],2)*VLOOKUP(tblHousing[[#This Row],[Period]],Periods,2,0),"")</f>
        <v>0</v>
      </c>
      <c r="C88" s="60" t="s">
        <v>110</v>
      </c>
      <c r="D88" s="61">
        <v>0</v>
      </c>
      <c r="E88" s="61" t="s">
        <v>14</v>
      </c>
    </row>
    <row r="89" spans="1:5" x14ac:dyDescent="0.3">
      <c r="A89" s="60" t="s">
        <v>111</v>
      </c>
      <c r="B89" s="60">
        <f>IFERROR(ROUND(tblHousing[[#This Row],[Amount]],2)*VLOOKUP(tblHousing[[#This Row],[Period]],Periods,2,0),"")</f>
        <v>0</v>
      </c>
      <c r="C89" s="60" t="s">
        <v>112</v>
      </c>
      <c r="D89" s="61">
        <v>0</v>
      </c>
      <c r="E89" s="61" t="s">
        <v>14</v>
      </c>
    </row>
    <row r="90" spans="1:5" x14ac:dyDescent="0.3">
      <c r="A90" s="62"/>
      <c r="B90" s="62" t="str">
        <f>IFERROR(ROUND(tblHousing[[#This Row],[Amount]],2)*VLOOKUP(tblHousing[[#This Row],[Period]],Periods,2,0),"")</f>
        <v/>
      </c>
      <c r="C90" s="63" t="s">
        <v>55</v>
      </c>
      <c r="D90" s="64"/>
      <c r="E90" s="64"/>
    </row>
    <row r="91" spans="1:5" x14ac:dyDescent="0.3">
      <c r="A91" s="60">
        <v>1</v>
      </c>
      <c r="B91" s="60">
        <f>IFERROR(ROUND(tblHousing[[#This Row],[Amount]],2)*VLOOKUP(tblHousing[[#This Row],[Period]],Periods,2,0),"")</f>
        <v>0</v>
      </c>
      <c r="C91" s="61" t="s">
        <v>56</v>
      </c>
      <c r="D91" s="61">
        <v>0</v>
      </c>
      <c r="E91" s="61" t="s">
        <v>14</v>
      </c>
    </row>
    <row r="92" spans="1:5" x14ac:dyDescent="0.3">
      <c r="A92" s="60">
        <v>2</v>
      </c>
      <c r="B92" s="60">
        <f>IFERROR(ROUND(tblHousing[[#This Row],[Amount]],2)*VLOOKUP(tblHousing[[#This Row],[Period]],Periods,2,0),"")</f>
        <v>0</v>
      </c>
      <c r="C92" s="61" t="s">
        <v>56</v>
      </c>
      <c r="D92" s="61">
        <v>0</v>
      </c>
      <c r="E92" s="61" t="s">
        <v>14</v>
      </c>
    </row>
    <row r="93" spans="1:5" x14ac:dyDescent="0.3">
      <c r="A93" s="60">
        <v>3</v>
      </c>
      <c r="B93" s="60">
        <f>IFERROR(ROUND(tblHousing[[#This Row],[Amount]],2)*VLOOKUP(tblHousing[[#This Row],[Period]],Periods,2,0),"")</f>
        <v>0</v>
      </c>
      <c r="C93" s="61" t="s">
        <v>56</v>
      </c>
      <c r="D93" s="61">
        <v>0</v>
      </c>
      <c r="E93" s="61" t="s">
        <v>14</v>
      </c>
    </row>
    <row r="94" spans="1:5" x14ac:dyDescent="0.3">
      <c r="A94" s="60">
        <v>4</v>
      </c>
      <c r="B94" s="60">
        <f>IFERROR(ROUND(tblHousing[[#This Row],[Amount]],2)*VLOOKUP(tblHousing[[#This Row],[Period]],Periods,2,0),"")</f>
        <v>0</v>
      </c>
      <c r="C94" s="61" t="s">
        <v>56</v>
      </c>
      <c r="D94" s="61">
        <v>0</v>
      </c>
      <c r="E94" s="61" t="s">
        <v>14</v>
      </c>
    </row>
    <row r="95" spans="1:5" x14ac:dyDescent="0.3">
      <c r="A95" s="60">
        <v>5</v>
      </c>
      <c r="B95" s="60">
        <f>IFERROR(ROUND(tblHousing[[#This Row],[Amount]],2)*VLOOKUP(tblHousing[[#This Row],[Period]],Periods,2,0),"")</f>
        <v>0</v>
      </c>
      <c r="C95" s="61" t="s">
        <v>56</v>
      </c>
      <c r="D95" s="61">
        <v>0</v>
      </c>
      <c r="E95" s="61" t="s">
        <v>14</v>
      </c>
    </row>
    <row r="96" spans="1:5" x14ac:dyDescent="0.3">
      <c r="A96" s="60">
        <v>6</v>
      </c>
      <c r="B96" s="60">
        <f>IFERROR(ROUND(tblHousing[[#This Row],[Amount]],2)*VLOOKUP(tblHousing[[#This Row],[Period]],Periods,2,0),"")</f>
        <v>0</v>
      </c>
      <c r="C96" s="61" t="s">
        <v>56</v>
      </c>
      <c r="D96" s="61">
        <v>0</v>
      </c>
      <c r="E96" s="61" t="s">
        <v>14</v>
      </c>
    </row>
    <row r="97" spans="1:7" x14ac:dyDescent="0.3">
      <c r="A97" s="60">
        <v>7</v>
      </c>
      <c r="B97" s="60">
        <f>IFERROR(ROUND(tblHousing[[#This Row],[Amount]],2)*VLOOKUP(tblHousing[[#This Row],[Period]],Periods,2,0),"")</f>
        <v>0</v>
      </c>
      <c r="C97" s="61" t="s">
        <v>56</v>
      </c>
      <c r="D97" s="61">
        <v>0</v>
      </c>
      <c r="E97" s="61" t="s">
        <v>14</v>
      </c>
    </row>
    <row r="98" spans="1:7" x14ac:dyDescent="0.3">
      <c r="A98" s="60">
        <v>8</v>
      </c>
      <c r="B98" s="60">
        <f>IFERROR(ROUND(tblHousing[[#This Row],[Amount]],2)*VLOOKUP(tblHousing[[#This Row],[Period]],Periods,2,0),"")</f>
        <v>0</v>
      </c>
      <c r="C98" s="61" t="s">
        <v>56</v>
      </c>
      <c r="D98" s="61">
        <v>0</v>
      </c>
      <c r="E98" s="61" t="s">
        <v>14</v>
      </c>
    </row>
    <row r="99" spans="1:7" x14ac:dyDescent="0.3">
      <c r="A99" s="60">
        <v>9</v>
      </c>
      <c r="B99" s="60">
        <f>IFERROR(ROUND(tblHousing[[#This Row],[Amount]],2)*VLOOKUP(tblHousing[[#This Row],[Period]],Periods,2,0),"")</f>
        <v>0</v>
      </c>
      <c r="C99" s="61" t="s">
        <v>56</v>
      </c>
      <c r="D99" s="61">
        <v>0</v>
      </c>
      <c r="E99" s="61" t="s">
        <v>14</v>
      </c>
    </row>
    <row r="100" spans="1:7" x14ac:dyDescent="0.3">
      <c r="A100" s="65">
        <v>10</v>
      </c>
      <c r="B100" s="66">
        <f>IFERROR(ROUND(tblHousing[[#This Row],[Amount]],2)*VLOOKUP(tblHousing[[#This Row],[Period]],Periods,2,0),"")</f>
        <v>0</v>
      </c>
      <c r="C100" s="67" t="s">
        <v>56</v>
      </c>
      <c r="D100" s="67">
        <v>0</v>
      </c>
      <c r="E100" s="67" t="s">
        <v>14</v>
      </c>
    </row>
    <row r="101" spans="1:7" ht="27" customHeight="1" x14ac:dyDescent="0.3">
      <c r="A101" s="74"/>
      <c r="B101" s="75"/>
      <c r="C101" s="75" t="s">
        <v>113</v>
      </c>
      <c r="D101" s="75">
        <f>ROUND(SUM(tblCommunications[Annual Total])/VLOOKUP(D5,TotalPeriods[],2,0),2)</f>
        <v>0</v>
      </c>
      <c r="E101" s="76">
        <f>IFERROR(D101/D10,0)</f>
        <v>0</v>
      </c>
      <c r="F101" s="129" t="str">
        <f>IF(E101&gt;0,IF(AND(E101&gt;0,E101&lt;=RulesOfThumb!D6),RulesOfThumb!B6,IF(AND(E101&gt;RulesOfThumb!F6,E101&lt;=RulesOfThumb!G6),RulesOfThumb!E6,IF(E101&gt;RulesOfThumb!I6,RulesOfThumb!H6,""))),"")</f>
        <v/>
      </c>
      <c r="G101" s="129"/>
    </row>
    <row r="102" spans="1:7" x14ac:dyDescent="0.3">
      <c r="A102" s="77" t="s">
        <v>22</v>
      </c>
      <c r="B102" s="77" t="s">
        <v>23</v>
      </c>
      <c r="C102" s="77" t="s">
        <v>24</v>
      </c>
      <c r="D102" s="77" t="s">
        <v>25</v>
      </c>
      <c r="E102" s="77" t="s">
        <v>26</v>
      </c>
    </row>
    <row r="103" spans="1:7" x14ac:dyDescent="0.3">
      <c r="A103" s="60" t="s">
        <v>114</v>
      </c>
      <c r="B103" s="60">
        <f>IFERROR(ROUND(tblCommunications[[#This Row],[Amount]],2)*VLOOKUP(tblCommunications[[#This Row],[Period]],Periods,2,0),"")</f>
        <v>0</v>
      </c>
      <c r="C103" s="60" t="s">
        <v>115</v>
      </c>
      <c r="D103" s="61">
        <v>0</v>
      </c>
      <c r="E103" s="61" t="s">
        <v>14</v>
      </c>
    </row>
    <row r="104" spans="1:7" x14ac:dyDescent="0.3">
      <c r="A104" s="60" t="s">
        <v>116</v>
      </c>
      <c r="B104" s="60">
        <f>IFERROR(ROUND(tblCommunications[[#This Row],[Amount]],2)*VLOOKUP(tblCommunications[[#This Row],[Period]],Periods,2,0),"")</f>
        <v>0</v>
      </c>
      <c r="C104" s="60" t="s">
        <v>117</v>
      </c>
      <c r="D104" s="61">
        <v>0</v>
      </c>
      <c r="E104" s="61" t="s">
        <v>14</v>
      </c>
    </row>
    <row r="105" spans="1:7" x14ac:dyDescent="0.3">
      <c r="A105" s="60" t="s">
        <v>118</v>
      </c>
      <c r="B105" s="60">
        <f>IFERROR(ROUND(tblCommunications[[#This Row],[Amount]],2)*VLOOKUP(tblCommunications[[#This Row],[Period]],Periods,2,0),"")</f>
        <v>0</v>
      </c>
      <c r="C105" s="60" t="s">
        <v>119</v>
      </c>
      <c r="D105" s="61">
        <v>0</v>
      </c>
      <c r="E105" s="61" t="s">
        <v>14</v>
      </c>
    </row>
    <row r="106" spans="1:7" x14ac:dyDescent="0.3">
      <c r="A106" s="60" t="s">
        <v>120</v>
      </c>
      <c r="B106" s="60">
        <f>IFERROR(ROUND(tblCommunications[[#This Row],[Amount]],2)*VLOOKUP(tblCommunications[[#This Row],[Period]],Periods,2,0),"")</f>
        <v>0</v>
      </c>
      <c r="C106" s="60" t="s">
        <v>121</v>
      </c>
      <c r="D106" s="61">
        <v>0</v>
      </c>
      <c r="E106" s="61" t="s">
        <v>14</v>
      </c>
    </row>
    <row r="107" spans="1:7" x14ac:dyDescent="0.3">
      <c r="A107" s="60" t="s">
        <v>122</v>
      </c>
      <c r="B107" s="60">
        <f>IFERROR(ROUND(tblCommunications[[#This Row],[Amount]],2)*VLOOKUP(tblCommunications[[#This Row],[Period]],Periods,2,0),"")</f>
        <v>0</v>
      </c>
      <c r="C107" s="60" t="s">
        <v>123</v>
      </c>
      <c r="D107" s="61">
        <v>0</v>
      </c>
      <c r="E107" s="61" t="s">
        <v>14</v>
      </c>
    </row>
    <row r="108" spans="1:7" x14ac:dyDescent="0.3">
      <c r="A108" s="62"/>
      <c r="B108" s="62" t="str">
        <f>IFERROR(ROUND(tblCommunications[[#This Row],[Amount]],2)*VLOOKUP(tblCommunications[[#This Row],[Period]],Periods,2,0),"")</f>
        <v/>
      </c>
      <c r="C108" s="63" t="s">
        <v>55</v>
      </c>
      <c r="D108" s="64"/>
      <c r="E108" s="64"/>
    </row>
    <row r="109" spans="1:7" x14ac:dyDescent="0.3">
      <c r="A109" s="60">
        <v>1</v>
      </c>
      <c r="B109" s="60">
        <f>IFERROR(ROUND(tblCommunications[[#This Row],[Amount]],2)*VLOOKUP(tblCommunications[[#This Row],[Period]],Periods,2,0),"")</f>
        <v>0</v>
      </c>
      <c r="C109" s="61" t="s">
        <v>56</v>
      </c>
      <c r="D109" s="61">
        <v>0</v>
      </c>
      <c r="E109" s="61" t="s">
        <v>14</v>
      </c>
    </row>
    <row r="110" spans="1:7" x14ac:dyDescent="0.3">
      <c r="A110" s="60">
        <v>2</v>
      </c>
      <c r="B110" s="60">
        <f>IFERROR(ROUND(tblCommunications[[#This Row],[Amount]],2)*VLOOKUP(tblCommunications[[#This Row],[Period]],Periods,2,0),"")</f>
        <v>0</v>
      </c>
      <c r="C110" s="61" t="s">
        <v>56</v>
      </c>
      <c r="D110" s="61">
        <v>0</v>
      </c>
      <c r="E110" s="61" t="s">
        <v>14</v>
      </c>
    </row>
    <row r="111" spans="1:7" x14ac:dyDescent="0.3">
      <c r="A111" s="60">
        <v>3</v>
      </c>
      <c r="B111" s="60">
        <f>IFERROR(ROUND(tblCommunications[[#This Row],[Amount]],2)*VLOOKUP(tblCommunications[[#This Row],[Period]],Periods,2,0),"")</f>
        <v>0</v>
      </c>
      <c r="C111" s="61" t="s">
        <v>56</v>
      </c>
      <c r="D111" s="61">
        <v>0</v>
      </c>
      <c r="E111" s="61" t="s">
        <v>14</v>
      </c>
    </row>
    <row r="112" spans="1:7" x14ac:dyDescent="0.3">
      <c r="A112" s="60">
        <v>4</v>
      </c>
      <c r="B112" s="60">
        <f>IFERROR(ROUND(tblCommunications[[#This Row],[Amount]],2)*VLOOKUP(tblCommunications[[#This Row],[Period]],Periods,2,0),"")</f>
        <v>0</v>
      </c>
      <c r="C112" s="61" t="s">
        <v>56</v>
      </c>
      <c r="D112" s="61">
        <v>0</v>
      </c>
      <c r="E112" s="61" t="s">
        <v>14</v>
      </c>
    </row>
    <row r="113" spans="1:7" x14ac:dyDescent="0.3">
      <c r="A113" s="60">
        <v>5</v>
      </c>
      <c r="B113" s="60">
        <f>IFERROR(ROUND(tblCommunications[[#This Row],[Amount]],2)*VLOOKUP(tblCommunications[[#This Row],[Period]],Periods,2,0),"")</f>
        <v>0</v>
      </c>
      <c r="C113" s="61" t="s">
        <v>56</v>
      </c>
      <c r="D113" s="61">
        <v>0</v>
      </c>
      <c r="E113" s="61" t="s">
        <v>14</v>
      </c>
    </row>
    <row r="114" spans="1:7" x14ac:dyDescent="0.3">
      <c r="A114" s="60">
        <v>6</v>
      </c>
      <c r="B114" s="60">
        <f>IFERROR(ROUND(tblCommunications[[#This Row],[Amount]],2)*VLOOKUP(tblCommunications[[#This Row],[Period]],Periods,2,0),"")</f>
        <v>0</v>
      </c>
      <c r="C114" s="61" t="s">
        <v>56</v>
      </c>
      <c r="D114" s="61">
        <v>0</v>
      </c>
      <c r="E114" s="61" t="s">
        <v>14</v>
      </c>
    </row>
    <row r="115" spans="1:7" x14ac:dyDescent="0.3">
      <c r="A115" s="60">
        <v>7</v>
      </c>
      <c r="B115" s="60">
        <f>IFERROR(ROUND(tblCommunications[[#This Row],[Amount]],2)*VLOOKUP(tblCommunications[[#This Row],[Period]],Periods,2,0),"")</f>
        <v>0</v>
      </c>
      <c r="C115" s="61" t="s">
        <v>56</v>
      </c>
      <c r="D115" s="61">
        <v>0</v>
      </c>
      <c r="E115" s="61" t="s">
        <v>14</v>
      </c>
    </row>
    <row r="116" spans="1:7" x14ac:dyDescent="0.3">
      <c r="A116" s="60">
        <v>8</v>
      </c>
      <c r="B116" s="60">
        <f>IFERROR(ROUND(tblCommunications[[#This Row],[Amount]],2)*VLOOKUP(tblCommunications[[#This Row],[Period]],Periods,2,0),"")</f>
        <v>0</v>
      </c>
      <c r="C116" s="61" t="s">
        <v>56</v>
      </c>
      <c r="D116" s="61">
        <v>0</v>
      </c>
      <c r="E116" s="61" t="s">
        <v>14</v>
      </c>
    </row>
    <row r="117" spans="1:7" x14ac:dyDescent="0.3">
      <c r="A117" s="60">
        <v>9</v>
      </c>
      <c r="B117" s="60">
        <f>IFERROR(ROUND(tblCommunications[[#This Row],[Amount]],2)*VLOOKUP(tblCommunications[[#This Row],[Period]],Periods,2,0),"")</f>
        <v>0</v>
      </c>
      <c r="C117" s="61" t="s">
        <v>56</v>
      </c>
      <c r="D117" s="61">
        <v>0</v>
      </c>
      <c r="E117" s="61" t="s">
        <v>14</v>
      </c>
    </row>
    <row r="118" spans="1:7" x14ac:dyDescent="0.3">
      <c r="A118" s="65">
        <v>10</v>
      </c>
      <c r="B118" s="66">
        <f>IFERROR(ROUND(tblCommunications[[#This Row],[Amount]],2)*VLOOKUP(tblCommunications[[#This Row],[Period]],Periods,2,0),"")</f>
        <v>0</v>
      </c>
      <c r="C118" s="67" t="s">
        <v>56</v>
      </c>
      <c r="D118" s="67">
        <v>0</v>
      </c>
      <c r="E118" s="67" t="s">
        <v>14</v>
      </c>
    </row>
    <row r="119" spans="1:7" ht="27" customHeight="1" x14ac:dyDescent="0.3">
      <c r="A119" s="74"/>
      <c r="B119" s="75"/>
      <c r="C119" s="75" t="s">
        <v>124</v>
      </c>
      <c r="D119" s="75">
        <f>ROUND(SUM(tblFood[Annual Total])/VLOOKUP(D5,TotalPeriods[],2,0),2)</f>
        <v>0</v>
      </c>
      <c r="E119" s="76" t="str">
        <f>IF(D10&gt;0,IFERROR(D119/D10,0),"")</f>
        <v/>
      </c>
      <c r="F119" s="129" t="str">
        <f>IF(D10&gt;0,IF(E119&gt;0,IF(AND(E119&gt;0,E119&lt;=RulesOfThumb!D7),RulesOfThumb!B7,IF(AND(E119&gt;RulesOfThumb!F7,E119&lt;=RulesOfThumb!G7),RulesOfThumb!E7,IF(E119&gt;RulesOfThumb!I7,RulesOfThumb!H7,""))),RulesOfThumb!K7),"")</f>
        <v/>
      </c>
      <c r="G119" s="129"/>
    </row>
    <row r="120" spans="1:7" ht="15" customHeight="1" x14ac:dyDescent="0.3">
      <c r="A120" s="77" t="s">
        <v>22</v>
      </c>
      <c r="B120" s="77" t="s">
        <v>23</v>
      </c>
      <c r="C120" s="77" t="s">
        <v>24</v>
      </c>
      <c r="D120" s="77" t="s">
        <v>25</v>
      </c>
      <c r="E120" s="77" t="s">
        <v>26</v>
      </c>
    </row>
    <row r="121" spans="1:7" x14ac:dyDescent="0.3">
      <c r="A121" s="60" t="s">
        <v>125</v>
      </c>
      <c r="B121" s="60">
        <f>IFERROR(ROUND(tblFood[[#This Row],[Amount]],2)*VLOOKUP(tblFood[[#This Row],[Period]],Periods,2,0),"")</f>
        <v>0</v>
      </c>
      <c r="C121" s="60" t="s">
        <v>126</v>
      </c>
      <c r="D121" s="61">
        <v>0</v>
      </c>
      <c r="E121" s="61" t="s">
        <v>127</v>
      </c>
    </row>
    <row r="122" spans="1:7" x14ac:dyDescent="0.3">
      <c r="A122" s="60" t="s">
        <v>128</v>
      </c>
      <c r="B122" s="60">
        <f>IFERROR(ROUND(tblFood[[#This Row],[Amount]],2)*VLOOKUP(tblFood[[#This Row],[Period]],Periods,2,0),"")</f>
        <v>0</v>
      </c>
      <c r="C122" s="60" t="s">
        <v>129</v>
      </c>
      <c r="D122" s="61">
        <v>0</v>
      </c>
      <c r="E122" s="61" t="s">
        <v>127</v>
      </c>
    </row>
    <row r="123" spans="1:7" x14ac:dyDescent="0.3">
      <c r="A123" s="62"/>
      <c r="B123" s="62" t="str">
        <f>IFERROR(ROUND(tblFood[[#This Row],[Amount]],2)*VLOOKUP(tblFood[[#This Row],[Period]],Periods,2,0),"")</f>
        <v/>
      </c>
      <c r="C123" s="63" t="s">
        <v>55</v>
      </c>
      <c r="D123" s="64"/>
      <c r="E123" s="64"/>
    </row>
    <row r="124" spans="1:7" x14ac:dyDescent="0.3">
      <c r="A124" s="60">
        <v>1</v>
      </c>
      <c r="B124" s="60">
        <f>IFERROR(ROUND(tblFood[[#This Row],[Amount]],2)*VLOOKUP(tblFood[[#This Row],[Period]],Periods,2,0),"")</f>
        <v>0</v>
      </c>
      <c r="C124" s="61" t="s">
        <v>56</v>
      </c>
      <c r="D124" s="61">
        <v>0</v>
      </c>
      <c r="E124" s="61" t="s">
        <v>127</v>
      </c>
    </row>
    <row r="125" spans="1:7" x14ac:dyDescent="0.3">
      <c r="A125" s="60">
        <v>2</v>
      </c>
      <c r="B125" s="60">
        <f>IFERROR(ROUND(tblFood[[#This Row],[Amount]],2)*VLOOKUP(tblFood[[#This Row],[Period]],Periods,2,0),"")</f>
        <v>0</v>
      </c>
      <c r="C125" s="61" t="s">
        <v>56</v>
      </c>
      <c r="D125" s="61">
        <v>0</v>
      </c>
      <c r="E125" s="61" t="s">
        <v>127</v>
      </c>
    </row>
    <row r="126" spans="1:7" x14ac:dyDescent="0.3">
      <c r="A126" s="60">
        <v>3</v>
      </c>
      <c r="B126" s="60">
        <f>IFERROR(ROUND(tblFood[[#This Row],[Amount]],2)*VLOOKUP(tblFood[[#This Row],[Period]],Periods,2,0),"")</f>
        <v>0</v>
      </c>
      <c r="C126" s="61" t="s">
        <v>56</v>
      </c>
      <c r="D126" s="61">
        <v>0</v>
      </c>
      <c r="E126" s="61" t="s">
        <v>127</v>
      </c>
    </row>
    <row r="127" spans="1:7" x14ac:dyDescent="0.3">
      <c r="A127" s="60">
        <v>4</v>
      </c>
      <c r="B127" s="60">
        <f>IFERROR(ROUND(tblFood[[#This Row],[Amount]],2)*VLOOKUP(tblFood[[#This Row],[Period]],Periods,2,0),"")</f>
        <v>0</v>
      </c>
      <c r="C127" s="61" t="s">
        <v>56</v>
      </c>
      <c r="D127" s="61">
        <v>0</v>
      </c>
      <c r="E127" s="61" t="s">
        <v>127</v>
      </c>
    </row>
    <row r="128" spans="1:7" x14ac:dyDescent="0.3">
      <c r="A128" s="60">
        <v>5</v>
      </c>
      <c r="B128" s="60">
        <f>IFERROR(ROUND(tblFood[[#This Row],[Amount]],2)*VLOOKUP(tblFood[[#This Row],[Period]],Periods,2,0),"")</f>
        <v>0</v>
      </c>
      <c r="C128" s="61" t="s">
        <v>56</v>
      </c>
      <c r="D128" s="61">
        <v>0</v>
      </c>
      <c r="E128" s="61" t="s">
        <v>127</v>
      </c>
    </row>
    <row r="129" spans="1:7" x14ac:dyDescent="0.3">
      <c r="A129" s="60">
        <v>6</v>
      </c>
      <c r="B129" s="60">
        <f>IFERROR(ROUND(tblFood[[#This Row],[Amount]],2)*VLOOKUP(tblFood[[#This Row],[Period]],Periods,2,0),"")</f>
        <v>0</v>
      </c>
      <c r="C129" s="61" t="s">
        <v>56</v>
      </c>
      <c r="D129" s="61">
        <v>0</v>
      </c>
      <c r="E129" s="61" t="s">
        <v>127</v>
      </c>
    </row>
    <row r="130" spans="1:7" x14ac:dyDescent="0.3">
      <c r="A130" s="60">
        <v>7</v>
      </c>
      <c r="B130" s="60">
        <f>IFERROR(ROUND(tblFood[[#This Row],[Amount]],2)*VLOOKUP(tblFood[[#This Row],[Period]],Periods,2,0),"")</f>
        <v>0</v>
      </c>
      <c r="C130" s="61" t="s">
        <v>56</v>
      </c>
      <c r="D130" s="61">
        <v>0</v>
      </c>
      <c r="E130" s="61" t="s">
        <v>127</v>
      </c>
    </row>
    <row r="131" spans="1:7" x14ac:dyDescent="0.3">
      <c r="A131" s="60">
        <v>8</v>
      </c>
      <c r="B131" s="60">
        <f>IFERROR(ROUND(tblFood[[#This Row],[Amount]],2)*VLOOKUP(tblFood[[#This Row],[Period]],Periods,2,0),"")</f>
        <v>0</v>
      </c>
      <c r="C131" s="61" t="s">
        <v>56</v>
      </c>
      <c r="D131" s="61">
        <v>0</v>
      </c>
      <c r="E131" s="61" t="s">
        <v>127</v>
      </c>
    </row>
    <row r="132" spans="1:7" x14ac:dyDescent="0.3">
      <c r="A132" s="60">
        <v>9</v>
      </c>
      <c r="B132" s="60">
        <f>IFERROR(ROUND(tblFood[[#This Row],[Amount]],2)*VLOOKUP(tblFood[[#This Row],[Period]],Periods,2,0),"")</f>
        <v>0</v>
      </c>
      <c r="C132" s="61" t="s">
        <v>56</v>
      </c>
      <c r="D132" s="61">
        <v>0</v>
      </c>
      <c r="E132" s="61" t="s">
        <v>127</v>
      </c>
    </row>
    <row r="133" spans="1:7" x14ac:dyDescent="0.3">
      <c r="A133" s="66">
        <v>10</v>
      </c>
      <c r="B133" s="66">
        <f>IFERROR(ROUND(tblFood[[#This Row],[Amount]],2)*VLOOKUP(tblFood[[#This Row],[Period]],Periods,2,0),"")</f>
        <v>0</v>
      </c>
      <c r="C133" s="67" t="s">
        <v>56</v>
      </c>
      <c r="D133" s="67">
        <v>0</v>
      </c>
      <c r="E133" s="67" t="s">
        <v>127</v>
      </c>
    </row>
    <row r="134" spans="1:7" ht="27" customHeight="1" x14ac:dyDescent="0.3">
      <c r="A134" s="74"/>
      <c r="B134" s="75"/>
      <c r="C134" s="75" t="s">
        <v>130</v>
      </c>
      <c r="D134" s="75">
        <f>ROUND(SUM(tblInsurance[Annual Total])/VLOOKUP(D5,TotalPeriods[],2,0),2)</f>
        <v>0</v>
      </c>
      <c r="E134" s="76" t="str">
        <f>IF(D10&gt;0,IFERROR(D134/D10,0),"")</f>
        <v/>
      </c>
      <c r="F134" s="129" t="str">
        <f>IF(D10&gt;0,IF(E134&gt;0,IF(AND(E134&gt;0,E134&lt;=RulesOfThumb!D8),RulesOfThumb!B8,IF(AND(E134&gt;RulesOfThumb!F8,E134&lt;=RulesOfThumb!G8),RulesOfThumb!E8,IF(E134&gt;RulesOfThumb!I8,RulesOfThumb!H8,""))),RulesOfThumb!K8),"")</f>
        <v/>
      </c>
      <c r="G134" s="129"/>
    </row>
    <row r="135" spans="1:7" ht="15" customHeight="1" x14ac:dyDescent="0.3">
      <c r="A135" s="77" t="s">
        <v>22</v>
      </c>
      <c r="B135" s="77" t="s">
        <v>23</v>
      </c>
      <c r="C135" s="77" t="s">
        <v>24</v>
      </c>
      <c r="D135" s="77" t="s">
        <v>25</v>
      </c>
      <c r="E135" s="77" t="s">
        <v>26</v>
      </c>
    </row>
    <row r="136" spans="1:7" x14ac:dyDescent="0.3">
      <c r="A136" s="60" t="s">
        <v>131</v>
      </c>
      <c r="B136" s="60">
        <f>IFERROR(ROUND(tblInsurance[[#This Row],[Amount]],2)*VLOOKUP(tblInsurance[[#This Row],[Period]],Periods,2,0),"")</f>
        <v>0</v>
      </c>
      <c r="C136" s="60" t="s">
        <v>132</v>
      </c>
      <c r="D136" s="61">
        <v>0</v>
      </c>
      <c r="E136" s="61" t="s">
        <v>14</v>
      </c>
    </row>
    <row r="137" spans="1:7" x14ac:dyDescent="0.3">
      <c r="A137" s="60" t="s">
        <v>133</v>
      </c>
      <c r="B137" s="60">
        <f>IFERROR(ROUND(tblInsurance[[#This Row],[Amount]],2)*VLOOKUP(tblInsurance[[#This Row],[Period]],Periods,2,0),"")</f>
        <v>0</v>
      </c>
      <c r="C137" s="60" t="s">
        <v>134</v>
      </c>
      <c r="D137" s="61">
        <v>0</v>
      </c>
      <c r="E137" s="61" t="s">
        <v>14</v>
      </c>
    </row>
    <row r="138" spans="1:7" x14ac:dyDescent="0.3">
      <c r="A138" s="60" t="s">
        <v>135</v>
      </c>
      <c r="B138" s="60">
        <f>IFERROR(ROUND(tblInsurance[[#This Row],[Amount]],2)*VLOOKUP(tblInsurance[[#This Row],[Period]],Periods,2,0),"")</f>
        <v>0</v>
      </c>
      <c r="C138" s="60" t="s">
        <v>136</v>
      </c>
      <c r="D138" s="61">
        <v>0</v>
      </c>
      <c r="E138" s="61" t="s">
        <v>14</v>
      </c>
    </row>
    <row r="139" spans="1:7" x14ac:dyDescent="0.3">
      <c r="A139" s="62"/>
      <c r="B139" s="62" t="str">
        <f>IFERROR(ROUND(tblInsurance[[#This Row],[Amount]],2)*VLOOKUP(tblInsurance[[#This Row],[Period]],Periods,2,0),"")</f>
        <v/>
      </c>
      <c r="C139" s="63" t="s">
        <v>55</v>
      </c>
      <c r="D139" s="64"/>
      <c r="E139" s="64"/>
    </row>
    <row r="140" spans="1:7" x14ac:dyDescent="0.3">
      <c r="A140" s="60">
        <v>1</v>
      </c>
      <c r="B140" s="60">
        <f>IFERROR(ROUND(tblInsurance[[#This Row],[Amount]],2)*VLOOKUP(tblInsurance[[#This Row],[Period]],Periods,2,0),"")</f>
        <v>0</v>
      </c>
      <c r="C140" s="61" t="s">
        <v>56</v>
      </c>
      <c r="D140" s="61">
        <v>0</v>
      </c>
      <c r="E140" s="61" t="s">
        <v>14</v>
      </c>
    </row>
    <row r="141" spans="1:7" x14ac:dyDescent="0.3">
      <c r="A141" s="60">
        <v>2</v>
      </c>
      <c r="B141" s="60">
        <f>IFERROR(ROUND(tblInsurance[[#This Row],[Amount]],2)*VLOOKUP(tblInsurance[[#This Row],[Period]],Periods,2,0),"")</f>
        <v>0</v>
      </c>
      <c r="C141" s="61" t="s">
        <v>56</v>
      </c>
      <c r="D141" s="61">
        <v>0</v>
      </c>
      <c r="E141" s="61" t="s">
        <v>14</v>
      </c>
    </row>
    <row r="142" spans="1:7" x14ac:dyDescent="0.3">
      <c r="A142" s="60">
        <v>3</v>
      </c>
      <c r="B142" s="60">
        <f>IFERROR(ROUND(tblInsurance[[#This Row],[Amount]],2)*VLOOKUP(tblInsurance[[#This Row],[Period]],Periods,2,0),"")</f>
        <v>0</v>
      </c>
      <c r="C142" s="61" t="s">
        <v>56</v>
      </c>
      <c r="D142" s="61">
        <v>0</v>
      </c>
      <c r="E142" s="61" t="s">
        <v>14</v>
      </c>
    </row>
    <row r="143" spans="1:7" x14ac:dyDescent="0.3">
      <c r="A143" s="60">
        <v>4</v>
      </c>
      <c r="B143" s="60">
        <f>IFERROR(ROUND(tblInsurance[[#This Row],[Amount]],2)*VLOOKUP(tblInsurance[[#This Row],[Period]],Periods,2,0),"")</f>
        <v>0</v>
      </c>
      <c r="C143" s="61" t="s">
        <v>56</v>
      </c>
      <c r="D143" s="61">
        <v>0</v>
      </c>
      <c r="E143" s="61" t="s">
        <v>14</v>
      </c>
    </row>
    <row r="144" spans="1:7" ht="15" x14ac:dyDescent="0.3">
      <c r="A144" s="60">
        <v>5</v>
      </c>
      <c r="B144" s="60">
        <f>IFERROR(ROUND(tblInsurance[[#This Row],[Amount]],2)*VLOOKUP(tblInsurance[[#This Row],[Period]],Periods,2,0),"")</f>
        <v>0</v>
      </c>
      <c r="C144" s="61" t="s">
        <v>56</v>
      </c>
      <c r="D144" s="61">
        <v>0</v>
      </c>
      <c r="E144" s="61" t="s">
        <v>14</v>
      </c>
      <c r="G144" s="78"/>
    </row>
    <row r="145" spans="1:7" ht="15" x14ac:dyDescent="0.3">
      <c r="A145" s="60">
        <v>6</v>
      </c>
      <c r="B145" s="60">
        <f>IFERROR(ROUND(tblInsurance[[#This Row],[Amount]],2)*VLOOKUP(tblInsurance[[#This Row],[Period]],Periods,2,0),"")</f>
        <v>0</v>
      </c>
      <c r="C145" s="61" t="s">
        <v>56</v>
      </c>
      <c r="D145" s="61">
        <v>0</v>
      </c>
      <c r="E145" s="61" t="s">
        <v>14</v>
      </c>
      <c r="G145" s="78"/>
    </row>
    <row r="146" spans="1:7" ht="15" x14ac:dyDescent="0.3">
      <c r="A146" s="60">
        <v>7</v>
      </c>
      <c r="B146" s="60">
        <f>IFERROR(ROUND(tblInsurance[[#This Row],[Amount]],2)*VLOOKUP(tblInsurance[[#This Row],[Period]],Periods,2,0),"")</f>
        <v>0</v>
      </c>
      <c r="C146" s="61" t="s">
        <v>56</v>
      </c>
      <c r="D146" s="61">
        <v>0</v>
      </c>
      <c r="E146" s="61" t="s">
        <v>14</v>
      </c>
      <c r="G146" s="78"/>
    </row>
    <row r="147" spans="1:7" ht="15" x14ac:dyDescent="0.3">
      <c r="A147" s="60">
        <v>8</v>
      </c>
      <c r="B147" s="60">
        <f>IFERROR(ROUND(tblInsurance[[#This Row],[Amount]],2)*VLOOKUP(tblInsurance[[#This Row],[Period]],Periods,2,0),"")</f>
        <v>0</v>
      </c>
      <c r="C147" s="61" t="s">
        <v>56</v>
      </c>
      <c r="D147" s="61">
        <v>0</v>
      </c>
      <c r="E147" s="61" t="s">
        <v>14</v>
      </c>
      <c r="G147" s="78"/>
    </row>
    <row r="148" spans="1:7" ht="15" x14ac:dyDescent="0.3">
      <c r="A148" s="60">
        <v>9</v>
      </c>
      <c r="B148" s="60">
        <f>IFERROR(ROUND(tblInsurance[[#This Row],[Amount]],2)*VLOOKUP(tblInsurance[[#This Row],[Period]],Periods,2,0),"")</f>
        <v>0</v>
      </c>
      <c r="C148" s="61" t="s">
        <v>56</v>
      </c>
      <c r="D148" s="61">
        <v>0</v>
      </c>
      <c r="E148" s="61" t="s">
        <v>14</v>
      </c>
      <c r="G148" s="78"/>
    </row>
    <row r="149" spans="1:7" ht="15" x14ac:dyDescent="0.3">
      <c r="A149" s="65">
        <v>10</v>
      </c>
      <c r="B149" s="66">
        <f>IFERROR(ROUND(tblInsurance[[#This Row],[Amount]],2)*VLOOKUP(tblInsurance[[#This Row],[Period]],Periods,2,0),"")</f>
        <v>0</v>
      </c>
      <c r="C149" s="67" t="s">
        <v>56</v>
      </c>
      <c r="D149" s="67">
        <v>0</v>
      </c>
      <c r="E149" s="67" t="s">
        <v>14</v>
      </c>
      <c r="G149" s="78"/>
    </row>
    <row r="150" spans="1:7" ht="27" customHeight="1" x14ac:dyDescent="0.3">
      <c r="A150" s="74"/>
      <c r="B150" s="75"/>
      <c r="C150" s="75" t="s">
        <v>137</v>
      </c>
      <c r="D150" s="75">
        <f>ROUND(SUM(tblTransportation[Annual Total])/VLOOKUP(D5,TotalPeriods[],2,0),2)</f>
        <v>0</v>
      </c>
      <c r="E150" s="76">
        <f>IFERROR(D150/D10,0)</f>
        <v>0</v>
      </c>
      <c r="F150" s="129" t="str">
        <f>IF(E150&gt;0,IF(AND(E150&gt;0,E150&lt;=RulesOfThumb!D9),RulesOfThumb!B9,IF(AND(E150&gt;RulesOfThumb!F9,E150&lt;=RulesOfThumb!G9),RulesOfThumb!E9,IF(E150&gt;RulesOfThumb!I9,RulesOfThumb!H9,""))),"")</f>
        <v/>
      </c>
      <c r="G150" s="129"/>
    </row>
    <row r="151" spans="1:7" ht="15" x14ac:dyDescent="0.3">
      <c r="A151" s="77" t="s">
        <v>22</v>
      </c>
      <c r="B151" s="77" t="s">
        <v>23</v>
      </c>
      <c r="C151" s="77" t="s">
        <v>24</v>
      </c>
      <c r="D151" s="77" t="s">
        <v>25</v>
      </c>
      <c r="E151" s="77" t="s">
        <v>26</v>
      </c>
      <c r="G151" s="78"/>
    </row>
    <row r="152" spans="1:7" ht="20.100000000000001" customHeight="1" x14ac:dyDescent="0.3">
      <c r="A152" s="60" t="s">
        <v>138</v>
      </c>
      <c r="B152" s="60">
        <f>IFERROR(ROUND(tblTransportation[[#This Row],[Amount]],2)*VLOOKUP(tblTransportation[[#This Row],[Period]],Periods,2,0),"")</f>
        <v>0</v>
      </c>
      <c r="C152" s="60" t="s">
        <v>139</v>
      </c>
      <c r="D152" s="61">
        <v>0</v>
      </c>
      <c r="E152" s="61" t="s">
        <v>14</v>
      </c>
      <c r="G152" s="78"/>
    </row>
    <row r="153" spans="1:7" ht="15" x14ac:dyDescent="0.3">
      <c r="A153" s="60" t="s">
        <v>140</v>
      </c>
      <c r="B153" s="60">
        <f>IFERROR(ROUND(tblTransportation[[#This Row],[Amount]],2)*VLOOKUP(tblTransportation[[#This Row],[Period]],Periods,2,0),"")</f>
        <v>0</v>
      </c>
      <c r="C153" s="60" t="s">
        <v>141</v>
      </c>
      <c r="D153" s="61">
        <v>0</v>
      </c>
      <c r="E153" s="61" t="s">
        <v>14</v>
      </c>
      <c r="G153" s="78"/>
    </row>
    <row r="154" spans="1:7" x14ac:dyDescent="0.3">
      <c r="A154" s="60" t="s">
        <v>142</v>
      </c>
      <c r="B154" s="60">
        <f>IFERROR(ROUND(tblTransportation[[#This Row],[Amount]],2)*VLOOKUP(tblTransportation[[#This Row],[Period]],Periods,2,0),"")</f>
        <v>0</v>
      </c>
      <c r="C154" s="60" t="s">
        <v>143</v>
      </c>
      <c r="D154" s="61">
        <v>0</v>
      </c>
      <c r="E154" s="61" t="s">
        <v>127</v>
      </c>
    </row>
    <row r="155" spans="1:7" x14ac:dyDescent="0.3">
      <c r="A155" s="60" t="s">
        <v>144</v>
      </c>
      <c r="B155" s="60">
        <f>IFERROR(ROUND(tblTransportation[[#This Row],[Amount]],2)*VLOOKUP(tblTransportation[[#This Row],[Period]],Periods,2,0),"")</f>
        <v>0</v>
      </c>
      <c r="C155" s="60" t="s">
        <v>145</v>
      </c>
      <c r="D155" s="61">
        <v>0</v>
      </c>
      <c r="E155" s="61" t="s">
        <v>14</v>
      </c>
    </row>
    <row r="156" spans="1:7" x14ac:dyDescent="0.3">
      <c r="A156" s="60" t="s">
        <v>146</v>
      </c>
      <c r="B156" s="60">
        <f>IFERROR(ROUND(tblTransportation[[#This Row],[Amount]],2)*VLOOKUP(tblTransportation[[#This Row],[Period]],Periods,2,0),"")</f>
        <v>0</v>
      </c>
      <c r="C156" s="60" t="s">
        <v>147</v>
      </c>
      <c r="D156" s="61">
        <v>0</v>
      </c>
      <c r="E156" s="61" t="s">
        <v>76</v>
      </c>
    </row>
    <row r="157" spans="1:7" x14ac:dyDescent="0.3">
      <c r="A157" s="60" t="s">
        <v>148</v>
      </c>
      <c r="B157" s="60">
        <f>IFERROR(ROUND(tblTransportation[[#This Row],[Amount]],2)*VLOOKUP(tblTransportation[[#This Row],[Period]],Periods,2,0),"")</f>
        <v>0</v>
      </c>
      <c r="C157" s="60" t="s">
        <v>149</v>
      </c>
      <c r="D157" s="61">
        <v>0</v>
      </c>
      <c r="E157" s="61" t="s">
        <v>14</v>
      </c>
    </row>
    <row r="158" spans="1:7" x14ac:dyDescent="0.3">
      <c r="A158" s="60" t="s">
        <v>150</v>
      </c>
      <c r="B158" s="60">
        <f>IFERROR(ROUND(tblTransportation[[#This Row],[Amount]],2)*VLOOKUP(tblTransportation[[#This Row],[Period]],Periods,2,0),"")</f>
        <v>0</v>
      </c>
      <c r="C158" s="60" t="s">
        <v>151</v>
      </c>
      <c r="D158" s="61">
        <v>0</v>
      </c>
      <c r="E158" s="61" t="s">
        <v>14</v>
      </c>
    </row>
    <row r="159" spans="1:7" x14ac:dyDescent="0.3">
      <c r="A159" s="60" t="s">
        <v>152</v>
      </c>
      <c r="B159" s="60">
        <f>IFERROR(ROUND(tblTransportation[[#This Row],[Amount]],2)*VLOOKUP(tblTransportation[[#This Row],[Period]],Periods,2,0),"")</f>
        <v>0</v>
      </c>
      <c r="C159" s="60" t="s">
        <v>153</v>
      </c>
      <c r="D159" s="61">
        <v>0</v>
      </c>
      <c r="E159" s="61" t="s">
        <v>14</v>
      </c>
    </row>
    <row r="160" spans="1:7" x14ac:dyDescent="0.3">
      <c r="A160" s="62"/>
      <c r="B160" s="62" t="str">
        <f>IFERROR(ROUND(tblTransportation[[#This Row],[Amount]],2)*VLOOKUP(tblTransportation[[#This Row],[Period]],Periods,2,0),"")</f>
        <v/>
      </c>
      <c r="C160" s="63" t="s">
        <v>55</v>
      </c>
      <c r="D160" s="64"/>
      <c r="E160" s="64"/>
    </row>
    <row r="161" spans="1:7" x14ac:dyDescent="0.3">
      <c r="A161" s="60">
        <v>1</v>
      </c>
      <c r="B161" s="60">
        <f>IFERROR(ROUND(tblTransportation[[#This Row],[Amount]],2)*VLOOKUP(tblTransportation[[#This Row],[Period]],Periods,2,0),"")</f>
        <v>0</v>
      </c>
      <c r="C161" s="61" t="s">
        <v>56</v>
      </c>
      <c r="D161" s="61">
        <v>0</v>
      </c>
      <c r="E161" s="61" t="s">
        <v>14</v>
      </c>
    </row>
    <row r="162" spans="1:7" x14ac:dyDescent="0.3">
      <c r="A162" s="60">
        <v>2</v>
      </c>
      <c r="B162" s="60">
        <f>IFERROR(ROUND(tblTransportation[[#This Row],[Amount]],2)*VLOOKUP(tblTransportation[[#This Row],[Period]],Periods,2,0),"")</f>
        <v>0</v>
      </c>
      <c r="C162" s="61" t="s">
        <v>56</v>
      </c>
      <c r="D162" s="61">
        <v>0</v>
      </c>
      <c r="E162" s="61" t="s">
        <v>14</v>
      </c>
    </row>
    <row r="163" spans="1:7" x14ac:dyDescent="0.3">
      <c r="A163" s="60">
        <v>3</v>
      </c>
      <c r="B163" s="60">
        <f>IFERROR(ROUND(tblTransportation[[#This Row],[Amount]],2)*VLOOKUP(tblTransportation[[#This Row],[Period]],Periods,2,0),"")</f>
        <v>0</v>
      </c>
      <c r="C163" s="61" t="s">
        <v>56</v>
      </c>
      <c r="D163" s="61">
        <v>0</v>
      </c>
      <c r="E163" s="61" t="s">
        <v>14</v>
      </c>
    </row>
    <row r="164" spans="1:7" x14ac:dyDescent="0.3">
      <c r="A164" s="60">
        <v>4</v>
      </c>
      <c r="B164" s="60">
        <f>IFERROR(ROUND(tblTransportation[[#This Row],[Amount]],2)*VLOOKUP(tblTransportation[[#This Row],[Period]],Periods,2,0),"")</f>
        <v>0</v>
      </c>
      <c r="C164" s="61" t="s">
        <v>56</v>
      </c>
      <c r="D164" s="61">
        <v>0</v>
      </c>
      <c r="E164" s="61" t="s">
        <v>14</v>
      </c>
    </row>
    <row r="165" spans="1:7" x14ac:dyDescent="0.3">
      <c r="A165" s="60">
        <v>5</v>
      </c>
      <c r="B165" s="60">
        <f>IFERROR(ROUND(tblTransportation[[#This Row],[Amount]],2)*VLOOKUP(tblTransportation[[#This Row],[Period]],Periods,2,0),"")</f>
        <v>0</v>
      </c>
      <c r="C165" s="61" t="s">
        <v>56</v>
      </c>
      <c r="D165" s="61">
        <v>0</v>
      </c>
      <c r="E165" s="61" t="s">
        <v>14</v>
      </c>
    </row>
    <row r="166" spans="1:7" x14ac:dyDescent="0.3">
      <c r="A166" s="60">
        <v>6</v>
      </c>
      <c r="B166" s="60">
        <f>IFERROR(ROUND(tblTransportation[[#This Row],[Amount]],2)*VLOOKUP(tblTransportation[[#This Row],[Period]],Periods,2,0),"")</f>
        <v>0</v>
      </c>
      <c r="C166" s="61" t="s">
        <v>56</v>
      </c>
      <c r="D166" s="61">
        <v>0</v>
      </c>
      <c r="E166" s="61" t="s">
        <v>14</v>
      </c>
    </row>
    <row r="167" spans="1:7" x14ac:dyDescent="0.3">
      <c r="A167" s="60">
        <v>7</v>
      </c>
      <c r="B167" s="60">
        <f>IFERROR(ROUND(tblTransportation[[#This Row],[Amount]],2)*VLOOKUP(tblTransportation[[#This Row],[Period]],Periods,2,0),"")</f>
        <v>0</v>
      </c>
      <c r="C167" s="61" t="s">
        <v>56</v>
      </c>
      <c r="D167" s="61">
        <v>0</v>
      </c>
      <c r="E167" s="61" t="s">
        <v>14</v>
      </c>
    </row>
    <row r="168" spans="1:7" x14ac:dyDescent="0.3">
      <c r="A168" s="60">
        <v>8</v>
      </c>
      <c r="B168" s="60">
        <f>IFERROR(ROUND(tblTransportation[[#This Row],[Amount]],2)*VLOOKUP(tblTransportation[[#This Row],[Period]],Periods,2,0),"")</f>
        <v>0</v>
      </c>
      <c r="C168" s="61" t="s">
        <v>56</v>
      </c>
      <c r="D168" s="61">
        <v>0</v>
      </c>
      <c r="E168" s="61" t="s">
        <v>14</v>
      </c>
    </row>
    <row r="169" spans="1:7" x14ac:dyDescent="0.3">
      <c r="A169" s="60">
        <v>9</v>
      </c>
      <c r="B169" s="60">
        <f>IFERROR(ROUND(tblTransportation[[#This Row],[Amount]],2)*VLOOKUP(tblTransportation[[#This Row],[Period]],Periods,2,0),"")</f>
        <v>0</v>
      </c>
      <c r="C169" s="61" t="s">
        <v>56</v>
      </c>
      <c r="D169" s="61">
        <v>0</v>
      </c>
      <c r="E169" s="61" t="s">
        <v>14</v>
      </c>
    </row>
    <row r="170" spans="1:7" x14ac:dyDescent="0.3">
      <c r="A170" s="65">
        <v>10</v>
      </c>
      <c r="B170" s="66">
        <f>IFERROR(ROUND(tblTransportation[[#This Row],[Amount]],2)*VLOOKUP(tblTransportation[[#This Row],[Period]],Periods,2,0),"")</f>
        <v>0</v>
      </c>
      <c r="C170" s="67" t="s">
        <v>56</v>
      </c>
      <c r="D170" s="67">
        <v>0</v>
      </c>
      <c r="E170" s="67" t="s">
        <v>14</v>
      </c>
    </row>
    <row r="171" spans="1:7" ht="27" customHeight="1" x14ac:dyDescent="0.3">
      <c r="A171" s="74"/>
      <c r="B171" s="75"/>
      <c r="C171" s="75" t="s">
        <v>154</v>
      </c>
      <c r="D171" s="75">
        <f>ROUND(SUM(tblChildcare[Annual Total])/VLOOKUP(D5,TotalPeriods[],2,0),2)</f>
        <v>0</v>
      </c>
      <c r="E171" s="76">
        <f>IFERROR(D171/D10,0)</f>
        <v>0</v>
      </c>
      <c r="F171" s="129" t="str">
        <f>IF(E171&gt;0,IF(AND(E171&gt;0,E171&lt;=RulesOfThumb!D10),RulesOfThumb!B10,IF(AND(E171&gt;RulesOfThumb!F10,E171&lt;=RulesOfThumb!G10),RulesOfThumb!E10,IF(E171&gt;RulesOfThumb!I10,RulesOfThumb!H10,""))),"")</f>
        <v/>
      </c>
      <c r="G171" s="129"/>
    </row>
    <row r="172" spans="1:7" x14ac:dyDescent="0.3">
      <c r="A172" s="77" t="s">
        <v>22</v>
      </c>
      <c r="B172" s="77" t="s">
        <v>23</v>
      </c>
      <c r="C172" s="77" t="s">
        <v>24</v>
      </c>
      <c r="D172" s="77" t="s">
        <v>25</v>
      </c>
      <c r="E172" s="77" t="s">
        <v>26</v>
      </c>
    </row>
    <row r="173" spans="1:7" x14ac:dyDescent="0.3">
      <c r="A173" s="60" t="s">
        <v>155</v>
      </c>
      <c r="B173" s="60">
        <f>IFERROR(ROUND(tblChildcare[[#This Row],[Amount]],2)*VLOOKUP(tblChildcare[[#This Row],[Period]],Periods,2,0),"")</f>
        <v>0</v>
      </c>
      <c r="C173" s="60" t="s">
        <v>156</v>
      </c>
      <c r="D173" s="61">
        <v>0</v>
      </c>
      <c r="E173" s="61" t="s">
        <v>14</v>
      </c>
    </row>
    <row r="174" spans="1:7" ht="20.100000000000001" customHeight="1" x14ac:dyDescent="0.3">
      <c r="A174" s="60" t="s">
        <v>157</v>
      </c>
      <c r="B174" s="60">
        <f>IFERROR(ROUND(tblChildcare[[#This Row],[Amount]],2)*VLOOKUP(tblChildcare[[#This Row],[Period]],Periods,2,0),"")</f>
        <v>0</v>
      </c>
      <c r="C174" s="60" t="s">
        <v>158</v>
      </c>
      <c r="D174" s="61">
        <v>0</v>
      </c>
      <c r="E174" s="61" t="s">
        <v>14</v>
      </c>
    </row>
    <row r="175" spans="1:7" x14ac:dyDescent="0.3">
      <c r="A175" s="60" t="s">
        <v>159</v>
      </c>
      <c r="B175" s="60">
        <f>IFERROR(ROUND(tblChildcare[[#This Row],[Amount]],2)*VLOOKUP(tblChildcare[[#This Row],[Period]],Periods,2,0),"")</f>
        <v>0</v>
      </c>
      <c r="C175" s="60" t="s">
        <v>160</v>
      </c>
      <c r="D175" s="61">
        <v>0</v>
      </c>
      <c r="E175" s="61" t="s">
        <v>14</v>
      </c>
    </row>
    <row r="176" spans="1:7" x14ac:dyDescent="0.3">
      <c r="A176" s="60" t="s">
        <v>161</v>
      </c>
      <c r="B176" s="60">
        <f>IFERROR(ROUND(tblChildcare[[#This Row],[Amount]],2)*VLOOKUP(tblChildcare[[#This Row],[Period]],Periods,2,0),"")</f>
        <v>0</v>
      </c>
      <c r="C176" s="60" t="s">
        <v>162</v>
      </c>
      <c r="D176" s="61">
        <v>0</v>
      </c>
      <c r="E176" s="61" t="s">
        <v>14</v>
      </c>
    </row>
    <row r="177" spans="1:7" x14ac:dyDescent="0.3">
      <c r="A177" s="62"/>
      <c r="B177" s="62" t="str">
        <f>IFERROR(ROUND(tblChildcare[[#This Row],[Amount]],2)*VLOOKUP(tblChildcare[[#This Row],[Period]],Periods,2,0),"")</f>
        <v/>
      </c>
      <c r="C177" s="63" t="s">
        <v>55</v>
      </c>
      <c r="D177" s="64"/>
      <c r="E177" s="64"/>
    </row>
    <row r="178" spans="1:7" x14ac:dyDescent="0.3">
      <c r="A178" s="60">
        <v>1</v>
      </c>
      <c r="B178" s="60">
        <f>IFERROR(ROUND(tblChildcare[[#This Row],[Amount]],2)*VLOOKUP(tblChildcare[[#This Row],[Period]],Periods,2,0),"")</f>
        <v>0</v>
      </c>
      <c r="C178" s="61" t="s">
        <v>56</v>
      </c>
      <c r="D178" s="61">
        <v>0</v>
      </c>
      <c r="E178" s="61" t="s">
        <v>14</v>
      </c>
    </row>
    <row r="179" spans="1:7" x14ac:dyDescent="0.3">
      <c r="A179" s="60">
        <v>2</v>
      </c>
      <c r="B179" s="60">
        <f>IFERROR(ROUND(tblChildcare[[#This Row],[Amount]],2)*VLOOKUP(tblChildcare[[#This Row],[Period]],Periods,2,0),"")</f>
        <v>0</v>
      </c>
      <c r="C179" s="61" t="s">
        <v>56</v>
      </c>
      <c r="D179" s="61">
        <v>0</v>
      </c>
      <c r="E179" s="61" t="s">
        <v>14</v>
      </c>
    </row>
    <row r="180" spans="1:7" x14ac:dyDescent="0.3">
      <c r="A180" s="60">
        <v>3</v>
      </c>
      <c r="B180" s="60">
        <f>IFERROR(ROUND(tblChildcare[[#This Row],[Amount]],2)*VLOOKUP(tblChildcare[[#This Row],[Period]],Periods,2,0),"")</f>
        <v>0</v>
      </c>
      <c r="C180" s="61" t="s">
        <v>56</v>
      </c>
      <c r="D180" s="61">
        <v>0</v>
      </c>
      <c r="E180" s="61" t="s">
        <v>14</v>
      </c>
    </row>
    <row r="181" spans="1:7" x14ac:dyDescent="0.3">
      <c r="A181" s="60">
        <v>4</v>
      </c>
      <c r="B181" s="60">
        <f>IFERROR(ROUND(tblChildcare[[#This Row],[Amount]],2)*VLOOKUP(tblChildcare[[#This Row],[Period]],Periods,2,0),"")</f>
        <v>0</v>
      </c>
      <c r="C181" s="61" t="s">
        <v>56</v>
      </c>
      <c r="D181" s="61">
        <v>0</v>
      </c>
      <c r="E181" s="61" t="s">
        <v>14</v>
      </c>
    </row>
    <row r="182" spans="1:7" x14ac:dyDescent="0.3">
      <c r="A182" s="60">
        <v>5</v>
      </c>
      <c r="B182" s="60">
        <f>IFERROR(ROUND(tblChildcare[[#This Row],[Amount]],2)*VLOOKUP(tblChildcare[[#This Row],[Period]],Periods,2,0),"")</f>
        <v>0</v>
      </c>
      <c r="C182" s="61" t="s">
        <v>56</v>
      </c>
      <c r="D182" s="61">
        <v>0</v>
      </c>
      <c r="E182" s="61" t="s">
        <v>14</v>
      </c>
    </row>
    <row r="183" spans="1:7" x14ac:dyDescent="0.3">
      <c r="A183" s="60">
        <v>6</v>
      </c>
      <c r="B183" s="60">
        <f>IFERROR(ROUND(tblChildcare[[#This Row],[Amount]],2)*VLOOKUP(tblChildcare[[#This Row],[Period]],Periods,2,0),"")</f>
        <v>0</v>
      </c>
      <c r="C183" s="61" t="s">
        <v>56</v>
      </c>
      <c r="D183" s="61">
        <v>0</v>
      </c>
      <c r="E183" s="61" t="s">
        <v>14</v>
      </c>
    </row>
    <row r="184" spans="1:7" x14ac:dyDescent="0.3">
      <c r="A184" s="60">
        <v>7</v>
      </c>
      <c r="B184" s="60">
        <f>IFERROR(ROUND(tblChildcare[[#This Row],[Amount]],2)*VLOOKUP(tblChildcare[[#This Row],[Period]],Periods,2,0),"")</f>
        <v>0</v>
      </c>
      <c r="C184" s="61" t="s">
        <v>56</v>
      </c>
      <c r="D184" s="61">
        <v>0</v>
      </c>
      <c r="E184" s="61" t="s">
        <v>14</v>
      </c>
    </row>
    <row r="185" spans="1:7" x14ac:dyDescent="0.3">
      <c r="A185" s="60">
        <v>8</v>
      </c>
      <c r="B185" s="60">
        <f>IFERROR(ROUND(tblChildcare[[#This Row],[Amount]],2)*VLOOKUP(tblChildcare[[#This Row],[Period]],Periods,2,0),"")</f>
        <v>0</v>
      </c>
      <c r="C185" s="61" t="s">
        <v>56</v>
      </c>
      <c r="D185" s="61">
        <v>0</v>
      </c>
      <c r="E185" s="61" t="s">
        <v>14</v>
      </c>
    </row>
    <row r="186" spans="1:7" x14ac:dyDescent="0.3">
      <c r="A186" s="60">
        <v>9</v>
      </c>
      <c r="B186" s="60">
        <f>IFERROR(ROUND(tblChildcare[[#This Row],[Amount]],2)*VLOOKUP(tblChildcare[[#This Row],[Period]],Periods,2,0),"")</f>
        <v>0</v>
      </c>
      <c r="C186" s="61" t="s">
        <v>56</v>
      </c>
      <c r="D186" s="61">
        <v>0</v>
      </c>
      <c r="E186" s="61" t="s">
        <v>14</v>
      </c>
    </row>
    <row r="187" spans="1:7" x14ac:dyDescent="0.3">
      <c r="A187" s="65">
        <v>10</v>
      </c>
      <c r="B187" s="66">
        <f>IFERROR(ROUND(tblChildcare[[#This Row],[Amount]],2)*VLOOKUP(tblChildcare[[#This Row],[Period]],Periods,2,0),"")</f>
        <v>0</v>
      </c>
      <c r="C187" s="67" t="s">
        <v>56</v>
      </c>
      <c r="D187" s="67">
        <v>0</v>
      </c>
      <c r="E187" s="67" t="s">
        <v>14</v>
      </c>
    </row>
    <row r="188" spans="1:7" ht="27" customHeight="1" x14ac:dyDescent="0.3">
      <c r="A188" s="74"/>
      <c r="B188" s="75"/>
      <c r="C188" s="75" t="s">
        <v>65</v>
      </c>
      <c r="D188" s="75">
        <f>ROUND(SUM(tblEducation[Annual Total])/VLOOKUP(D5,TotalPeriods[],2,0),2)</f>
        <v>0</v>
      </c>
      <c r="E188" s="76">
        <f>IFERROR(D188/D10,0)</f>
        <v>0</v>
      </c>
      <c r="F188" s="129" t="str">
        <f>IF(E188&gt;0,IF(AND(E188&gt;0,E188&lt;=RulesOfThumb!D11),RulesOfThumb!B11,IF(AND(E188&gt;RulesOfThumb!F11,E188&lt;=RulesOfThumb!G11),RulesOfThumb!E11,IF(E188&gt;RulesOfThumb!I11,RulesOfThumb!H11,""))),"")</f>
        <v/>
      </c>
      <c r="G188" s="129"/>
    </row>
    <row r="189" spans="1:7" x14ac:dyDescent="0.3">
      <c r="A189" s="77" t="s">
        <v>22</v>
      </c>
      <c r="B189" s="77" t="s">
        <v>23</v>
      </c>
      <c r="C189" s="77" t="s">
        <v>24</v>
      </c>
      <c r="D189" s="77" t="s">
        <v>25</v>
      </c>
      <c r="E189" s="77" t="s">
        <v>26</v>
      </c>
    </row>
    <row r="190" spans="1:7" x14ac:dyDescent="0.3">
      <c r="A190" s="60" t="s">
        <v>163</v>
      </c>
      <c r="B190" s="60">
        <f>IFERROR(ROUND(tblEducation[[#This Row],[Amount]],2)*VLOOKUP(tblEducation[[#This Row],[Period]],Periods,2,0),"")</f>
        <v>0</v>
      </c>
      <c r="C190" s="60" t="s">
        <v>163</v>
      </c>
      <c r="D190" s="61">
        <v>0</v>
      </c>
      <c r="E190" s="61" t="s">
        <v>76</v>
      </c>
    </row>
    <row r="191" spans="1:7" x14ac:dyDescent="0.3">
      <c r="A191" s="60" t="s">
        <v>164</v>
      </c>
      <c r="B191" s="60">
        <f>IFERROR(ROUND(tblEducation[[#This Row],[Amount]],2)*VLOOKUP(tblEducation[[#This Row],[Period]],Periods,2,0),"")</f>
        <v>0</v>
      </c>
      <c r="C191" s="60" t="s">
        <v>165</v>
      </c>
      <c r="D191" s="61">
        <v>0</v>
      </c>
      <c r="E191" s="61" t="s">
        <v>76</v>
      </c>
    </row>
    <row r="192" spans="1:7" ht="15" customHeight="1" x14ac:dyDescent="0.3">
      <c r="A192" s="60" t="s">
        <v>166</v>
      </c>
      <c r="B192" s="60">
        <f>IFERROR(ROUND(tblEducation[[#This Row],[Amount]],2)*VLOOKUP(tblEducation[[#This Row],[Period]],Periods,2,0),"")</f>
        <v>0</v>
      </c>
      <c r="C192" s="60" t="s">
        <v>167</v>
      </c>
      <c r="D192" s="61">
        <v>0</v>
      </c>
      <c r="E192" s="61" t="s">
        <v>76</v>
      </c>
    </row>
    <row r="193" spans="1:7" ht="15" customHeight="1" x14ac:dyDescent="0.3">
      <c r="A193" s="62"/>
      <c r="B193" s="62" t="str">
        <f>IFERROR(ROUND(tblEducation[[#This Row],[Amount]],2)*VLOOKUP(tblEducation[[#This Row],[Period]],Periods,2,0),"")</f>
        <v/>
      </c>
      <c r="C193" s="63" t="s">
        <v>55</v>
      </c>
      <c r="D193" s="64"/>
      <c r="E193" s="64"/>
    </row>
    <row r="194" spans="1:7" x14ac:dyDescent="0.3">
      <c r="A194" s="60">
        <v>1</v>
      </c>
      <c r="B194" s="60">
        <f>IFERROR(ROUND(tblEducation[[#This Row],[Amount]],2)*VLOOKUP(tblEducation[[#This Row],[Period]],Periods,2,0),"")</f>
        <v>0</v>
      </c>
      <c r="C194" s="61" t="s">
        <v>56</v>
      </c>
      <c r="D194" s="61">
        <v>0</v>
      </c>
      <c r="E194" s="61" t="s">
        <v>76</v>
      </c>
    </row>
    <row r="195" spans="1:7" x14ac:dyDescent="0.3">
      <c r="A195" s="60">
        <v>2</v>
      </c>
      <c r="B195" s="60">
        <f>IFERROR(ROUND(tblEducation[[#This Row],[Amount]],2)*VLOOKUP(tblEducation[[#This Row],[Period]],Periods,2,0),"")</f>
        <v>0</v>
      </c>
      <c r="C195" s="61" t="s">
        <v>56</v>
      </c>
      <c r="D195" s="61">
        <v>0</v>
      </c>
      <c r="E195" s="61" t="s">
        <v>76</v>
      </c>
    </row>
    <row r="196" spans="1:7" x14ac:dyDescent="0.3">
      <c r="A196" s="60">
        <v>3</v>
      </c>
      <c r="B196" s="60">
        <f>IFERROR(ROUND(tblEducation[[#This Row],[Amount]],2)*VLOOKUP(tblEducation[[#This Row],[Period]],Periods,2,0),"")</f>
        <v>0</v>
      </c>
      <c r="C196" s="61" t="s">
        <v>56</v>
      </c>
      <c r="D196" s="61">
        <v>0</v>
      </c>
      <c r="E196" s="61" t="s">
        <v>76</v>
      </c>
    </row>
    <row r="197" spans="1:7" x14ac:dyDescent="0.3">
      <c r="A197" s="60">
        <v>4</v>
      </c>
      <c r="B197" s="60">
        <f>IFERROR(ROUND(tblEducation[[#This Row],[Amount]],2)*VLOOKUP(tblEducation[[#This Row],[Period]],Periods,2,0),"")</f>
        <v>0</v>
      </c>
      <c r="C197" s="61" t="s">
        <v>56</v>
      </c>
      <c r="D197" s="61">
        <v>0</v>
      </c>
      <c r="E197" s="61" t="s">
        <v>76</v>
      </c>
    </row>
    <row r="198" spans="1:7" x14ac:dyDescent="0.3">
      <c r="A198" s="60">
        <v>5</v>
      </c>
      <c r="B198" s="60">
        <f>IFERROR(ROUND(tblEducation[[#This Row],[Amount]],2)*VLOOKUP(tblEducation[[#This Row],[Period]],Periods,2,0),"")</f>
        <v>0</v>
      </c>
      <c r="C198" s="61" t="s">
        <v>56</v>
      </c>
      <c r="D198" s="61">
        <v>0</v>
      </c>
      <c r="E198" s="61" t="s">
        <v>76</v>
      </c>
    </row>
    <row r="199" spans="1:7" x14ac:dyDescent="0.3">
      <c r="A199" s="60">
        <v>6</v>
      </c>
      <c r="B199" s="60">
        <f>IFERROR(ROUND(tblEducation[[#This Row],[Amount]],2)*VLOOKUP(tblEducation[[#This Row],[Period]],Periods,2,0),"")</f>
        <v>0</v>
      </c>
      <c r="C199" s="61" t="s">
        <v>56</v>
      </c>
      <c r="D199" s="61">
        <v>0</v>
      </c>
      <c r="E199" s="61" t="s">
        <v>76</v>
      </c>
    </row>
    <row r="200" spans="1:7" x14ac:dyDescent="0.3">
      <c r="A200" s="60">
        <v>7</v>
      </c>
      <c r="B200" s="60">
        <f>IFERROR(ROUND(tblEducation[[#This Row],[Amount]],2)*VLOOKUP(tblEducation[[#This Row],[Period]],Periods,2,0),"")</f>
        <v>0</v>
      </c>
      <c r="C200" s="61" t="s">
        <v>56</v>
      </c>
      <c r="D200" s="61">
        <v>0</v>
      </c>
      <c r="E200" s="61" t="s">
        <v>76</v>
      </c>
    </row>
    <row r="201" spans="1:7" x14ac:dyDescent="0.3">
      <c r="A201" s="60">
        <v>8</v>
      </c>
      <c r="B201" s="60">
        <f>IFERROR(ROUND(tblEducation[[#This Row],[Amount]],2)*VLOOKUP(tblEducation[[#This Row],[Period]],Periods,2,0),"")</f>
        <v>0</v>
      </c>
      <c r="C201" s="61" t="s">
        <v>56</v>
      </c>
      <c r="D201" s="61">
        <v>0</v>
      </c>
      <c r="E201" s="61" t="s">
        <v>76</v>
      </c>
    </row>
    <row r="202" spans="1:7" x14ac:dyDescent="0.3">
      <c r="A202" s="60">
        <v>9</v>
      </c>
      <c r="B202" s="60">
        <f>IFERROR(ROUND(tblEducation[[#This Row],[Amount]],2)*VLOOKUP(tblEducation[[#This Row],[Period]],Periods,2,0),"")</f>
        <v>0</v>
      </c>
      <c r="C202" s="61" t="s">
        <v>56</v>
      </c>
      <c r="D202" s="61">
        <v>0</v>
      </c>
      <c r="E202" s="61" t="s">
        <v>76</v>
      </c>
    </row>
    <row r="203" spans="1:7" x14ac:dyDescent="0.3">
      <c r="A203" s="65">
        <v>10</v>
      </c>
      <c r="B203" s="66">
        <f>IFERROR(ROUND(tblEducation[[#This Row],[Amount]],2)*VLOOKUP(tblEducation[[#This Row],[Period]],Periods,2,0),"")</f>
        <v>0</v>
      </c>
      <c r="C203" s="67" t="s">
        <v>56</v>
      </c>
      <c r="D203" s="67">
        <v>0</v>
      </c>
      <c r="E203" s="67" t="s">
        <v>76</v>
      </c>
    </row>
    <row r="204" spans="1:7" ht="27" customHeight="1" x14ac:dyDescent="0.3">
      <c r="A204" s="74"/>
      <c r="B204" s="75"/>
      <c r="C204" s="75" t="s">
        <v>168</v>
      </c>
      <c r="D204" s="75">
        <f>ROUND(SUM(tblRecreation[Annual Total])/VLOOKUP(D5,TotalPeriods[],2,0),2)</f>
        <v>0</v>
      </c>
      <c r="E204" s="76">
        <f>IFERROR(D204/D10,0)</f>
        <v>0</v>
      </c>
      <c r="F204" s="129" t="str">
        <f>IF(E204&gt;0,IF(AND(E204&gt;0,E204&lt;=RulesOfThumb!D12),RulesOfThumb!B12,IF(AND(E204&gt;RulesOfThumb!F12,E204&lt;=RulesOfThumb!G12),RulesOfThumb!E12,IF(E204&gt;RulesOfThumb!I12,RulesOfThumb!H12,""))),"")</f>
        <v/>
      </c>
      <c r="G204" s="129"/>
    </row>
    <row r="205" spans="1:7" x14ac:dyDescent="0.3">
      <c r="A205" s="77" t="s">
        <v>22</v>
      </c>
      <c r="B205" s="77" t="s">
        <v>23</v>
      </c>
      <c r="C205" s="77" t="s">
        <v>24</v>
      </c>
      <c r="D205" s="77" t="s">
        <v>25</v>
      </c>
      <c r="E205" s="77" t="s">
        <v>26</v>
      </c>
    </row>
    <row r="206" spans="1:7" x14ac:dyDescent="0.3">
      <c r="A206" s="60" t="s">
        <v>169</v>
      </c>
      <c r="B206" s="60">
        <f>IFERROR(ROUND(tblRecreation[[#This Row],[Amount]],2)*VLOOKUP(tblRecreation[[#This Row],[Period]],Periods,2,0),"")</f>
        <v>0</v>
      </c>
      <c r="C206" s="60" t="s">
        <v>170</v>
      </c>
      <c r="D206" s="61">
        <v>0</v>
      </c>
      <c r="E206" s="61" t="s">
        <v>76</v>
      </c>
    </row>
    <row r="207" spans="1:7" x14ac:dyDescent="0.3">
      <c r="A207" s="60" t="s">
        <v>171</v>
      </c>
      <c r="B207" s="60">
        <f>IFERROR(ROUND(tblRecreation[[#This Row],[Amount]],2)*VLOOKUP(tblRecreation[[#This Row],[Period]],Periods,2,0),"")</f>
        <v>0</v>
      </c>
      <c r="C207" s="60" t="s">
        <v>172</v>
      </c>
      <c r="D207" s="61">
        <v>0</v>
      </c>
      <c r="E207" s="61" t="s">
        <v>76</v>
      </c>
    </row>
    <row r="208" spans="1:7" x14ac:dyDescent="0.3">
      <c r="A208" s="60" t="s">
        <v>173</v>
      </c>
      <c r="B208" s="60">
        <f>IFERROR(ROUND(tblRecreation[[#This Row],[Amount]],2)*VLOOKUP(tblRecreation[[#This Row],[Period]],Periods,2,0),"")</f>
        <v>0</v>
      </c>
      <c r="C208" s="60" t="s">
        <v>174</v>
      </c>
      <c r="D208" s="61">
        <v>0</v>
      </c>
      <c r="E208" s="61" t="s">
        <v>14</v>
      </c>
    </row>
    <row r="209" spans="1:5" x14ac:dyDescent="0.3">
      <c r="A209" s="60" t="s">
        <v>175</v>
      </c>
      <c r="B209" s="60">
        <f>IFERROR(ROUND(tblRecreation[[#This Row],[Amount]],2)*VLOOKUP(tblRecreation[[#This Row],[Period]],Periods,2,0),"")</f>
        <v>0</v>
      </c>
      <c r="C209" s="60" t="s">
        <v>176</v>
      </c>
      <c r="D209" s="61">
        <v>0</v>
      </c>
      <c r="E209" s="61" t="s">
        <v>14</v>
      </c>
    </row>
    <row r="210" spans="1:5" x14ac:dyDescent="0.3">
      <c r="A210" s="60" t="s">
        <v>177</v>
      </c>
      <c r="B210" s="60">
        <f>IFERROR(ROUND(tblRecreation[[#This Row],[Amount]],2)*VLOOKUP(tblRecreation[[#This Row],[Period]],Periods,2,0),"")</f>
        <v>0</v>
      </c>
      <c r="C210" s="60" t="s">
        <v>178</v>
      </c>
      <c r="D210" s="61">
        <v>0</v>
      </c>
      <c r="E210" s="61" t="s">
        <v>14</v>
      </c>
    </row>
    <row r="211" spans="1:5" x14ac:dyDescent="0.3">
      <c r="A211" s="60" t="s">
        <v>179</v>
      </c>
      <c r="B211" s="60">
        <f>IFERROR(ROUND(tblRecreation[[#This Row],[Amount]],2)*VLOOKUP(tblRecreation[[#This Row],[Period]],Periods,2,0),"")</f>
        <v>0</v>
      </c>
      <c r="C211" s="60" t="s">
        <v>180</v>
      </c>
      <c r="D211" s="61">
        <v>0</v>
      </c>
      <c r="E211" s="61" t="s">
        <v>14</v>
      </c>
    </row>
    <row r="212" spans="1:5" x14ac:dyDescent="0.3">
      <c r="A212" s="60" t="s">
        <v>181</v>
      </c>
      <c r="B212" s="60">
        <f>IFERROR(ROUND(tblRecreation[[#This Row],[Amount]],2)*VLOOKUP(tblRecreation[[#This Row],[Period]],Periods,2,0),"")</f>
        <v>0</v>
      </c>
      <c r="C212" s="60" t="s">
        <v>181</v>
      </c>
      <c r="D212" s="61">
        <v>0</v>
      </c>
      <c r="E212" s="61" t="s">
        <v>14</v>
      </c>
    </row>
    <row r="213" spans="1:5" x14ac:dyDescent="0.3">
      <c r="A213" s="60" t="s">
        <v>182</v>
      </c>
      <c r="B213" s="60">
        <f>IFERROR(ROUND(tblRecreation[[#This Row],[Amount]],2)*VLOOKUP(tblRecreation[[#This Row],[Period]],Periods,2,0),"")</f>
        <v>0</v>
      </c>
      <c r="C213" s="60" t="s">
        <v>183</v>
      </c>
      <c r="D213" s="61">
        <v>0</v>
      </c>
      <c r="E213" s="61" t="s">
        <v>14</v>
      </c>
    </row>
    <row r="214" spans="1:5" x14ac:dyDescent="0.3">
      <c r="A214" s="62"/>
      <c r="B214" s="62" t="str">
        <f>IFERROR(ROUND(tblRecreation[[#This Row],[Amount]],2)*VLOOKUP(tblRecreation[[#This Row],[Period]],Periods,2,0),"")</f>
        <v/>
      </c>
      <c r="C214" s="63" t="s">
        <v>55</v>
      </c>
      <c r="D214" s="64"/>
      <c r="E214" s="64"/>
    </row>
    <row r="215" spans="1:5" x14ac:dyDescent="0.3">
      <c r="A215" s="60">
        <v>1</v>
      </c>
      <c r="B215" s="60">
        <f>IFERROR(ROUND(tblRecreation[[#This Row],[Amount]],2)*VLOOKUP(tblRecreation[[#This Row],[Period]],Periods,2,0),"")</f>
        <v>0</v>
      </c>
      <c r="C215" s="61" t="s">
        <v>56</v>
      </c>
      <c r="D215" s="61">
        <v>0</v>
      </c>
      <c r="E215" s="61" t="s">
        <v>14</v>
      </c>
    </row>
    <row r="216" spans="1:5" x14ac:dyDescent="0.3">
      <c r="A216" s="60">
        <v>2</v>
      </c>
      <c r="B216" s="60">
        <f>IFERROR(ROUND(tblRecreation[[#This Row],[Amount]],2)*VLOOKUP(tblRecreation[[#This Row],[Period]],Periods,2,0),"")</f>
        <v>0</v>
      </c>
      <c r="C216" s="61" t="s">
        <v>56</v>
      </c>
      <c r="D216" s="61">
        <v>0</v>
      </c>
      <c r="E216" s="61" t="s">
        <v>14</v>
      </c>
    </row>
    <row r="217" spans="1:5" x14ac:dyDescent="0.3">
      <c r="A217" s="60">
        <v>3</v>
      </c>
      <c r="B217" s="60">
        <f>IFERROR(ROUND(tblRecreation[[#This Row],[Amount]],2)*VLOOKUP(tblRecreation[[#This Row],[Period]],Periods,2,0),"")</f>
        <v>0</v>
      </c>
      <c r="C217" s="61" t="s">
        <v>56</v>
      </c>
      <c r="D217" s="61">
        <v>0</v>
      </c>
      <c r="E217" s="61" t="s">
        <v>14</v>
      </c>
    </row>
    <row r="218" spans="1:5" x14ac:dyDescent="0.3">
      <c r="A218" s="60">
        <v>4</v>
      </c>
      <c r="B218" s="60">
        <f>IFERROR(ROUND(tblRecreation[[#This Row],[Amount]],2)*VLOOKUP(tblRecreation[[#This Row],[Period]],Periods,2,0),"")</f>
        <v>0</v>
      </c>
      <c r="C218" s="61" t="s">
        <v>56</v>
      </c>
      <c r="D218" s="61">
        <v>0</v>
      </c>
      <c r="E218" s="61" t="s">
        <v>14</v>
      </c>
    </row>
    <row r="219" spans="1:5" x14ac:dyDescent="0.3">
      <c r="A219" s="60">
        <v>5</v>
      </c>
      <c r="B219" s="60">
        <f>IFERROR(ROUND(tblRecreation[[#This Row],[Amount]],2)*VLOOKUP(tblRecreation[[#This Row],[Period]],Periods,2,0),"")</f>
        <v>0</v>
      </c>
      <c r="C219" s="61" t="s">
        <v>56</v>
      </c>
      <c r="D219" s="61">
        <v>0</v>
      </c>
      <c r="E219" s="61" t="s">
        <v>14</v>
      </c>
    </row>
    <row r="220" spans="1:5" x14ac:dyDescent="0.3">
      <c r="A220" s="60">
        <v>6</v>
      </c>
      <c r="B220" s="60">
        <f>IFERROR(ROUND(tblRecreation[[#This Row],[Amount]],2)*VLOOKUP(tblRecreation[[#This Row],[Period]],Periods,2,0),"")</f>
        <v>0</v>
      </c>
      <c r="C220" s="61" t="s">
        <v>56</v>
      </c>
      <c r="D220" s="61">
        <v>0</v>
      </c>
      <c r="E220" s="61" t="s">
        <v>14</v>
      </c>
    </row>
    <row r="221" spans="1:5" x14ac:dyDescent="0.3">
      <c r="A221" s="60">
        <v>7</v>
      </c>
      <c r="B221" s="60">
        <f>IFERROR(ROUND(tblRecreation[[#This Row],[Amount]],2)*VLOOKUP(tblRecreation[[#This Row],[Period]],Periods,2,0),"")</f>
        <v>0</v>
      </c>
      <c r="C221" s="61" t="s">
        <v>56</v>
      </c>
      <c r="D221" s="61">
        <v>0</v>
      </c>
      <c r="E221" s="61" t="s">
        <v>14</v>
      </c>
    </row>
    <row r="222" spans="1:5" x14ac:dyDescent="0.3">
      <c r="A222" s="60">
        <v>8</v>
      </c>
      <c r="B222" s="60">
        <f>IFERROR(ROUND(tblRecreation[[#This Row],[Amount]],2)*VLOOKUP(tblRecreation[[#This Row],[Period]],Periods,2,0),"")</f>
        <v>0</v>
      </c>
      <c r="C222" s="61" t="s">
        <v>56</v>
      </c>
      <c r="D222" s="61">
        <v>0</v>
      </c>
      <c r="E222" s="61" t="s">
        <v>14</v>
      </c>
    </row>
    <row r="223" spans="1:5" x14ac:dyDescent="0.3">
      <c r="A223" s="60">
        <v>9</v>
      </c>
      <c r="B223" s="60">
        <f>IFERROR(ROUND(tblRecreation[[#This Row],[Amount]],2)*VLOOKUP(tblRecreation[[#This Row],[Period]],Periods,2,0),"")</f>
        <v>0</v>
      </c>
      <c r="C223" s="61" t="s">
        <v>56</v>
      </c>
      <c r="D223" s="61">
        <v>0</v>
      </c>
      <c r="E223" s="61" t="s">
        <v>14</v>
      </c>
    </row>
    <row r="224" spans="1:5" x14ac:dyDescent="0.3">
      <c r="A224" s="65">
        <v>10</v>
      </c>
      <c r="B224" s="66">
        <f>IFERROR(ROUND(tblRecreation[[#This Row],[Amount]],2)*VLOOKUP(tblRecreation[[#This Row],[Period]],Periods,2,0),"")</f>
        <v>0</v>
      </c>
      <c r="C224" s="67" t="s">
        <v>56</v>
      </c>
      <c r="D224" s="67">
        <v>0</v>
      </c>
      <c r="E224" s="67" t="s">
        <v>14</v>
      </c>
    </row>
    <row r="225" spans="1:7" ht="27" customHeight="1" x14ac:dyDescent="0.3">
      <c r="A225" s="74"/>
      <c r="B225" s="75"/>
      <c r="C225" s="75" t="s">
        <v>184</v>
      </c>
      <c r="D225" s="75">
        <f>ROUND(SUM(tblPersonalCare[Annual Total])/VLOOKUP(D5,TotalPeriods[],2,0),2)</f>
        <v>0</v>
      </c>
      <c r="E225" s="76">
        <f>IFERROR(D225/D10,0)</f>
        <v>0</v>
      </c>
      <c r="F225" s="129" t="str">
        <f>IF(E225&gt;0,IF(AND(E225&gt;0,E225&lt;=RulesOfThumb!D13),RulesOfThumb!B13,IF(AND(E225&gt;RulesOfThumb!F13,E225&lt;=RulesOfThumb!G13),RulesOfThumb!E13,IF(E225&gt;RulesOfThumb!I13,RulesOfThumb!H13,""))),"")</f>
        <v/>
      </c>
      <c r="G225" s="129"/>
    </row>
    <row r="226" spans="1:7" x14ac:dyDescent="0.3">
      <c r="A226" s="77" t="s">
        <v>22</v>
      </c>
      <c r="B226" s="77" t="s">
        <v>23</v>
      </c>
      <c r="C226" s="77" t="s">
        <v>24</v>
      </c>
      <c r="D226" s="77" t="s">
        <v>25</v>
      </c>
      <c r="E226" s="77" t="s">
        <v>26</v>
      </c>
    </row>
    <row r="227" spans="1:7" x14ac:dyDescent="0.3">
      <c r="A227" s="60" t="s">
        <v>185</v>
      </c>
      <c r="B227" s="60">
        <f>IFERROR(ROUND(tblPersonalCare[[#This Row],[Amount]],2)*VLOOKUP(tblPersonalCare[[#This Row],[Period]],Periods,2,0),"")</f>
        <v>0</v>
      </c>
      <c r="C227" s="60" t="s">
        <v>186</v>
      </c>
      <c r="D227" s="61">
        <v>0</v>
      </c>
      <c r="E227" s="61" t="s">
        <v>14</v>
      </c>
    </row>
    <row r="228" spans="1:7" x14ac:dyDescent="0.3">
      <c r="A228" s="60" t="s">
        <v>187</v>
      </c>
      <c r="B228" s="60">
        <f>IFERROR(ROUND(tblPersonalCare[[#This Row],[Amount]],2)*VLOOKUP(tblPersonalCare[[#This Row],[Period]],Periods,2,0),"")</f>
        <v>0</v>
      </c>
      <c r="C228" s="60" t="s">
        <v>188</v>
      </c>
      <c r="D228" s="61">
        <v>0</v>
      </c>
      <c r="E228" s="61" t="s">
        <v>14</v>
      </c>
    </row>
    <row r="229" spans="1:7" x14ac:dyDescent="0.3">
      <c r="A229" s="60" t="s">
        <v>189</v>
      </c>
      <c r="B229" s="60">
        <f>IFERROR(ROUND(tblPersonalCare[[#This Row],[Amount]],2)*VLOOKUP(tblPersonalCare[[#This Row],[Period]],Periods,2,0),"")</f>
        <v>0</v>
      </c>
      <c r="C229" s="60" t="s">
        <v>190</v>
      </c>
      <c r="D229" s="61">
        <v>0</v>
      </c>
      <c r="E229" s="61" t="s">
        <v>14</v>
      </c>
    </row>
    <row r="230" spans="1:7" x14ac:dyDescent="0.3">
      <c r="A230" s="62"/>
      <c r="B230" s="62" t="str">
        <f>IFERROR(ROUND(tblPersonalCare[[#This Row],[Amount]],2)*VLOOKUP(tblPersonalCare[[#This Row],[Period]],Periods,2,0),"")</f>
        <v/>
      </c>
      <c r="C230" s="63" t="s">
        <v>55</v>
      </c>
      <c r="D230" s="64"/>
      <c r="E230" s="64"/>
    </row>
    <row r="231" spans="1:7" ht="15" customHeight="1" x14ac:dyDescent="0.3">
      <c r="A231" s="60">
        <v>1</v>
      </c>
      <c r="B231" s="60">
        <f>IFERROR(ROUND(tblPersonalCare[[#This Row],[Amount]],2)*VLOOKUP(tblPersonalCare[[#This Row],[Period]],Periods,2,0),"")</f>
        <v>0</v>
      </c>
      <c r="C231" s="61" t="s">
        <v>56</v>
      </c>
      <c r="D231" s="61">
        <v>0</v>
      </c>
      <c r="E231" s="61" t="s">
        <v>14</v>
      </c>
    </row>
    <row r="232" spans="1:7" ht="15" customHeight="1" x14ac:dyDescent="0.3">
      <c r="A232" s="60">
        <v>2</v>
      </c>
      <c r="B232" s="60">
        <f>IFERROR(ROUND(tblPersonalCare[[#This Row],[Amount]],2)*VLOOKUP(tblPersonalCare[[#This Row],[Period]],Periods,2,0),"")</f>
        <v>0</v>
      </c>
      <c r="C232" s="61" t="s">
        <v>56</v>
      </c>
      <c r="D232" s="61">
        <v>0</v>
      </c>
      <c r="E232" s="61" t="s">
        <v>14</v>
      </c>
    </row>
    <row r="233" spans="1:7" ht="15" customHeight="1" x14ac:dyDescent="0.3">
      <c r="A233" s="60">
        <v>3</v>
      </c>
      <c r="B233" s="60">
        <f>IFERROR(ROUND(tblPersonalCare[[#This Row],[Amount]],2)*VLOOKUP(tblPersonalCare[[#This Row],[Period]],Periods,2,0),"")</f>
        <v>0</v>
      </c>
      <c r="C233" s="61" t="s">
        <v>56</v>
      </c>
      <c r="D233" s="61">
        <v>0</v>
      </c>
      <c r="E233" s="61" t="s">
        <v>14</v>
      </c>
    </row>
    <row r="234" spans="1:7" ht="15" customHeight="1" x14ac:dyDescent="0.3">
      <c r="A234" s="60">
        <v>4</v>
      </c>
      <c r="B234" s="60">
        <f>IFERROR(ROUND(tblPersonalCare[[#This Row],[Amount]],2)*VLOOKUP(tblPersonalCare[[#This Row],[Period]],Periods,2,0),"")</f>
        <v>0</v>
      </c>
      <c r="C234" s="61" t="s">
        <v>56</v>
      </c>
      <c r="D234" s="61">
        <v>0</v>
      </c>
      <c r="E234" s="61" t="s">
        <v>14</v>
      </c>
    </row>
    <row r="235" spans="1:7" ht="15" customHeight="1" x14ac:dyDescent="0.3">
      <c r="A235" s="60">
        <v>5</v>
      </c>
      <c r="B235" s="60">
        <f>IFERROR(ROUND(tblPersonalCare[[#This Row],[Amount]],2)*VLOOKUP(tblPersonalCare[[#This Row],[Period]],Periods,2,0),"")</f>
        <v>0</v>
      </c>
      <c r="C235" s="61" t="s">
        <v>56</v>
      </c>
      <c r="D235" s="61">
        <v>0</v>
      </c>
      <c r="E235" s="61" t="s">
        <v>14</v>
      </c>
    </row>
    <row r="236" spans="1:7" ht="15" customHeight="1" x14ac:dyDescent="0.3">
      <c r="A236" s="60">
        <v>6</v>
      </c>
      <c r="B236" s="60">
        <f>IFERROR(ROUND(tblPersonalCare[[#This Row],[Amount]],2)*VLOOKUP(tblPersonalCare[[#This Row],[Period]],Periods,2,0),"")</f>
        <v>0</v>
      </c>
      <c r="C236" s="61" t="s">
        <v>56</v>
      </c>
      <c r="D236" s="61">
        <v>0</v>
      </c>
      <c r="E236" s="61" t="s">
        <v>14</v>
      </c>
    </row>
    <row r="237" spans="1:7" ht="15" customHeight="1" x14ac:dyDescent="0.3">
      <c r="A237" s="60">
        <v>7</v>
      </c>
      <c r="B237" s="60">
        <f>IFERROR(ROUND(tblPersonalCare[[#This Row],[Amount]],2)*VLOOKUP(tblPersonalCare[[#This Row],[Period]],Periods,2,0),"")</f>
        <v>0</v>
      </c>
      <c r="C237" s="61" t="s">
        <v>56</v>
      </c>
      <c r="D237" s="61">
        <v>0</v>
      </c>
      <c r="E237" s="61" t="s">
        <v>14</v>
      </c>
    </row>
    <row r="238" spans="1:7" ht="15" customHeight="1" x14ac:dyDescent="0.3">
      <c r="A238" s="60">
        <v>8</v>
      </c>
      <c r="B238" s="60">
        <f>IFERROR(ROUND(tblPersonalCare[[#This Row],[Amount]],2)*VLOOKUP(tblPersonalCare[[#This Row],[Period]],Periods,2,0),"")</f>
        <v>0</v>
      </c>
      <c r="C238" s="61" t="s">
        <v>56</v>
      </c>
      <c r="D238" s="61">
        <v>0</v>
      </c>
      <c r="E238" s="61" t="s">
        <v>14</v>
      </c>
    </row>
    <row r="239" spans="1:7" ht="15" customHeight="1" x14ac:dyDescent="0.3">
      <c r="A239" s="60">
        <v>9</v>
      </c>
      <c r="B239" s="60">
        <f>IFERROR(ROUND(tblPersonalCare[[#This Row],[Amount]],2)*VLOOKUP(tblPersonalCare[[#This Row],[Period]],Periods,2,0),"")</f>
        <v>0</v>
      </c>
      <c r="C239" s="61" t="s">
        <v>56</v>
      </c>
      <c r="D239" s="61">
        <v>0</v>
      </c>
      <c r="E239" s="61" t="s">
        <v>14</v>
      </c>
    </row>
    <row r="240" spans="1:7" ht="15" customHeight="1" x14ac:dyDescent="0.3">
      <c r="A240" s="65">
        <v>10</v>
      </c>
      <c r="B240" s="66">
        <f>IFERROR(ROUND(tblPersonalCare[[#This Row],[Amount]],2)*VLOOKUP(tblPersonalCare[[#This Row],[Period]],Periods,2,0),"")</f>
        <v>0</v>
      </c>
      <c r="C240" s="67" t="s">
        <v>56</v>
      </c>
      <c r="D240" s="67">
        <v>0</v>
      </c>
      <c r="E240" s="67" t="s">
        <v>14</v>
      </c>
    </row>
    <row r="241" spans="1:7" ht="27" customHeight="1" x14ac:dyDescent="0.3">
      <c r="A241" s="74"/>
      <c r="B241" s="75"/>
      <c r="C241" s="75" t="s">
        <v>191</v>
      </c>
      <c r="D241" s="75">
        <f>ROUND(SUM(tblClothing[Annual Total])/VLOOKUP(D5,TotalPeriods[],2,0),2)</f>
        <v>0</v>
      </c>
      <c r="E241" s="76" t="str">
        <f>IF(D10&gt;0,IFERROR(D241/D10,0),"")</f>
        <v/>
      </c>
      <c r="F241" s="129" t="str">
        <f>IF(D10&gt;0,IF(E241&gt;0,IF(AND(E241&gt;0,E241&lt;=RulesOfThumb!D14),RulesOfThumb!B14,IF(AND(E241&gt;RulesOfThumb!F14,E241&lt;=RulesOfThumb!G14),RulesOfThumb!E14,IF(E241&gt;RulesOfThumb!I14,RulesOfThumb!H14,""))),RulesOfThumb!K14),"")</f>
        <v/>
      </c>
      <c r="G241" s="129"/>
    </row>
    <row r="242" spans="1:7" x14ac:dyDescent="0.3">
      <c r="A242" s="77" t="s">
        <v>22</v>
      </c>
      <c r="B242" s="77" t="s">
        <v>23</v>
      </c>
      <c r="C242" s="77" t="s">
        <v>24</v>
      </c>
      <c r="D242" s="77" t="s">
        <v>25</v>
      </c>
      <c r="E242" s="77" t="s">
        <v>26</v>
      </c>
    </row>
    <row r="243" spans="1:7" ht="15" customHeight="1" x14ac:dyDescent="0.3">
      <c r="A243" s="60" t="s">
        <v>192</v>
      </c>
      <c r="B243" s="60">
        <f>IFERROR(ROUND(tblClothing[[#This Row],[Amount]],2)*VLOOKUP(tblClothing[[#This Row],[Period]],Periods,2,0),"")</f>
        <v>0</v>
      </c>
      <c r="C243" s="60" t="s">
        <v>192</v>
      </c>
      <c r="D243" s="61">
        <v>0</v>
      </c>
      <c r="E243" s="61" t="s">
        <v>14</v>
      </c>
    </row>
    <row r="244" spans="1:7" ht="15" customHeight="1" x14ac:dyDescent="0.3">
      <c r="A244" s="60" t="s">
        <v>193</v>
      </c>
      <c r="B244" s="60">
        <f>IFERROR(ROUND(tblClothing[[#This Row],[Amount]],2)*VLOOKUP(tblClothing[[#This Row],[Period]],Periods,2,0),"")</f>
        <v>0</v>
      </c>
      <c r="C244" s="60" t="s">
        <v>194</v>
      </c>
      <c r="D244" s="61">
        <v>0</v>
      </c>
      <c r="E244" s="61" t="s">
        <v>14</v>
      </c>
    </row>
    <row r="245" spans="1:7" ht="15" customHeight="1" x14ac:dyDescent="0.3">
      <c r="A245" s="60" t="s">
        <v>195</v>
      </c>
      <c r="B245" s="60">
        <f>IFERROR(ROUND(tblClothing[[#This Row],[Amount]],2)*VLOOKUP(tblClothing[[#This Row],[Period]],Periods,2,0),"")</f>
        <v>0</v>
      </c>
      <c r="C245" s="60" t="s">
        <v>196</v>
      </c>
      <c r="D245" s="61">
        <v>0</v>
      </c>
      <c r="E245" s="61" t="s">
        <v>14</v>
      </c>
    </row>
    <row r="246" spans="1:7" ht="15" customHeight="1" x14ac:dyDescent="0.3">
      <c r="A246" s="62"/>
      <c r="B246" s="62" t="str">
        <f>IFERROR(ROUND(tblClothing[[#This Row],[Amount]],2)*VLOOKUP(tblClothing[[#This Row],[Period]],Periods,2,0),"")</f>
        <v/>
      </c>
      <c r="C246" s="63" t="s">
        <v>55</v>
      </c>
      <c r="D246" s="64"/>
      <c r="E246" s="64"/>
    </row>
    <row r="247" spans="1:7" ht="15" customHeight="1" x14ac:dyDescent="0.3">
      <c r="A247" s="60">
        <v>1</v>
      </c>
      <c r="B247" s="60">
        <f>IFERROR(ROUND(tblClothing[[#This Row],[Amount]],2)*VLOOKUP(tblClothing[[#This Row],[Period]],Periods,2,0),"")</f>
        <v>0</v>
      </c>
      <c r="C247" s="61" t="s">
        <v>56</v>
      </c>
      <c r="D247" s="61">
        <v>0</v>
      </c>
      <c r="E247" s="61" t="s">
        <v>14</v>
      </c>
    </row>
    <row r="248" spans="1:7" ht="15" customHeight="1" x14ac:dyDescent="0.3">
      <c r="A248" s="60">
        <v>2</v>
      </c>
      <c r="B248" s="60">
        <f>IFERROR(ROUND(tblClothing[[#This Row],[Amount]],2)*VLOOKUP(tblClothing[[#This Row],[Period]],Periods,2,0),"")</f>
        <v>0</v>
      </c>
      <c r="C248" s="61" t="s">
        <v>56</v>
      </c>
      <c r="D248" s="61">
        <v>0</v>
      </c>
      <c r="E248" s="61" t="s">
        <v>14</v>
      </c>
    </row>
    <row r="249" spans="1:7" ht="15" customHeight="1" x14ac:dyDescent="0.3">
      <c r="A249" s="60">
        <v>3</v>
      </c>
      <c r="B249" s="60">
        <f>IFERROR(ROUND(tblClothing[[#This Row],[Amount]],2)*VLOOKUP(tblClothing[[#This Row],[Period]],Periods,2,0),"")</f>
        <v>0</v>
      </c>
      <c r="C249" s="61" t="s">
        <v>56</v>
      </c>
      <c r="D249" s="61">
        <v>0</v>
      </c>
      <c r="E249" s="61" t="s">
        <v>14</v>
      </c>
    </row>
    <row r="250" spans="1:7" ht="15" customHeight="1" x14ac:dyDescent="0.3">
      <c r="A250" s="60">
        <v>4</v>
      </c>
      <c r="B250" s="60">
        <f>IFERROR(ROUND(tblClothing[[#This Row],[Amount]],2)*VLOOKUP(tblClothing[[#This Row],[Period]],Periods,2,0),"")</f>
        <v>0</v>
      </c>
      <c r="C250" s="61" t="s">
        <v>56</v>
      </c>
      <c r="D250" s="61">
        <v>0</v>
      </c>
      <c r="E250" s="61" t="s">
        <v>14</v>
      </c>
    </row>
    <row r="251" spans="1:7" ht="15" customHeight="1" x14ac:dyDescent="0.3">
      <c r="A251" s="60">
        <v>5</v>
      </c>
      <c r="B251" s="60">
        <f>IFERROR(ROUND(tblClothing[[#This Row],[Amount]],2)*VLOOKUP(tblClothing[[#This Row],[Period]],Periods,2,0),"")</f>
        <v>0</v>
      </c>
      <c r="C251" s="61" t="s">
        <v>56</v>
      </c>
      <c r="D251" s="61">
        <v>0</v>
      </c>
      <c r="E251" s="61" t="s">
        <v>14</v>
      </c>
    </row>
    <row r="252" spans="1:7" ht="15" customHeight="1" x14ac:dyDescent="0.3">
      <c r="A252" s="60">
        <v>6</v>
      </c>
      <c r="B252" s="60">
        <f>IFERROR(ROUND(tblClothing[[#This Row],[Amount]],2)*VLOOKUP(tblClothing[[#This Row],[Period]],Periods,2,0),"")</f>
        <v>0</v>
      </c>
      <c r="C252" s="61" t="s">
        <v>56</v>
      </c>
      <c r="D252" s="61">
        <v>0</v>
      </c>
      <c r="E252" s="61" t="s">
        <v>14</v>
      </c>
    </row>
    <row r="253" spans="1:7" ht="15" customHeight="1" x14ac:dyDescent="0.3">
      <c r="A253" s="60">
        <v>7</v>
      </c>
      <c r="B253" s="60">
        <f>IFERROR(ROUND(tblClothing[[#This Row],[Amount]],2)*VLOOKUP(tblClothing[[#This Row],[Period]],Periods,2,0),"")</f>
        <v>0</v>
      </c>
      <c r="C253" s="61" t="s">
        <v>56</v>
      </c>
      <c r="D253" s="61">
        <v>0</v>
      </c>
      <c r="E253" s="61" t="s">
        <v>14</v>
      </c>
    </row>
    <row r="254" spans="1:7" ht="15" customHeight="1" x14ac:dyDescent="0.3">
      <c r="A254" s="60">
        <v>8</v>
      </c>
      <c r="B254" s="60">
        <f>IFERROR(ROUND(tblClothing[[#This Row],[Amount]],2)*VLOOKUP(tblClothing[[#This Row],[Period]],Periods,2,0),"")</f>
        <v>0</v>
      </c>
      <c r="C254" s="61" t="s">
        <v>56</v>
      </c>
      <c r="D254" s="61">
        <v>0</v>
      </c>
      <c r="E254" s="61" t="s">
        <v>14</v>
      </c>
    </row>
    <row r="255" spans="1:7" ht="15" customHeight="1" x14ac:dyDescent="0.3">
      <c r="A255" s="60">
        <v>9</v>
      </c>
      <c r="B255" s="60">
        <f>IFERROR(ROUND(tblClothing[[#This Row],[Amount]],2)*VLOOKUP(tblClothing[[#This Row],[Period]],Periods,2,0),"")</f>
        <v>0</v>
      </c>
      <c r="C255" s="61" t="s">
        <v>56</v>
      </c>
      <c r="D255" s="61">
        <v>0</v>
      </c>
      <c r="E255" s="61" t="s">
        <v>14</v>
      </c>
    </row>
    <row r="256" spans="1:7" ht="15" customHeight="1" x14ac:dyDescent="0.3">
      <c r="A256" s="65">
        <v>10</v>
      </c>
      <c r="B256" s="66">
        <f>IFERROR(ROUND(tblClothing[[#This Row],[Amount]],2)*VLOOKUP(tblClothing[[#This Row],[Period]],Periods,2,0),"")</f>
        <v>0</v>
      </c>
      <c r="C256" s="67" t="s">
        <v>56</v>
      </c>
      <c r="D256" s="67">
        <v>0</v>
      </c>
      <c r="E256" s="67" t="s">
        <v>14</v>
      </c>
    </row>
    <row r="257" spans="1:7" ht="27" customHeight="1" x14ac:dyDescent="0.3">
      <c r="A257" s="74"/>
      <c r="B257" s="75"/>
      <c r="C257" s="75" t="s">
        <v>133</v>
      </c>
      <c r="D257" s="75">
        <f>ROUND(SUM(tblMedical[Annual Total])/VLOOKUP(D5,TotalPeriods[],2,0),2)</f>
        <v>0</v>
      </c>
      <c r="E257" s="76">
        <f>IFERROR(D257/D10,0)</f>
        <v>0</v>
      </c>
      <c r="F257" s="129" t="str">
        <f>IF(E257&gt;0,IF(AND(E257&gt;0,E257&lt;=RulesOfThumb!D15),RulesOfThumb!B15,IF(AND(E257&gt;RulesOfThumb!F15,E257&lt;=RulesOfThumb!G15),RulesOfThumb!E15,IF(E257&gt;RulesOfThumb!I15,RulesOfThumb!H15,""))),"")</f>
        <v/>
      </c>
      <c r="G257" s="129"/>
    </row>
    <row r="258" spans="1:7" ht="15" customHeight="1" x14ac:dyDescent="0.3">
      <c r="A258" s="79" t="s">
        <v>22</v>
      </c>
      <c r="B258" s="80" t="s">
        <v>23</v>
      </c>
      <c r="C258" s="80" t="s">
        <v>24</v>
      </c>
      <c r="D258" s="80" t="s">
        <v>25</v>
      </c>
      <c r="E258" s="81" t="s">
        <v>26</v>
      </c>
    </row>
    <row r="259" spans="1:7" ht="15" customHeight="1" x14ac:dyDescent="0.3">
      <c r="A259" s="82" t="s">
        <v>197</v>
      </c>
      <c r="B259" s="83">
        <f>IFERROR(ROUND(tblMedical[[#This Row],[Amount]],2)*VLOOKUP(tblMedical[[#This Row],[Period]],Periods,2,0),"")</f>
        <v>0</v>
      </c>
      <c r="C259" s="83" t="s">
        <v>198</v>
      </c>
      <c r="D259" s="84">
        <v>0</v>
      </c>
      <c r="E259" s="85" t="s">
        <v>76</v>
      </c>
    </row>
    <row r="260" spans="1:7" ht="15" customHeight="1" x14ac:dyDescent="0.3">
      <c r="A260" s="82" t="s">
        <v>199</v>
      </c>
      <c r="B260" s="83">
        <f>IFERROR(ROUND(tblMedical[[#This Row],[Amount]],2)*VLOOKUP(tblMedical[[#This Row],[Period]],Periods,2,0),"")</f>
        <v>0</v>
      </c>
      <c r="C260" s="83" t="s">
        <v>200</v>
      </c>
      <c r="D260" s="84">
        <v>0</v>
      </c>
      <c r="E260" s="85" t="s">
        <v>76</v>
      </c>
    </row>
    <row r="261" spans="1:7" ht="15" customHeight="1" x14ac:dyDescent="0.3">
      <c r="A261" s="82" t="s">
        <v>201</v>
      </c>
      <c r="B261" s="83">
        <f>IFERROR(ROUND(tblMedical[[#This Row],[Amount]],2)*VLOOKUP(tblMedical[[#This Row],[Period]],Periods,2,0),"")</f>
        <v>0</v>
      </c>
      <c r="C261" s="83" t="s">
        <v>201</v>
      </c>
      <c r="D261" s="84">
        <v>0</v>
      </c>
      <c r="E261" s="85" t="s">
        <v>76</v>
      </c>
    </row>
    <row r="262" spans="1:7" ht="15" customHeight="1" x14ac:dyDescent="0.3">
      <c r="A262" s="86"/>
      <c r="B262" s="87" t="str">
        <f>IFERROR(ROUND(tblMedical[[#This Row],[Amount]],2)*VLOOKUP(tblMedical[[#This Row],[Period]],Periods,2,0),"")</f>
        <v/>
      </c>
      <c r="C262" s="63" t="s">
        <v>55</v>
      </c>
      <c r="D262" s="64"/>
      <c r="E262" s="64"/>
    </row>
    <row r="263" spans="1:7" ht="15" customHeight="1" x14ac:dyDescent="0.3">
      <c r="A263" s="82">
        <v>1</v>
      </c>
      <c r="B263" s="83">
        <f>IFERROR(ROUND(tblMedical[[#This Row],[Amount]],2)*VLOOKUP(tblMedical[[#This Row],[Period]],Periods,2,0),"")</f>
        <v>0</v>
      </c>
      <c r="C263" s="84" t="s">
        <v>56</v>
      </c>
      <c r="D263" s="84">
        <v>0</v>
      </c>
      <c r="E263" s="85" t="s">
        <v>76</v>
      </c>
    </row>
    <row r="264" spans="1:7" ht="15" customHeight="1" x14ac:dyDescent="0.3">
      <c r="A264" s="82">
        <v>2</v>
      </c>
      <c r="B264" s="83">
        <f>IFERROR(ROUND(tblMedical[[#This Row],[Amount]],2)*VLOOKUP(tblMedical[[#This Row],[Period]],Periods,2,0),"")</f>
        <v>0</v>
      </c>
      <c r="C264" s="84" t="s">
        <v>56</v>
      </c>
      <c r="D264" s="84">
        <v>0</v>
      </c>
      <c r="E264" s="85" t="s">
        <v>76</v>
      </c>
    </row>
    <row r="265" spans="1:7" ht="15" customHeight="1" x14ac:dyDescent="0.3">
      <c r="A265" s="82">
        <v>3</v>
      </c>
      <c r="B265" s="83">
        <f>IFERROR(ROUND(tblMedical[[#This Row],[Amount]],2)*VLOOKUP(tblMedical[[#This Row],[Period]],Periods,2,0),"")</f>
        <v>0</v>
      </c>
      <c r="C265" s="84" t="s">
        <v>56</v>
      </c>
      <c r="D265" s="84">
        <v>0</v>
      </c>
      <c r="E265" s="85" t="s">
        <v>76</v>
      </c>
    </row>
    <row r="266" spans="1:7" ht="15" customHeight="1" x14ac:dyDescent="0.3">
      <c r="A266" s="82">
        <v>4</v>
      </c>
      <c r="B266" s="83">
        <f>IFERROR(ROUND(tblMedical[[#This Row],[Amount]],2)*VLOOKUP(tblMedical[[#This Row],[Period]],Periods,2,0),"")</f>
        <v>0</v>
      </c>
      <c r="C266" s="84" t="s">
        <v>56</v>
      </c>
      <c r="D266" s="84">
        <v>0</v>
      </c>
      <c r="E266" s="85" t="s">
        <v>76</v>
      </c>
    </row>
    <row r="267" spans="1:7" ht="15" customHeight="1" x14ac:dyDescent="0.3">
      <c r="A267" s="82">
        <v>5</v>
      </c>
      <c r="B267" s="83">
        <f>IFERROR(ROUND(tblMedical[[#This Row],[Amount]],2)*VLOOKUP(tblMedical[[#This Row],[Period]],Periods,2,0),"")</f>
        <v>0</v>
      </c>
      <c r="C267" s="84" t="s">
        <v>56</v>
      </c>
      <c r="D267" s="84">
        <v>0</v>
      </c>
      <c r="E267" s="85" t="s">
        <v>76</v>
      </c>
    </row>
    <row r="268" spans="1:7" ht="15" customHeight="1" x14ac:dyDescent="0.3">
      <c r="A268" s="82">
        <v>6</v>
      </c>
      <c r="B268" s="83">
        <f>IFERROR(ROUND(tblMedical[[#This Row],[Amount]],2)*VLOOKUP(tblMedical[[#This Row],[Period]],Periods,2,0),"")</f>
        <v>0</v>
      </c>
      <c r="C268" s="84" t="s">
        <v>56</v>
      </c>
      <c r="D268" s="84">
        <v>0</v>
      </c>
      <c r="E268" s="85" t="s">
        <v>76</v>
      </c>
    </row>
    <row r="269" spans="1:7" ht="15" customHeight="1" x14ac:dyDescent="0.3">
      <c r="A269" s="82">
        <v>7</v>
      </c>
      <c r="B269" s="83">
        <f>IFERROR(ROUND(tblMedical[[#This Row],[Amount]],2)*VLOOKUP(tblMedical[[#This Row],[Period]],Periods,2,0),"")</f>
        <v>0</v>
      </c>
      <c r="C269" s="84" t="s">
        <v>56</v>
      </c>
      <c r="D269" s="84">
        <v>0</v>
      </c>
      <c r="E269" s="85" t="s">
        <v>76</v>
      </c>
    </row>
    <row r="270" spans="1:7" ht="15" customHeight="1" x14ac:dyDescent="0.3">
      <c r="A270" s="82">
        <v>8</v>
      </c>
      <c r="B270" s="83">
        <f>IFERROR(ROUND(tblMedical[[#This Row],[Amount]],2)*VLOOKUP(tblMedical[[#This Row],[Period]],Periods,2,0),"")</f>
        <v>0</v>
      </c>
      <c r="C270" s="84" t="s">
        <v>56</v>
      </c>
      <c r="D270" s="84">
        <v>0</v>
      </c>
      <c r="E270" s="85" t="s">
        <v>76</v>
      </c>
    </row>
    <row r="271" spans="1:7" ht="15" customHeight="1" x14ac:dyDescent="0.3">
      <c r="A271" s="82">
        <v>9</v>
      </c>
      <c r="B271" s="83">
        <f>IFERROR(ROUND(tblMedical[[#This Row],[Amount]],2)*VLOOKUP(tblMedical[[#This Row],[Period]],Periods,2,0),"")</f>
        <v>0</v>
      </c>
      <c r="C271" s="84" t="s">
        <v>56</v>
      </c>
      <c r="D271" s="84">
        <v>0</v>
      </c>
      <c r="E271" s="85" t="s">
        <v>76</v>
      </c>
    </row>
    <row r="272" spans="1:7" ht="15" customHeight="1" x14ac:dyDescent="0.3">
      <c r="A272" s="88">
        <v>10</v>
      </c>
      <c r="B272" s="89">
        <f>IFERROR(ROUND(tblMedical[[#This Row],[Amount]],2)*VLOOKUP(tblMedical[[#This Row],[Period]],Periods,2,0),"")</f>
        <v>0</v>
      </c>
      <c r="C272" s="90" t="s">
        <v>56</v>
      </c>
      <c r="D272" s="90">
        <v>0</v>
      </c>
      <c r="E272" s="91" t="s">
        <v>76</v>
      </c>
    </row>
    <row r="273" spans="1:7" ht="27" customHeight="1" x14ac:dyDescent="0.3">
      <c r="A273" s="74"/>
      <c r="B273" s="75"/>
      <c r="C273" s="75" t="s">
        <v>202</v>
      </c>
      <c r="D273" s="75">
        <f>ROUND(SUM(tblPets[Annual Total])/VLOOKUP(D5,TotalPeriods[],2,0),2)</f>
        <v>0</v>
      </c>
      <c r="E273" s="76">
        <f>IFERROR(D273/D10,0)</f>
        <v>0</v>
      </c>
      <c r="F273" s="129" t="str">
        <f>IF(E273&gt;0,IF(AND(E273&gt;0,E273&lt;=RulesOfThumb!D16),RulesOfThumb!B16,IF(AND(E273&gt;RulesOfThumb!F16,E273&lt;=RulesOfThumb!G16),RulesOfThumb!E16,IF(E273&gt;RulesOfThumb!I16,RulesOfThumb!H16,""))),"")</f>
        <v/>
      </c>
      <c r="G273" s="129"/>
    </row>
    <row r="274" spans="1:7" ht="15" customHeight="1" x14ac:dyDescent="0.3">
      <c r="A274" s="77" t="s">
        <v>22</v>
      </c>
      <c r="B274" s="77" t="s">
        <v>23</v>
      </c>
      <c r="C274" s="77" t="s">
        <v>24</v>
      </c>
      <c r="D274" s="77" t="s">
        <v>25</v>
      </c>
      <c r="E274" s="77" t="s">
        <v>26</v>
      </c>
    </row>
    <row r="275" spans="1:7" ht="15" customHeight="1" x14ac:dyDescent="0.3">
      <c r="A275" s="60" t="s">
        <v>203</v>
      </c>
      <c r="B275" s="60">
        <f>IFERROR(ROUND(tblPets[[#This Row],[Amount]],2)*VLOOKUP(tblPets[[#This Row],[Period]],Periods,2,0),"")</f>
        <v>0</v>
      </c>
      <c r="C275" s="60" t="s">
        <v>204</v>
      </c>
      <c r="D275" s="61">
        <v>0</v>
      </c>
      <c r="E275" s="61" t="s">
        <v>14</v>
      </c>
    </row>
    <row r="276" spans="1:7" ht="15" customHeight="1" x14ac:dyDescent="0.3">
      <c r="A276" s="60" t="s">
        <v>205</v>
      </c>
      <c r="B276" s="60">
        <f>IFERROR(ROUND(tblPets[[#This Row],[Amount]],2)*VLOOKUP(tblPets[[#This Row],[Period]],Periods,2,0),"")</f>
        <v>0</v>
      </c>
      <c r="C276" s="60" t="s">
        <v>205</v>
      </c>
      <c r="D276" s="61">
        <v>0</v>
      </c>
      <c r="E276" s="61" t="s">
        <v>76</v>
      </c>
    </row>
    <row r="277" spans="1:7" ht="15" customHeight="1" x14ac:dyDescent="0.3">
      <c r="A277" s="62"/>
      <c r="B277" s="62" t="str">
        <f>IFERROR(ROUND(tblPets[[#This Row],[Amount]],2)*VLOOKUP(tblPets[[#This Row],[Period]],Periods,2,0),"")</f>
        <v/>
      </c>
      <c r="C277" s="63" t="s">
        <v>55</v>
      </c>
      <c r="D277" s="64"/>
      <c r="E277" s="64"/>
    </row>
    <row r="278" spans="1:7" ht="15" customHeight="1" x14ac:dyDescent="0.3">
      <c r="A278" s="60">
        <v>1</v>
      </c>
      <c r="B278" s="60">
        <f>IFERROR(ROUND(tblPets[[#This Row],[Amount]],2)*VLOOKUP(tblPets[[#This Row],[Period]],Periods,2,0),"")</f>
        <v>0</v>
      </c>
      <c r="C278" s="61" t="s">
        <v>56</v>
      </c>
      <c r="D278" s="61">
        <v>0</v>
      </c>
      <c r="E278" s="61" t="s">
        <v>76</v>
      </c>
    </row>
    <row r="279" spans="1:7" ht="15" customHeight="1" x14ac:dyDescent="0.3">
      <c r="A279" s="60">
        <v>2</v>
      </c>
      <c r="B279" s="60">
        <f>IFERROR(ROUND(tblPets[[#This Row],[Amount]],2)*VLOOKUP(tblPets[[#This Row],[Period]],Periods,2,0),"")</f>
        <v>0</v>
      </c>
      <c r="C279" s="61" t="s">
        <v>56</v>
      </c>
      <c r="D279" s="61">
        <v>0</v>
      </c>
      <c r="E279" s="61" t="s">
        <v>76</v>
      </c>
    </row>
    <row r="280" spans="1:7" ht="15" customHeight="1" x14ac:dyDescent="0.3">
      <c r="A280" s="60">
        <v>3</v>
      </c>
      <c r="B280" s="60">
        <f>IFERROR(ROUND(tblPets[[#This Row],[Amount]],2)*VLOOKUP(tblPets[[#This Row],[Period]],Periods,2,0),"")</f>
        <v>0</v>
      </c>
      <c r="C280" s="61" t="s">
        <v>56</v>
      </c>
      <c r="D280" s="61">
        <v>0</v>
      </c>
      <c r="E280" s="61" t="s">
        <v>76</v>
      </c>
    </row>
    <row r="281" spans="1:7" ht="15" customHeight="1" x14ac:dyDescent="0.3">
      <c r="A281" s="60">
        <v>4</v>
      </c>
      <c r="B281" s="60">
        <f>IFERROR(ROUND(tblPets[[#This Row],[Amount]],2)*VLOOKUP(tblPets[[#This Row],[Period]],Periods,2,0),"")</f>
        <v>0</v>
      </c>
      <c r="C281" s="61" t="s">
        <v>56</v>
      </c>
      <c r="D281" s="61">
        <v>0</v>
      </c>
      <c r="E281" s="61" t="s">
        <v>76</v>
      </c>
    </row>
    <row r="282" spans="1:7" ht="15" customHeight="1" x14ac:dyDescent="0.3">
      <c r="A282" s="60">
        <v>5</v>
      </c>
      <c r="B282" s="60">
        <f>IFERROR(ROUND(tblPets[[#This Row],[Amount]],2)*VLOOKUP(tblPets[[#This Row],[Period]],Periods,2,0),"")</f>
        <v>0</v>
      </c>
      <c r="C282" s="61" t="s">
        <v>56</v>
      </c>
      <c r="D282" s="61">
        <v>0</v>
      </c>
      <c r="E282" s="61" t="s">
        <v>76</v>
      </c>
    </row>
    <row r="283" spans="1:7" ht="15" customHeight="1" x14ac:dyDescent="0.3">
      <c r="A283" s="60">
        <v>6</v>
      </c>
      <c r="B283" s="60">
        <f>IFERROR(ROUND(tblPets[[#This Row],[Amount]],2)*VLOOKUP(tblPets[[#This Row],[Period]],Periods,2,0),"")</f>
        <v>0</v>
      </c>
      <c r="C283" s="61" t="s">
        <v>56</v>
      </c>
      <c r="D283" s="61">
        <v>0</v>
      </c>
      <c r="E283" s="61" t="s">
        <v>76</v>
      </c>
    </row>
    <row r="284" spans="1:7" ht="15" customHeight="1" x14ac:dyDescent="0.3">
      <c r="A284" s="60">
        <v>7</v>
      </c>
      <c r="B284" s="60">
        <f>IFERROR(ROUND(tblPets[[#This Row],[Amount]],2)*VLOOKUP(tblPets[[#This Row],[Period]],Periods,2,0),"")</f>
        <v>0</v>
      </c>
      <c r="C284" s="61" t="s">
        <v>56</v>
      </c>
      <c r="D284" s="61">
        <v>0</v>
      </c>
      <c r="E284" s="61" t="s">
        <v>76</v>
      </c>
    </row>
    <row r="285" spans="1:7" ht="15" customHeight="1" x14ac:dyDescent="0.3">
      <c r="A285" s="60">
        <v>8</v>
      </c>
      <c r="B285" s="60">
        <f>IFERROR(ROUND(tblPets[[#This Row],[Amount]],2)*VLOOKUP(tblPets[[#This Row],[Period]],Periods,2,0),"")</f>
        <v>0</v>
      </c>
      <c r="C285" s="61" t="s">
        <v>56</v>
      </c>
      <c r="D285" s="61">
        <v>0</v>
      </c>
      <c r="E285" s="61" t="s">
        <v>76</v>
      </c>
    </row>
    <row r="286" spans="1:7" ht="15" customHeight="1" x14ac:dyDescent="0.3">
      <c r="A286" s="60">
        <v>9</v>
      </c>
      <c r="B286" s="60">
        <f>IFERROR(ROUND(tblPets[[#This Row],[Amount]],2)*VLOOKUP(tblPets[[#This Row],[Period]],Periods,2,0),"")</f>
        <v>0</v>
      </c>
      <c r="C286" s="61" t="s">
        <v>56</v>
      </c>
      <c r="D286" s="61">
        <v>0</v>
      </c>
      <c r="E286" s="61" t="s">
        <v>76</v>
      </c>
    </row>
    <row r="287" spans="1:7" ht="15" customHeight="1" x14ac:dyDescent="0.3">
      <c r="A287" s="65">
        <v>10</v>
      </c>
      <c r="B287" s="66">
        <f>IFERROR(ROUND(tblPets[[#This Row],[Amount]],2)*VLOOKUP(tblPets[[#This Row],[Period]],Periods,2,0),"")</f>
        <v>0</v>
      </c>
      <c r="C287" s="67" t="s">
        <v>56</v>
      </c>
      <c r="D287" s="67">
        <v>0</v>
      </c>
      <c r="E287" s="67" t="s">
        <v>76</v>
      </c>
    </row>
    <row r="288" spans="1:7" ht="27" customHeight="1" x14ac:dyDescent="0.3">
      <c r="A288" s="74"/>
      <c r="B288" s="75"/>
      <c r="C288" s="75" t="s">
        <v>206</v>
      </c>
      <c r="D288" s="75">
        <f>ROUND(SUM(tblFees[Annual Total])/VLOOKUP(D5,TotalPeriods[],2,0),2)</f>
        <v>0</v>
      </c>
      <c r="E288" s="76">
        <f>IFERROR(D288/D10,0)</f>
        <v>0</v>
      </c>
      <c r="F288" s="129" t="str">
        <f>IF(E288&gt;0,IF(AND(E288&gt;0,E288&lt;=RulesOfThumb!D17),RulesOfThumb!B17,IF(AND(E288&gt;RulesOfThumb!F17,E288&lt;=RulesOfThumb!G17),RulesOfThumb!E17,IF(E288&gt;RulesOfThumb!I17,RulesOfThumb!H17,""))),"")</f>
        <v/>
      </c>
      <c r="G288" s="129"/>
    </row>
    <row r="289" spans="1:7" ht="15" customHeight="1" x14ac:dyDescent="0.3">
      <c r="A289" s="77" t="s">
        <v>22</v>
      </c>
      <c r="B289" s="77" t="s">
        <v>23</v>
      </c>
      <c r="C289" s="77" t="s">
        <v>24</v>
      </c>
      <c r="D289" s="77" t="s">
        <v>25</v>
      </c>
      <c r="E289" s="77" t="s">
        <v>26</v>
      </c>
    </row>
    <row r="290" spans="1:7" ht="15" customHeight="1" x14ac:dyDescent="0.3">
      <c r="A290" s="60" t="s">
        <v>207</v>
      </c>
      <c r="B290" s="60">
        <f>IFERROR(ROUND(tblFees[[#This Row],[Amount]],2)*VLOOKUP(tblFees[[#This Row],[Period]],Periods,2,0),"")</f>
        <v>0</v>
      </c>
      <c r="C290" s="60" t="s">
        <v>208</v>
      </c>
      <c r="D290" s="61">
        <v>0</v>
      </c>
      <c r="E290" s="61" t="s">
        <v>14</v>
      </c>
    </row>
    <row r="291" spans="1:7" ht="15" customHeight="1" x14ac:dyDescent="0.3">
      <c r="A291" s="60" t="s">
        <v>209</v>
      </c>
      <c r="B291" s="60">
        <f>IFERROR(ROUND(tblFees[[#This Row],[Amount]],2)*VLOOKUP(tblFees[[#This Row],[Period]],Periods,2,0),"")</f>
        <v>0</v>
      </c>
      <c r="C291" s="60" t="s">
        <v>210</v>
      </c>
      <c r="D291" s="61">
        <v>0</v>
      </c>
      <c r="E291" s="61" t="s">
        <v>76</v>
      </c>
    </row>
    <row r="292" spans="1:7" ht="15" customHeight="1" x14ac:dyDescent="0.3">
      <c r="A292" s="60" t="s">
        <v>211</v>
      </c>
      <c r="B292" s="60">
        <f>IFERROR(ROUND(tblFees[[#This Row],[Amount]],2)*VLOOKUP(tblFees[[#This Row],[Period]],Periods,2,0),"")</f>
        <v>0</v>
      </c>
      <c r="C292" s="60" t="s">
        <v>212</v>
      </c>
      <c r="D292" s="61">
        <v>0</v>
      </c>
      <c r="E292" s="61" t="s">
        <v>76</v>
      </c>
    </row>
    <row r="293" spans="1:7" ht="15" customHeight="1" x14ac:dyDescent="0.3">
      <c r="A293" s="62"/>
      <c r="B293" s="62" t="str">
        <f>IFERROR(ROUND(tblFees[[#This Row],[Amount]],2)*VLOOKUP(tblFees[[#This Row],[Period]],Periods,2,0),"")</f>
        <v/>
      </c>
      <c r="C293" s="63" t="s">
        <v>55</v>
      </c>
      <c r="D293" s="64"/>
      <c r="E293" s="64"/>
    </row>
    <row r="294" spans="1:7" ht="15" customHeight="1" x14ac:dyDescent="0.3">
      <c r="A294" s="60">
        <v>1</v>
      </c>
      <c r="B294" s="60">
        <f>IFERROR(ROUND(tblFees[[#This Row],[Amount]],2)*VLOOKUP(tblFees[[#This Row],[Period]],Periods,2,0),"")</f>
        <v>0</v>
      </c>
      <c r="C294" s="61" t="s">
        <v>56</v>
      </c>
      <c r="D294" s="61">
        <v>0</v>
      </c>
      <c r="E294" s="61" t="s">
        <v>76</v>
      </c>
    </row>
    <row r="295" spans="1:7" ht="15" customHeight="1" x14ac:dyDescent="0.3">
      <c r="A295" s="60">
        <v>2</v>
      </c>
      <c r="B295" s="60">
        <f>IFERROR(ROUND(tblFees[[#This Row],[Amount]],2)*VLOOKUP(tblFees[[#This Row],[Period]],Periods,2,0),"")</f>
        <v>0</v>
      </c>
      <c r="C295" s="61" t="s">
        <v>56</v>
      </c>
      <c r="D295" s="61">
        <v>0</v>
      </c>
      <c r="E295" s="61" t="s">
        <v>76</v>
      </c>
    </row>
    <row r="296" spans="1:7" ht="15" customHeight="1" x14ac:dyDescent="0.3">
      <c r="A296" s="60">
        <v>3</v>
      </c>
      <c r="B296" s="60">
        <f>IFERROR(ROUND(tblFees[[#This Row],[Amount]],2)*VLOOKUP(tblFees[[#This Row],[Period]],Periods,2,0),"")</f>
        <v>0</v>
      </c>
      <c r="C296" s="61" t="s">
        <v>56</v>
      </c>
      <c r="D296" s="61">
        <v>0</v>
      </c>
      <c r="E296" s="61" t="s">
        <v>76</v>
      </c>
    </row>
    <row r="297" spans="1:7" ht="15" customHeight="1" x14ac:dyDescent="0.3">
      <c r="A297" s="60">
        <v>4</v>
      </c>
      <c r="B297" s="60">
        <f>IFERROR(ROUND(tblFees[[#This Row],[Amount]],2)*VLOOKUP(tblFees[[#This Row],[Period]],Periods,2,0),"")</f>
        <v>0</v>
      </c>
      <c r="C297" s="61" t="s">
        <v>56</v>
      </c>
      <c r="D297" s="61">
        <v>0</v>
      </c>
      <c r="E297" s="61" t="s">
        <v>76</v>
      </c>
    </row>
    <row r="298" spans="1:7" ht="15" customHeight="1" x14ac:dyDescent="0.3">
      <c r="A298" s="60">
        <v>5</v>
      </c>
      <c r="B298" s="60">
        <f>IFERROR(ROUND(tblFees[[#This Row],[Amount]],2)*VLOOKUP(tblFees[[#This Row],[Period]],Periods,2,0),"")</f>
        <v>0</v>
      </c>
      <c r="C298" s="61" t="s">
        <v>56</v>
      </c>
      <c r="D298" s="61">
        <v>0</v>
      </c>
      <c r="E298" s="61" t="s">
        <v>76</v>
      </c>
    </row>
    <row r="299" spans="1:7" ht="15" customHeight="1" x14ac:dyDescent="0.3">
      <c r="A299" s="60">
        <v>6</v>
      </c>
      <c r="B299" s="60">
        <f>IFERROR(ROUND(tblFees[[#This Row],[Amount]],2)*VLOOKUP(tblFees[[#This Row],[Period]],Periods,2,0),"")</f>
        <v>0</v>
      </c>
      <c r="C299" s="61" t="s">
        <v>56</v>
      </c>
      <c r="D299" s="61">
        <v>0</v>
      </c>
      <c r="E299" s="61" t="s">
        <v>76</v>
      </c>
    </row>
    <row r="300" spans="1:7" ht="15" customHeight="1" x14ac:dyDescent="0.3">
      <c r="A300" s="60">
        <v>7</v>
      </c>
      <c r="B300" s="60">
        <f>IFERROR(ROUND(tblFees[[#This Row],[Amount]],2)*VLOOKUP(tblFees[[#This Row],[Period]],Periods,2,0),"")</f>
        <v>0</v>
      </c>
      <c r="C300" s="61" t="s">
        <v>56</v>
      </c>
      <c r="D300" s="61">
        <v>0</v>
      </c>
      <c r="E300" s="61" t="s">
        <v>76</v>
      </c>
    </row>
    <row r="301" spans="1:7" ht="15" customHeight="1" x14ac:dyDescent="0.3">
      <c r="A301" s="60">
        <v>8</v>
      </c>
      <c r="B301" s="60">
        <f>IFERROR(ROUND(tblFees[[#This Row],[Amount]],2)*VLOOKUP(tblFees[[#This Row],[Period]],Periods,2,0),"")</f>
        <v>0</v>
      </c>
      <c r="C301" s="61" t="s">
        <v>56</v>
      </c>
      <c r="D301" s="61">
        <v>0</v>
      </c>
      <c r="E301" s="61" t="s">
        <v>76</v>
      </c>
    </row>
    <row r="302" spans="1:7" ht="15" customHeight="1" x14ac:dyDescent="0.3">
      <c r="A302" s="60">
        <v>9</v>
      </c>
      <c r="B302" s="60">
        <f>IFERROR(ROUND(tblFees[[#This Row],[Amount]],2)*VLOOKUP(tblFees[[#This Row],[Period]],Periods,2,0),"")</f>
        <v>0</v>
      </c>
      <c r="C302" s="61" t="s">
        <v>56</v>
      </c>
      <c r="D302" s="61">
        <v>0</v>
      </c>
      <c r="E302" s="61" t="s">
        <v>76</v>
      </c>
    </row>
    <row r="303" spans="1:7" ht="15" customHeight="1" x14ac:dyDescent="0.3">
      <c r="A303" s="65">
        <v>10</v>
      </c>
      <c r="B303" s="66">
        <f>IFERROR(ROUND(tblFees[[#This Row],[Amount]],2)*VLOOKUP(tblFees[[#This Row],[Period]],Periods,2,0),"")</f>
        <v>0</v>
      </c>
      <c r="C303" s="67" t="s">
        <v>56</v>
      </c>
      <c r="D303" s="67">
        <v>0</v>
      </c>
      <c r="E303" s="67" t="s">
        <v>76</v>
      </c>
    </row>
    <row r="304" spans="1:7" ht="27" customHeight="1" x14ac:dyDescent="0.3">
      <c r="A304" s="74"/>
      <c r="B304" s="75"/>
      <c r="C304" s="75" t="s">
        <v>213</v>
      </c>
      <c r="D304" s="75">
        <f>ROUND(SUM(tblGiftsDonations[Annual Total])/VLOOKUP(D5,TotalPeriods[],2,0),2)</f>
        <v>0</v>
      </c>
      <c r="E304" s="76">
        <f>IFERROR(D304/D10,0)</f>
        <v>0</v>
      </c>
      <c r="F304" s="129" t="str">
        <f>IF(E304&gt;0,IF(AND(E304&gt;0,E304&lt;=RulesOfThumb!D18),RulesOfThumb!B18,IF(AND(E304&gt;RulesOfThumb!F18,E304&lt;=RulesOfThumb!G18),RulesOfThumb!E18,IF(E304&gt;RulesOfThumb!I18,RulesOfThumb!H18,""))),"")</f>
        <v/>
      </c>
      <c r="G304" s="129"/>
    </row>
    <row r="305" spans="1:5" ht="15" customHeight="1" x14ac:dyDescent="0.3">
      <c r="A305" s="77" t="s">
        <v>22</v>
      </c>
      <c r="B305" s="77" t="s">
        <v>23</v>
      </c>
      <c r="C305" s="77" t="s">
        <v>24</v>
      </c>
      <c r="D305" s="77" t="s">
        <v>25</v>
      </c>
      <c r="E305" s="77" t="s">
        <v>26</v>
      </c>
    </row>
    <row r="306" spans="1:5" ht="15" customHeight="1" x14ac:dyDescent="0.3">
      <c r="A306" s="60" t="s">
        <v>214</v>
      </c>
      <c r="B306" s="60">
        <f>IFERROR(ROUND(tblGiftsDonations[[#This Row],[Amount]],2)*VLOOKUP(tblGiftsDonations[[#This Row],[Period]],Periods,2,0),"")</f>
        <v>0</v>
      </c>
      <c r="C306" s="60" t="s">
        <v>214</v>
      </c>
      <c r="D306" s="61">
        <v>0</v>
      </c>
      <c r="E306" s="61" t="s">
        <v>76</v>
      </c>
    </row>
    <row r="307" spans="1:5" ht="15" customHeight="1" x14ac:dyDescent="0.3">
      <c r="A307" s="60" t="s">
        <v>215</v>
      </c>
      <c r="B307" s="60">
        <f>IFERROR(ROUND(tblGiftsDonations[[#This Row],[Amount]],2)*VLOOKUP(tblGiftsDonations[[#This Row],[Period]],Periods,2,0),"")</f>
        <v>0</v>
      </c>
      <c r="C307" s="60" t="s">
        <v>215</v>
      </c>
      <c r="D307" s="61">
        <v>0</v>
      </c>
      <c r="E307" s="61" t="s">
        <v>76</v>
      </c>
    </row>
    <row r="308" spans="1:5" ht="15" customHeight="1" x14ac:dyDescent="0.3">
      <c r="A308" s="62"/>
      <c r="B308" s="62" t="str">
        <f>IFERROR(ROUND(tblGiftsDonations[[#This Row],[Amount]],2)*VLOOKUP(tblGiftsDonations[[#This Row],[Period]],Periods,2,0),"")</f>
        <v/>
      </c>
      <c r="C308" s="63" t="s">
        <v>55</v>
      </c>
      <c r="D308" s="64"/>
      <c r="E308" s="64"/>
    </row>
    <row r="309" spans="1:5" ht="15" customHeight="1" x14ac:dyDescent="0.3">
      <c r="A309" s="60">
        <v>1</v>
      </c>
      <c r="B309" s="60">
        <f>IFERROR(ROUND(tblGiftsDonations[[#This Row],[Amount]],2)*VLOOKUP(tblGiftsDonations[[#This Row],[Period]],Periods,2,0),"")</f>
        <v>0</v>
      </c>
      <c r="C309" s="61" t="s">
        <v>56</v>
      </c>
      <c r="D309" s="61">
        <v>0</v>
      </c>
      <c r="E309" s="61" t="s">
        <v>76</v>
      </c>
    </row>
    <row r="310" spans="1:5" ht="15" customHeight="1" x14ac:dyDescent="0.3">
      <c r="A310" s="60">
        <v>2</v>
      </c>
      <c r="B310" s="60">
        <f>IFERROR(ROUND(tblGiftsDonations[[#This Row],[Amount]],2)*VLOOKUP(tblGiftsDonations[[#This Row],[Period]],Periods,2,0),"")</f>
        <v>0</v>
      </c>
      <c r="C310" s="61" t="s">
        <v>56</v>
      </c>
      <c r="D310" s="61">
        <v>0</v>
      </c>
      <c r="E310" s="61" t="s">
        <v>76</v>
      </c>
    </row>
    <row r="311" spans="1:5" ht="15" customHeight="1" x14ac:dyDescent="0.3">
      <c r="A311" s="60">
        <v>3</v>
      </c>
      <c r="B311" s="60">
        <f>IFERROR(ROUND(tblGiftsDonations[[#This Row],[Amount]],2)*VLOOKUP(tblGiftsDonations[[#This Row],[Period]],Periods,2,0),"")</f>
        <v>0</v>
      </c>
      <c r="C311" s="61" t="s">
        <v>56</v>
      </c>
      <c r="D311" s="61">
        <v>0</v>
      </c>
      <c r="E311" s="61" t="s">
        <v>76</v>
      </c>
    </row>
    <row r="312" spans="1:5" ht="15" customHeight="1" x14ac:dyDescent="0.3">
      <c r="A312" s="60">
        <v>4</v>
      </c>
      <c r="B312" s="60">
        <f>IFERROR(ROUND(tblGiftsDonations[[#This Row],[Amount]],2)*VLOOKUP(tblGiftsDonations[[#This Row],[Period]],Periods,2,0),"")</f>
        <v>0</v>
      </c>
      <c r="C312" s="61" t="s">
        <v>56</v>
      </c>
      <c r="D312" s="61">
        <v>0</v>
      </c>
      <c r="E312" s="61" t="s">
        <v>76</v>
      </c>
    </row>
    <row r="313" spans="1:5" ht="15" customHeight="1" x14ac:dyDescent="0.3">
      <c r="A313" s="60">
        <v>5</v>
      </c>
      <c r="B313" s="60">
        <f>IFERROR(ROUND(tblGiftsDonations[[#This Row],[Amount]],2)*VLOOKUP(tblGiftsDonations[[#This Row],[Period]],Periods,2,0),"")</f>
        <v>0</v>
      </c>
      <c r="C313" s="61" t="s">
        <v>56</v>
      </c>
      <c r="D313" s="61">
        <v>0</v>
      </c>
      <c r="E313" s="61" t="s">
        <v>76</v>
      </c>
    </row>
    <row r="314" spans="1:5" ht="15" customHeight="1" x14ac:dyDescent="0.3">
      <c r="A314" s="60">
        <v>6</v>
      </c>
      <c r="B314" s="60">
        <f>IFERROR(ROUND(tblGiftsDonations[[#This Row],[Amount]],2)*VLOOKUP(tblGiftsDonations[[#This Row],[Period]],Periods,2,0),"")</f>
        <v>0</v>
      </c>
      <c r="C314" s="61" t="s">
        <v>56</v>
      </c>
      <c r="D314" s="61">
        <v>0</v>
      </c>
      <c r="E314" s="61" t="s">
        <v>76</v>
      </c>
    </row>
    <row r="315" spans="1:5" ht="15" customHeight="1" x14ac:dyDescent="0.3">
      <c r="A315" s="60">
        <v>7</v>
      </c>
      <c r="B315" s="60">
        <f>IFERROR(ROUND(tblGiftsDonations[[#This Row],[Amount]],2)*VLOOKUP(tblGiftsDonations[[#This Row],[Period]],Periods,2,0),"")</f>
        <v>0</v>
      </c>
      <c r="C315" s="61" t="s">
        <v>56</v>
      </c>
      <c r="D315" s="61">
        <v>0</v>
      </c>
      <c r="E315" s="61" t="s">
        <v>76</v>
      </c>
    </row>
    <row r="316" spans="1:5" ht="15" customHeight="1" x14ac:dyDescent="0.3">
      <c r="A316" s="60">
        <v>8</v>
      </c>
      <c r="B316" s="60">
        <f>IFERROR(ROUND(tblGiftsDonations[[#This Row],[Amount]],2)*VLOOKUP(tblGiftsDonations[[#This Row],[Period]],Periods,2,0),"")</f>
        <v>0</v>
      </c>
      <c r="C316" s="61" t="s">
        <v>56</v>
      </c>
      <c r="D316" s="61">
        <v>0</v>
      </c>
      <c r="E316" s="61" t="s">
        <v>76</v>
      </c>
    </row>
    <row r="317" spans="1:5" ht="15" customHeight="1" x14ac:dyDescent="0.3">
      <c r="A317" s="60">
        <v>9</v>
      </c>
      <c r="B317" s="60">
        <f>IFERROR(ROUND(tblGiftsDonations[[#This Row],[Amount]],2)*VLOOKUP(tblGiftsDonations[[#This Row],[Period]],Periods,2,0),"")</f>
        <v>0</v>
      </c>
      <c r="C317" s="61" t="s">
        <v>56</v>
      </c>
      <c r="D317" s="61">
        <v>0</v>
      </c>
      <c r="E317" s="61" t="s">
        <v>76</v>
      </c>
    </row>
    <row r="318" spans="1:5" ht="15" customHeight="1" x14ac:dyDescent="0.3">
      <c r="A318" s="65">
        <v>10</v>
      </c>
      <c r="B318" s="66">
        <f>IFERROR(ROUND(tblGiftsDonations[[#This Row],[Amount]],2)*VLOOKUP(tblGiftsDonations[[#This Row],[Period]],Periods,2,0),"")</f>
        <v>0</v>
      </c>
      <c r="C318" s="67" t="s">
        <v>56</v>
      </c>
      <c r="D318" s="67">
        <v>0</v>
      </c>
      <c r="E318" s="67" t="s">
        <v>76</v>
      </c>
    </row>
    <row r="319" spans="1:5" ht="15" customHeight="1" x14ac:dyDescent="0.3"/>
    <row r="320" spans="1:5" ht="15" customHeight="1" x14ac:dyDescent="0.3"/>
    <row r="321" ht="15" customHeight="1" x14ac:dyDescent="0.3"/>
    <row r="322" ht="15" customHeight="1" x14ac:dyDescent="0.3"/>
    <row r="323" ht="15" customHeight="1" x14ac:dyDescent="0.3"/>
  </sheetData>
  <sheetProtection selectLockedCells="1"/>
  <mergeCells count="23">
    <mergeCell ref="F119:G119"/>
    <mergeCell ref="I46:O47"/>
    <mergeCell ref="F304:G304"/>
    <mergeCell ref="F10:G10"/>
    <mergeCell ref="G36:H36"/>
    <mergeCell ref="F241:G241"/>
    <mergeCell ref="F225:G225"/>
    <mergeCell ref="F257:G257"/>
    <mergeCell ref="F273:G273"/>
    <mergeCell ref="F288:G288"/>
    <mergeCell ref="F134:G134"/>
    <mergeCell ref="F150:G150"/>
    <mergeCell ref="F171:G171"/>
    <mergeCell ref="F188:G188"/>
    <mergeCell ref="F204:G204"/>
    <mergeCell ref="F101:G101"/>
    <mergeCell ref="C1:L1"/>
    <mergeCell ref="F58:G58"/>
    <mergeCell ref="F75:G75"/>
    <mergeCell ref="D2:E2"/>
    <mergeCell ref="I2:L2"/>
    <mergeCell ref="D7:E7"/>
    <mergeCell ref="G11:O12"/>
  </mergeCells>
  <conditionalFormatting sqref="C65:C74 C59:C63 C76:C89 C91:C100 C120:C122 C124:C133 C135:C138 C140:C149 C161:C170 C152:C159 C178:C187 C173:C176 C190:C192 C194:C203 C206:C213 C215:C224 C231:C240 C227:C229 C243:C245 C247:C256 C259:C261 C263:C272 C275:C276 C278:C287 C294:C303 C290:C292 C306:C307 C309:C1048576 E3:E4 G3:G4 I3:I4 K3:K4 C1 E10 C3:C5 A7 A1 C9:C57 C7">
    <cfRule type="cellIs" dxfId="335" priority="107" operator="equal">
      <formula>"Enter Item Name"</formula>
    </cfRule>
  </conditionalFormatting>
  <conditionalFormatting sqref="C64">
    <cfRule type="cellIs" dxfId="334" priority="106" operator="equal">
      <formula>"Enter Item Name"</formula>
    </cfRule>
  </conditionalFormatting>
  <conditionalFormatting sqref="C58">
    <cfRule type="cellIs" dxfId="333" priority="105" operator="equal">
      <formula>"Enter Item Name"</formula>
    </cfRule>
  </conditionalFormatting>
  <conditionalFormatting sqref="C75">
    <cfRule type="cellIs" dxfId="332" priority="104" operator="equal">
      <formula>"Enter Item Name"</formula>
    </cfRule>
  </conditionalFormatting>
  <conditionalFormatting sqref="C90">
    <cfRule type="cellIs" dxfId="331" priority="102" operator="equal">
      <formula>"Enter Item Name"</formula>
    </cfRule>
  </conditionalFormatting>
  <conditionalFormatting sqref="C119">
    <cfRule type="cellIs" dxfId="330" priority="99" operator="equal">
      <formula>"Enter Item Name"</formula>
    </cfRule>
  </conditionalFormatting>
  <conditionalFormatting sqref="C123">
    <cfRule type="cellIs" dxfId="329" priority="98" operator="equal">
      <formula>"Enter Item Name"</formula>
    </cfRule>
  </conditionalFormatting>
  <conditionalFormatting sqref="C134">
    <cfRule type="cellIs" dxfId="328" priority="97" operator="equal">
      <formula>"Enter Item Name"</formula>
    </cfRule>
  </conditionalFormatting>
  <conditionalFormatting sqref="C139">
    <cfRule type="cellIs" dxfId="327" priority="95" operator="equal">
      <formula>"Enter Item Name"</formula>
    </cfRule>
  </conditionalFormatting>
  <conditionalFormatting sqref="C160">
    <cfRule type="cellIs" dxfId="326" priority="94" operator="equal">
      <formula>"Enter Item Name"</formula>
    </cfRule>
  </conditionalFormatting>
  <conditionalFormatting sqref="C150">
    <cfRule type="cellIs" dxfId="325" priority="93" operator="equal">
      <formula>"Enter Item Name"</formula>
    </cfRule>
  </conditionalFormatting>
  <conditionalFormatting sqref="C151">
    <cfRule type="cellIs" dxfId="324" priority="92" operator="equal">
      <formula>"Enter Item Name"</formula>
    </cfRule>
  </conditionalFormatting>
  <conditionalFormatting sqref="C177">
    <cfRule type="cellIs" dxfId="323" priority="91" operator="equal">
      <formula>"Enter Item Name"</formula>
    </cfRule>
  </conditionalFormatting>
  <conditionalFormatting sqref="C171">
    <cfRule type="cellIs" dxfId="322" priority="90" operator="equal">
      <formula>"Enter Item Name"</formula>
    </cfRule>
  </conditionalFormatting>
  <conditionalFormatting sqref="C172">
    <cfRule type="cellIs" dxfId="321" priority="89" operator="equal">
      <formula>"Enter Item Name"</formula>
    </cfRule>
  </conditionalFormatting>
  <conditionalFormatting sqref="C188">
    <cfRule type="cellIs" dxfId="320" priority="88" operator="equal">
      <formula>"Enter Item Name"</formula>
    </cfRule>
  </conditionalFormatting>
  <conditionalFormatting sqref="C189">
    <cfRule type="cellIs" dxfId="319" priority="87" operator="equal">
      <formula>"Enter Item Name"</formula>
    </cfRule>
  </conditionalFormatting>
  <conditionalFormatting sqref="C193">
    <cfRule type="cellIs" dxfId="318" priority="86" operator="equal">
      <formula>"Enter Item Name"</formula>
    </cfRule>
  </conditionalFormatting>
  <conditionalFormatting sqref="C204">
    <cfRule type="cellIs" dxfId="317" priority="85" operator="equal">
      <formula>"Enter Item Name"</formula>
    </cfRule>
  </conditionalFormatting>
  <conditionalFormatting sqref="C205">
    <cfRule type="cellIs" dxfId="316" priority="84" operator="equal">
      <formula>"Enter Item Name"</formula>
    </cfRule>
  </conditionalFormatting>
  <conditionalFormatting sqref="C214">
    <cfRule type="cellIs" dxfId="315" priority="83" operator="equal">
      <formula>"Enter Item Name"</formula>
    </cfRule>
  </conditionalFormatting>
  <conditionalFormatting sqref="C230">
    <cfRule type="cellIs" dxfId="314" priority="82" operator="equal">
      <formula>"Enter Item Name"</formula>
    </cfRule>
  </conditionalFormatting>
  <conditionalFormatting sqref="C225">
    <cfRule type="cellIs" dxfId="313" priority="81" operator="equal">
      <formula>"Enter Item Name"</formula>
    </cfRule>
  </conditionalFormatting>
  <conditionalFormatting sqref="C226">
    <cfRule type="cellIs" dxfId="312" priority="80" operator="equal">
      <formula>"Enter Item Name"</formula>
    </cfRule>
  </conditionalFormatting>
  <conditionalFormatting sqref="C241">
    <cfRule type="cellIs" dxfId="311" priority="79" operator="equal">
      <formula>"Enter Item Name"</formula>
    </cfRule>
  </conditionalFormatting>
  <conditionalFormatting sqref="C242">
    <cfRule type="cellIs" dxfId="310" priority="78" operator="equal">
      <formula>"Enter Item Name"</formula>
    </cfRule>
  </conditionalFormatting>
  <conditionalFormatting sqref="C246">
    <cfRule type="cellIs" dxfId="309" priority="77" operator="equal">
      <formula>"Enter Item Name"</formula>
    </cfRule>
  </conditionalFormatting>
  <conditionalFormatting sqref="C257">
    <cfRule type="cellIs" dxfId="308" priority="76" operator="equal">
      <formula>"Enter Item Name"</formula>
    </cfRule>
  </conditionalFormatting>
  <conditionalFormatting sqref="C258">
    <cfRule type="cellIs" dxfId="307" priority="75" operator="equal">
      <formula>"Enter Item Name"</formula>
    </cfRule>
  </conditionalFormatting>
  <conditionalFormatting sqref="C277">
    <cfRule type="cellIs" dxfId="306" priority="73" operator="equal">
      <formula>"Enter Item Name"</formula>
    </cfRule>
  </conditionalFormatting>
  <conditionalFormatting sqref="C273">
    <cfRule type="cellIs" dxfId="305" priority="72" operator="equal">
      <formula>"Enter Item Name"</formula>
    </cfRule>
  </conditionalFormatting>
  <conditionalFormatting sqref="C274">
    <cfRule type="cellIs" dxfId="304" priority="71" operator="equal">
      <formula>"Enter Item Name"</formula>
    </cfRule>
  </conditionalFormatting>
  <conditionalFormatting sqref="C293">
    <cfRule type="cellIs" dxfId="303" priority="70" operator="equal">
      <formula>"Enter Item Name"</formula>
    </cfRule>
  </conditionalFormatting>
  <conditionalFormatting sqref="C288">
    <cfRule type="cellIs" dxfId="302" priority="69" operator="equal">
      <formula>"Enter Item Name"</formula>
    </cfRule>
  </conditionalFormatting>
  <conditionalFormatting sqref="C289">
    <cfRule type="cellIs" dxfId="301" priority="68" operator="equal">
      <formula>"Enter Item Name"</formula>
    </cfRule>
  </conditionalFormatting>
  <conditionalFormatting sqref="C304">
    <cfRule type="cellIs" dxfId="300" priority="67" operator="equal">
      <formula>"Enter Item Name"</formula>
    </cfRule>
  </conditionalFormatting>
  <conditionalFormatting sqref="C305">
    <cfRule type="cellIs" dxfId="299" priority="66" operator="equal">
      <formula>"Enter Item Name"</formula>
    </cfRule>
  </conditionalFormatting>
  <conditionalFormatting sqref="C308">
    <cfRule type="cellIs" dxfId="298" priority="65" operator="equal">
      <formula>"Enter Item Name"</formula>
    </cfRule>
  </conditionalFormatting>
  <conditionalFormatting sqref="A3:A4">
    <cfRule type="cellIs" dxfId="297" priority="64" operator="equal">
      <formula>"Enter Item Name"</formula>
    </cfRule>
  </conditionalFormatting>
  <conditionalFormatting sqref="F36">
    <cfRule type="cellIs" dxfId="296" priority="60" operator="equal">
      <formula>"Enter Item Name"</formula>
    </cfRule>
  </conditionalFormatting>
  <conditionalFormatting sqref="F10:G10">
    <cfRule type="containsBlanks" dxfId="295" priority="38">
      <formula>LEN(TRIM(F10))=0</formula>
    </cfRule>
  </conditionalFormatting>
  <conditionalFormatting sqref="G36">
    <cfRule type="containsBlanks" dxfId="294" priority="108">
      <formula>LEN(TRIM(G36))=0</formula>
    </cfRule>
  </conditionalFormatting>
  <conditionalFormatting sqref="F58:G58">
    <cfRule type="containsBlanks" dxfId="293" priority="36">
      <formula>LEN(TRIM(F58))=0</formula>
    </cfRule>
  </conditionalFormatting>
  <conditionalFormatting sqref="F75:G75">
    <cfRule type="containsBlanks" dxfId="292" priority="35">
      <formula>LEN(TRIM(F75))=0</formula>
    </cfRule>
  </conditionalFormatting>
  <conditionalFormatting sqref="F101:G101">
    <cfRule type="containsBlanks" dxfId="291" priority="34">
      <formula>LEN(TRIM(F101))=0</formula>
    </cfRule>
  </conditionalFormatting>
  <conditionalFormatting sqref="F119:G119">
    <cfRule type="containsBlanks" dxfId="290" priority="33">
      <formula>LEN(TRIM(F119))=0</formula>
    </cfRule>
  </conditionalFormatting>
  <conditionalFormatting sqref="F134:G134">
    <cfRule type="containsBlanks" dxfId="289" priority="32">
      <formula>LEN(TRIM(F134))=0</formula>
    </cfRule>
  </conditionalFormatting>
  <conditionalFormatting sqref="F150:G150">
    <cfRule type="containsBlanks" dxfId="288" priority="31">
      <formula>LEN(TRIM(F150))=0</formula>
    </cfRule>
  </conditionalFormatting>
  <conditionalFormatting sqref="F171:G171">
    <cfRule type="containsBlanks" dxfId="287" priority="30">
      <formula>LEN(TRIM(F171))=0</formula>
    </cfRule>
  </conditionalFormatting>
  <conditionalFormatting sqref="F188:G188">
    <cfRule type="containsBlanks" dxfId="286" priority="29">
      <formula>LEN(TRIM(F188))=0</formula>
    </cfRule>
  </conditionalFormatting>
  <conditionalFormatting sqref="F204:G204">
    <cfRule type="containsBlanks" dxfId="285" priority="28">
      <formula>LEN(TRIM(F204))=0</formula>
    </cfRule>
  </conditionalFormatting>
  <conditionalFormatting sqref="F225:G225">
    <cfRule type="containsBlanks" dxfId="284" priority="27">
      <formula>LEN(TRIM(F225))=0</formula>
    </cfRule>
  </conditionalFormatting>
  <conditionalFormatting sqref="F241:G241">
    <cfRule type="containsBlanks" dxfId="283" priority="24">
      <formula>LEN(TRIM(F241))=0</formula>
    </cfRule>
  </conditionalFormatting>
  <conditionalFormatting sqref="F257:G257">
    <cfRule type="containsBlanks" dxfId="282" priority="23">
      <formula>LEN(TRIM(F257))=0</formula>
    </cfRule>
  </conditionalFormatting>
  <conditionalFormatting sqref="F273:G273">
    <cfRule type="containsBlanks" dxfId="281" priority="22">
      <formula>LEN(TRIM(F273))=0</formula>
    </cfRule>
  </conditionalFormatting>
  <conditionalFormatting sqref="F288:G288">
    <cfRule type="containsBlanks" dxfId="280" priority="21">
      <formula>LEN(TRIM(F288))=0</formula>
    </cfRule>
  </conditionalFormatting>
  <conditionalFormatting sqref="F304:G304">
    <cfRule type="containsBlanks" dxfId="279" priority="20">
      <formula>LEN(TRIM(F304))=0</formula>
    </cfRule>
  </conditionalFormatting>
  <conditionalFormatting sqref="C102:C107">
    <cfRule type="cellIs" dxfId="278" priority="19" operator="equal">
      <formula>"Enter Item Name"</formula>
    </cfRule>
  </conditionalFormatting>
  <conditionalFormatting sqref="C101">
    <cfRule type="cellIs" dxfId="277" priority="18" operator="equal">
      <formula>"Enter Item Name"</formula>
    </cfRule>
  </conditionalFormatting>
  <conditionalFormatting sqref="C108">
    <cfRule type="cellIs" dxfId="276" priority="16" operator="equal">
      <formula>"Enter Item Name"</formula>
    </cfRule>
  </conditionalFormatting>
  <conditionalFormatting sqref="C109:C118">
    <cfRule type="cellIs" dxfId="275" priority="15" operator="equal">
      <formula>"Enter Item Name"</formula>
    </cfRule>
  </conditionalFormatting>
  <conditionalFormatting sqref="C262">
    <cfRule type="cellIs" dxfId="274" priority="14" operator="equal">
      <formula>"Enter Item Name"</formula>
    </cfRule>
  </conditionalFormatting>
  <conditionalFormatting sqref="B36">
    <cfRule type="cellIs" dxfId="273" priority="13" operator="equal">
      <formula>"Enter Item Name"</formula>
    </cfRule>
  </conditionalFormatting>
  <conditionalFormatting sqref="B57">
    <cfRule type="cellIs" dxfId="272" priority="12" operator="equal">
      <formula>"Enter Item Name"</formula>
    </cfRule>
  </conditionalFormatting>
  <conditionalFormatting sqref="C8 A8">
    <cfRule type="cellIs" dxfId="271" priority="6" operator="equal">
      <formula>"Enter Item Name"</formula>
    </cfRule>
  </conditionalFormatting>
  <conditionalFormatting sqref="C6 A6">
    <cfRule type="cellIs" dxfId="270" priority="5" operator="equal">
      <formula>"Enter Item Name"</formula>
    </cfRule>
  </conditionalFormatting>
  <conditionalFormatting sqref="D7:E7">
    <cfRule type="expression" dxfId="269" priority="3">
      <formula>BalanceTotal&lt;0</formula>
    </cfRule>
    <cfRule type="expression" dxfId="268" priority="4">
      <formula>BalanceTotal&gt;=0</formula>
    </cfRule>
  </conditionalFormatting>
  <conditionalFormatting sqref="I46:O47">
    <cfRule type="expression" dxfId="267" priority="1">
      <formula>IncomeTotal&lt;=0</formula>
    </cfRule>
  </conditionalFormatting>
  <dataValidations count="18">
    <dataValidation type="decimal" operator="greaterThanOrEqual" allowBlank="1" showInputMessage="1" showErrorMessage="1" errorTitle="Invalid input" error="Please enter a valid amount greater than or equal to 0." sqref="D25:D34 D46:D55 D65:D74 D91:D100 D109:D118 D124:D133 D140:D149 D161:D170 D178:D187 D194:D203 D215:D224 D231:D240 D247:D256 D263:D272 D278:D287 D294:D303 D309:D318" xr:uid="{00000000-0002-0000-0000-000000000000}">
      <formula1>0</formula1>
    </dataValidation>
    <dataValidation type="decimal" operator="greaterThanOrEqual" showErrorMessage="1" errorTitle="Invalid input" error="Please enter a valid amount greater than or equal to 0." sqref="D307 D292 D275 D259:D261 D243:D245 D227:D229 D208:D213 D190:D192 D173:D176 D154:D159 D152 D136:D138 D103:D107 D87:D89 D84:D85 D80:D81 D77 D62:D63 D42 D39:D40 D12:D23" xr:uid="{00000000-0002-0000-0000-000001000000}">
      <formula1>0</formula1>
    </dataValidation>
    <dataValidation type="decimal" operator="greaterThanOrEqual" showInputMessage="1" showErrorMessage="1" errorTitle="Invalid input" error="Please enter a valid amount greater than or equal to 0." prompt="Tip: Start with a small automatic transfer on a regular basis and increase it progressively." sqref="D38" xr:uid="{00000000-0002-0000-0000-00000D000000}">
      <formula1>0</formula1>
    </dataValidation>
    <dataValidation type="decimal" operator="greaterThanOrEqual" showInputMessage="1" showErrorMessage="1" errorTitle="Invalid input" error="Please enter a valid amount greater than or equal to 0." prompt="Tip: Did you know that you can use your RRSPs to buy your first home?" sqref="D41" xr:uid="{00000000-0002-0000-0000-000010000000}">
      <formula1>0</formula1>
    </dataValidation>
    <dataValidation type="decimal" operator="greaterThanOrEqual" showInputMessage="1" showErrorMessage="1" errorTitle="Invalid input" error="Please enter a valid amount greater than or equal to 0." prompt="Tip: When you buy a car, think beyond the payments and look at the total costs." sqref="D43" xr:uid="{00000000-0002-0000-0000-000012000000}">
      <formula1>0</formula1>
    </dataValidation>
    <dataValidation type="decimal" operator="greaterThanOrEqual" showInputMessage="1" showErrorMessage="1" errorTitle="Invalid input" error="Please enter a valid amount greater than or equal to 0." prompt="Tip: If you pay taxes every year, include the amount in your budget." sqref="D44" xr:uid="{00000000-0002-0000-0000-000013000000}">
      <formula1>0</formula1>
    </dataValidation>
    <dataValidation type="decimal" operator="greaterThanOrEqual" showInputMessage="1" showErrorMessage="1" errorTitle="Invalid input" error="Please enter a valid amount greater than or equal to 0." prompt="Tip: Make sure you pay more than the minimum if you can." sqref="D79 D60:D61" xr:uid="{00000000-0002-0000-0000-000014000000}">
      <formula1>0</formula1>
    </dataValidation>
    <dataValidation type="decimal" operator="greaterThanOrEqual" showInputMessage="1" showErrorMessage="1" errorTitle="Invalid input" error="Please enter a valid amount greater than or equal to 0." prompt="Tip: Shop around before renewing your mortgage." sqref="D78" xr:uid="{00000000-0002-0000-0000-000019000000}">
      <formula1>0</formula1>
    </dataValidation>
    <dataValidation type="decimal" operator="greaterThanOrEqual" showInputMessage="1" showErrorMessage="1" errorTitle="Invalid input" error="Please enter a valid amount greater than or equal to 0." prompt="Tip: Shop around and compare options before renewing your insurance." sqref="D153 D82:D83" xr:uid="{00000000-0002-0000-0000-00001D000000}">
      <formula1>0</formula1>
    </dataValidation>
    <dataValidation type="decimal" operator="greaterThanOrEqual" showInputMessage="1" showErrorMessage="1" errorTitle="Invalid input" error="Please enter a valid amount greater than or equal to 0." prompt="Tip: Having a security system can lower your insurance costs." sqref="D86" xr:uid="{00000000-0002-0000-0000-000021000000}">
      <formula1>0</formula1>
    </dataValidation>
    <dataValidation type="decimal" operator="greaterThanOrEqual" showInputMessage="1" showErrorMessage="1" errorTitle="Invalid input" error="Please enter a valid amount greater than or equal to 0." prompt="Tip: Meal planning and shopping on a full stomach helps you avoid impulse buys." sqref="D121" xr:uid="{00000000-0002-0000-0000-00002A000000}">
      <formula1>0</formula1>
    </dataValidation>
    <dataValidation type="decimal" operator="greaterThanOrEqual" showInputMessage="1" showErrorMessage="1" errorTitle="Invalid input" error="Please enter a valid amount greater than or equal to 0." prompt="Tip: Buying a coffee or tea every day can cost you more than $900 per year." sqref="D122" xr:uid="{00000000-0002-0000-0000-00002B000000}">
      <formula1>0</formula1>
    </dataValidation>
    <dataValidation type="decimal" operator="greaterThanOrEqual" showInputMessage="1" showErrorMessage="1" errorTitle="Invalid input" error="Please enter a valid amount greater than or equal to 0." prompt="Tip: Planning a trip? Budget for it now." sqref="D206" xr:uid="{00000000-0002-0000-0000-00003E000000}">
      <formula1>0</formula1>
    </dataValidation>
    <dataValidation type="decimal" operator="greaterThanOrEqual" showInputMessage="1" showErrorMessage="1" errorTitle="Invalid input" error="Please enter a valid amount greater than or equal to 0." prompt="Tip: Think about all the free ways to exercise!" sqref="D207" xr:uid="{00000000-0002-0000-0000-00003F000000}">
      <formula1>0</formula1>
    </dataValidation>
    <dataValidation type="decimal" operator="greaterThanOrEqual" showInputMessage="1" showErrorMessage="1" errorTitle="Invalid input" error="Please enter a valid amount greater than or equal to 0." prompt="Tip: Have you considered pet insurance?" sqref="D276" xr:uid="{00000000-0002-0000-0000-000050000000}">
      <formula1>0</formula1>
    </dataValidation>
    <dataValidation type="decimal" operator="greaterThanOrEqual" showInputMessage="1" showErrorMessage="1" errorTitle="Invalid input" error="Please enter a valid amount greater than or equal to 0." prompt="Tip: Many financial institutions offer low-cost and no-cost accounts." sqref="D290" xr:uid="{00000000-0002-0000-0000-000051000000}">
      <formula1>0</formula1>
    </dataValidation>
    <dataValidation type="decimal" operator="greaterThanOrEqual" showInputMessage="1" showErrorMessage="1" errorTitle="Invalid input" error="Please enter a valid amount greater than or equal to 0." prompt="Tip: Make sure you have the right card for your needs." sqref="D291" xr:uid="{00000000-0002-0000-0000-000052000000}">
      <formula1>0</formula1>
    </dataValidation>
    <dataValidation type="decimal" operator="greaterThanOrEqual" showInputMessage="1" showErrorMessage="1" errorTitle="Invalid input" error="Please enter a valid amount greater than or equal to 0." prompt="Tip: How about a gift exchange or homemade gifts?" sqref="D306" xr:uid="{00000000-0002-0000-0000-000054000000}">
      <formula1>0</formula1>
    </dataValidation>
  </dataValidations>
  <hyperlinks>
    <hyperlink ref="I2" r:id="rId1" xr:uid="{00000000-0004-0000-0000-000000000000}"/>
  </hyperlinks>
  <pageMargins left="0.7" right="0.7" top="0.75" bottom="0.75" header="0.3" footer="0.3"/>
  <pageSetup orientation="portrait"/>
  <drawing r:id="rId2"/>
  <legacyDrawing r:id="rId3"/>
  <tableParts count="17">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extLst>
    <ext xmlns:x14="http://schemas.microsoft.com/office/spreadsheetml/2009/9/main" uri="{78C0D931-6437-407d-A8EE-F0AAD7539E65}">
      <x14:conditionalFormattings>
        <x14:conditionalFormatting xmlns:xm="http://schemas.microsoft.com/office/excel/2006/main">
          <x14:cfRule type="iconSet" priority="61" id="{25CE49DE-95F4-4BA9-88D0-6A1E5097A283}">
            <x14:iconSet iconSet="3Symbols" showValue="0" custom="1">
              <x14:cfvo type="percent">
                <xm:f>0</xm:f>
              </x14:cfvo>
              <x14:cfvo type="num" gte="0">
                <xm:f>0</xm:f>
              </x14:cfvo>
              <x14:cfvo type="num" gte="0">
                <xm:f>1</xm:f>
              </x14:cfvo>
              <x14:cfIcon iconSet="3Symbols" iconId="0"/>
              <x14:cfIcon iconSet="NoIcons" iconId="0"/>
              <x14:cfIcon iconSet="NoIcons" iconId="0"/>
            </x14:iconSet>
          </x14:cfRule>
          <xm:sqref>E10</xm:sqref>
        </x14:conditionalFormatting>
        <x14:conditionalFormatting xmlns:xm="http://schemas.microsoft.com/office/excel/2006/main">
          <x14:cfRule type="iconSet" priority="59" id="{0659BB32-2EEF-421D-8A06-F4B50321018D}">
            <x14:iconSet iconSet="3Symbols" showValue="0" custom="1">
              <x14:cfvo type="percent">
                <xm:f>0</xm:f>
              </x14:cfvo>
              <x14:cfvo type="num" gte="0">
                <xm:f>RulesOfThumb!$F$3</xm:f>
              </x14:cfvo>
              <x14:cfvo type="num">
                <xm:f>RulesOfThumb!$C$3</xm:f>
              </x14:cfvo>
              <x14:cfIcon iconSet="3Symbols" iconId="0"/>
              <x14:cfIcon iconSet="3Symbols" iconId="1"/>
              <x14:cfIcon iconSet="3Symbols" iconId="2"/>
            </x14:iconSet>
          </x14:cfRule>
          <xm:sqref>F36</xm:sqref>
        </x14:conditionalFormatting>
        <x14:conditionalFormatting xmlns:xm="http://schemas.microsoft.com/office/excel/2006/main">
          <x14:cfRule type="iconSet" priority="54" id="{78D12E7A-EB07-4545-88E8-E7272154D981}">
            <x14:iconSet iconSet="4Arrows" showValue="0" custom="1">
              <x14:cfvo type="percent">
                <xm:f>0</xm:f>
              </x14:cfvo>
              <x14:cfvo type="num" gte="0">
                <xm:f>RulesOfThumb!$C$4</xm:f>
              </x14:cfvo>
              <x14:cfvo type="num" gte="0">
                <xm:f>RulesOfThumb!$F$4</xm:f>
              </x14:cfvo>
              <x14:cfvo type="num" gte="0">
                <xm:f>RulesOfThumb!$I$4</xm:f>
              </x14:cfvo>
              <x14:cfIcon iconSet="NoIcons" iconId="0"/>
              <x14:cfIcon iconSet="3Symbols" iconId="2"/>
              <x14:cfIcon iconSet="3Symbols" iconId="1"/>
              <x14:cfIcon iconSet="3Symbols" iconId="0"/>
            </x14:iconSet>
          </x14:cfRule>
          <xm:sqref>E58</xm:sqref>
        </x14:conditionalFormatting>
        <x14:conditionalFormatting xmlns:xm="http://schemas.microsoft.com/office/excel/2006/main">
          <x14:cfRule type="iconSet" priority="53" id="{0CBF4FED-F402-4CB2-ADCB-39E40FB325B9}">
            <x14:iconSet iconSet="4Arrows" showValue="0" custom="1">
              <x14:cfvo type="percent">
                <xm:f>0</xm:f>
              </x14:cfvo>
              <x14:cfvo type="num" gte="0">
                <xm:f>RulesOfThumb!$C$5</xm:f>
              </x14:cfvo>
              <x14:cfvo type="num" gte="0">
                <xm:f>RulesOfThumb!$F$5</xm:f>
              </x14:cfvo>
              <x14:cfvo type="num" gte="0">
                <xm:f>RulesOfThumb!$I$5</xm:f>
              </x14:cfvo>
              <x14:cfIcon iconSet="NoIcons" iconId="0"/>
              <x14:cfIcon iconSet="3Symbols" iconId="2"/>
              <x14:cfIcon iconSet="3Symbols" iconId="1"/>
              <x14:cfIcon iconSet="3Symbols" iconId="0"/>
            </x14:iconSet>
          </x14:cfRule>
          <xm:sqref>E75</xm:sqref>
        </x14:conditionalFormatting>
        <x14:conditionalFormatting xmlns:xm="http://schemas.microsoft.com/office/excel/2006/main">
          <x14:cfRule type="iconSet" priority="51" id="{73799AA6-C700-44EF-8AB9-1DBBAEED8600}">
            <x14:iconSet iconSet="4Arrows" showValue="0" custom="1">
              <x14:cfvo type="percent">
                <xm:f>0</xm:f>
              </x14:cfvo>
              <x14:cfvo type="num" gte="0">
                <xm:f>RulesOfThumb!$C$7</xm:f>
              </x14:cfvo>
              <x14:cfvo type="num" gte="0">
                <xm:f>RulesOfThumb!$F$7</xm:f>
              </x14:cfvo>
              <x14:cfvo type="num" gte="0">
                <xm:f>RulesOfThumb!$I$7</xm:f>
              </x14:cfvo>
              <x14:cfIcon iconSet="3Symbols" iconId="0"/>
              <x14:cfIcon iconSet="3Symbols" iconId="2"/>
              <x14:cfIcon iconSet="3Symbols" iconId="1"/>
              <x14:cfIcon iconSet="3Symbols" iconId="0"/>
            </x14:iconSet>
          </x14:cfRule>
          <xm:sqref>E119</xm:sqref>
        </x14:conditionalFormatting>
        <x14:conditionalFormatting xmlns:xm="http://schemas.microsoft.com/office/excel/2006/main">
          <x14:cfRule type="iconSet" priority="50" id="{F747DC08-A312-4BBD-B9B6-CF914DE636CE}">
            <x14:iconSet iconSet="4Arrows" showValue="0" custom="1">
              <x14:cfvo type="percent">
                <xm:f>0</xm:f>
              </x14:cfvo>
              <x14:cfvo type="num" gte="0">
                <xm:f>RulesOfThumb!$C$8</xm:f>
              </x14:cfvo>
              <x14:cfvo type="num" gte="0">
                <xm:f>RulesOfThumb!$F$8</xm:f>
              </x14:cfvo>
              <x14:cfvo type="num" gte="0">
                <xm:f>RulesOfThumb!$I$8</xm:f>
              </x14:cfvo>
              <x14:cfIcon iconSet="3Symbols" iconId="0"/>
              <x14:cfIcon iconSet="3Symbols" iconId="2"/>
              <x14:cfIcon iconSet="3Symbols" iconId="1"/>
              <x14:cfIcon iconSet="3Symbols" iconId="0"/>
            </x14:iconSet>
          </x14:cfRule>
          <xm:sqref>E134</xm:sqref>
        </x14:conditionalFormatting>
        <x14:conditionalFormatting xmlns:xm="http://schemas.microsoft.com/office/excel/2006/main">
          <x14:cfRule type="iconSet" priority="48" id="{0D83EEE4-A086-4896-A147-4F15595326F5}">
            <x14:iconSet iconSet="4Arrows" showValue="0" custom="1">
              <x14:cfvo type="percent">
                <xm:f>0</xm:f>
              </x14:cfvo>
              <x14:cfvo type="num" gte="0">
                <xm:f>RulesOfThumb!$C$9</xm:f>
              </x14:cfvo>
              <x14:cfvo type="num" gte="0">
                <xm:f>RulesOfThumb!$F$9</xm:f>
              </x14:cfvo>
              <x14:cfvo type="num" gte="0">
                <xm:f>RulesOfThumb!$I$9</xm:f>
              </x14:cfvo>
              <x14:cfIcon iconSet="NoIcons" iconId="0"/>
              <x14:cfIcon iconSet="3Symbols" iconId="2"/>
              <x14:cfIcon iconSet="3Symbols" iconId="1"/>
              <x14:cfIcon iconSet="3Symbols" iconId="0"/>
            </x14:iconSet>
          </x14:cfRule>
          <xm:sqref>E150</xm:sqref>
        </x14:conditionalFormatting>
        <x14:conditionalFormatting xmlns:xm="http://schemas.microsoft.com/office/excel/2006/main">
          <x14:cfRule type="iconSet" priority="47" id="{DDB65B0B-13AB-4FB1-909C-2024AEDCF6A0}">
            <x14:iconSet iconSet="4Arrows" showValue="0" custom="1">
              <x14:cfvo type="percent">
                <xm:f>0</xm:f>
              </x14:cfvo>
              <x14:cfvo type="num" gte="0">
                <xm:f>RulesOfThumb!$C$10</xm:f>
              </x14:cfvo>
              <x14:cfvo type="num" gte="0">
                <xm:f>RulesOfThumb!$F$10</xm:f>
              </x14:cfvo>
              <x14:cfvo type="num" gte="0">
                <xm:f>RulesOfThumb!$I$10</xm:f>
              </x14:cfvo>
              <x14:cfIcon iconSet="NoIcons" iconId="0"/>
              <x14:cfIcon iconSet="3Symbols" iconId="2"/>
              <x14:cfIcon iconSet="3Symbols" iconId="1"/>
              <x14:cfIcon iconSet="3Symbols" iconId="0"/>
            </x14:iconSet>
          </x14:cfRule>
          <xm:sqref>E171</xm:sqref>
        </x14:conditionalFormatting>
        <x14:conditionalFormatting xmlns:xm="http://schemas.microsoft.com/office/excel/2006/main">
          <x14:cfRule type="iconSet" priority="46" id="{F69E2332-DA6B-4289-9455-160324E2163D}">
            <x14:iconSet iconSet="4Arrows" showValue="0" custom="1">
              <x14:cfvo type="percent">
                <xm:f>0</xm:f>
              </x14:cfvo>
              <x14:cfvo type="num" gte="0">
                <xm:f>RulesOfThumb!$C$11</xm:f>
              </x14:cfvo>
              <x14:cfvo type="num" gte="0">
                <xm:f>RulesOfThumb!$F$11</xm:f>
              </x14:cfvo>
              <x14:cfvo type="num" gte="0">
                <xm:f>RulesOfThumb!$I$11</xm:f>
              </x14:cfvo>
              <x14:cfIcon iconSet="NoIcons" iconId="0"/>
              <x14:cfIcon iconSet="3Symbols" iconId="2"/>
              <x14:cfIcon iconSet="3Symbols" iconId="1"/>
              <x14:cfIcon iconSet="3Symbols" iconId="0"/>
            </x14:iconSet>
          </x14:cfRule>
          <xm:sqref>E188</xm:sqref>
        </x14:conditionalFormatting>
        <x14:conditionalFormatting xmlns:xm="http://schemas.microsoft.com/office/excel/2006/main">
          <x14:cfRule type="iconSet" priority="45" id="{1BF9E943-425D-457D-A8FC-C137C2CA5D5B}">
            <x14:iconSet iconSet="4Arrows" showValue="0" custom="1">
              <x14:cfvo type="percent">
                <xm:f>0</xm:f>
              </x14:cfvo>
              <x14:cfvo type="num" gte="0">
                <xm:f>RulesOfThumb!$C$12</xm:f>
              </x14:cfvo>
              <x14:cfvo type="num" gte="0">
                <xm:f>RulesOfThumb!$F$12</xm:f>
              </x14:cfvo>
              <x14:cfvo type="num" gte="0">
                <xm:f>RulesOfThumb!$I$12</xm:f>
              </x14:cfvo>
              <x14:cfIcon iconSet="NoIcons" iconId="0"/>
              <x14:cfIcon iconSet="3Symbols" iconId="2"/>
              <x14:cfIcon iconSet="3Symbols" iconId="1"/>
              <x14:cfIcon iconSet="3Symbols" iconId="0"/>
            </x14:iconSet>
          </x14:cfRule>
          <xm:sqref>E204</xm:sqref>
        </x14:conditionalFormatting>
        <x14:conditionalFormatting xmlns:xm="http://schemas.microsoft.com/office/excel/2006/main">
          <x14:cfRule type="iconSet" priority="44" id="{0F2FA54E-A964-4C8C-AC15-79B7539E8FA6}">
            <x14:iconSet iconSet="4Arrows" showValue="0" custom="1">
              <x14:cfvo type="percent">
                <xm:f>0</xm:f>
              </x14:cfvo>
              <x14:cfvo type="num" gte="0">
                <xm:f>RulesOfThumb!$C$13</xm:f>
              </x14:cfvo>
              <x14:cfvo type="num" gte="0">
                <xm:f>RulesOfThumb!$F$13</xm:f>
              </x14:cfvo>
              <x14:cfvo type="num" gte="0">
                <xm:f>RulesOfThumb!$I$13</xm:f>
              </x14:cfvo>
              <x14:cfIcon iconSet="NoIcons" iconId="0"/>
              <x14:cfIcon iconSet="3Symbols" iconId="2"/>
              <x14:cfIcon iconSet="3Symbols" iconId="1"/>
              <x14:cfIcon iconSet="3Symbols" iconId="0"/>
            </x14:iconSet>
          </x14:cfRule>
          <xm:sqref>E225</xm:sqref>
        </x14:conditionalFormatting>
        <x14:conditionalFormatting xmlns:xm="http://schemas.microsoft.com/office/excel/2006/main">
          <x14:cfRule type="iconSet" priority="43" id="{DA19F768-E7AF-480F-983A-BC49ECA46F7A}">
            <x14:iconSet iconSet="4Arrows" showValue="0" custom="1">
              <x14:cfvo type="percent">
                <xm:f>0</xm:f>
              </x14:cfvo>
              <x14:cfvo type="num" gte="0">
                <xm:f>RulesOfThumb!$C$14</xm:f>
              </x14:cfvo>
              <x14:cfvo type="num" gte="0">
                <xm:f>RulesOfThumb!$F$14</xm:f>
              </x14:cfvo>
              <x14:cfvo type="num" gte="0">
                <xm:f>RulesOfThumb!$I$14</xm:f>
              </x14:cfvo>
              <x14:cfIcon iconSet="3Symbols" iconId="0"/>
              <x14:cfIcon iconSet="3Symbols" iconId="2"/>
              <x14:cfIcon iconSet="3Symbols" iconId="1"/>
              <x14:cfIcon iconSet="3Symbols" iconId="0"/>
            </x14:iconSet>
          </x14:cfRule>
          <xm:sqref>E241</xm:sqref>
        </x14:conditionalFormatting>
        <x14:conditionalFormatting xmlns:xm="http://schemas.microsoft.com/office/excel/2006/main">
          <x14:cfRule type="iconSet" priority="42" id="{9353B2CD-5B0D-419F-AF4F-6201ACE7873C}">
            <x14:iconSet iconSet="4Arrows" showValue="0" custom="1">
              <x14:cfvo type="percent">
                <xm:f>0</xm:f>
              </x14:cfvo>
              <x14:cfvo type="num" gte="0">
                <xm:f>RulesOfThumb!$C$15</xm:f>
              </x14:cfvo>
              <x14:cfvo type="num" gte="0">
                <xm:f>RulesOfThumb!$F$15</xm:f>
              </x14:cfvo>
              <x14:cfvo type="num" gte="0">
                <xm:f>RulesOfThumb!$I$15</xm:f>
              </x14:cfvo>
              <x14:cfIcon iconSet="NoIcons" iconId="0"/>
              <x14:cfIcon iconSet="3Symbols" iconId="2"/>
              <x14:cfIcon iconSet="3Symbols" iconId="1"/>
              <x14:cfIcon iconSet="3Symbols" iconId="0"/>
            </x14:iconSet>
          </x14:cfRule>
          <xm:sqref>E257</xm:sqref>
        </x14:conditionalFormatting>
        <x14:conditionalFormatting xmlns:xm="http://schemas.microsoft.com/office/excel/2006/main">
          <x14:cfRule type="iconSet" priority="41" id="{DC5412D8-3381-421C-9DB7-731732C5E27F}">
            <x14:iconSet iconSet="4Arrows" showValue="0" custom="1">
              <x14:cfvo type="percent">
                <xm:f>0</xm:f>
              </x14:cfvo>
              <x14:cfvo type="num" gte="0">
                <xm:f>RulesOfThumb!$C$16</xm:f>
              </x14:cfvo>
              <x14:cfvo type="num" gte="0">
                <xm:f>RulesOfThumb!$F$16</xm:f>
              </x14:cfvo>
              <x14:cfvo type="num" gte="0">
                <xm:f>RulesOfThumb!$I$16</xm:f>
              </x14:cfvo>
              <x14:cfIcon iconSet="NoIcons" iconId="0"/>
              <x14:cfIcon iconSet="3Symbols" iconId="2"/>
              <x14:cfIcon iconSet="3Symbols" iconId="1"/>
              <x14:cfIcon iconSet="3Symbols" iconId="0"/>
            </x14:iconSet>
          </x14:cfRule>
          <xm:sqref>E273</xm:sqref>
        </x14:conditionalFormatting>
        <x14:conditionalFormatting xmlns:xm="http://schemas.microsoft.com/office/excel/2006/main">
          <x14:cfRule type="iconSet" priority="40" id="{E3C989D7-7799-4A57-ABED-F51BA9F79396}">
            <x14:iconSet iconSet="4Arrows" showValue="0" custom="1">
              <x14:cfvo type="percent">
                <xm:f>0</xm:f>
              </x14:cfvo>
              <x14:cfvo type="num" gte="0">
                <xm:f>RulesOfThumb!$C$17</xm:f>
              </x14:cfvo>
              <x14:cfvo type="num" gte="0">
                <xm:f>RulesOfThumb!$F$17</xm:f>
              </x14:cfvo>
              <x14:cfvo type="num" gte="0">
                <xm:f>RulesOfThumb!$I$17</xm:f>
              </x14:cfvo>
              <x14:cfIcon iconSet="NoIcons" iconId="0"/>
              <x14:cfIcon iconSet="3Symbols" iconId="2"/>
              <x14:cfIcon iconSet="3Symbols" iconId="1"/>
              <x14:cfIcon iconSet="3Symbols" iconId="0"/>
            </x14:iconSet>
          </x14:cfRule>
          <xm:sqref>E288</xm:sqref>
        </x14:conditionalFormatting>
        <x14:conditionalFormatting xmlns:xm="http://schemas.microsoft.com/office/excel/2006/main">
          <x14:cfRule type="iconSet" priority="39" id="{9DA7916A-C1D1-43A3-AB8C-79C811A9DDB9}">
            <x14:iconSet iconSet="4Arrows" showValue="0" custom="1">
              <x14:cfvo type="percent">
                <xm:f>0</xm:f>
              </x14:cfvo>
              <x14:cfvo type="num" gte="0">
                <xm:f>RulesOfThumb!$C$18</xm:f>
              </x14:cfvo>
              <x14:cfvo type="num" gte="0">
                <xm:f>RulesOfThumb!$F$18</xm:f>
              </x14:cfvo>
              <x14:cfvo type="num" gte="0">
                <xm:f>RulesOfThumb!$I$18</xm:f>
              </x14:cfvo>
              <x14:cfIcon iconSet="NoIcons" iconId="0"/>
              <x14:cfIcon iconSet="3Symbols" iconId="2"/>
              <x14:cfIcon iconSet="3Symbols" iconId="1"/>
              <x14:cfIcon iconSet="3Symbols" iconId="0"/>
            </x14:iconSet>
          </x14:cfRule>
          <xm:sqref>E304</xm:sqref>
        </x14:conditionalFormatting>
        <x14:conditionalFormatting xmlns:xm="http://schemas.microsoft.com/office/excel/2006/main">
          <x14:cfRule type="iconSet" priority="17" id="{978BE4AE-4258-4AD6-B1F3-DA710B39E08E}">
            <x14:iconSet iconSet="4Arrows" showValue="0" custom="1">
              <x14:cfvo type="percent">
                <xm:f>0</xm:f>
              </x14:cfvo>
              <x14:cfvo type="num" gte="0">
                <xm:f>RulesOfThumb!$C$6</xm:f>
              </x14:cfvo>
              <x14:cfvo type="num" gte="0">
                <xm:f>RulesOfThumb!$F$6</xm:f>
              </x14:cfvo>
              <x14:cfvo type="num" gte="0">
                <xm:f>RulesOfThumb!$I$6</xm:f>
              </x14:cfvo>
              <x14:cfIcon iconSet="NoIcons" iconId="0"/>
              <x14:cfIcon iconSet="3Symbols" iconId="2"/>
              <x14:cfIcon iconSet="3Symbols" iconId="1"/>
              <x14:cfIcon iconSet="3Symbols" iconId="0"/>
            </x14:iconSet>
          </x14:cfRule>
          <xm:sqref>E101</xm:sqref>
        </x14:conditionalFormatting>
      </x14:conditionalFormattings>
    </ex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Dropdowns!$A$2:$A$9</xm:f>
          </x14:formula1>
          <xm:sqref>E173:E187 E38:E55 E77:E100 E103:E118 E121:E133 E136:E149 E60:E74 E243:E256 E259:E272 E275:E287 E290:E303 E227:E240 E190:E203 E152:E170 E206:E224 E306:E318 E12:E34</xm:sqref>
        </x14:dataValidation>
        <x14:dataValidation type="list" allowBlank="1" showInputMessage="1" showErrorMessage="1" xr:uid="{00000000-0002-0000-0000-000002000000}">
          <x14:formula1>
            <xm:f>Dropdowns!$E$2:$E$7</xm:f>
          </x14:formula1>
          <xm:sqref>F38:F55</xm:sqref>
        </x14:dataValidation>
        <x14:dataValidation type="list" allowBlank="1" showInputMessage="1" showErrorMessage="1" xr:uid="{00000000-0002-0000-0000-000003000000}">
          <x14:formula1>
            <xm:f>Dropdowns!$A$12:$A$15</xm:f>
          </x14:formula1>
          <xm:sqref>D5</xm:sqref>
        </x14:dataValidation>
        <x14:dataValidation type="list" allowBlank="1" showInputMessage="1" showErrorMessage="1" xr:uid="{00000000-0002-0000-0000-000004000000}">
          <x14:formula1>
            <xm:f>Dropdowns!$G$2:$G$6</xm:f>
          </x14:formula1>
          <xm:sqref>D3:D4</xm:sqref>
        </x14:dataValidation>
        <x14:dataValidation type="list" allowBlank="1" showInputMessage="1" showErrorMessage="1" xr:uid="{00000000-0002-0000-0000-000005000000}">
          <x14:formula1>
            <xm:f>Dropdowns!$G$9:$G$13</xm:f>
          </x14:formula1>
          <xm:sqref>F3:F4</xm:sqref>
        </x14:dataValidation>
        <x14:dataValidation type="list" allowBlank="1" showInputMessage="1" showErrorMessage="1" xr:uid="{00000000-0002-0000-0000-000006000000}">
          <x14:formula1>
            <xm:f>Dropdowns!$G$26:$G$28</xm:f>
          </x14:formula1>
          <xm:sqref>J3:J4</xm:sqref>
        </x14:dataValidation>
        <x14:dataValidation type="list" allowBlank="1" showInputMessage="1" showErrorMessage="1" xr:uid="{00000000-0002-0000-0000-000007000000}">
          <x14:formula1>
            <xm:f>Dropdowns!$G$16:$G$22</xm:f>
          </x14:formula1>
          <xm:sqref>H3:H4</xm:sqref>
        </x14:dataValidation>
        <x14:dataValidation type="list" allowBlank="1" showInputMessage="1" showErrorMessage="1" xr:uid="{00000000-0002-0000-0000-000008000000}">
          <x14:formula1>
            <xm:f>Dropdowns!$G$31:$G$35</xm:f>
          </x14:formula1>
          <xm:sqref>L3:M4 Y3:Y4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showGridLines="0" zoomScaleNormal="100" workbookViewId="0">
      <pane xSplit="1" ySplit="2" topLeftCell="B3" activePane="bottomRight" state="frozen"/>
      <selection pane="topRight" activeCell="B1" sqref="B1"/>
      <selection pane="bottomLeft" activeCell="A3" sqref="A3"/>
      <selection pane="bottomRight" activeCell="A3" sqref="A3"/>
    </sheetView>
  </sheetViews>
  <sheetFormatPr defaultColWidth="9.109375" defaultRowHeight="14.4" x14ac:dyDescent="0.3"/>
  <cols>
    <col min="1" max="1" width="16.5546875" style="30" bestFit="1" customWidth="1"/>
    <col min="2" max="2" width="96.6640625" style="25" customWidth="1"/>
    <col min="3" max="3" width="31.6640625" style="5" customWidth="1"/>
    <col min="4" max="4" width="9.109375" style="4" customWidth="1"/>
    <col min="5" max="16384" width="9.109375" style="4"/>
  </cols>
  <sheetData>
    <row r="1" spans="1:3" ht="27.9" customHeight="1" x14ac:dyDescent="0.3">
      <c r="A1" s="136" t="s">
        <v>216</v>
      </c>
      <c r="B1" s="136"/>
      <c r="C1" s="136"/>
    </row>
    <row r="2" spans="1:3" x14ac:dyDescent="0.3">
      <c r="A2" s="29" t="s">
        <v>217</v>
      </c>
      <c r="B2" s="24" t="s">
        <v>216</v>
      </c>
      <c r="C2" s="14" t="s">
        <v>218</v>
      </c>
    </row>
    <row r="3" spans="1:3" ht="75" customHeight="1" x14ac:dyDescent="0.3">
      <c r="A3" s="31" t="str">
        <f>IFERROR(VLOOKUP(1,SuggestionCalculations!G2:K44,5,FALSE),"")</f>
        <v>Info</v>
      </c>
      <c r="B3" s="26" t="str">
        <f>IFERROR(VLOOKUP(1,SuggestionCalculations!G2:K44,2,FALSE),"")</f>
        <v>Enter your income in order to view your suggestions</v>
      </c>
      <c r="C3" s="27">
        <f>IFERROR(HYPERLINK(VLOOKUP(1,SuggestionCalculations!G2:K44,4,FALSE),VLOOKUP(1,SuggestionCalculations!G2:K44,3,FALSE)),"")</f>
        <v>0</v>
      </c>
    </row>
    <row r="4" spans="1:3" ht="75" customHeight="1" x14ac:dyDescent="0.3">
      <c r="A4" s="32" t="str">
        <f>IFERROR(VLOOKUP(2,SuggestionCalculations!G2:K44,5,FALSE),"")</f>
        <v/>
      </c>
      <c r="B4" s="26" t="str">
        <f>IFERROR(VLOOKUP(2,SuggestionCalculations!G2:K44,2,FALSE),"")</f>
        <v/>
      </c>
      <c r="C4" s="28" t="str">
        <f>IFERROR(HYPERLINK(VLOOKUP(2,SuggestionCalculations!G2:K44,4,FALSE),VLOOKUP(2,SuggestionCalculations!G2:K44,3,FALSE)),"")</f>
        <v/>
      </c>
    </row>
    <row r="5" spans="1:3" ht="75" customHeight="1" x14ac:dyDescent="0.3">
      <c r="A5" s="32" t="str">
        <f>IFERROR(VLOOKUP(3,SuggestionCalculations!G2:K44,5,FALSE),"")</f>
        <v/>
      </c>
      <c r="B5" s="26" t="str">
        <f>IFERROR(VLOOKUP(3,SuggestionCalculations!G2:K44,2,FALSE),"")</f>
        <v/>
      </c>
      <c r="C5" s="28" t="str">
        <f>IFERROR(HYPERLINK(VLOOKUP(3,SuggestionCalculations!G2:K44,4,FALSE),VLOOKUP(3,SuggestionCalculations!G2:K44,3,FALSE)),"")</f>
        <v/>
      </c>
    </row>
    <row r="6" spans="1:3" ht="75" customHeight="1" x14ac:dyDescent="0.3">
      <c r="A6" s="32" t="str">
        <f>IFERROR(VLOOKUP(4,SuggestionCalculations!G2:K44,5,FALSE),"")</f>
        <v/>
      </c>
      <c r="B6" s="26" t="str">
        <f>IFERROR(VLOOKUP(4,SuggestionCalculations!G2:K44,2,FALSE),"")</f>
        <v/>
      </c>
      <c r="C6" s="28" t="str">
        <f>IFERROR(HYPERLINK(VLOOKUP(4,SuggestionCalculations!G2:K44,4,FALSE),VLOOKUP(4,SuggestionCalculations!G2:K44,3,FALSE)),"")</f>
        <v/>
      </c>
    </row>
    <row r="7" spans="1:3" ht="75" customHeight="1" x14ac:dyDescent="0.3">
      <c r="A7" s="32" t="str">
        <f>IFERROR(VLOOKUP(5,SuggestionCalculations!G2:K44,5,FALSE),"")</f>
        <v/>
      </c>
      <c r="B7" s="26" t="str">
        <f>IFERROR(VLOOKUP(5,SuggestionCalculations!G2:K44,2,FALSE),"")</f>
        <v/>
      </c>
      <c r="C7" s="28" t="str">
        <f>IFERROR(HYPERLINK(VLOOKUP(5,SuggestionCalculations!G2:K44,4,FALSE),VLOOKUP(5,SuggestionCalculations!G2:K44,3,FALSE)),"")</f>
        <v/>
      </c>
    </row>
    <row r="8" spans="1:3" ht="75" customHeight="1" x14ac:dyDescent="0.3">
      <c r="A8" s="32" t="str">
        <f>IFERROR(VLOOKUP(6,SuggestionCalculations!G2:K44,5,FALSE),"")</f>
        <v/>
      </c>
      <c r="B8" s="26" t="str">
        <f>IFERROR(VLOOKUP(6,SuggestionCalculations!G2:K44,2,FALSE),"")</f>
        <v/>
      </c>
      <c r="C8" s="28" t="str">
        <f>IFERROR(HYPERLINK(VLOOKUP(6,SuggestionCalculations!G2:K44,4,FALSE),VLOOKUP(6,SuggestionCalculations!G2:K44,3,FALSE)),"")</f>
        <v/>
      </c>
    </row>
    <row r="9" spans="1:3" ht="75" customHeight="1" x14ac:dyDescent="0.3">
      <c r="A9" s="32" t="str">
        <f>IFERROR(VLOOKUP(7,SuggestionCalculations!G2:K44,5,FALSE),"")</f>
        <v/>
      </c>
      <c r="B9" s="26" t="str">
        <f>IFERROR(VLOOKUP(7,SuggestionCalculations!G2:K44,2,FALSE),"")</f>
        <v/>
      </c>
      <c r="C9" s="28" t="str">
        <f>IFERROR(HYPERLINK(VLOOKUP(7,SuggestionCalculations!G2:K44,4,FALSE),VLOOKUP(7,SuggestionCalculations!G2:K44,3,FALSE)),"")</f>
        <v/>
      </c>
    </row>
    <row r="10" spans="1:3" ht="75" customHeight="1" x14ac:dyDescent="0.3">
      <c r="A10" s="32" t="str">
        <f>IFERROR(VLOOKUP(8,SuggestionCalculations!G2:K44,5,FALSE),"")</f>
        <v/>
      </c>
      <c r="B10" s="26" t="str">
        <f>IFERROR(VLOOKUP(8,SuggestionCalculations!G2:K44,2,FALSE),"")</f>
        <v/>
      </c>
      <c r="C10" s="28" t="str">
        <f>IFERROR(HYPERLINK(VLOOKUP(8,SuggestionCalculations!G2:K44,4,FALSE),VLOOKUP(8,SuggestionCalculations!G2:K44,3,FALSE)),"")</f>
        <v/>
      </c>
    </row>
    <row r="11" spans="1:3" ht="75" customHeight="1" x14ac:dyDescent="0.3">
      <c r="A11" s="32" t="str">
        <f>IFERROR(VLOOKUP(9,SuggestionCalculations!G2:K44,5,FALSE),"")</f>
        <v/>
      </c>
      <c r="B11" s="26" t="str">
        <f>IFERROR(VLOOKUP(9,SuggestionCalculations!G2:K44,2,FALSE),"")</f>
        <v/>
      </c>
      <c r="C11" s="28" t="str">
        <f>IFERROR(HYPERLINK(VLOOKUP(9,SuggestionCalculations!G2:K44,4,FALSE),VLOOKUP(9,SuggestionCalculations!G2:K44,3,FALSE)),"")</f>
        <v/>
      </c>
    </row>
    <row r="12" spans="1:3" ht="75" customHeight="1" x14ac:dyDescent="0.3">
      <c r="A12" s="32" t="str">
        <f>IFERROR(VLOOKUP(10,SuggestionCalculations!G2:K44,5,FALSE),"")</f>
        <v/>
      </c>
      <c r="B12" s="26" t="str">
        <f>IFERROR(VLOOKUP(10,SuggestionCalculations!G2:K44,2,FALSE),"")</f>
        <v/>
      </c>
      <c r="C12" s="28" t="str">
        <f>IFERROR(HYPERLINK(VLOOKUP(10,SuggestionCalculations!G2:K44,4,FALSE),VLOOKUP(10,SuggestionCalculations!G2:K44,3,FALSE)),"")</f>
        <v/>
      </c>
    </row>
    <row r="13" spans="1:3" ht="75" customHeight="1" x14ac:dyDescent="0.3">
      <c r="A13" s="32" t="str">
        <f>IFERROR(VLOOKUP(11,SuggestionCalculations!G2:K44,5,FALSE),"")</f>
        <v/>
      </c>
      <c r="B13" s="26" t="str">
        <f>IFERROR(VLOOKUP(11,SuggestionCalculations!G2:K44,2,FALSE),"")</f>
        <v/>
      </c>
      <c r="C13" s="28" t="str">
        <f>IFERROR(HYPERLINK(VLOOKUP(11,SuggestionCalculations!G2:K44,4,FALSE),VLOOKUP(11,SuggestionCalculations!G2:K44,3,FALSE)),"")</f>
        <v/>
      </c>
    </row>
    <row r="14" spans="1:3" ht="75" customHeight="1" x14ac:dyDescent="0.3">
      <c r="A14" s="32" t="str">
        <f>IFERROR(VLOOKUP(12,SuggestionCalculations!G2:K44,5,FALSE),"")</f>
        <v/>
      </c>
      <c r="B14" s="26" t="str">
        <f>IFERROR(VLOOKUP(12,SuggestionCalculations!G2:K44,2,FALSE),"")</f>
        <v/>
      </c>
      <c r="C14" s="28" t="str">
        <f>IFERROR(HYPERLINK(VLOOKUP(12,SuggestionCalculations!G2:K44,4,FALSE),VLOOKUP(12,SuggestionCalculations!G2:K44,3,FALSE)),"")</f>
        <v/>
      </c>
    </row>
    <row r="15" spans="1:3" ht="75" customHeight="1" x14ac:dyDescent="0.3">
      <c r="A15" s="32" t="str">
        <f>IFERROR(VLOOKUP(13,SuggestionCalculations!G2:K44,5,FALSE),"")</f>
        <v/>
      </c>
      <c r="B15" s="26" t="str">
        <f>IFERROR(VLOOKUP(13,SuggestionCalculations!G2:K44,2,FALSE),"")</f>
        <v/>
      </c>
      <c r="C15" s="28" t="str">
        <f>IFERROR(HYPERLINK(VLOOKUP(13,SuggestionCalculations!G2:K44,4,FALSE),VLOOKUP(13,SuggestionCalculations!G2:K44,3,FALSE)),"")</f>
        <v/>
      </c>
    </row>
    <row r="16" spans="1:3" ht="75" customHeight="1" x14ac:dyDescent="0.3">
      <c r="A16" s="32" t="str">
        <f>IFERROR(VLOOKUP(14,SuggestionCalculations!G2:K44,5,FALSE),"")</f>
        <v/>
      </c>
      <c r="B16" s="26" t="str">
        <f>IFERROR(VLOOKUP(14,SuggestionCalculations!G2:K44,2,FALSE),"")</f>
        <v/>
      </c>
      <c r="C16" s="28" t="str">
        <f>IFERROR(HYPERLINK(VLOOKUP(14,SuggestionCalculations!G2:K44,4,FALSE),VLOOKUP(14,SuggestionCalculations!G2:K44,3,FALSE)),"")</f>
        <v/>
      </c>
    </row>
    <row r="17" spans="1:3" ht="75" customHeight="1" x14ac:dyDescent="0.3">
      <c r="A17" s="32" t="str">
        <f>IFERROR(VLOOKUP(15,SuggestionCalculations!G2:K44,5,FALSE),"")</f>
        <v/>
      </c>
      <c r="B17" s="26" t="str">
        <f>IFERROR(VLOOKUP(15,SuggestionCalculations!G2:K44,2,FALSE),"")</f>
        <v/>
      </c>
      <c r="C17" s="28" t="str">
        <f>IFERROR(HYPERLINK(VLOOKUP(15,SuggestionCalculations!G2:K44,4,FALSE),VLOOKUP(15,SuggestionCalculations!G2:K44,3,FALSE)),"")</f>
        <v/>
      </c>
    </row>
    <row r="18" spans="1:3" ht="75" customHeight="1" x14ac:dyDescent="0.3">
      <c r="A18" s="32" t="str">
        <f>IFERROR(VLOOKUP(16,SuggestionCalculations!G2:K44,5,FALSE),"")</f>
        <v/>
      </c>
      <c r="B18" s="26" t="str">
        <f>IFERROR(VLOOKUP(16,SuggestionCalculations!G2:K44,2,FALSE),"")</f>
        <v/>
      </c>
      <c r="C18" s="28" t="str">
        <f>IFERROR(HYPERLINK(VLOOKUP(16,SuggestionCalculations!G2:K44,4,FALSE),VLOOKUP(16,SuggestionCalculations!G2:K44,3,FALSE)),"")</f>
        <v/>
      </c>
    </row>
    <row r="19" spans="1:3" ht="75" customHeight="1" x14ac:dyDescent="0.3">
      <c r="A19" s="32" t="str">
        <f>IFERROR(VLOOKUP(17,SuggestionCalculations!G2:K44,5,FALSE),"")</f>
        <v/>
      </c>
      <c r="B19" s="26" t="str">
        <f>IFERROR(VLOOKUP(17,SuggestionCalculations!G2:K44,2,FALSE),"")</f>
        <v/>
      </c>
      <c r="C19" s="28" t="str">
        <f>IFERROR(HYPERLINK(VLOOKUP(17,SuggestionCalculations!G2:K44,4,FALSE),VLOOKUP(17,SuggestionCalculations!G2:K44,3,FALSE)),"")</f>
        <v/>
      </c>
    </row>
    <row r="20" spans="1:3" ht="75" customHeight="1" x14ac:dyDescent="0.3">
      <c r="A20" s="32" t="str">
        <f>IFERROR(VLOOKUP(18,SuggestionCalculations!G2:K44,5,FALSE),"")</f>
        <v/>
      </c>
      <c r="B20" s="26" t="str">
        <f>IFERROR(VLOOKUP(18,SuggestionCalculations!G2:K44,2,FALSE),"")</f>
        <v/>
      </c>
      <c r="C20" s="28" t="str">
        <f>IFERROR(HYPERLINK(VLOOKUP(18,SuggestionCalculations!G2:K44,4,FALSE),VLOOKUP(18,SuggestionCalculations!G2:K44,3,FALSE)),"")</f>
        <v/>
      </c>
    </row>
    <row r="21" spans="1:3" ht="75" customHeight="1" x14ac:dyDescent="0.3">
      <c r="A21" s="32" t="str">
        <f>IFERROR(VLOOKUP(19,SuggestionCalculations!G2:K44,5,FALSE),"")</f>
        <v/>
      </c>
      <c r="B21" s="26" t="str">
        <f>IFERROR(VLOOKUP(19,SuggestionCalculations!G2:K44,2,FALSE),"")</f>
        <v/>
      </c>
      <c r="C21" s="28" t="str">
        <f>IFERROR(HYPERLINK(VLOOKUP(19,SuggestionCalculations!G2:K44,4,FALSE),VLOOKUP(19,SuggestionCalculations!G2:K44,3,FALSE)),"")</f>
        <v/>
      </c>
    </row>
    <row r="22" spans="1:3" ht="75" customHeight="1" x14ac:dyDescent="0.3">
      <c r="A22" s="32" t="str">
        <f>IFERROR(VLOOKUP(20,SuggestionCalculations!G2:K44,5,FALSE),"")</f>
        <v/>
      </c>
      <c r="B22" s="26" t="str">
        <f>IFERROR(VLOOKUP(20,SuggestionCalculations!G2:K44,2,FALSE),"")</f>
        <v/>
      </c>
      <c r="C22" s="28" t="str">
        <f>IFERROR(HYPERLINK(VLOOKUP(20,SuggestionCalculations!G2:K44,4,FALSE),VLOOKUP(20,SuggestionCalculations!G2:K44,3,FALSE)),"")</f>
        <v/>
      </c>
    </row>
    <row r="23" spans="1:3" ht="75" customHeight="1" x14ac:dyDescent="0.3">
      <c r="A23" s="32" t="str">
        <f>IFERROR(VLOOKUP(21,SuggestionCalculations!G2:K44,5,FALSE),"")</f>
        <v/>
      </c>
      <c r="B23" s="26" t="str">
        <f>IFERROR(VLOOKUP(21,SuggestionCalculations!G2:K44,2,FALSE),"")</f>
        <v/>
      </c>
      <c r="C23" s="28" t="str">
        <f>IFERROR(HYPERLINK(VLOOKUP(21,SuggestionCalculations!G2:K44,4,FALSE),VLOOKUP(21,SuggestionCalculations!G2:K44,3,FALSE)),"")</f>
        <v/>
      </c>
    </row>
    <row r="24" spans="1:3" ht="75" customHeight="1" x14ac:dyDescent="0.3">
      <c r="A24" s="32" t="str">
        <f>IFERROR(VLOOKUP(22,SuggestionCalculations!G2:K44,5,FALSE),"")</f>
        <v/>
      </c>
      <c r="B24" s="26" t="str">
        <f>IFERROR(VLOOKUP(22,SuggestionCalculations!G2:K44,2,FALSE),"")</f>
        <v/>
      </c>
      <c r="C24" s="28" t="str">
        <f>IFERROR(HYPERLINK(VLOOKUP(22,SuggestionCalculations!G2:K44,4,FALSE),VLOOKUP(22,SuggestionCalculations!G2:K44,3,FALSE)),"")</f>
        <v/>
      </c>
    </row>
    <row r="25" spans="1:3" ht="75" customHeight="1" x14ac:dyDescent="0.3">
      <c r="A25" s="32" t="str">
        <f>IFERROR(VLOOKUP(23,SuggestionCalculations!G2:K44,5,FALSE),"")</f>
        <v/>
      </c>
      <c r="B25" s="26" t="str">
        <f>IFERROR(VLOOKUP(23,SuggestionCalculations!G2:K44,2,FALSE),"")</f>
        <v/>
      </c>
      <c r="C25" s="28" t="str">
        <f>IFERROR(HYPERLINK(VLOOKUP(23,SuggestionCalculations!G2:K44,4,FALSE),VLOOKUP(23,SuggestionCalculations!G2:K44,3,FALSE)),"")</f>
        <v/>
      </c>
    </row>
    <row r="26" spans="1:3" ht="75" customHeight="1" x14ac:dyDescent="0.3">
      <c r="A26" s="32" t="str">
        <f>IFERROR(VLOOKUP(24,SuggestionCalculations!G2:K44,5,FALSE),"")</f>
        <v/>
      </c>
      <c r="B26" s="26" t="str">
        <f>IFERROR(VLOOKUP(24,SuggestionCalculations!G2:K44,2,FALSE),"")</f>
        <v/>
      </c>
      <c r="C26" s="28" t="str">
        <f>IFERROR(HYPERLINK(VLOOKUP(24,SuggestionCalculations!G2:K44,4,FALSE),VLOOKUP(24,SuggestionCalculations!G2:K44,3,FALSE)),"")</f>
        <v/>
      </c>
    </row>
    <row r="27" spans="1:3" ht="75" customHeight="1" x14ac:dyDescent="0.3">
      <c r="A27" s="32" t="str">
        <f>IFERROR(VLOOKUP(25,SuggestionCalculations!G2:K44,5,FALSE),"")</f>
        <v/>
      </c>
      <c r="B27" s="26" t="str">
        <f>IFERROR(VLOOKUP(25,SuggestionCalculations!G2:K44,2,FALSE),"")</f>
        <v/>
      </c>
      <c r="C27" s="28" t="str">
        <f>IFERROR(HYPERLINK(VLOOKUP(25,SuggestionCalculations!G2:K44,4,FALSE),VLOOKUP(25,SuggestionCalculations!G2:K44,3,FALSE)),"")</f>
        <v/>
      </c>
    </row>
    <row r="28" spans="1:3" ht="75" customHeight="1" x14ac:dyDescent="0.3">
      <c r="A28" s="32" t="str">
        <f>IFERROR(VLOOKUP(26,SuggestionCalculations!G2:K44,5,FALSE),"")</f>
        <v/>
      </c>
      <c r="B28" s="26" t="str">
        <f>IFERROR(VLOOKUP(26,SuggestionCalculations!G2:K44,2,FALSE),"")</f>
        <v/>
      </c>
      <c r="C28" s="28" t="str">
        <f>IFERROR(HYPERLINK(VLOOKUP(26,SuggestionCalculations!G2:K44,4,FALSE),VLOOKUP(26,SuggestionCalculations!G2:K44,3,FALSE)),"")</f>
        <v/>
      </c>
    </row>
    <row r="29" spans="1:3" ht="75" customHeight="1" x14ac:dyDescent="0.3">
      <c r="A29" s="32" t="str">
        <f>IFERROR(VLOOKUP(27,SuggestionCalculations!G2:K44,5,FALSE),"")</f>
        <v/>
      </c>
      <c r="B29" s="26" t="str">
        <f>IFERROR(VLOOKUP(27,SuggestionCalculations!G2:K44,2,FALSE),"")</f>
        <v/>
      </c>
      <c r="C29" s="28" t="str">
        <f>IFERROR(HYPERLINK(VLOOKUP(27,SuggestionCalculations!G2:K44,4,FALSE),VLOOKUP(27,SuggestionCalculations!G2:K44,3,FALSE)),"")</f>
        <v/>
      </c>
    </row>
    <row r="30" spans="1:3" ht="75" customHeight="1" x14ac:dyDescent="0.3">
      <c r="A30" s="32" t="str">
        <f>IFERROR(VLOOKUP(28,SuggestionCalculations!G2:K44,5,FALSE),"")</f>
        <v/>
      </c>
      <c r="B30" s="26" t="str">
        <f>IFERROR(VLOOKUP(28,SuggestionCalculations!G2:K44,2,FALSE),"")</f>
        <v/>
      </c>
      <c r="C30" s="28" t="str">
        <f>IFERROR(HYPERLINK(VLOOKUP(28,SuggestionCalculations!G2:K44,4,FALSE),VLOOKUP(28,SuggestionCalculations!G2:K44,3,FALSE)),"")</f>
        <v/>
      </c>
    </row>
    <row r="31" spans="1:3" ht="75" customHeight="1" x14ac:dyDescent="0.3">
      <c r="A31" s="32" t="str">
        <f>IFERROR(VLOOKUP(29,SuggestionCalculations!G2:K44,5,FALSE),"")</f>
        <v/>
      </c>
      <c r="B31" s="26" t="str">
        <f>IFERROR(VLOOKUP(29,SuggestionCalculations!G2:K44,2,FALSE),"")</f>
        <v/>
      </c>
      <c r="C31" s="28" t="str">
        <f>IFERROR(HYPERLINK(VLOOKUP(29,SuggestionCalculations!G2:K44,4,FALSE),VLOOKUP(29,SuggestionCalculations!G2:K44,3,FALSE)),"")</f>
        <v/>
      </c>
    </row>
    <row r="32" spans="1:3" ht="75" customHeight="1" x14ac:dyDescent="0.3">
      <c r="A32" s="32" t="str">
        <f>IFERROR(VLOOKUP(30,SuggestionCalculations!G2:K44,5,FALSE),"")</f>
        <v/>
      </c>
      <c r="B32" s="26" t="str">
        <f>IFERROR(VLOOKUP(30,SuggestionCalculations!G2:K44,2,FALSE),"")</f>
        <v/>
      </c>
      <c r="C32" s="28" t="str">
        <f>IFERROR(HYPERLINK(VLOOKUP(30,SuggestionCalculations!G2:K44,4,FALSE),VLOOKUP(30,SuggestionCalculations!G2:K44,3,FALSE)),"")</f>
        <v/>
      </c>
    </row>
    <row r="33" spans="1:3" ht="75" customHeight="1" x14ac:dyDescent="0.3">
      <c r="A33" s="32" t="str">
        <f>IFERROR(VLOOKUP(31,SuggestionCalculations!G2:K44,5,FALSE),"")</f>
        <v/>
      </c>
      <c r="B33" s="26" t="str">
        <f>IFERROR(VLOOKUP(31,SuggestionCalculations!G2:K44,2,FALSE),"")</f>
        <v/>
      </c>
      <c r="C33" s="28" t="str">
        <f>IFERROR(HYPERLINK(VLOOKUP(31,SuggestionCalculations!G2:K44,4,FALSE),VLOOKUP(31,SuggestionCalculations!G2:K44,3,FALSE)),"")</f>
        <v/>
      </c>
    </row>
    <row r="34" spans="1:3" ht="75" customHeight="1" x14ac:dyDescent="0.3">
      <c r="A34" s="32" t="str">
        <f>IFERROR(VLOOKUP(32,SuggestionCalculations!G2:K44,5,FALSE),"")</f>
        <v/>
      </c>
      <c r="B34" s="26" t="str">
        <f>IFERROR(VLOOKUP(32,SuggestionCalculations!G2:K44,2,FALSE),"")</f>
        <v/>
      </c>
      <c r="C34" s="28" t="str">
        <f>IFERROR(HYPERLINK(VLOOKUP(32,SuggestionCalculations!G2:K44,4,FALSE),VLOOKUP(32,SuggestionCalculations!G2:K44,3,FALSE)),"")</f>
        <v/>
      </c>
    </row>
    <row r="35" spans="1:3" ht="75" customHeight="1" x14ac:dyDescent="0.3">
      <c r="A35" s="32" t="str">
        <f>IFERROR(VLOOKUP(33,SuggestionCalculations!G2:K44,5,FALSE),"")</f>
        <v/>
      </c>
      <c r="B35" s="26" t="str">
        <f>IFERROR(VLOOKUP(33,SuggestionCalculations!G2:K44,2,FALSE),"")</f>
        <v/>
      </c>
      <c r="C35" s="28" t="str">
        <f>IFERROR(HYPERLINK(VLOOKUP(33,SuggestionCalculations!G2:K44,4,FALSE),VLOOKUP(33,SuggestionCalculations!G2:K44,3,FALSE)),"")</f>
        <v/>
      </c>
    </row>
    <row r="36" spans="1:3" ht="75" customHeight="1" x14ac:dyDescent="0.3">
      <c r="A36" s="32" t="str">
        <f>IFERROR(VLOOKUP(34,SuggestionCalculations!G2:K44,5,FALSE),"")</f>
        <v/>
      </c>
      <c r="B36" s="26" t="str">
        <f>IFERROR(VLOOKUP(34,SuggestionCalculations!G2:K44,2,FALSE),"")</f>
        <v/>
      </c>
      <c r="C36" s="28" t="str">
        <f>IFERROR(HYPERLINK(VLOOKUP(34,SuggestionCalculations!G2:K44,4,FALSE),VLOOKUP(34,SuggestionCalculations!G2:K44,3,FALSE)),"")</f>
        <v/>
      </c>
    </row>
    <row r="37" spans="1:3" ht="75" customHeight="1" x14ac:dyDescent="0.3">
      <c r="A37" s="32" t="str">
        <f>IFERROR(VLOOKUP(35,SuggestionCalculations!G2:K44,5,FALSE),"")</f>
        <v/>
      </c>
      <c r="B37" s="26" t="str">
        <f>IFERROR(VLOOKUP(35,SuggestionCalculations!G2:K44,2,FALSE),"")</f>
        <v/>
      </c>
      <c r="C37" s="28" t="str">
        <f>IFERROR(HYPERLINK(VLOOKUP(35,SuggestionCalculations!G2:K44,4,FALSE),VLOOKUP(35,SuggestionCalculations!G2:K44,3,FALSE)),"")</f>
        <v/>
      </c>
    </row>
    <row r="38" spans="1:3" ht="75" customHeight="1" x14ac:dyDescent="0.3">
      <c r="A38" s="32" t="str">
        <f>IFERROR(VLOOKUP(36,SuggestionCalculations!G2:K44,5,FALSE),"")</f>
        <v/>
      </c>
      <c r="B38" s="26" t="str">
        <f>IFERROR(VLOOKUP(36,SuggestionCalculations!G2:K44,2,FALSE),"")</f>
        <v/>
      </c>
      <c r="C38" s="28" t="str">
        <f>IFERROR(HYPERLINK(VLOOKUP(36,SuggestionCalculations!G2:K44,4,FALSE),VLOOKUP(36,SuggestionCalculations!G2:K44,3,FALSE)),"")</f>
        <v/>
      </c>
    </row>
    <row r="39" spans="1:3" ht="75" customHeight="1" x14ac:dyDescent="0.3">
      <c r="A39" s="32" t="str">
        <f>IFERROR(VLOOKUP(37,SuggestionCalculations!G2:K44,5,FALSE),"")</f>
        <v/>
      </c>
      <c r="B39" s="26" t="str">
        <f>IFERROR(VLOOKUP(37,SuggestionCalculations!G2:K44,2,FALSE),"")</f>
        <v/>
      </c>
      <c r="C39" s="28" t="str">
        <f>IFERROR(HYPERLINK(VLOOKUP(37,SuggestionCalculations!G2:K44,4,FALSE),VLOOKUP(37,SuggestionCalculations!G2:K44,3,FALSE)),"")</f>
        <v/>
      </c>
    </row>
    <row r="40" spans="1:3" ht="75" customHeight="1" x14ac:dyDescent="0.3">
      <c r="A40" s="32" t="str">
        <f>IFERROR(VLOOKUP(38,SuggestionCalculations!G2:K44,5,FALSE),"")</f>
        <v/>
      </c>
      <c r="B40" s="26" t="str">
        <f>IFERROR(VLOOKUP(38,SuggestionCalculations!G2:K44,2,FALSE),"")</f>
        <v/>
      </c>
      <c r="C40" s="28" t="str">
        <f>IFERROR(HYPERLINK(VLOOKUP(38,SuggestionCalculations!G2:K44,4,FALSE),VLOOKUP(38,SuggestionCalculations!G2:K44,3,FALSE)),"")</f>
        <v/>
      </c>
    </row>
    <row r="41" spans="1:3" ht="75" customHeight="1" x14ac:dyDescent="0.3">
      <c r="A41" s="32" t="str">
        <f>IFERROR(VLOOKUP(39,SuggestionCalculations!G2:K44,5,FALSE),"")</f>
        <v/>
      </c>
      <c r="B41" s="26" t="str">
        <f>IFERROR(VLOOKUP(39,SuggestionCalculations!G2:K44,2,FALSE),"")</f>
        <v/>
      </c>
      <c r="C41" s="28" t="str">
        <f>IFERROR(HYPERLINK(VLOOKUP(39,SuggestionCalculations!G2:K44,4,FALSE),VLOOKUP(1,SuggestionCalculations!G2:K44,3,FALSE)),"")</f>
        <v/>
      </c>
    </row>
    <row r="42" spans="1:3" ht="75" customHeight="1" x14ac:dyDescent="0.3">
      <c r="A42" s="33" t="str">
        <f>IFERROR(VLOOKUP(40,SuggestionCalculations!G2:K44,5,FALSE),"")</f>
        <v/>
      </c>
      <c r="B42" s="26" t="str">
        <f>IFERROR(VLOOKUP(40,SuggestionCalculations!G2:K44,2,FALSE),"")</f>
        <v/>
      </c>
      <c r="C42" s="28" t="str">
        <f>IFERROR(HYPERLINK(VLOOKUP(40,SuggestionCalculations!G3:K44,4,FALSE),VLOOKUP(40,SuggestionCalculations!G3:K44,3,FALSE)),"")</f>
        <v/>
      </c>
    </row>
  </sheetData>
  <sheetProtection sheet="1" objects="1" scenarios="1"/>
  <mergeCells count="1">
    <mergeCell ref="A1:C1"/>
  </mergeCells>
  <conditionalFormatting sqref="B3">
    <cfRule type="expression" dxfId="11" priority="3">
      <formula>$A$3="Info"</formula>
    </cfRule>
  </conditionalFormatting>
  <conditionalFormatting sqref="C3">
    <cfRule type="expression" dxfId="10" priority="1">
      <formula>$A$3="Info"</formula>
    </cfRule>
  </conditionalFormatting>
  <conditionalFormatting sqref="A3">
    <cfRule type="cellIs" dxfId="9" priority="2" operator="equal">
      <formula>"Info"</formula>
    </cfRule>
  </conditionalFormatting>
  <conditionalFormatting sqref="C1:C1048576">
    <cfRule type="cellIs" dxfId="8" priority="4" operator="equal">
      <formula>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4"/>
  <sheetViews>
    <sheetView showGridLines="0" zoomScale="70" zoomScaleNormal="70" workbookViewId="0">
      <pane xSplit="2" ySplit="1" topLeftCell="C5" activePane="bottomRight" state="frozen"/>
      <selection pane="topRight" activeCell="C1" sqref="C1"/>
      <selection pane="bottomLeft" activeCell="A2" sqref="A2"/>
      <selection pane="bottomRight" activeCell="G12" sqref="G12"/>
    </sheetView>
  </sheetViews>
  <sheetFormatPr defaultColWidth="9.109375" defaultRowHeight="14.4" x14ac:dyDescent="0.3"/>
  <cols>
    <col min="1" max="1" width="16.33203125" style="96" bestFit="1" customWidth="1"/>
    <col min="2" max="2" width="16.88671875" style="96" bestFit="1" customWidth="1"/>
    <col min="3" max="3" width="29.88671875" style="96" bestFit="1" customWidth="1"/>
    <col min="4" max="4" width="17.88671875" style="96" bestFit="1" customWidth="1"/>
    <col min="5" max="5" width="21.109375" style="107" customWidth="1"/>
    <col min="6" max="6" width="20.5546875" style="96" bestFit="1" customWidth="1"/>
    <col min="7" max="7" width="15" style="108" customWidth="1"/>
    <col min="8" max="8" width="96.6640625" style="96" customWidth="1"/>
    <col min="9" max="9" width="20.6640625" style="96" customWidth="1"/>
    <col min="10" max="10" width="43.5546875" style="96" customWidth="1"/>
    <col min="11" max="11" width="17.6640625" style="96" bestFit="1" customWidth="1"/>
    <col min="12" max="12" width="9.109375" style="96" customWidth="1"/>
    <col min="13" max="16384" width="9.109375" style="96"/>
  </cols>
  <sheetData>
    <row r="1" spans="1:11" x14ac:dyDescent="0.3">
      <c r="A1" s="92" t="s">
        <v>217</v>
      </c>
      <c r="B1" s="92" t="s">
        <v>219</v>
      </c>
      <c r="C1" s="92" t="s">
        <v>220</v>
      </c>
      <c r="D1" s="92" t="s">
        <v>221</v>
      </c>
      <c r="E1" s="93" t="s">
        <v>222</v>
      </c>
      <c r="F1" s="92" t="s">
        <v>223</v>
      </c>
      <c r="G1" s="94" t="s">
        <v>224</v>
      </c>
      <c r="H1" s="92" t="s">
        <v>225</v>
      </c>
      <c r="I1" s="92" t="s">
        <v>226</v>
      </c>
      <c r="J1" s="92" t="s">
        <v>227</v>
      </c>
      <c r="K1" s="95" t="s">
        <v>228</v>
      </c>
    </row>
    <row r="2" spans="1:11" ht="65.099999999999994" customHeight="1" x14ac:dyDescent="0.3">
      <c r="A2" s="97"/>
      <c r="B2" s="98"/>
      <c r="C2" s="99" t="s">
        <v>229</v>
      </c>
      <c r="D2" s="98"/>
      <c r="E2" s="98"/>
      <c r="F2" s="99" t="b">
        <f>IF(AnnualTotalIncome=0,TRUE,FALSE)</f>
        <v>1</v>
      </c>
      <c r="G2" s="100">
        <f>COUNTIF(F2,TRUE)</f>
        <v>1</v>
      </c>
      <c r="H2" s="99" t="s">
        <v>230</v>
      </c>
      <c r="I2" s="98"/>
      <c r="J2" s="98"/>
      <c r="K2" s="99" t="s">
        <v>231</v>
      </c>
    </row>
    <row r="3" spans="1:11" ht="65.099999999999994" customHeight="1" x14ac:dyDescent="0.3">
      <c r="A3" s="137" t="s">
        <v>232</v>
      </c>
      <c r="B3" s="98"/>
      <c r="C3" s="99" t="s">
        <v>233</v>
      </c>
      <c r="D3" s="97"/>
      <c r="E3" s="101"/>
      <c r="F3" s="99" t="b">
        <f>IF(AND(AnnualTotalIncome&gt;0,BalanceTotal&lt;0),TRUE,FALSE)</f>
        <v>0</v>
      </c>
      <c r="G3" s="100">
        <f>COUNTIF(F2:F3,TRUE)</f>
        <v>1</v>
      </c>
      <c r="H3" s="99" t="s">
        <v>234</v>
      </c>
      <c r="I3" s="102" t="s">
        <v>235</v>
      </c>
      <c r="J3" s="99" t="s">
        <v>236</v>
      </c>
      <c r="K3" s="99" t="s">
        <v>232</v>
      </c>
    </row>
    <row r="4" spans="1:11" ht="65.099999999999994" customHeight="1" x14ac:dyDescent="0.3">
      <c r="A4" s="137"/>
      <c r="B4" s="98"/>
      <c r="C4" s="99" t="s">
        <v>233</v>
      </c>
      <c r="D4" s="97"/>
      <c r="E4" s="101"/>
      <c r="F4" s="99" t="b">
        <f>IF(AND(AnnualTotalIncome&gt;0,BalanceTotal&lt;0),TRUE,FALSE)</f>
        <v>0</v>
      </c>
      <c r="G4" s="100">
        <f>COUNTIF(F2:F4,TRUE)</f>
        <v>1</v>
      </c>
      <c r="H4" s="99" t="s">
        <v>237</v>
      </c>
      <c r="I4" s="102" t="s">
        <v>238</v>
      </c>
      <c r="J4" s="99" t="s">
        <v>239</v>
      </c>
      <c r="K4" s="99" t="s">
        <v>232</v>
      </c>
    </row>
    <row r="5" spans="1:11" ht="65.099999999999994" customHeight="1" x14ac:dyDescent="0.3">
      <c r="A5" s="137"/>
      <c r="B5" s="98"/>
      <c r="C5" s="99" t="s">
        <v>233</v>
      </c>
      <c r="D5" s="97"/>
      <c r="E5" s="101"/>
      <c r="F5" s="99" t="b">
        <f>IF(AND(AnnualTotalIncome&gt;0,BalanceTotal&lt;0),TRUE,FALSE)</f>
        <v>0</v>
      </c>
      <c r="G5" s="100">
        <f>COUNTIF(F2:F5,TRUE)</f>
        <v>1</v>
      </c>
      <c r="H5" s="99" t="s">
        <v>240</v>
      </c>
      <c r="I5" s="102" t="s">
        <v>241</v>
      </c>
      <c r="J5" s="99" t="s">
        <v>242</v>
      </c>
      <c r="K5" s="99" t="s">
        <v>232</v>
      </c>
    </row>
    <row r="6" spans="1:11" ht="65.099999999999994" customHeight="1" x14ac:dyDescent="0.3">
      <c r="A6" s="137"/>
      <c r="B6" s="98"/>
      <c r="C6" s="99" t="s">
        <v>233</v>
      </c>
      <c r="D6" s="97"/>
      <c r="E6" s="101"/>
      <c r="F6" s="99" t="b">
        <f>IF(AND(AnnualTotalIncome&gt;0,BalanceTotal&lt;0),TRUE,FALSE)</f>
        <v>0</v>
      </c>
      <c r="G6" s="100">
        <f>COUNTIF(F2:F6,TRUE)</f>
        <v>1</v>
      </c>
      <c r="H6" s="99" t="s">
        <v>243</v>
      </c>
      <c r="I6" s="102" t="s">
        <v>244</v>
      </c>
      <c r="J6" s="99" t="s">
        <v>245</v>
      </c>
      <c r="K6" s="99" t="s">
        <v>232</v>
      </c>
    </row>
    <row r="7" spans="1:11" ht="65.099999999999994" customHeight="1" x14ac:dyDescent="0.3">
      <c r="A7" s="137"/>
      <c r="B7" s="98"/>
      <c r="C7" s="99" t="s">
        <v>246</v>
      </c>
      <c r="D7" s="97"/>
      <c r="E7" s="101"/>
      <c r="F7" s="99" t="b">
        <f>IF(AND(AnnualTotalIncome&gt;0,BalanceTotal&gt;0),TRUE,FALSE)</f>
        <v>0</v>
      </c>
      <c r="G7" s="100">
        <f>COUNTIF(F2:F7,TRUE)</f>
        <v>1</v>
      </c>
      <c r="H7" s="99" t="s">
        <v>247</v>
      </c>
      <c r="I7" s="102" t="s">
        <v>235</v>
      </c>
      <c r="J7" s="99" t="s">
        <v>236</v>
      </c>
      <c r="K7" s="99" t="s">
        <v>232</v>
      </c>
    </row>
    <row r="8" spans="1:11" ht="65.099999999999994" customHeight="1" x14ac:dyDescent="0.3">
      <c r="A8" s="137"/>
      <c r="B8" s="98"/>
      <c r="C8" s="99" t="s">
        <v>248</v>
      </c>
      <c r="D8" s="97"/>
      <c r="E8" s="101"/>
      <c r="F8" s="99" t="b">
        <f>IF(AND(AnnualTotalIncome&gt;0,BalanceTotal=0),TRUE,FALSE)</f>
        <v>0</v>
      </c>
      <c r="G8" s="100">
        <f>COUNTIF(F2:F8,TRUE)</f>
        <v>1</v>
      </c>
      <c r="H8" s="99" t="s">
        <v>249</v>
      </c>
      <c r="I8" s="103"/>
      <c r="J8" s="98"/>
      <c r="K8" s="99" t="s">
        <v>232</v>
      </c>
    </row>
    <row r="9" spans="1:11" ht="65.099999999999994" customHeight="1" x14ac:dyDescent="0.3">
      <c r="A9" s="137" t="s">
        <v>57</v>
      </c>
      <c r="B9" s="99" t="s">
        <v>59</v>
      </c>
      <c r="C9" s="99" t="s">
        <v>250</v>
      </c>
      <c r="D9" s="100">
        <f>VLOOKUP(B9,tblSavings[],2,FALSE)</f>
        <v>0</v>
      </c>
      <c r="E9" s="104">
        <f>IF(AnnualTotalIncome &gt; 0,D9/AnnualTotalIncome*100, 0)</f>
        <v>0</v>
      </c>
      <c r="F9" s="99" t="b">
        <f>IF(AND(AnnualTotalIncome&gt;0,E9&lt;=1),TRUE,FALSE)</f>
        <v>0</v>
      </c>
      <c r="G9" s="100">
        <f>COUNTIF(F2:F9,TRUE)</f>
        <v>1</v>
      </c>
      <c r="H9" s="99" t="s">
        <v>251</v>
      </c>
      <c r="I9" s="102" t="s">
        <v>60</v>
      </c>
      <c r="J9" s="99" t="s">
        <v>252</v>
      </c>
      <c r="K9" s="99" t="s">
        <v>57</v>
      </c>
    </row>
    <row r="10" spans="1:11" ht="65.099999999999994" customHeight="1" x14ac:dyDescent="0.3">
      <c r="A10" s="137"/>
      <c r="B10" s="99" t="s">
        <v>62</v>
      </c>
      <c r="C10" s="99" t="s">
        <v>253</v>
      </c>
      <c r="D10" s="100">
        <f>VLOOKUP(B10,tblSavings[],2,FALSE)</f>
        <v>0</v>
      </c>
      <c r="E10" s="104">
        <f t="shared" ref="E10:E16" si="0">IF(AnnualTotalIncome &gt; 0,D10/AnnualTotalIncome*100, 0)</f>
        <v>0</v>
      </c>
      <c r="F10" s="99" t="b">
        <f>IF(AND(AnnualTotalIncome&gt;0,OR(NOT(HasPersonalization),IsWorkPartTime,IsWorkFullTime,IsWorkSelfEmployed,IsWorkStudent,IsWorkOther)),TRUE,FALSE)</f>
        <v>0</v>
      </c>
      <c r="G10" s="100">
        <f>COUNTIF(F2:F10,TRUE)</f>
        <v>1</v>
      </c>
      <c r="H10" s="99" t="s">
        <v>254</v>
      </c>
      <c r="I10" s="105" t="s">
        <v>255</v>
      </c>
      <c r="J10" s="99" t="s">
        <v>256</v>
      </c>
      <c r="K10" s="99" t="s">
        <v>57</v>
      </c>
    </row>
    <row r="11" spans="1:11" ht="65.099999999999994" customHeight="1" x14ac:dyDescent="0.3">
      <c r="A11" s="137"/>
      <c r="B11" s="99" t="s">
        <v>65</v>
      </c>
      <c r="C11" s="99" t="s">
        <v>257</v>
      </c>
      <c r="D11" s="100">
        <f>VLOOKUP(B11,tblSavings[],2,FALSE)</f>
        <v>0</v>
      </c>
      <c r="E11" s="104">
        <f t="shared" si="0"/>
        <v>0</v>
      </c>
      <c r="F11" s="99" t="b">
        <f>IF(AND(AnnualTotalIncome&gt;0,OR(IsLifeSingleKids, IsLifeCoupleKids )),TRUE,FALSE)</f>
        <v>0</v>
      </c>
      <c r="G11" s="100">
        <f>COUNTIF(F2:F11,TRUE)</f>
        <v>1</v>
      </c>
      <c r="H11" s="99" t="s">
        <v>258</v>
      </c>
      <c r="I11" s="102" t="s">
        <v>259</v>
      </c>
      <c r="J11" s="99" t="s">
        <v>260</v>
      </c>
      <c r="K11" s="99" t="s">
        <v>57</v>
      </c>
    </row>
    <row r="12" spans="1:11" ht="65.099999999999994" customHeight="1" x14ac:dyDescent="0.3">
      <c r="A12" s="137"/>
      <c r="B12" s="99" t="s">
        <v>65</v>
      </c>
      <c r="C12" s="99" t="s">
        <v>257</v>
      </c>
      <c r="D12" s="100">
        <f>VLOOKUP(B12,tblSavings[],2,FALSE)</f>
        <v>0</v>
      </c>
      <c r="E12" s="104">
        <f>IF(AnnualTotalIncome &gt; 0,D12/AnnualTotalIncome*100, 0)</f>
        <v>0</v>
      </c>
      <c r="F12" s="99" t="b">
        <f>IF(AND(AnnualTotalIncome&gt;0,OR(IsLifeSingleKids, IsLifeCoupleKids )),TRUE,FALSE)</f>
        <v>0</v>
      </c>
      <c r="G12" s="100">
        <f>COUNTIF(F2:F12,TRUE)</f>
        <v>1</v>
      </c>
      <c r="H12" s="99" t="s">
        <v>261</v>
      </c>
      <c r="I12" s="102" t="s">
        <v>262</v>
      </c>
      <c r="J12" s="99" t="s">
        <v>263</v>
      </c>
      <c r="K12" s="99" t="s">
        <v>57</v>
      </c>
    </row>
    <row r="13" spans="1:11" ht="65.099999999999994" customHeight="1" x14ac:dyDescent="0.3">
      <c r="A13" s="137"/>
      <c r="B13" s="99" t="s">
        <v>65</v>
      </c>
      <c r="C13" s="99" t="s">
        <v>257</v>
      </c>
      <c r="D13" s="100">
        <f>VLOOKUP(B13,tblSavings[],2,FALSE)</f>
        <v>0</v>
      </c>
      <c r="E13" s="104">
        <f t="shared" si="0"/>
        <v>0</v>
      </c>
      <c r="F13" s="99" t="b">
        <f>IF(AND(AnnualTotalIncome&gt;0,OR(IsLifeSingleKids, IsLifeCoupleKids)),TRUE,FALSE)</f>
        <v>0</v>
      </c>
      <c r="G13" s="100">
        <f>COUNTIF(F2:F13,TRUE)</f>
        <v>1</v>
      </c>
      <c r="H13" s="99" t="s">
        <v>264</v>
      </c>
      <c r="I13" s="102" t="s">
        <v>265</v>
      </c>
      <c r="J13" s="99" t="s">
        <v>266</v>
      </c>
      <c r="K13" s="99" t="s">
        <v>57</v>
      </c>
    </row>
    <row r="14" spans="1:11" ht="65.099999999999994" customHeight="1" x14ac:dyDescent="0.3">
      <c r="A14" s="137"/>
      <c r="B14" s="99" t="s">
        <v>67</v>
      </c>
      <c r="C14" s="99" t="s">
        <v>267</v>
      </c>
      <c r="D14" s="100">
        <f>VLOOKUP(B14,tblSavings[],2,FALSE)</f>
        <v>0</v>
      </c>
      <c r="E14" s="104">
        <f t="shared" si="0"/>
        <v>0</v>
      </c>
      <c r="F14" s="99" t="b">
        <f>IF(AND(AnnualTotalIncome&gt;0,E14&gt;0),TRUE,FALSE)</f>
        <v>0</v>
      </c>
      <c r="G14" s="100">
        <f>COUNTIF(F2:F14,TRUE)</f>
        <v>1</v>
      </c>
      <c r="H14" s="99" t="s">
        <v>268</v>
      </c>
      <c r="I14" s="106" t="s">
        <v>269</v>
      </c>
      <c r="J14" s="99" t="s">
        <v>270</v>
      </c>
      <c r="K14" s="99" t="s">
        <v>57</v>
      </c>
    </row>
    <row r="15" spans="1:11" ht="75" customHeight="1" x14ac:dyDescent="0.3">
      <c r="A15" s="137"/>
      <c r="B15" s="99" t="s">
        <v>67</v>
      </c>
      <c r="C15" s="99" t="s">
        <v>267</v>
      </c>
      <c r="D15" s="100">
        <f>VLOOKUP(B15,tblSavings[],2,FALSE)</f>
        <v>0</v>
      </c>
      <c r="E15" s="104">
        <f t="shared" si="0"/>
        <v>0</v>
      </c>
      <c r="F15" s="99" t="b">
        <f>IF(AND(AnnualTotalIncome&gt;0,E15&gt;0),TRUE,FALSE)</f>
        <v>0</v>
      </c>
      <c r="G15" s="100">
        <f>COUNTIF(F2:F15,TRUE)</f>
        <v>1</v>
      </c>
      <c r="H15" s="99" t="s">
        <v>271</v>
      </c>
      <c r="I15" s="105" t="s">
        <v>272</v>
      </c>
      <c r="J15" s="99" t="s">
        <v>273</v>
      </c>
      <c r="K15" s="99" t="s">
        <v>57</v>
      </c>
    </row>
    <row r="16" spans="1:11" ht="75" customHeight="1" x14ac:dyDescent="0.3">
      <c r="A16" s="137"/>
      <c r="B16" s="99" t="s">
        <v>69</v>
      </c>
      <c r="C16" s="99" t="s">
        <v>274</v>
      </c>
      <c r="D16" s="100">
        <f>VLOOKUP(B16,tblSavings[],2,FALSE)</f>
        <v>0</v>
      </c>
      <c r="E16" s="104">
        <f t="shared" si="0"/>
        <v>0</v>
      </c>
      <c r="F16" s="99" t="b">
        <f>IF(AND(AnnualTotalIncome&gt;0,OR(NOT(HasPersonalization), IsHomeOwner, IsHomeOther),E16&gt;0),TRUE,FALSE)</f>
        <v>0</v>
      </c>
      <c r="G16" s="100">
        <f>COUNTIF(F2:F16,TRUE)</f>
        <v>1</v>
      </c>
      <c r="H16" s="99" t="s">
        <v>275</v>
      </c>
      <c r="I16" s="102" t="s">
        <v>276</v>
      </c>
      <c r="J16" s="99" t="s">
        <v>277</v>
      </c>
      <c r="K16" s="99" t="s">
        <v>57</v>
      </c>
    </row>
    <row r="17" spans="1:11" ht="75" customHeight="1" x14ac:dyDescent="0.3">
      <c r="A17" s="137"/>
      <c r="B17" s="99" t="s">
        <v>71</v>
      </c>
      <c r="C17" s="99" t="s">
        <v>278</v>
      </c>
      <c r="D17" s="100">
        <f>VLOOKUP(B17,tblSavings[],2,FALSE)</f>
        <v>0</v>
      </c>
      <c r="E17" s="104">
        <f t="shared" ref="E17:E40" si="1">IF(AnnualTotalIncome &gt; 0,D17/AnnualTotalIncome*100, 0)</f>
        <v>0</v>
      </c>
      <c r="F17" s="99" t="b">
        <f>IF(AND(AnnualTotalIncome&gt;0,E17&gt;0),TRUE,FALSE)</f>
        <v>0</v>
      </c>
      <c r="G17" s="100">
        <f>COUNTIF(F2:F17,TRUE)</f>
        <v>1</v>
      </c>
      <c r="H17" s="99" t="s">
        <v>279</v>
      </c>
      <c r="I17" s="106" t="s">
        <v>280</v>
      </c>
      <c r="J17" s="99" t="s">
        <v>281</v>
      </c>
      <c r="K17" s="99" t="s">
        <v>57</v>
      </c>
    </row>
    <row r="18" spans="1:11" ht="75" customHeight="1" x14ac:dyDescent="0.3">
      <c r="A18" s="137" t="s">
        <v>282</v>
      </c>
      <c r="B18" s="99" t="s">
        <v>80</v>
      </c>
      <c r="C18" s="99" t="s">
        <v>283</v>
      </c>
      <c r="D18" s="100">
        <f>VLOOKUP(B18,tblDebt[],2,FALSE)</f>
        <v>0</v>
      </c>
      <c r="E18" s="104">
        <f t="shared" si="1"/>
        <v>0</v>
      </c>
      <c r="F18" s="99" t="b">
        <f>IF(AND(AnnualTotalIncome&gt;0,E18&gt;0),TRUE,FALSE)</f>
        <v>0</v>
      </c>
      <c r="G18" s="100">
        <f>COUNTIF(F2:F18,TRUE)</f>
        <v>1</v>
      </c>
      <c r="H18" s="99" t="s">
        <v>284</v>
      </c>
      <c r="I18" s="99" t="s">
        <v>285</v>
      </c>
      <c r="J18" s="99" t="s">
        <v>286</v>
      </c>
      <c r="K18" s="99" t="s">
        <v>282</v>
      </c>
    </row>
    <row r="19" spans="1:11" ht="75" customHeight="1" x14ac:dyDescent="0.3">
      <c r="A19" s="137"/>
      <c r="B19" s="99" t="s">
        <v>82</v>
      </c>
      <c r="C19" s="99" t="s">
        <v>287</v>
      </c>
      <c r="D19" s="100">
        <f>VLOOKUP(B19,tblDebt[],2,FALSE)</f>
        <v>0</v>
      </c>
      <c r="E19" s="104">
        <f t="shared" si="1"/>
        <v>0</v>
      </c>
      <c r="F19" s="99" t="b">
        <f>IF(AND(AnnualTotalIncome&gt;0,E19&gt;0),TRUE,FALSE)</f>
        <v>0</v>
      </c>
      <c r="G19" s="100">
        <f>COUNTIF(F2:F19,TRUE)</f>
        <v>1</v>
      </c>
      <c r="H19" s="99" t="s">
        <v>288</v>
      </c>
      <c r="I19" s="99" t="s">
        <v>289</v>
      </c>
      <c r="J19" s="99" t="s">
        <v>290</v>
      </c>
      <c r="K19" s="99" t="s">
        <v>282</v>
      </c>
    </row>
    <row r="20" spans="1:11" ht="75" customHeight="1" x14ac:dyDescent="0.3">
      <c r="A20" s="137"/>
      <c r="B20" s="99" t="s">
        <v>84</v>
      </c>
      <c r="C20" s="99" t="s">
        <v>291</v>
      </c>
      <c r="D20" s="100">
        <f>VLOOKUP(B20,tblDebt[],2,FALSE)</f>
        <v>0</v>
      </c>
      <c r="E20" s="104">
        <f t="shared" si="1"/>
        <v>0</v>
      </c>
      <c r="F20" s="99" t="b">
        <f>IF(AND(AnnualTotalIncome&gt;0,E20&gt;0),TRUE,FALSE)</f>
        <v>0</v>
      </c>
      <c r="G20" s="100">
        <f>COUNTIF(F2:F20,TRUE)</f>
        <v>1</v>
      </c>
      <c r="H20" s="99" t="s">
        <v>292</v>
      </c>
      <c r="I20" s="99" t="s">
        <v>293</v>
      </c>
      <c r="J20" s="99" t="s">
        <v>294</v>
      </c>
      <c r="K20" s="99" t="s">
        <v>282</v>
      </c>
    </row>
    <row r="21" spans="1:11" ht="75" customHeight="1" x14ac:dyDescent="0.3">
      <c r="A21" s="137"/>
      <c r="B21" s="99" t="s">
        <v>86</v>
      </c>
      <c r="C21" s="99" t="s">
        <v>295</v>
      </c>
      <c r="D21" s="100">
        <f>VLOOKUP(B21,tblDebt[],2,FALSE)</f>
        <v>0</v>
      </c>
      <c r="E21" s="104">
        <f t="shared" si="1"/>
        <v>0</v>
      </c>
      <c r="F21" s="99" t="b">
        <f>IF(AND(AnnualTotalIncome&gt;0,OR(NOT(HasPersonalization), IsWorkPartTime, IsWorkFullTime, IsWorkSelfEmployed, IsWorkStudent, IsWorkOther),E21&gt;0),TRUE,FALSE)</f>
        <v>0</v>
      </c>
      <c r="G21" s="100">
        <f>COUNTIF(F2:F21,TRUE)</f>
        <v>1</v>
      </c>
      <c r="H21" s="99" t="s">
        <v>296</v>
      </c>
      <c r="I21" s="99" t="s">
        <v>297</v>
      </c>
      <c r="J21" s="99" t="s">
        <v>298</v>
      </c>
      <c r="K21" s="99" t="s">
        <v>282</v>
      </c>
    </row>
    <row r="22" spans="1:11" ht="75" customHeight="1" x14ac:dyDescent="0.3">
      <c r="A22" s="137" t="s">
        <v>88</v>
      </c>
      <c r="B22" s="99" t="s">
        <v>90</v>
      </c>
      <c r="C22" s="99" t="s">
        <v>299</v>
      </c>
      <c r="D22" s="100">
        <f>VLOOKUP(B22,tblHousing[],2,FALSE)</f>
        <v>0</v>
      </c>
      <c r="E22" s="104">
        <f t="shared" si="1"/>
        <v>0</v>
      </c>
      <c r="F22" s="99" t="b">
        <f>IF(AND(AnnualTotalIncome&gt;0,OR(NOT(HasPersonalization), IsHomeOwner, IsHomeOther, IsGoalSaveMoney, IsGoalReduceDebt),E22&gt;0),TRUE,FALSE)</f>
        <v>0</v>
      </c>
      <c r="G22" s="100">
        <f>COUNTIF(F2:F22,TRUE)</f>
        <v>1</v>
      </c>
      <c r="H22" s="99" t="s">
        <v>300</v>
      </c>
      <c r="I22" s="99" t="s">
        <v>301</v>
      </c>
      <c r="J22" s="99" t="s">
        <v>302</v>
      </c>
      <c r="K22" s="99" t="s">
        <v>88</v>
      </c>
    </row>
    <row r="23" spans="1:11" ht="75" customHeight="1" x14ac:dyDescent="0.3">
      <c r="A23" s="137"/>
      <c r="B23" s="99" t="s">
        <v>90</v>
      </c>
      <c r="C23" s="99" t="s">
        <v>303</v>
      </c>
      <c r="D23" s="100">
        <f>VLOOKUP(B23,tblHousing[],2,FALSE)</f>
        <v>0</v>
      </c>
      <c r="E23" s="104">
        <f t="shared" si="1"/>
        <v>0</v>
      </c>
      <c r="F23" s="99" t="b">
        <f>IF(AND(AnnualTotalIncome&gt;0,OR(NOT(HasPersonalization), IsHomeOwner, IsHomeOther),E23&gt;0),TRUE,FALSE)</f>
        <v>0</v>
      </c>
      <c r="G23" s="100">
        <f>COUNTIF(F2:F23,TRUE)</f>
        <v>1</v>
      </c>
      <c r="H23" s="99" t="s">
        <v>304</v>
      </c>
      <c r="I23" s="99" t="s">
        <v>305</v>
      </c>
      <c r="J23" s="99" t="s">
        <v>306</v>
      </c>
      <c r="K23" s="99" t="s">
        <v>88</v>
      </c>
    </row>
    <row r="24" spans="1:11" ht="75" customHeight="1" x14ac:dyDescent="0.3">
      <c r="A24" s="137"/>
      <c r="B24" s="99" t="s">
        <v>92</v>
      </c>
      <c r="C24" s="99" t="s">
        <v>307</v>
      </c>
      <c r="D24" s="100">
        <f>VLOOKUP(B24,tblHousing[],2,FALSE)</f>
        <v>0</v>
      </c>
      <c r="E24" s="104">
        <f t="shared" si="1"/>
        <v>0</v>
      </c>
      <c r="F24" s="99" t="b">
        <f>IF(AND(AnnualTotalIncome&gt;0,OR(NOT(HasPersonalization), IsHomeOwner, IsHomeOther),E24&gt;0),TRUE,FALSE)</f>
        <v>0</v>
      </c>
      <c r="G24" s="100">
        <f>COUNTIF(F2:F24,TRUE)</f>
        <v>1</v>
      </c>
      <c r="H24" s="99" t="s">
        <v>308</v>
      </c>
      <c r="I24" s="99" t="s">
        <v>93</v>
      </c>
      <c r="J24" s="99" t="s">
        <v>309</v>
      </c>
      <c r="K24" s="99" t="s">
        <v>88</v>
      </c>
    </row>
    <row r="25" spans="1:11" ht="75" customHeight="1" x14ac:dyDescent="0.3">
      <c r="A25" s="137"/>
      <c r="B25" s="99" t="s">
        <v>98</v>
      </c>
      <c r="C25" s="99" t="s">
        <v>310</v>
      </c>
      <c r="D25" s="100">
        <f>VLOOKUP(B25,tblHousing[],2,FALSE)</f>
        <v>0</v>
      </c>
      <c r="E25" s="104">
        <f t="shared" si="1"/>
        <v>0</v>
      </c>
      <c r="F25" s="99" t="b">
        <f>IF(AND(AnnualTotalIncome&gt;0,OR(NOT(HasPersonalization), IsHomeRenting, IsHomeOther),E25&gt;0),TRUE,FALSE)</f>
        <v>0</v>
      </c>
      <c r="G25" s="100">
        <f>COUNTIF(F2:F25,TRUE)</f>
        <v>1</v>
      </c>
      <c r="H25" s="99" t="s">
        <v>311</v>
      </c>
      <c r="I25" s="99" t="s">
        <v>312</v>
      </c>
      <c r="J25" s="99" t="s">
        <v>313</v>
      </c>
      <c r="K25" s="99" t="s">
        <v>88</v>
      </c>
    </row>
    <row r="26" spans="1:11" ht="75" customHeight="1" x14ac:dyDescent="0.3">
      <c r="A26" s="137"/>
      <c r="B26" s="99" t="s">
        <v>100</v>
      </c>
      <c r="C26" s="99" t="s">
        <v>314</v>
      </c>
      <c r="D26" s="100">
        <f>VLOOKUP(B26,tblHousing[],2,FALSE)</f>
        <v>0</v>
      </c>
      <c r="E26" s="104">
        <f t="shared" si="1"/>
        <v>0</v>
      </c>
      <c r="F26" s="99" t="b">
        <f>IF(AND(AnnualTotalIncome&gt;0,F25=FALSE,OR(NOT(HasPersonalization), IsHomeOwner, IsHomeOther),E26&gt;0),TRUE,FALSE)</f>
        <v>0</v>
      </c>
      <c r="G26" s="100">
        <f>COUNTIF(F2:F26,TRUE)</f>
        <v>1</v>
      </c>
      <c r="H26" s="99" t="s">
        <v>311</v>
      </c>
      <c r="I26" s="99" t="s">
        <v>312</v>
      </c>
      <c r="J26" s="99" t="s">
        <v>313</v>
      </c>
      <c r="K26" s="99" t="s">
        <v>88</v>
      </c>
    </row>
    <row r="27" spans="1:11" ht="75" customHeight="1" x14ac:dyDescent="0.3">
      <c r="A27" s="137"/>
      <c r="B27" s="99" t="s">
        <v>108</v>
      </c>
      <c r="C27" s="99" t="s">
        <v>315</v>
      </c>
      <c r="D27" s="100">
        <f>VLOOKUP(B27,tblHousing[],2,FALSE)</f>
        <v>0</v>
      </c>
      <c r="E27" s="104">
        <f t="shared" si="1"/>
        <v>0</v>
      </c>
      <c r="F27" s="99" t="b">
        <f t="shared" ref="F27:F34" si="2">IF(AND(AnnualTotalIncome&gt;0,OR(IsGoalCutOnExpenses, IsGoalReduceDebt, IsGoalCreateBudget),E27&gt;0),TRUE,FALSE)</f>
        <v>0</v>
      </c>
      <c r="G27" s="100">
        <f>COUNTIF(F2:F27,TRUE)</f>
        <v>1</v>
      </c>
      <c r="H27" s="99" t="s">
        <v>316</v>
      </c>
      <c r="I27" s="98"/>
      <c r="J27" s="98"/>
      <c r="K27" s="99" t="s">
        <v>88</v>
      </c>
    </row>
    <row r="28" spans="1:11" ht="75" customHeight="1" x14ac:dyDescent="0.3">
      <c r="A28" s="137"/>
      <c r="B28" s="99" t="s">
        <v>109</v>
      </c>
      <c r="C28" s="99" t="s">
        <v>317</v>
      </c>
      <c r="D28" s="100">
        <f>VLOOKUP(B28,tblHousing[],2,FALSE)</f>
        <v>0</v>
      </c>
      <c r="E28" s="104">
        <f t="shared" si="1"/>
        <v>0</v>
      </c>
      <c r="F28" s="99" t="b">
        <f t="shared" si="2"/>
        <v>0</v>
      </c>
      <c r="G28" s="100">
        <f>COUNTIF(F2:F28,TRUE)</f>
        <v>1</v>
      </c>
      <c r="H28" s="99" t="s">
        <v>318</v>
      </c>
      <c r="I28" s="98"/>
      <c r="J28" s="98"/>
      <c r="K28" s="99" t="s">
        <v>88</v>
      </c>
    </row>
    <row r="29" spans="1:11" ht="75" customHeight="1" x14ac:dyDescent="0.3">
      <c r="A29" s="137"/>
      <c r="B29" s="99" t="s">
        <v>111</v>
      </c>
      <c r="C29" s="99" t="s">
        <v>319</v>
      </c>
      <c r="D29" s="100">
        <f>VLOOKUP(B29,tblHousing[],2,FALSE)</f>
        <v>0</v>
      </c>
      <c r="E29" s="104">
        <f t="shared" si="1"/>
        <v>0</v>
      </c>
      <c r="F29" s="99" t="b">
        <f t="shared" si="2"/>
        <v>0</v>
      </c>
      <c r="G29" s="100">
        <f>COUNTIF(F2:F29,TRUE)</f>
        <v>1</v>
      </c>
      <c r="H29" s="99" t="s">
        <v>320</v>
      </c>
      <c r="I29" s="98"/>
      <c r="J29" s="98"/>
      <c r="K29" s="99" t="s">
        <v>88</v>
      </c>
    </row>
    <row r="30" spans="1:11" ht="75" customHeight="1" x14ac:dyDescent="0.3">
      <c r="A30" s="137" t="s">
        <v>113</v>
      </c>
      <c r="B30" s="99" t="s">
        <v>114</v>
      </c>
      <c r="C30" s="99" t="s">
        <v>321</v>
      </c>
      <c r="D30" s="100">
        <f>VLOOKUP(B30,tblCommunications[],2,FALSE)</f>
        <v>0</v>
      </c>
      <c r="E30" s="104">
        <f t="shared" si="1"/>
        <v>0</v>
      </c>
      <c r="F30" s="99" t="b">
        <f t="shared" si="2"/>
        <v>0</v>
      </c>
      <c r="G30" s="100">
        <f>COUNTIF(F2:F30,TRUE)</f>
        <v>1</v>
      </c>
      <c r="H30" s="99" t="s">
        <v>322</v>
      </c>
      <c r="I30" s="98"/>
      <c r="J30" s="98"/>
      <c r="K30" s="99" t="s">
        <v>113</v>
      </c>
    </row>
    <row r="31" spans="1:11" ht="75" customHeight="1" x14ac:dyDescent="0.3">
      <c r="A31" s="137"/>
      <c r="B31" s="99" t="s">
        <v>116</v>
      </c>
      <c r="C31" s="99" t="s">
        <v>323</v>
      </c>
      <c r="D31" s="100">
        <f>VLOOKUP(B31,tblCommunications[],2,FALSE)</f>
        <v>0</v>
      </c>
      <c r="E31" s="104">
        <f t="shared" si="1"/>
        <v>0</v>
      </c>
      <c r="F31" s="99" t="b">
        <f t="shared" si="2"/>
        <v>0</v>
      </c>
      <c r="G31" s="100">
        <f>COUNTIF(F2:F31,TRUE)</f>
        <v>1</v>
      </c>
      <c r="H31" s="99" t="s">
        <v>324</v>
      </c>
      <c r="I31" s="98"/>
      <c r="J31" s="98"/>
      <c r="K31" s="99" t="s">
        <v>113</v>
      </c>
    </row>
    <row r="32" spans="1:11" ht="75" customHeight="1" x14ac:dyDescent="0.3">
      <c r="A32" s="137"/>
      <c r="B32" s="99" t="s">
        <v>118</v>
      </c>
      <c r="C32" s="99" t="s">
        <v>325</v>
      </c>
      <c r="D32" s="100">
        <f>VLOOKUP(B32,tblCommunications[],2,FALSE)</f>
        <v>0</v>
      </c>
      <c r="E32" s="104">
        <f t="shared" si="1"/>
        <v>0</v>
      </c>
      <c r="F32" s="99" t="b">
        <f t="shared" si="2"/>
        <v>0</v>
      </c>
      <c r="G32" s="100">
        <f>COUNTIF(F2:F32,TRUE)</f>
        <v>1</v>
      </c>
      <c r="H32" s="99" t="s">
        <v>326</v>
      </c>
      <c r="I32" s="98"/>
      <c r="J32" s="98"/>
      <c r="K32" s="99" t="s">
        <v>113</v>
      </c>
    </row>
    <row r="33" spans="1:11" ht="75" customHeight="1" x14ac:dyDescent="0.3">
      <c r="A33" s="137" t="s">
        <v>124</v>
      </c>
      <c r="B33" s="99" t="s">
        <v>125</v>
      </c>
      <c r="C33" s="99" t="s">
        <v>327</v>
      </c>
      <c r="D33" s="100">
        <f>VLOOKUP(B33,tblFood[],2,FALSE)</f>
        <v>0</v>
      </c>
      <c r="E33" s="104">
        <f t="shared" si="1"/>
        <v>0</v>
      </c>
      <c r="F33" s="99" t="b">
        <f t="shared" si="2"/>
        <v>0</v>
      </c>
      <c r="G33" s="100">
        <f>COUNTIF(F2:F33,TRUE)</f>
        <v>1</v>
      </c>
      <c r="H33" s="99" t="s">
        <v>328</v>
      </c>
      <c r="I33" s="98"/>
      <c r="J33" s="98"/>
      <c r="K33" s="99" t="s">
        <v>124</v>
      </c>
    </row>
    <row r="34" spans="1:11" ht="75" customHeight="1" x14ac:dyDescent="0.3">
      <c r="A34" s="137"/>
      <c r="B34" s="99" t="s">
        <v>128</v>
      </c>
      <c r="C34" s="99" t="s">
        <v>329</v>
      </c>
      <c r="D34" s="100">
        <f>VLOOKUP(B34,tblFood[],2,FALSE)</f>
        <v>0</v>
      </c>
      <c r="E34" s="104">
        <f t="shared" si="1"/>
        <v>0</v>
      </c>
      <c r="F34" s="99" t="b">
        <f t="shared" si="2"/>
        <v>0</v>
      </c>
      <c r="G34" s="100">
        <f>COUNTIF(F2:F34,TRUE)</f>
        <v>1</v>
      </c>
      <c r="H34" s="99" t="s">
        <v>330</v>
      </c>
      <c r="I34" s="98"/>
      <c r="J34" s="98"/>
      <c r="K34" s="99" t="s">
        <v>124</v>
      </c>
    </row>
    <row r="35" spans="1:11" ht="75" customHeight="1" x14ac:dyDescent="0.3">
      <c r="A35" s="137" t="s">
        <v>130</v>
      </c>
      <c r="B35" s="99" t="s">
        <v>131</v>
      </c>
      <c r="C35" s="99" t="s">
        <v>331</v>
      </c>
      <c r="D35" s="100">
        <f>VLOOKUP(B35,tblInsurance[],2,FALSE)</f>
        <v>0</v>
      </c>
      <c r="E35" s="104">
        <f t="shared" si="1"/>
        <v>0</v>
      </c>
      <c r="F35" s="99" t="b">
        <f>IF(AND(AnnualTotalIncome&gt;0,E35 &gt;= 5),TRUE, FALSE)</f>
        <v>0</v>
      </c>
      <c r="G35" s="100">
        <f>COUNTIF(F2:F35,TRUE)</f>
        <v>1</v>
      </c>
      <c r="H35" s="99" t="s">
        <v>332</v>
      </c>
      <c r="I35" s="99" t="s">
        <v>130</v>
      </c>
      <c r="J35" s="99" t="s">
        <v>333</v>
      </c>
      <c r="K35" s="99" t="s">
        <v>130</v>
      </c>
    </row>
    <row r="36" spans="1:11" ht="75" customHeight="1" x14ac:dyDescent="0.3">
      <c r="A36" s="137"/>
      <c r="B36" s="99" t="s">
        <v>133</v>
      </c>
      <c r="C36" s="99" t="s">
        <v>334</v>
      </c>
      <c r="D36" s="100">
        <f>VLOOKUP(B36,tblInsurance[],2,FALSE)</f>
        <v>0</v>
      </c>
      <c r="E36" s="104">
        <f>IF(AnnualTotalIncome &gt; 0,D36/AnnualTotalIncome*100, 0)</f>
        <v>0</v>
      </c>
      <c r="F36" s="99" t="b">
        <f>IF(AND(AnnualTotalIncome&gt;0,E36 &gt;= 5,F35=FALSE),TRUE, FALSE)</f>
        <v>0</v>
      </c>
      <c r="G36" s="100">
        <f>COUNTIF(F2:F36,TRUE)</f>
        <v>1</v>
      </c>
      <c r="H36" s="99" t="s">
        <v>332</v>
      </c>
      <c r="I36" s="99" t="s">
        <v>130</v>
      </c>
      <c r="J36" s="99" t="s">
        <v>333</v>
      </c>
      <c r="K36" s="99" t="s">
        <v>130</v>
      </c>
    </row>
    <row r="37" spans="1:11" ht="75" customHeight="1" x14ac:dyDescent="0.3">
      <c r="A37" s="137"/>
      <c r="B37" s="99" t="s">
        <v>135</v>
      </c>
      <c r="C37" s="99" t="s">
        <v>335</v>
      </c>
      <c r="D37" s="100">
        <f>VLOOKUP(B37,tblInsurance[],2,FALSE)</f>
        <v>0</v>
      </c>
      <c r="E37" s="104">
        <f t="shared" si="1"/>
        <v>0</v>
      </c>
      <c r="F37" s="99" t="b">
        <f>IF(AND(AnnualTotalIncome&gt;0,E37 &gt;= 5,F35=FALSE,F36=FALSE),TRUE, FALSE)</f>
        <v>0</v>
      </c>
      <c r="G37" s="100">
        <f>COUNTIF(F2:F37,TRUE)</f>
        <v>1</v>
      </c>
      <c r="H37" s="99" t="s">
        <v>332</v>
      </c>
      <c r="I37" s="99" t="s">
        <v>130</v>
      </c>
      <c r="J37" s="99" t="s">
        <v>333</v>
      </c>
      <c r="K37" s="99" t="s">
        <v>130</v>
      </c>
    </row>
    <row r="38" spans="1:11" ht="75" customHeight="1" x14ac:dyDescent="0.3">
      <c r="A38" s="137" t="s">
        <v>137</v>
      </c>
      <c r="B38" s="99" t="s">
        <v>138</v>
      </c>
      <c r="C38" s="99" t="s">
        <v>336</v>
      </c>
      <c r="D38" s="100">
        <f>VLOOKUP(B38,tblTransportation[],2,FALSE)</f>
        <v>0</v>
      </c>
      <c r="E38" s="104">
        <f t="shared" si="1"/>
        <v>0</v>
      </c>
      <c r="F38" s="99" t="b">
        <f>IF(AND(AnnualTotalIncome&gt;0,E38&gt;0),TRUE,FALSE)</f>
        <v>0</v>
      </c>
      <c r="G38" s="100">
        <f>COUNTIF(F2:F38,TRUE)</f>
        <v>1</v>
      </c>
      <c r="H38" s="99" t="s">
        <v>337</v>
      </c>
      <c r="I38" s="98"/>
      <c r="J38" s="98"/>
      <c r="K38" s="99" t="s">
        <v>338</v>
      </c>
    </row>
    <row r="39" spans="1:11" ht="75" customHeight="1" x14ac:dyDescent="0.3">
      <c r="A39" s="137"/>
      <c r="B39" s="99" t="s">
        <v>140</v>
      </c>
      <c r="C39" s="99" t="s">
        <v>339</v>
      </c>
      <c r="D39" s="100">
        <f>VLOOKUP(B39,tblTransportation[],2,FALSE)</f>
        <v>0</v>
      </c>
      <c r="E39" s="104">
        <f t="shared" si="1"/>
        <v>0</v>
      </c>
      <c r="F39" s="99" t="b">
        <f>IF(AND(AnnualTotalIncome&gt;0,E39&gt;0),TRUE,FALSE)</f>
        <v>0</v>
      </c>
      <c r="G39" s="100">
        <f>COUNTIF(F2:F39,TRUE)</f>
        <v>1</v>
      </c>
      <c r="H39" s="99" t="s">
        <v>340</v>
      </c>
      <c r="I39" s="99" t="s">
        <v>341</v>
      </c>
      <c r="J39" s="99" t="s">
        <v>342</v>
      </c>
      <c r="K39" s="99" t="s">
        <v>338</v>
      </c>
    </row>
    <row r="40" spans="1:11" ht="75" customHeight="1" x14ac:dyDescent="0.3">
      <c r="A40" s="97" t="s">
        <v>65</v>
      </c>
      <c r="B40" s="99" t="s">
        <v>163</v>
      </c>
      <c r="C40" s="99" t="s">
        <v>343</v>
      </c>
      <c r="D40" s="100">
        <f>VLOOKUP(B40,tblEducation[],2,FALSE)</f>
        <v>0</v>
      </c>
      <c r="E40" s="104">
        <f t="shared" si="1"/>
        <v>0</v>
      </c>
      <c r="F40" s="99" t="b">
        <f>IF(AND(AnnualTotalIncome&gt;0,E40&gt;0),TRUE,FALSE)</f>
        <v>0</v>
      </c>
      <c r="G40" s="100">
        <f>COUNTIF(F2:F40,TRUE)</f>
        <v>1</v>
      </c>
      <c r="H40" s="99" t="s">
        <v>344</v>
      </c>
      <c r="I40" s="99" t="s">
        <v>259</v>
      </c>
      <c r="J40" s="99" t="s">
        <v>260</v>
      </c>
      <c r="K40" s="99" t="s">
        <v>65</v>
      </c>
    </row>
    <row r="41" spans="1:11" ht="75" customHeight="1" x14ac:dyDescent="0.3">
      <c r="A41" s="97" t="s">
        <v>168</v>
      </c>
      <c r="B41" s="99" t="s">
        <v>171</v>
      </c>
      <c r="C41" s="99" t="s">
        <v>345</v>
      </c>
      <c r="D41" s="100">
        <f>VLOOKUP(B41,tblRecreation[],2,FALSE)</f>
        <v>0</v>
      </c>
      <c r="E41" s="104">
        <f>IF(AnnualTotalIncome &gt; 0,D41/AnnualTotalIncome*100, 0)</f>
        <v>0</v>
      </c>
      <c r="F41" s="99" t="b">
        <f>IF(AND(AnnualTotalIncome&gt;0,OR(NOT(HasPersonalization),IsGoalCutOnExpenses,IsGoalSaveMoney,IsGoalReduceDebt,IsGoalCreateBudget),E41&gt;0),TRUE,FALSE)</f>
        <v>0</v>
      </c>
      <c r="G41" s="100">
        <f>COUNTIF(F2:F41,TRUE)</f>
        <v>1</v>
      </c>
      <c r="H41" s="99" t="s">
        <v>346</v>
      </c>
      <c r="I41" s="98"/>
      <c r="J41" s="98"/>
      <c r="K41" s="99" t="s">
        <v>168</v>
      </c>
    </row>
    <row r="42" spans="1:11" ht="75" customHeight="1" x14ac:dyDescent="0.3">
      <c r="A42" s="97" t="s">
        <v>191</v>
      </c>
      <c r="B42" s="99" t="s">
        <v>192</v>
      </c>
      <c r="C42" s="99" t="s">
        <v>347</v>
      </c>
      <c r="D42" s="100">
        <f>VLOOKUP(B42,tblClothing[],2,FALSE)</f>
        <v>0</v>
      </c>
      <c r="E42" s="104">
        <f>IF(AnnualTotalIncome &gt; 0,D42/AnnualTotalIncome*100, 0)</f>
        <v>0</v>
      </c>
      <c r="F42" s="99" t="b">
        <f>IF(AND(AnnualTotalIncome&gt;0,OR(NOT(HasPersonalization),IsGoalCutOnExpenses,IsGoalReduceDebt,IsGoalCreateBudget),E42&gt;5),TRUE,FALSE)</f>
        <v>0</v>
      </c>
      <c r="G42" s="100">
        <f>COUNTIF(F2:F42,TRUE)</f>
        <v>1</v>
      </c>
      <c r="H42" s="99" t="s">
        <v>348</v>
      </c>
      <c r="I42" s="98"/>
      <c r="J42" s="98"/>
      <c r="K42" s="99" t="s">
        <v>191</v>
      </c>
    </row>
    <row r="43" spans="1:11" ht="75" customHeight="1" x14ac:dyDescent="0.3">
      <c r="A43" s="137" t="s">
        <v>206</v>
      </c>
      <c r="B43" s="99" t="s">
        <v>207</v>
      </c>
      <c r="C43" s="99" t="s">
        <v>349</v>
      </c>
      <c r="D43" s="100">
        <f>VLOOKUP(B43,tblFees[],2,FALSE)</f>
        <v>0</v>
      </c>
      <c r="E43" s="104">
        <f>IF(AnnualTotalIncome &gt; 0,D43/AnnualTotalIncome*100, 0)</f>
        <v>0</v>
      </c>
      <c r="F43" s="99" t="b">
        <f>IF(AND(AnnualTotalIncome&gt;0,VLOOKUP(B43,tblFees[],2,FALSE)/12 &gt; 15),TRUE, FALSE)</f>
        <v>0</v>
      </c>
      <c r="G43" s="100">
        <f>COUNTIF(F2:F43,TRUE)</f>
        <v>1</v>
      </c>
      <c r="H43" s="99" t="s">
        <v>350</v>
      </c>
      <c r="I43" s="99" t="s">
        <v>351</v>
      </c>
      <c r="J43" s="99" t="s">
        <v>352</v>
      </c>
      <c r="K43" s="99" t="s">
        <v>206</v>
      </c>
    </row>
    <row r="44" spans="1:11" ht="75" customHeight="1" x14ac:dyDescent="0.3">
      <c r="A44" s="137"/>
      <c r="B44" s="99" t="s">
        <v>209</v>
      </c>
      <c r="C44" s="99" t="s">
        <v>353</v>
      </c>
      <c r="D44" s="100">
        <f>VLOOKUP(B44,tblFees[],2,FALSE)</f>
        <v>0</v>
      </c>
      <c r="E44" s="104">
        <f>IF(AnnualTotalIncome &gt; 0,D44/AnnualTotalIncome*100, 0)</f>
        <v>0</v>
      </c>
      <c r="F44" s="99" t="b">
        <f>IF(AND(AnnualTotalIncome&gt;0,E44&gt;0),TRUE,FALSE)</f>
        <v>0</v>
      </c>
      <c r="G44" s="100">
        <f>COUNTIF(F2:F44,TRUE)</f>
        <v>1</v>
      </c>
      <c r="H44" s="99" t="s">
        <v>354</v>
      </c>
      <c r="I44" s="99" t="s">
        <v>355</v>
      </c>
      <c r="J44" s="99" t="s">
        <v>356</v>
      </c>
      <c r="K44" s="99" t="s">
        <v>206</v>
      </c>
    </row>
  </sheetData>
  <mergeCells count="9">
    <mergeCell ref="A35:A37"/>
    <mergeCell ref="A38:A39"/>
    <mergeCell ref="A43:A44"/>
    <mergeCell ref="A3:A8"/>
    <mergeCell ref="A9:A17"/>
    <mergeCell ref="A18:A21"/>
    <mergeCell ref="A22:A29"/>
    <mergeCell ref="A30:A32"/>
    <mergeCell ref="A33:A3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workbookViewId="0">
      <selection activeCell="B20" sqref="B20"/>
    </sheetView>
  </sheetViews>
  <sheetFormatPr defaultRowHeight="14.4" x14ac:dyDescent="0.3"/>
  <cols>
    <col min="1" max="4" width="20.6640625" customWidth="1"/>
    <col min="5" max="5" width="20.6640625" style="1" customWidth="1"/>
    <col min="6" max="7" width="20.6640625" customWidth="1"/>
    <col min="8" max="8" width="20.6640625" style="1" customWidth="1"/>
    <col min="9" max="9" width="26.33203125" customWidth="1"/>
  </cols>
  <sheetData>
    <row r="1" spans="1:9" x14ac:dyDescent="0.3">
      <c r="A1" s="34" t="s">
        <v>217</v>
      </c>
      <c r="B1" s="34" t="s">
        <v>25</v>
      </c>
      <c r="C1" s="34" t="s">
        <v>357</v>
      </c>
      <c r="D1" s="34" t="s">
        <v>358</v>
      </c>
      <c r="E1" s="34" t="s">
        <v>359</v>
      </c>
      <c r="F1" s="34" t="s">
        <v>360</v>
      </c>
      <c r="G1" s="34" t="s">
        <v>361</v>
      </c>
      <c r="H1" s="34" t="s">
        <v>362</v>
      </c>
      <c r="I1" s="34" t="s">
        <v>363</v>
      </c>
    </row>
    <row r="2" spans="1:9" x14ac:dyDescent="0.3">
      <c r="A2" s="35" t="str">
        <f>Budget!C10</f>
        <v>Income</v>
      </c>
      <c r="B2" s="36">
        <f>Budget!D10</f>
        <v>0</v>
      </c>
      <c r="C2" s="36" t="str">
        <f>IF(IncomeTotal &gt; 0, DOLLAR(B2, 2),"")</f>
        <v/>
      </c>
      <c r="D2" s="37"/>
      <c r="E2" s="36"/>
      <c r="F2" s="38"/>
      <c r="G2" s="37"/>
      <c r="H2" s="36"/>
      <c r="I2" s="37"/>
    </row>
    <row r="3" spans="1:9" x14ac:dyDescent="0.3">
      <c r="A3" s="35" t="str">
        <f>Budget!C36</f>
        <v>Savings</v>
      </c>
      <c r="B3" s="36">
        <f>IF(IncomeTotal&gt;0,Budget!D36,0)</f>
        <v>0</v>
      </c>
      <c r="C3" s="36" t="str">
        <f t="shared" ref="C3:C18" si="0">IF(AND(IncomeTotal &gt; 0,B3&lt;&gt;0), DOLLAR(B3, 2) &amp; " (" &amp; IF(B3/IncomeTotal &gt;= 0.01, ROUND((B3/IncomeTotal)  *100,0), "&lt; 1") &amp; "%)", "")</f>
        <v/>
      </c>
      <c r="D3" s="37" t="str">
        <f t="shared" ref="D3:D18" si="1">IF(IncomeTotal &gt; 0, A3 &amp; " " &amp; C3, "")</f>
        <v/>
      </c>
      <c r="E3" s="36">
        <f>IF(HasPersonalization="True",B3,0)</f>
        <v>0</v>
      </c>
      <c r="F3" s="38">
        <f>Budget!A36</f>
        <v>0</v>
      </c>
      <c r="G3" s="36">
        <f>F3*B2</f>
        <v>0</v>
      </c>
      <c r="H3" s="36" t="str">
        <f>IF(HasPersonalization="True",C3,"")</f>
        <v/>
      </c>
      <c r="I3" s="37" t="str">
        <f>IF(AND(G3&lt;&gt;0,F3&lt;&gt;0),DOLLAR(G3, 2) &amp; " (" &amp; IF(F3&gt;=0.01, (ROUND(F3*100,0)), "&lt; 1") &amp; "%)", "")</f>
        <v/>
      </c>
    </row>
    <row r="4" spans="1:9" x14ac:dyDescent="0.3">
      <c r="A4" s="35" t="str">
        <f>Budget!C58</f>
        <v>Debt repayment</v>
      </c>
      <c r="B4" s="36">
        <f>IF(IncomeTotal&gt;0,Budget!D58,0)</f>
        <v>0</v>
      </c>
      <c r="C4" s="36" t="str">
        <f t="shared" si="0"/>
        <v/>
      </c>
      <c r="D4" s="37" t="str">
        <f t="shared" si="1"/>
        <v/>
      </c>
      <c r="E4" s="36">
        <f>IF(HasPersonalization="True",B4,0)</f>
        <v>0</v>
      </c>
      <c r="F4" s="38"/>
      <c r="G4" s="36"/>
      <c r="H4" s="36"/>
      <c r="I4" s="37"/>
    </row>
    <row r="5" spans="1:9" x14ac:dyDescent="0.3">
      <c r="A5" s="35" t="str">
        <f>Budget!C75</f>
        <v>Housing</v>
      </c>
      <c r="B5" s="36">
        <f>IF(IncomeTotal&gt;0,Budget!D75,0)</f>
        <v>0</v>
      </c>
      <c r="C5" s="36" t="str">
        <f t="shared" si="0"/>
        <v/>
      </c>
      <c r="D5" s="37" t="str">
        <f t="shared" si="1"/>
        <v/>
      </c>
      <c r="E5" s="36">
        <f t="shared" ref="E5:E18" si="2">IF(HasPersonalization="True",B5,0)</f>
        <v>0</v>
      </c>
      <c r="F5" s="38">
        <f>Budget!A75</f>
        <v>0</v>
      </c>
      <c r="G5" s="36">
        <f>IF(B5&lt;&gt;0,F5*B2,0)</f>
        <v>0</v>
      </c>
      <c r="H5" s="36" t="str">
        <f t="shared" ref="H5:H18" si="3">IF(HasPersonalization="True",C5,"")</f>
        <v/>
      </c>
      <c r="I5" s="37" t="str">
        <f t="shared" ref="I5:I18" si="4">IF(AND(G5&lt;&gt;0,F5&lt;&gt;0),DOLLAR(G5, 2) &amp; " (" &amp; IF(F5&gt;=0.01, (ROUND(F5*100,0)), "&lt; 1") &amp; "%)", "")</f>
        <v/>
      </c>
    </row>
    <row r="6" spans="1:9" x14ac:dyDescent="0.3">
      <c r="A6" s="35" t="str">
        <f>Budget!C101</f>
        <v>Communications</v>
      </c>
      <c r="B6" s="36">
        <f>IF(IncomeTotal&gt;0,Budget!D101,0)</f>
        <v>0</v>
      </c>
      <c r="C6" s="36" t="str">
        <f t="shared" si="0"/>
        <v/>
      </c>
      <c r="D6" s="37" t="str">
        <f t="shared" si="1"/>
        <v/>
      </c>
      <c r="E6" s="36">
        <f t="shared" si="2"/>
        <v>0</v>
      </c>
      <c r="F6" s="38">
        <f>Budget!A101</f>
        <v>0</v>
      </c>
      <c r="G6" s="36">
        <f>IF(B6&lt;&gt;0,F6*B2,0)</f>
        <v>0</v>
      </c>
      <c r="H6" s="36" t="str">
        <f t="shared" si="3"/>
        <v/>
      </c>
      <c r="I6" s="37" t="str">
        <f t="shared" si="4"/>
        <v/>
      </c>
    </row>
    <row r="7" spans="1:9" x14ac:dyDescent="0.3">
      <c r="A7" s="35" t="str">
        <f>Budget!C119</f>
        <v>Food</v>
      </c>
      <c r="B7" s="36">
        <f>IF(IncomeTotal&gt;0,Budget!D119,0)</f>
        <v>0</v>
      </c>
      <c r="C7" s="36" t="str">
        <f t="shared" si="0"/>
        <v/>
      </c>
      <c r="D7" s="37" t="str">
        <f t="shared" si="1"/>
        <v/>
      </c>
      <c r="E7" s="36">
        <f t="shared" si="2"/>
        <v>0</v>
      </c>
      <c r="F7" s="38">
        <f>Budget!A119</f>
        <v>0</v>
      </c>
      <c r="G7" s="36">
        <f>IF(B7&lt;&gt;0,F7*B2,0)</f>
        <v>0</v>
      </c>
      <c r="H7" s="36" t="str">
        <f t="shared" si="3"/>
        <v/>
      </c>
      <c r="I7" s="37" t="str">
        <f t="shared" si="4"/>
        <v/>
      </c>
    </row>
    <row r="8" spans="1:9" x14ac:dyDescent="0.3">
      <c r="A8" s="35" t="str">
        <f>Budget!C134</f>
        <v>Insurance</v>
      </c>
      <c r="B8" s="36">
        <f>IF(IncomeTotal&gt;0,Budget!D134,0)</f>
        <v>0</v>
      </c>
      <c r="C8" s="36" t="str">
        <f t="shared" si="0"/>
        <v/>
      </c>
      <c r="D8" s="37" t="str">
        <f t="shared" si="1"/>
        <v/>
      </c>
      <c r="E8" s="36">
        <f t="shared" si="2"/>
        <v>0</v>
      </c>
      <c r="F8" s="38">
        <f>Budget!A134</f>
        <v>0</v>
      </c>
      <c r="G8" s="36">
        <f>IF(B8&lt;&gt;0,F8*B2,0)</f>
        <v>0</v>
      </c>
      <c r="H8" s="36" t="str">
        <f t="shared" si="3"/>
        <v/>
      </c>
      <c r="I8" s="37" t="str">
        <f t="shared" si="4"/>
        <v/>
      </c>
    </row>
    <row r="9" spans="1:9" x14ac:dyDescent="0.3">
      <c r="A9" s="35" t="str">
        <f>Budget!C150</f>
        <v>Transportation</v>
      </c>
      <c r="B9" s="36">
        <f>IF(IncomeTotal&gt;0,Budget!D150,0)</f>
        <v>0</v>
      </c>
      <c r="C9" s="36" t="str">
        <f t="shared" si="0"/>
        <v/>
      </c>
      <c r="D9" s="37" t="str">
        <f t="shared" si="1"/>
        <v/>
      </c>
      <c r="E9" s="36">
        <f t="shared" si="2"/>
        <v>0</v>
      </c>
      <c r="F9" s="38">
        <f>Budget!A150</f>
        <v>0</v>
      </c>
      <c r="G9" s="36">
        <f>IF(B9&lt;&gt;0,F9*B2,0)</f>
        <v>0</v>
      </c>
      <c r="H9" s="36" t="str">
        <f t="shared" si="3"/>
        <v/>
      </c>
      <c r="I9" s="37" t="str">
        <f t="shared" si="4"/>
        <v/>
      </c>
    </row>
    <row r="10" spans="1:9" x14ac:dyDescent="0.3">
      <c r="A10" s="35" t="str">
        <f>Budget!C171</f>
        <v>Childcare</v>
      </c>
      <c r="B10" s="36">
        <f>IF(IncomeTotal&gt;0,Budget!D171,0)</f>
        <v>0</v>
      </c>
      <c r="C10" s="36" t="str">
        <f t="shared" si="0"/>
        <v/>
      </c>
      <c r="D10" s="37" t="str">
        <f t="shared" si="1"/>
        <v/>
      </c>
      <c r="E10" s="36">
        <f t="shared" si="2"/>
        <v>0</v>
      </c>
      <c r="F10" s="38">
        <f>Budget!A171</f>
        <v>0</v>
      </c>
      <c r="G10" s="36">
        <f>IF(B10&lt;&gt;0,F10*B2,0)</f>
        <v>0</v>
      </c>
      <c r="H10" s="36" t="str">
        <f t="shared" si="3"/>
        <v/>
      </c>
      <c r="I10" s="37" t="str">
        <f t="shared" si="4"/>
        <v/>
      </c>
    </row>
    <row r="11" spans="1:9" x14ac:dyDescent="0.3">
      <c r="A11" s="35" t="str">
        <f>Budget!C188</f>
        <v>Education</v>
      </c>
      <c r="B11" s="36">
        <f>IF(IncomeTotal&gt;0,Budget!D188,0)</f>
        <v>0</v>
      </c>
      <c r="C11" s="36" t="str">
        <f t="shared" si="0"/>
        <v/>
      </c>
      <c r="D11" s="37" t="str">
        <f t="shared" si="1"/>
        <v/>
      </c>
      <c r="E11" s="36">
        <f t="shared" si="2"/>
        <v>0</v>
      </c>
      <c r="F11" s="38">
        <f>Budget!A188</f>
        <v>0</v>
      </c>
      <c r="G11" s="36">
        <f>IF(B11&lt;&gt;0,F11*B2,0)</f>
        <v>0</v>
      </c>
      <c r="H11" s="36" t="str">
        <f t="shared" si="3"/>
        <v/>
      </c>
      <c r="I11" s="37" t="str">
        <f t="shared" si="4"/>
        <v/>
      </c>
    </row>
    <row r="12" spans="1:9" x14ac:dyDescent="0.3">
      <c r="A12" s="35" t="str">
        <f>Budget!C204</f>
        <v>Recreation</v>
      </c>
      <c r="B12" s="36">
        <f>IF(IncomeTotal&gt;0,Budget!D204,0)</f>
        <v>0</v>
      </c>
      <c r="C12" s="36" t="str">
        <f t="shared" si="0"/>
        <v/>
      </c>
      <c r="D12" s="37" t="str">
        <f t="shared" si="1"/>
        <v/>
      </c>
      <c r="E12" s="36">
        <f t="shared" si="2"/>
        <v>0</v>
      </c>
      <c r="F12" s="38">
        <f>Budget!A204</f>
        <v>0</v>
      </c>
      <c r="G12" s="36">
        <f>IF(B12&lt;&gt;0,F12*B2,0)</f>
        <v>0</v>
      </c>
      <c r="H12" s="36" t="str">
        <f t="shared" si="3"/>
        <v/>
      </c>
      <c r="I12" s="37" t="str">
        <f t="shared" si="4"/>
        <v/>
      </c>
    </row>
    <row r="13" spans="1:9" x14ac:dyDescent="0.3">
      <c r="A13" s="35" t="str">
        <f>Budget!C225</f>
        <v>Personal Care</v>
      </c>
      <c r="B13" s="36">
        <f>IF(IncomeTotal&gt;0,Budget!D225,0)</f>
        <v>0</v>
      </c>
      <c r="C13" s="36" t="str">
        <f t="shared" si="0"/>
        <v/>
      </c>
      <c r="D13" s="37" t="str">
        <f t="shared" si="1"/>
        <v/>
      </c>
      <c r="E13" s="36">
        <f t="shared" si="2"/>
        <v>0</v>
      </c>
      <c r="F13" s="38">
        <f>Budget!A225</f>
        <v>0</v>
      </c>
      <c r="G13" s="36">
        <f>IF(B13&lt;&gt;0,F13*B2,0)</f>
        <v>0</v>
      </c>
      <c r="H13" s="36" t="str">
        <f t="shared" si="3"/>
        <v/>
      </c>
      <c r="I13" s="37" t="str">
        <f t="shared" si="4"/>
        <v/>
      </c>
    </row>
    <row r="14" spans="1:9" x14ac:dyDescent="0.3">
      <c r="A14" s="35" t="str">
        <f>Budget!C241</f>
        <v>Clothing</v>
      </c>
      <c r="B14" s="36">
        <f>IF(IncomeTotal&gt;0,Budget!D241,0)</f>
        <v>0</v>
      </c>
      <c r="C14" s="36" t="str">
        <f t="shared" si="0"/>
        <v/>
      </c>
      <c r="D14" s="37" t="str">
        <f t="shared" si="1"/>
        <v/>
      </c>
      <c r="E14" s="36">
        <f t="shared" si="2"/>
        <v>0</v>
      </c>
      <c r="F14" s="38">
        <f>Budget!A241</f>
        <v>0</v>
      </c>
      <c r="G14" s="36">
        <f>IF(B14&lt;&gt;0,F14*B2,0)</f>
        <v>0</v>
      </c>
      <c r="H14" s="36" t="str">
        <f t="shared" si="3"/>
        <v/>
      </c>
      <c r="I14" s="37" t="str">
        <f t="shared" si="4"/>
        <v/>
      </c>
    </row>
    <row r="15" spans="1:9" x14ac:dyDescent="0.3">
      <c r="A15" s="35" t="str">
        <f>Budget!C257</f>
        <v>Medical</v>
      </c>
      <c r="B15" s="36">
        <f>IF(IncomeTotal&gt;0,Budget!D257,0)</f>
        <v>0</v>
      </c>
      <c r="C15" s="36" t="str">
        <f t="shared" si="0"/>
        <v/>
      </c>
      <c r="D15" s="37" t="str">
        <f t="shared" si="1"/>
        <v/>
      </c>
      <c r="E15" s="36">
        <f t="shared" si="2"/>
        <v>0</v>
      </c>
      <c r="F15" s="38">
        <f>Budget!A257</f>
        <v>0</v>
      </c>
      <c r="G15" s="36">
        <f>IF(B15&lt;&gt;0,F15*B2,0)</f>
        <v>0</v>
      </c>
      <c r="H15" s="36" t="str">
        <f t="shared" si="3"/>
        <v/>
      </c>
      <c r="I15" s="37" t="str">
        <f t="shared" si="4"/>
        <v/>
      </c>
    </row>
    <row r="16" spans="1:9" x14ac:dyDescent="0.3">
      <c r="A16" s="35" t="str">
        <f>Budget!C273</f>
        <v>Pets</v>
      </c>
      <c r="B16" s="36">
        <f>IF(IncomeTotal&gt;0,Budget!D273,0)</f>
        <v>0</v>
      </c>
      <c r="C16" s="36" t="str">
        <f t="shared" si="0"/>
        <v/>
      </c>
      <c r="D16" s="37" t="str">
        <f t="shared" si="1"/>
        <v/>
      </c>
      <c r="E16" s="36">
        <f t="shared" si="2"/>
        <v>0</v>
      </c>
      <c r="F16" s="38">
        <f>Budget!A273</f>
        <v>0</v>
      </c>
      <c r="G16" s="36">
        <f>IF(B16&lt;&gt;0,F16*B2,0)</f>
        <v>0</v>
      </c>
      <c r="H16" s="36" t="str">
        <f t="shared" si="3"/>
        <v/>
      </c>
      <c r="I16" s="37" t="str">
        <f t="shared" si="4"/>
        <v/>
      </c>
    </row>
    <row r="17" spans="1:9" x14ac:dyDescent="0.3">
      <c r="A17" s="35" t="str">
        <f>Budget!C288</f>
        <v>Fees</v>
      </c>
      <c r="B17" s="36">
        <f>IF(IncomeTotal&gt;0,Budget!D288,0)</f>
        <v>0</v>
      </c>
      <c r="C17" s="36" t="str">
        <f t="shared" si="0"/>
        <v/>
      </c>
      <c r="D17" s="37" t="str">
        <f t="shared" si="1"/>
        <v/>
      </c>
      <c r="E17" s="36">
        <f t="shared" si="2"/>
        <v>0</v>
      </c>
      <c r="F17" s="38">
        <f>Budget!A288</f>
        <v>0</v>
      </c>
      <c r="G17" s="36">
        <f>IF(B17&lt;&gt;0,F17*B2,0)</f>
        <v>0</v>
      </c>
      <c r="H17" s="36" t="str">
        <f t="shared" si="3"/>
        <v/>
      </c>
      <c r="I17" s="37" t="str">
        <f t="shared" si="4"/>
        <v/>
      </c>
    </row>
    <row r="18" spans="1:9" x14ac:dyDescent="0.3">
      <c r="A18" s="35" t="str">
        <f>Budget!C304</f>
        <v>Gifts and Donations</v>
      </c>
      <c r="B18" s="36">
        <f>IF(IncomeTotal&gt;0,Budget!D304,0)</f>
        <v>0</v>
      </c>
      <c r="C18" s="36" t="str">
        <f t="shared" si="0"/>
        <v/>
      </c>
      <c r="D18" s="37" t="str">
        <f t="shared" si="1"/>
        <v/>
      </c>
      <c r="E18" s="36">
        <f t="shared" si="2"/>
        <v>0</v>
      </c>
      <c r="F18" s="38">
        <f>Budget!A304</f>
        <v>0</v>
      </c>
      <c r="G18" s="36">
        <f>IF(B18&lt;&gt;0,F18*B2,0)</f>
        <v>0</v>
      </c>
      <c r="H18" s="36" t="str">
        <f t="shared" si="3"/>
        <v/>
      </c>
      <c r="I18" s="37" t="str">
        <f t="shared" si="4"/>
        <v/>
      </c>
    </row>
    <row r="20" spans="1:9" s="1" customFormat="1" x14ac:dyDescent="0.3">
      <c r="A20" s="39"/>
      <c r="B20" s="39" t="s">
        <v>364</v>
      </c>
      <c r="C20" s="39" t="s">
        <v>365</v>
      </c>
      <c r="D20" s="39" t="s">
        <v>366</v>
      </c>
      <c r="E20" s="39" t="s">
        <v>367</v>
      </c>
      <c r="F20" s="39" t="s">
        <v>368</v>
      </c>
      <c r="G20" s="39" t="s">
        <v>369</v>
      </c>
    </row>
    <row r="21" spans="1:9" s="1" customFormat="1" x14ac:dyDescent="0.3">
      <c r="A21" s="39" t="s">
        <v>370</v>
      </c>
      <c r="B21" s="41">
        <v>0</v>
      </c>
      <c r="C21" s="41">
        <f>Budget!D10</f>
        <v>0</v>
      </c>
      <c r="D21" s="41">
        <f>IF(AND(IncomeTotal&gt;0,SUM(B22:C22)&gt;C21),SUM(B22:C22)-C21,0)</f>
        <v>0</v>
      </c>
      <c r="E21" s="39"/>
      <c r="F21" s="39" t="str">
        <f>IF(IncomeTotal &gt; 0, Budget!C10 &amp; " " &amp; DOLLAR(IncomeTotal, 2),"")</f>
        <v/>
      </c>
      <c r="G21" s="39" t="str">
        <f>IF(AND(IncomeTotal &gt; 0,D21&lt;&gt;0),"Overspending " &amp; DOLLAR(D21,2)&amp;" ("&amp; IF(D21/IncomeTotal &gt;= 0.01, ROUND((D21/IncomeTotal)*100,0), "&lt; 1") &amp;"%)","")</f>
        <v/>
      </c>
    </row>
    <row r="22" spans="1:9" s="1" customFormat="1" x14ac:dyDescent="0.3">
      <c r="A22" s="39" t="s">
        <v>371</v>
      </c>
      <c r="B22" s="41">
        <f>IF(IncomeTotal&gt;0,Budget!D36,0)</f>
        <v>0</v>
      </c>
      <c r="C22" s="41">
        <f>IF(IncomeTotal&gt;0,Budget!D57,0)</f>
        <v>0</v>
      </c>
      <c r="D22" s="41">
        <f>IF(AND(IncomeTotal&gt;0,C21&gt;SUM(B22:C22)),C21-SUM(B22:C22),0)</f>
        <v>0</v>
      </c>
      <c r="E22" s="39" t="str">
        <f>IF(AND(IncomeTotal &gt; 0,B22&lt;&gt;0), Budget!C36 &amp; " " &amp; DOLLAR(B22, 2) &amp; " (" &amp; IF(B22/ IncomeTotal &gt;=0.01, ROUND((B22/ IncomeTotal)  *100,0), "&lt; 1") &amp; "%)", "")</f>
        <v/>
      </c>
      <c r="F22" s="39" t="str">
        <f>IF(AND(IncomeTotal &gt; 0,C22&lt;&gt;0), Budget!C57 &amp; " " &amp; DOLLAR(C22, 2) &amp; " (" &amp; IF(C22/ IncomeTotal &gt;=0.01, ROUND((C22/ IncomeTotal)  *100,0), "&lt; 1") &amp; "%)", "")</f>
        <v/>
      </c>
      <c r="G22" s="39" t="str">
        <f>IF(AND(IncomeTotal &gt; 0,D22&lt;&gt;0), "Leftover income " &amp; DOLLAR(D22, 2) &amp; " (" &amp; IF(D22/ IncomeTotal &gt;=0.01, ROUND((D22/ IncomeTotal)  *100,0), "&lt; 1") &amp; "%)", "")</f>
        <v/>
      </c>
    </row>
    <row r="24" spans="1:9" x14ac:dyDescent="0.3">
      <c r="A24" s="40" t="s">
        <v>372</v>
      </c>
      <c r="B24" s="39" t="str">
        <f>IF(AND(IncomeTotal &gt; 0,SUM(B4:B18)&lt;&gt;0), DOLLAR(Budget!D57, 2) &amp; " (" &amp; ROUND((Budget!D57/ IncomeTotal)  *100,0) &amp; "%)", "")</f>
        <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8"/>
  <sheetViews>
    <sheetView workbookViewId="0">
      <selection activeCell="B2" sqref="B2"/>
    </sheetView>
  </sheetViews>
  <sheetFormatPr defaultColWidth="9.109375" defaultRowHeight="13.8" x14ac:dyDescent="0.3"/>
  <cols>
    <col min="1" max="1" width="15" style="6" customWidth="1"/>
    <col min="2" max="2" width="40.6640625" style="6" customWidth="1"/>
    <col min="3" max="4" width="10.6640625" style="6" customWidth="1"/>
    <col min="5" max="5" width="40.6640625" style="6" customWidth="1"/>
    <col min="6" max="7" width="10.6640625" style="6" customWidth="1"/>
    <col min="8" max="8" width="40.6640625" style="6" customWidth="1"/>
    <col min="9" max="10" width="10.6640625" style="6" customWidth="1"/>
    <col min="11" max="11" width="40.6640625" style="6" customWidth="1"/>
    <col min="12" max="12" width="9.109375" style="3" customWidth="1"/>
    <col min="13" max="16384" width="9.109375" style="3"/>
  </cols>
  <sheetData>
    <row r="1" spans="1:11" x14ac:dyDescent="0.3">
      <c r="A1" s="8" t="s">
        <v>217</v>
      </c>
      <c r="B1" s="10" t="s">
        <v>373</v>
      </c>
      <c r="C1" s="10" t="s">
        <v>374</v>
      </c>
      <c r="D1" s="10" t="s">
        <v>375</v>
      </c>
      <c r="E1" s="11" t="s">
        <v>376</v>
      </c>
      <c r="F1" s="11" t="s">
        <v>377</v>
      </c>
      <c r="G1" s="11" t="s">
        <v>378</v>
      </c>
      <c r="H1" s="12" t="s">
        <v>379</v>
      </c>
      <c r="I1" s="12" t="s">
        <v>380</v>
      </c>
      <c r="J1" s="12" t="s">
        <v>381</v>
      </c>
      <c r="K1" s="12" t="s">
        <v>382</v>
      </c>
    </row>
    <row r="2" spans="1:11" s="7" customFormat="1" ht="25.5" customHeight="1" x14ac:dyDescent="0.3">
      <c r="A2" s="9" t="s">
        <v>20</v>
      </c>
      <c r="B2" s="13"/>
      <c r="C2" s="13"/>
      <c r="D2" s="13"/>
      <c r="E2" s="13"/>
      <c r="F2" s="13"/>
      <c r="G2" s="13"/>
      <c r="H2" s="13"/>
      <c r="I2" s="13"/>
      <c r="J2" s="13"/>
      <c r="K2" s="13" t="s">
        <v>383</v>
      </c>
    </row>
    <row r="3" spans="1:11" s="7" customFormat="1" ht="25.5" customHeight="1" x14ac:dyDescent="0.3">
      <c r="A3" s="9" t="s">
        <v>57</v>
      </c>
      <c r="B3" s="13" t="s">
        <v>384</v>
      </c>
      <c r="C3" s="13">
        <v>0.05</v>
      </c>
      <c r="D3" s="13"/>
      <c r="E3" s="13" t="s">
        <v>385</v>
      </c>
      <c r="F3" s="13">
        <v>0</v>
      </c>
      <c r="G3" s="13">
        <v>0.05</v>
      </c>
      <c r="H3" s="13"/>
      <c r="I3" s="13"/>
      <c r="J3" s="13"/>
      <c r="K3" s="13" t="s">
        <v>386</v>
      </c>
    </row>
    <row r="4" spans="1:11" s="7" customFormat="1" ht="25.5" customHeight="1" x14ac:dyDescent="0.3">
      <c r="A4" s="9" t="s">
        <v>282</v>
      </c>
      <c r="B4" s="13" t="s">
        <v>387</v>
      </c>
      <c r="C4" s="13">
        <v>0</v>
      </c>
      <c r="D4" s="13">
        <v>0.15</v>
      </c>
      <c r="E4" s="13" t="s">
        <v>388</v>
      </c>
      <c r="F4" s="13">
        <v>0.15</v>
      </c>
      <c r="G4" s="13">
        <v>0.3</v>
      </c>
      <c r="H4" s="13" t="s">
        <v>389</v>
      </c>
      <c r="I4" s="13">
        <v>0.3</v>
      </c>
      <c r="J4" s="13"/>
      <c r="K4" s="13"/>
    </row>
    <row r="5" spans="1:11" s="7" customFormat="1" ht="25.5" customHeight="1" x14ac:dyDescent="0.3">
      <c r="A5" s="9" t="s">
        <v>88</v>
      </c>
      <c r="B5" s="13" t="s">
        <v>390</v>
      </c>
      <c r="C5" s="13">
        <v>0</v>
      </c>
      <c r="D5" s="13">
        <v>0.35</v>
      </c>
      <c r="E5" s="13" t="s">
        <v>391</v>
      </c>
      <c r="F5" s="13">
        <v>0.35</v>
      </c>
      <c r="G5" s="13">
        <v>0.43</v>
      </c>
      <c r="H5" s="13" t="s">
        <v>392</v>
      </c>
      <c r="I5" s="13">
        <v>0.43</v>
      </c>
      <c r="J5" s="13"/>
      <c r="K5" s="13"/>
    </row>
    <row r="6" spans="1:11" s="7" customFormat="1" ht="25.5" customHeight="1" x14ac:dyDescent="0.3">
      <c r="A6" s="9" t="s">
        <v>113</v>
      </c>
      <c r="B6" s="13" t="s">
        <v>393</v>
      </c>
      <c r="C6" s="13">
        <v>0</v>
      </c>
      <c r="D6" s="13">
        <v>0.05</v>
      </c>
      <c r="E6" s="13" t="s">
        <v>394</v>
      </c>
      <c r="F6" s="13">
        <v>0.05</v>
      </c>
      <c r="G6" s="13">
        <v>0.15</v>
      </c>
      <c r="H6" s="13" t="s">
        <v>395</v>
      </c>
      <c r="I6" s="13">
        <v>0.15</v>
      </c>
      <c r="J6" s="13"/>
      <c r="K6" s="13"/>
    </row>
    <row r="7" spans="1:11" s="7" customFormat="1" ht="25.5" customHeight="1" x14ac:dyDescent="0.3">
      <c r="A7" s="9" t="s">
        <v>124</v>
      </c>
      <c r="B7" s="13" t="s">
        <v>396</v>
      </c>
      <c r="C7" s="13">
        <v>0</v>
      </c>
      <c r="D7" s="13">
        <v>0.2</v>
      </c>
      <c r="E7" s="13" t="s">
        <v>397</v>
      </c>
      <c r="F7" s="13">
        <v>0.2</v>
      </c>
      <c r="G7" s="13">
        <v>0.3</v>
      </c>
      <c r="H7" s="13" t="s">
        <v>398</v>
      </c>
      <c r="I7" s="13">
        <v>0.3</v>
      </c>
      <c r="J7" s="13"/>
      <c r="K7" s="13" t="s">
        <v>399</v>
      </c>
    </row>
    <row r="8" spans="1:11" s="7" customFormat="1" ht="25.5" customHeight="1" x14ac:dyDescent="0.3">
      <c r="A8" s="9" t="s">
        <v>130</v>
      </c>
      <c r="B8" s="13" t="s">
        <v>400</v>
      </c>
      <c r="C8" s="13">
        <v>0</v>
      </c>
      <c r="D8" s="13">
        <v>0.03</v>
      </c>
      <c r="E8" s="13" t="s">
        <v>401</v>
      </c>
      <c r="F8" s="13">
        <v>0.03</v>
      </c>
      <c r="G8" s="13">
        <v>0.09</v>
      </c>
      <c r="H8" s="13" t="s">
        <v>402</v>
      </c>
      <c r="I8" s="13">
        <v>0.09</v>
      </c>
      <c r="J8" s="13"/>
      <c r="K8" s="13" t="s">
        <v>403</v>
      </c>
    </row>
    <row r="9" spans="1:11" s="7" customFormat="1" ht="25.5" customHeight="1" x14ac:dyDescent="0.3">
      <c r="A9" s="9" t="s">
        <v>137</v>
      </c>
      <c r="B9" s="13" t="s">
        <v>396</v>
      </c>
      <c r="C9" s="13">
        <v>0</v>
      </c>
      <c r="D9" s="13">
        <v>0.2</v>
      </c>
      <c r="E9" s="13" t="s">
        <v>397</v>
      </c>
      <c r="F9" s="13">
        <v>0.2</v>
      </c>
      <c r="G9" s="13">
        <v>0.3</v>
      </c>
      <c r="H9" s="13" t="s">
        <v>398</v>
      </c>
      <c r="I9" s="13">
        <v>0.3</v>
      </c>
      <c r="J9" s="13"/>
      <c r="K9" s="13" t="s">
        <v>399</v>
      </c>
    </row>
    <row r="10" spans="1:11" s="7" customFormat="1" ht="25.5" customHeight="1" x14ac:dyDescent="0.3">
      <c r="A10" s="9" t="s">
        <v>154</v>
      </c>
      <c r="B10" s="13" t="s">
        <v>404</v>
      </c>
      <c r="C10" s="13">
        <v>0</v>
      </c>
      <c r="D10" s="13">
        <v>0.14000000000000001</v>
      </c>
      <c r="E10" s="13" t="s">
        <v>405</v>
      </c>
      <c r="F10" s="13">
        <v>0.14000000000000001</v>
      </c>
      <c r="G10" s="13">
        <v>0.25</v>
      </c>
      <c r="H10" s="13" t="s">
        <v>406</v>
      </c>
      <c r="I10" s="13">
        <v>0.25</v>
      </c>
      <c r="J10" s="13"/>
      <c r="K10" s="13"/>
    </row>
    <row r="11" spans="1:11" s="7" customFormat="1" ht="25.5" customHeight="1" x14ac:dyDescent="0.3">
      <c r="A11" s="9" t="s">
        <v>65</v>
      </c>
      <c r="B11" s="13" t="s">
        <v>407</v>
      </c>
      <c r="C11" s="13">
        <v>0</v>
      </c>
      <c r="D11" s="13">
        <v>0.08</v>
      </c>
      <c r="E11" s="13" t="s">
        <v>408</v>
      </c>
      <c r="F11" s="13">
        <v>0.08</v>
      </c>
      <c r="G11" s="13">
        <v>0.17</v>
      </c>
      <c r="H11" s="13" t="s">
        <v>409</v>
      </c>
      <c r="I11" s="13">
        <v>0.17</v>
      </c>
      <c r="J11" s="13"/>
      <c r="K11" s="13"/>
    </row>
    <row r="12" spans="1:11" s="7" customFormat="1" ht="25.5" customHeight="1" x14ac:dyDescent="0.3">
      <c r="A12" s="9" t="s">
        <v>168</v>
      </c>
      <c r="B12" s="13" t="s">
        <v>387</v>
      </c>
      <c r="C12" s="13">
        <v>0</v>
      </c>
      <c r="D12" s="13">
        <v>0.15</v>
      </c>
      <c r="E12" s="13" t="s">
        <v>388</v>
      </c>
      <c r="F12" s="13">
        <v>0.15</v>
      </c>
      <c r="G12" s="13">
        <v>0.3</v>
      </c>
      <c r="H12" s="13" t="s">
        <v>389</v>
      </c>
      <c r="I12" s="13">
        <v>0.3</v>
      </c>
      <c r="J12" s="13"/>
      <c r="K12" s="13"/>
    </row>
    <row r="13" spans="1:11" s="7" customFormat="1" ht="25.5" customHeight="1" x14ac:dyDescent="0.3">
      <c r="A13" s="9" t="s">
        <v>410</v>
      </c>
      <c r="B13" s="13" t="s">
        <v>411</v>
      </c>
      <c r="C13" s="13">
        <v>0</v>
      </c>
      <c r="D13" s="13">
        <v>0.02</v>
      </c>
      <c r="E13" s="13" t="s">
        <v>412</v>
      </c>
      <c r="F13" s="13">
        <v>0.02</v>
      </c>
      <c r="G13" s="13">
        <v>0.1</v>
      </c>
      <c r="H13" s="13" t="s">
        <v>413</v>
      </c>
      <c r="I13" s="13">
        <v>0.1</v>
      </c>
      <c r="J13" s="13"/>
      <c r="K13" s="13"/>
    </row>
    <row r="14" spans="1:11" s="7" customFormat="1" ht="25.5" customHeight="1" x14ac:dyDescent="0.3">
      <c r="A14" s="9" t="s">
        <v>191</v>
      </c>
      <c r="B14" s="13" t="s">
        <v>393</v>
      </c>
      <c r="C14" s="13">
        <v>0</v>
      </c>
      <c r="D14" s="13">
        <v>0.05</v>
      </c>
      <c r="E14" s="13" t="s">
        <v>394</v>
      </c>
      <c r="F14" s="13">
        <v>0.05</v>
      </c>
      <c r="G14" s="13">
        <v>0.2</v>
      </c>
      <c r="H14" s="13" t="s">
        <v>414</v>
      </c>
      <c r="I14" s="13">
        <v>0.2</v>
      </c>
      <c r="J14" s="13"/>
      <c r="K14" s="13" t="s">
        <v>415</v>
      </c>
    </row>
    <row r="15" spans="1:11" s="7" customFormat="1" ht="25.5" customHeight="1" x14ac:dyDescent="0.3">
      <c r="A15" s="9" t="s">
        <v>133</v>
      </c>
      <c r="B15" s="13" t="s">
        <v>393</v>
      </c>
      <c r="C15" s="13">
        <v>0</v>
      </c>
      <c r="D15" s="13">
        <v>0.05</v>
      </c>
      <c r="E15" s="13" t="s">
        <v>394</v>
      </c>
      <c r="F15" s="13">
        <v>0.05</v>
      </c>
      <c r="G15" s="13">
        <v>0.2</v>
      </c>
      <c r="H15" s="13" t="s">
        <v>395</v>
      </c>
      <c r="I15" s="13">
        <v>0.2</v>
      </c>
      <c r="J15" s="13"/>
      <c r="K15" s="13"/>
    </row>
    <row r="16" spans="1:11" s="7" customFormat="1" ht="25.5" customHeight="1" x14ac:dyDescent="0.3">
      <c r="A16" s="9" t="s">
        <v>202</v>
      </c>
      <c r="B16" s="13" t="s">
        <v>411</v>
      </c>
      <c r="C16" s="13">
        <v>0</v>
      </c>
      <c r="D16" s="13">
        <v>0.02</v>
      </c>
      <c r="E16" s="13" t="s">
        <v>412</v>
      </c>
      <c r="F16" s="13">
        <v>0.02</v>
      </c>
      <c r="G16" s="13">
        <v>0.1</v>
      </c>
      <c r="H16" s="13" t="s">
        <v>413</v>
      </c>
      <c r="I16" s="13">
        <v>0.1</v>
      </c>
      <c r="J16" s="13"/>
      <c r="K16" s="13"/>
    </row>
    <row r="17" spans="1:11" s="7" customFormat="1" ht="25.5" customHeight="1" x14ac:dyDescent="0.3">
      <c r="A17" s="9" t="s">
        <v>206</v>
      </c>
      <c r="B17" s="13" t="s">
        <v>411</v>
      </c>
      <c r="C17" s="13">
        <v>0</v>
      </c>
      <c r="D17" s="13">
        <v>0.02</v>
      </c>
      <c r="E17" s="13" t="s">
        <v>412</v>
      </c>
      <c r="F17" s="13">
        <v>0.02</v>
      </c>
      <c r="G17" s="13">
        <v>0.1</v>
      </c>
      <c r="H17" s="13" t="s">
        <v>413</v>
      </c>
      <c r="I17" s="13">
        <v>0.1</v>
      </c>
      <c r="J17" s="13"/>
      <c r="K17" s="13"/>
    </row>
    <row r="18" spans="1:11" s="7" customFormat="1" ht="25.5" customHeight="1" x14ac:dyDescent="0.3">
      <c r="A18" s="9" t="s">
        <v>416</v>
      </c>
      <c r="B18" s="13" t="s">
        <v>393</v>
      </c>
      <c r="C18" s="13">
        <v>0</v>
      </c>
      <c r="D18" s="13">
        <v>0.05</v>
      </c>
      <c r="E18" s="13" t="s">
        <v>394</v>
      </c>
      <c r="F18" s="13">
        <v>0.05</v>
      </c>
      <c r="G18" s="13">
        <v>0.2</v>
      </c>
      <c r="H18" s="13" t="s">
        <v>395</v>
      </c>
      <c r="I18" s="13">
        <v>0.2</v>
      </c>
      <c r="J18" s="13"/>
      <c r="K18" s="13"/>
    </row>
  </sheetData>
  <conditionalFormatting sqref="D3">
    <cfRule type="iconSet" priority="1">
      <iconSet iconSet="3Symbols">
        <cfvo type="percent" val="0"/>
        <cfvo type="percent" val="33"/>
        <cfvo type="percent" val="67"/>
      </iconSet>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G35"/>
  <sheetViews>
    <sheetView showGridLines="0" workbookViewId="0">
      <selection activeCell="C12" sqref="C12"/>
    </sheetView>
  </sheetViews>
  <sheetFormatPr defaultRowHeight="14.4" x14ac:dyDescent="0.3"/>
  <cols>
    <col min="1" max="1" width="13.109375" bestFit="1" customWidth="1"/>
    <col min="2" max="2" width="11" bestFit="1" customWidth="1"/>
    <col min="3" max="3" width="11.6640625" bestFit="1" customWidth="1"/>
    <col min="4" max="4" width="9.109375" style="1" customWidth="1"/>
    <col min="5" max="5" width="12.33203125" bestFit="1" customWidth="1"/>
    <col min="7" max="7" width="22.33203125" bestFit="1" customWidth="1"/>
  </cols>
  <sheetData>
    <row r="1" spans="1:7" x14ac:dyDescent="0.3">
      <c r="A1" s="15" t="s">
        <v>26</v>
      </c>
      <c r="B1" s="15" t="s">
        <v>417</v>
      </c>
      <c r="E1" s="22" t="s">
        <v>418</v>
      </c>
      <c r="G1" s="22" t="s">
        <v>419</v>
      </c>
    </row>
    <row r="2" spans="1:7" x14ac:dyDescent="0.3">
      <c r="A2" s="2" t="s">
        <v>420</v>
      </c>
      <c r="B2" s="2">
        <v>365</v>
      </c>
      <c r="E2" s="2" t="s">
        <v>61</v>
      </c>
      <c r="G2" s="2" t="s">
        <v>421</v>
      </c>
    </row>
    <row r="3" spans="1:7" x14ac:dyDescent="0.3">
      <c r="A3" s="2" t="s">
        <v>127</v>
      </c>
      <c r="B3" s="2">
        <v>52</v>
      </c>
      <c r="E3" s="2" t="s">
        <v>422</v>
      </c>
      <c r="G3" s="2" t="s">
        <v>423</v>
      </c>
    </row>
    <row r="4" spans="1:7" x14ac:dyDescent="0.3">
      <c r="A4" s="2" t="s">
        <v>31</v>
      </c>
      <c r="B4" s="2">
        <v>26</v>
      </c>
      <c r="E4" s="2" t="s">
        <v>64</v>
      </c>
      <c r="G4" s="2" t="s">
        <v>424</v>
      </c>
    </row>
    <row r="5" spans="1:7" x14ac:dyDescent="0.3">
      <c r="A5" s="2" t="s">
        <v>425</v>
      </c>
      <c r="B5" s="2">
        <v>24</v>
      </c>
      <c r="E5" s="2" t="s">
        <v>66</v>
      </c>
      <c r="G5" s="2" t="s">
        <v>426</v>
      </c>
    </row>
    <row r="6" spans="1:7" x14ac:dyDescent="0.3">
      <c r="A6" s="2" t="s">
        <v>14</v>
      </c>
      <c r="B6" s="2">
        <v>12</v>
      </c>
      <c r="E6" s="2" t="s">
        <v>427</v>
      </c>
      <c r="G6" s="2" t="s">
        <v>428</v>
      </c>
    </row>
    <row r="7" spans="1:7" x14ac:dyDescent="0.3">
      <c r="A7" s="2" t="s">
        <v>429</v>
      </c>
      <c r="B7" s="2">
        <v>4</v>
      </c>
      <c r="E7" s="2" t="s">
        <v>428</v>
      </c>
      <c r="G7" s="3"/>
    </row>
    <row r="8" spans="1:7" x14ac:dyDescent="0.3">
      <c r="A8" s="2" t="s">
        <v>430</v>
      </c>
      <c r="B8" s="2">
        <v>2</v>
      </c>
      <c r="E8" s="3"/>
      <c r="G8" s="22" t="s">
        <v>431</v>
      </c>
    </row>
    <row r="9" spans="1:7" x14ac:dyDescent="0.3">
      <c r="A9" s="2" t="s">
        <v>76</v>
      </c>
      <c r="B9" s="2">
        <v>1</v>
      </c>
      <c r="E9" s="22" t="s">
        <v>432</v>
      </c>
      <c r="G9" s="2" t="s">
        <v>433</v>
      </c>
    </row>
    <row r="10" spans="1:7" x14ac:dyDescent="0.3">
      <c r="E10" s="2" t="s">
        <v>61</v>
      </c>
      <c r="G10" s="2" t="s">
        <v>434</v>
      </c>
    </row>
    <row r="11" spans="1:7" x14ac:dyDescent="0.3">
      <c r="A11" s="16" t="s">
        <v>26</v>
      </c>
      <c r="B11" s="17" t="s">
        <v>417</v>
      </c>
      <c r="C11" s="115" t="s">
        <v>435</v>
      </c>
      <c r="E11" s="2" t="s">
        <v>422</v>
      </c>
      <c r="G11" s="2" t="s">
        <v>436</v>
      </c>
    </row>
    <row r="12" spans="1:7" x14ac:dyDescent="0.3">
      <c r="A12" s="18" t="s">
        <v>127</v>
      </c>
      <c r="B12" s="19">
        <v>52</v>
      </c>
      <c r="C12" s="116" t="s">
        <v>437</v>
      </c>
      <c r="D12" s="114"/>
      <c r="E12" s="2" t="s">
        <v>428</v>
      </c>
      <c r="G12" s="2" t="s">
        <v>438</v>
      </c>
    </row>
    <row r="13" spans="1:7" x14ac:dyDescent="0.3">
      <c r="A13" s="18" t="s">
        <v>31</v>
      </c>
      <c r="B13" s="19">
        <v>26</v>
      </c>
      <c r="C13" s="116" t="s">
        <v>439</v>
      </c>
      <c r="D13" s="114"/>
      <c r="E13" s="3"/>
      <c r="G13" s="2" t="s">
        <v>440</v>
      </c>
    </row>
    <row r="14" spans="1:7" x14ac:dyDescent="0.3">
      <c r="A14" s="18" t="s">
        <v>14</v>
      </c>
      <c r="B14" s="19">
        <v>12</v>
      </c>
      <c r="C14" s="116" t="s">
        <v>441</v>
      </c>
      <c r="D14" s="114"/>
      <c r="E14" s="22" t="s">
        <v>442</v>
      </c>
      <c r="G14" s="3"/>
    </row>
    <row r="15" spans="1:7" x14ac:dyDescent="0.3">
      <c r="A15" s="20" t="s">
        <v>76</v>
      </c>
      <c r="B15" s="21">
        <v>1</v>
      </c>
      <c r="C15" s="116" t="s">
        <v>443</v>
      </c>
      <c r="D15" s="114"/>
      <c r="E15" s="2" t="s">
        <v>61</v>
      </c>
      <c r="G15" s="22" t="s">
        <v>444</v>
      </c>
    </row>
    <row r="16" spans="1:7" x14ac:dyDescent="0.3">
      <c r="E16" s="2" t="s">
        <v>422</v>
      </c>
      <c r="G16" s="2" t="s">
        <v>445</v>
      </c>
    </row>
    <row r="17" spans="5:7" x14ac:dyDescent="0.3">
      <c r="E17" s="2" t="s">
        <v>64</v>
      </c>
      <c r="G17" s="2" t="s">
        <v>446</v>
      </c>
    </row>
    <row r="18" spans="5:7" x14ac:dyDescent="0.3">
      <c r="E18" s="2" t="s">
        <v>427</v>
      </c>
      <c r="G18" s="2" t="s">
        <v>447</v>
      </c>
    </row>
    <row r="19" spans="5:7" x14ac:dyDescent="0.3">
      <c r="E19" s="2" t="s">
        <v>428</v>
      </c>
      <c r="G19" s="2" t="s">
        <v>448</v>
      </c>
    </row>
    <row r="20" spans="5:7" s="1" customFormat="1" x14ac:dyDescent="0.3">
      <c r="E20" s="3"/>
      <c r="G20" s="2" t="s">
        <v>449</v>
      </c>
    </row>
    <row r="21" spans="5:7" x14ac:dyDescent="0.3">
      <c r="E21" s="3"/>
      <c r="G21" s="2" t="s">
        <v>450</v>
      </c>
    </row>
    <row r="22" spans="5:7" s="1" customFormat="1" x14ac:dyDescent="0.3">
      <c r="E22" s="3"/>
      <c r="G22" s="2" t="s">
        <v>428</v>
      </c>
    </row>
    <row r="23" spans="5:7" x14ac:dyDescent="0.3">
      <c r="E23" s="22" t="s">
        <v>451</v>
      </c>
      <c r="G23" s="3"/>
    </row>
    <row r="24" spans="5:7" x14ac:dyDescent="0.3">
      <c r="E24" s="2" t="s">
        <v>61</v>
      </c>
      <c r="G24" s="3"/>
    </row>
    <row r="25" spans="5:7" x14ac:dyDescent="0.3">
      <c r="E25" s="2" t="s">
        <v>422</v>
      </c>
      <c r="G25" s="22" t="s">
        <v>452</v>
      </c>
    </row>
    <row r="26" spans="5:7" x14ac:dyDescent="0.3">
      <c r="E26" s="2" t="s">
        <v>66</v>
      </c>
      <c r="G26" s="2" t="s">
        <v>453</v>
      </c>
    </row>
    <row r="27" spans="5:7" x14ac:dyDescent="0.3">
      <c r="E27" s="2" t="s">
        <v>428</v>
      </c>
      <c r="G27" s="2" t="s">
        <v>454</v>
      </c>
    </row>
    <row r="28" spans="5:7" x14ac:dyDescent="0.3">
      <c r="E28" s="3"/>
      <c r="G28" s="2" t="s">
        <v>428</v>
      </c>
    </row>
    <row r="29" spans="5:7" x14ac:dyDescent="0.3">
      <c r="E29" s="22" t="s">
        <v>455</v>
      </c>
      <c r="G29" s="3"/>
    </row>
    <row r="30" spans="5:7" x14ac:dyDescent="0.3">
      <c r="E30" s="2" t="s">
        <v>61</v>
      </c>
      <c r="G30" s="22" t="s">
        <v>456</v>
      </c>
    </row>
    <row r="31" spans="5:7" x14ac:dyDescent="0.3">
      <c r="E31" s="2" t="s">
        <v>422</v>
      </c>
      <c r="G31" s="2" t="s">
        <v>457</v>
      </c>
    </row>
    <row r="32" spans="5:7" x14ac:dyDescent="0.3">
      <c r="E32" s="2" t="s">
        <v>64</v>
      </c>
      <c r="G32" s="2" t="s">
        <v>458</v>
      </c>
    </row>
    <row r="33" spans="5:7" x14ac:dyDescent="0.3">
      <c r="E33" s="2" t="s">
        <v>428</v>
      </c>
      <c r="G33" s="2" t="s">
        <v>459</v>
      </c>
    </row>
    <row r="34" spans="5:7" x14ac:dyDescent="0.3">
      <c r="G34" s="2" t="s">
        <v>460</v>
      </c>
    </row>
    <row r="35" spans="5:7" x14ac:dyDescent="0.3">
      <c r="G35" s="2" t="s">
        <v>461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1"/>
  <sheetViews>
    <sheetView showGridLines="0" workbookViewId="0">
      <selection activeCell="C16" sqref="C16"/>
    </sheetView>
  </sheetViews>
  <sheetFormatPr defaultColWidth="9.109375" defaultRowHeight="13.8" x14ac:dyDescent="0.3"/>
  <cols>
    <col min="1" max="1" width="19.44140625" style="3" customWidth="1"/>
    <col min="2" max="2" width="18" style="3" bestFit="1" customWidth="1"/>
    <col min="3" max="3" width="17.109375" style="3" bestFit="1" customWidth="1"/>
    <col min="4" max="4" width="9.109375" style="3" customWidth="1"/>
    <col min="5" max="16384" width="9.109375" style="3"/>
  </cols>
  <sheetData>
    <row r="1" spans="1:2" x14ac:dyDescent="0.3">
      <c r="A1" s="23" t="s">
        <v>462</v>
      </c>
      <c r="B1" s="23" t="s">
        <v>463</v>
      </c>
    </row>
    <row r="2" spans="1:2" x14ac:dyDescent="0.3">
      <c r="A2" s="2" t="s">
        <v>464</v>
      </c>
      <c r="B2" s="2" t="b">
        <f>IF(Life = LifeSingle, TRUE, FALSE)</f>
        <v>0</v>
      </c>
    </row>
    <row r="3" spans="1:2" x14ac:dyDescent="0.3">
      <c r="A3" s="2" t="s">
        <v>465</v>
      </c>
      <c r="B3" s="2" t="b">
        <f>IF(Life = LifeCouple, TRUE, FALSE)</f>
        <v>0</v>
      </c>
    </row>
    <row r="4" spans="1:2" x14ac:dyDescent="0.3">
      <c r="A4" s="2" t="s">
        <v>466</v>
      </c>
      <c r="B4" s="2" t="b">
        <f>IF(Life = LifeSingleKids, TRUE, FALSE)</f>
        <v>0</v>
      </c>
    </row>
    <row r="5" spans="1:2" x14ac:dyDescent="0.3">
      <c r="A5" s="2" t="s">
        <v>467</v>
      </c>
      <c r="B5" s="2" t="b">
        <f>IF(Life = LifeCoupleKids, TRUE, FALSE)</f>
        <v>0</v>
      </c>
    </row>
    <row r="6" spans="1:2" x14ac:dyDescent="0.3">
      <c r="A6" s="2" t="s">
        <v>468</v>
      </c>
      <c r="B6" s="2" t="b">
        <f>IF(Life=LifeOther, TRUE, FALSE)</f>
        <v>0</v>
      </c>
    </row>
    <row r="7" spans="1:2" x14ac:dyDescent="0.3">
      <c r="A7" s="2" t="s">
        <v>469</v>
      </c>
      <c r="B7" s="2" t="b">
        <f>IF(Work = WorkParttime, TRUE, FALSE)</f>
        <v>0</v>
      </c>
    </row>
    <row r="8" spans="1:2" x14ac:dyDescent="0.3">
      <c r="A8" s="2" t="s">
        <v>470</v>
      </c>
      <c r="B8" s="2" t="b">
        <f>IF(Work=  WorkFulltime, TRUE, FALSE)</f>
        <v>0</v>
      </c>
    </row>
    <row r="9" spans="1:2" x14ac:dyDescent="0.3">
      <c r="A9" s="2" t="s">
        <v>471</v>
      </c>
      <c r="B9" s="2" t="b">
        <f>IF(Work = WorkSelfemployed, TRUE, FALSE)</f>
        <v>0</v>
      </c>
    </row>
    <row r="10" spans="1:2" x14ac:dyDescent="0.3">
      <c r="A10" s="2" t="s">
        <v>472</v>
      </c>
      <c r="B10" s="2" t="b">
        <f>IF(Work = WorkStudent, TRUE, FALSE)</f>
        <v>0</v>
      </c>
    </row>
    <row r="11" spans="1:2" x14ac:dyDescent="0.3">
      <c r="A11" s="2" t="s">
        <v>473</v>
      </c>
      <c r="B11" s="2" t="b">
        <f>IF(Work=WorkRetired, TRUE, FALSE)</f>
        <v>0</v>
      </c>
    </row>
    <row r="12" spans="1:2" x14ac:dyDescent="0.3">
      <c r="A12" s="2" t="s">
        <v>474</v>
      </c>
      <c r="B12" s="2" t="b">
        <f>IF(Work=WorkUnemployed, TRUE, FALSE)</f>
        <v>0</v>
      </c>
    </row>
    <row r="13" spans="1:2" x14ac:dyDescent="0.3">
      <c r="A13" s="2" t="s">
        <v>475</v>
      </c>
      <c r="B13" s="2" t="b">
        <f>IF(Work=WorkOther,TRUE, FALSE)</f>
        <v>0</v>
      </c>
    </row>
    <row r="14" spans="1:2" x14ac:dyDescent="0.3">
      <c r="A14" s="2" t="s">
        <v>476</v>
      </c>
      <c r="B14" s="2" t="b">
        <f>IF(Home=HomeOwner, TRUE,FALSE)</f>
        <v>0</v>
      </c>
    </row>
    <row r="15" spans="1:2" x14ac:dyDescent="0.3">
      <c r="A15" s="2" t="s">
        <v>477</v>
      </c>
      <c r="B15" s="2" t="b">
        <f>IF(Home=HomeOther,TRUE, FALSE)</f>
        <v>0</v>
      </c>
    </row>
    <row r="16" spans="1:2" x14ac:dyDescent="0.3">
      <c r="A16" s="2" t="s">
        <v>478</v>
      </c>
      <c r="B16" s="2" t="b">
        <f>IF(Home=HomeRenting,TRUE,FALSE)</f>
        <v>0</v>
      </c>
    </row>
    <row r="17" spans="1:2" x14ac:dyDescent="0.3">
      <c r="A17" s="2" t="s">
        <v>479</v>
      </c>
      <c r="B17" s="2" t="b">
        <f>IF(Goal = GoalStayOnTrack,TRUE,FALSE)</f>
        <v>0</v>
      </c>
    </row>
    <row r="18" spans="1:2" x14ac:dyDescent="0.3">
      <c r="A18" s="2" t="s">
        <v>480</v>
      </c>
      <c r="B18" s="2" t="b">
        <f>IF(Goal=GoalCutOnExpenses,TRUE,FALSE)</f>
        <v>0</v>
      </c>
    </row>
    <row r="19" spans="1:2" x14ac:dyDescent="0.3">
      <c r="A19" s="2" t="s">
        <v>481</v>
      </c>
      <c r="B19" s="2" t="b">
        <f>IF(Goal=GoalSaveMoney,TRUE,FALSE)</f>
        <v>0</v>
      </c>
    </row>
    <row r="20" spans="1:2" x14ac:dyDescent="0.3">
      <c r="A20" s="2" t="s">
        <v>482</v>
      </c>
      <c r="B20" s="2" t="b">
        <f>IF(Goal=GoalCreateBudget,TRUE,FALSE)</f>
        <v>0</v>
      </c>
    </row>
    <row r="21" spans="1:2" x14ac:dyDescent="0.3">
      <c r="A21" s="2" t="s">
        <v>483</v>
      </c>
      <c r="B21" s="2" t="b">
        <f>IF(Goal=GoalReduceDebt,TRUE,FALSE)</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70</vt:i4>
      </vt:variant>
    </vt:vector>
  </HeadingPairs>
  <TitlesOfParts>
    <vt:vector size="77" baseType="lpstr">
      <vt:lpstr>Budget</vt:lpstr>
      <vt:lpstr>Suggestions</vt:lpstr>
      <vt:lpstr>SuggestionCalculations</vt:lpstr>
      <vt:lpstr>Chart Data</vt:lpstr>
      <vt:lpstr>RulesOfThumb</vt:lpstr>
      <vt:lpstr>Dropdowns</vt:lpstr>
      <vt:lpstr>HelperFunctions</vt:lpstr>
      <vt:lpstr>AnnualTotalIncome</vt:lpstr>
      <vt:lpstr>BalanceTotal</vt:lpstr>
      <vt:lpstr>ExpensesTotal</vt:lpstr>
      <vt:lpstr>Goal</vt:lpstr>
      <vt:lpstr>GoalCreateBudget</vt:lpstr>
      <vt:lpstr>GoalCutOnExpenses</vt:lpstr>
      <vt:lpstr>GoalOther</vt:lpstr>
      <vt:lpstr>GoalReduceDebt</vt:lpstr>
      <vt:lpstr>GoalSaveMoney</vt:lpstr>
      <vt:lpstr>GoalStayOnTrack</vt:lpstr>
      <vt:lpstr>HasPersonalization</vt:lpstr>
      <vt:lpstr>Home</vt:lpstr>
      <vt:lpstr>HomeOther</vt:lpstr>
      <vt:lpstr>HomeOwner</vt:lpstr>
      <vt:lpstr>HomeRenting</vt:lpstr>
      <vt:lpstr>IncomeTotal</vt:lpstr>
      <vt:lpstr>IsGoalCreateBudget</vt:lpstr>
      <vt:lpstr>IsGoalCutOnExpenses</vt:lpstr>
      <vt:lpstr>IsGoalOther</vt:lpstr>
      <vt:lpstr>IsGoalReduceDebt</vt:lpstr>
      <vt:lpstr>IsGoalSaveMoney</vt:lpstr>
      <vt:lpstr>IsGoalStayOnTrack</vt:lpstr>
      <vt:lpstr>IsHomeOther</vt:lpstr>
      <vt:lpstr>IsHomeOwner</vt:lpstr>
      <vt:lpstr>IsHomeRenting</vt:lpstr>
      <vt:lpstr>IsLifeCouple</vt:lpstr>
      <vt:lpstr>IsLifeCoupleKids</vt:lpstr>
      <vt:lpstr>IsLifeOther</vt:lpstr>
      <vt:lpstr>IsLifeSingle</vt:lpstr>
      <vt:lpstr>IsLifeSingleKids</vt:lpstr>
      <vt:lpstr>IsWorkFullTime</vt:lpstr>
      <vt:lpstr>IsWorkOther</vt:lpstr>
      <vt:lpstr>IsWorkPartTime</vt:lpstr>
      <vt:lpstr>IsWorkRetired</vt:lpstr>
      <vt:lpstr>IsWorkSelfEmployed</vt:lpstr>
      <vt:lpstr>IsWorkStudent</vt:lpstr>
      <vt:lpstr>IsWorkUnemployed</vt:lpstr>
      <vt:lpstr>Life</vt:lpstr>
      <vt:lpstr>LifeCouple</vt:lpstr>
      <vt:lpstr>LifeCoupleKids</vt:lpstr>
      <vt:lpstr>LifeOther</vt:lpstr>
      <vt:lpstr>LifeSingle</vt:lpstr>
      <vt:lpstr>LifeSingleKids</vt:lpstr>
      <vt:lpstr>Periods</vt:lpstr>
      <vt:lpstr>SavingsTotal</vt:lpstr>
      <vt:lpstr>SavingsType1</vt:lpstr>
      <vt:lpstr>SavingsTypeAll</vt:lpstr>
      <vt:lpstr>TotalChildcare</vt:lpstr>
      <vt:lpstr>TotalClothing</vt:lpstr>
      <vt:lpstr>TotalCommunications</vt:lpstr>
      <vt:lpstr>TotalDebt</vt:lpstr>
      <vt:lpstr>TotalEducation</vt:lpstr>
      <vt:lpstr>TotalFees</vt:lpstr>
      <vt:lpstr>TotalFood</vt:lpstr>
      <vt:lpstr>TotalGifts</vt:lpstr>
      <vt:lpstr>TotalHousing</vt:lpstr>
      <vt:lpstr>TotalInsurance</vt:lpstr>
      <vt:lpstr>TotalMedical</vt:lpstr>
      <vt:lpstr>TotalPersonalCare</vt:lpstr>
      <vt:lpstr>TotalPets</vt:lpstr>
      <vt:lpstr>TotalRecreation</vt:lpstr>
      <vt:lpstr>TotalTranportation</vt:lpstr>
      <vt:lpstr>Work</vt:lpstr>
      <vt:lpstr>WorkFulltime</vt:lpstr>
      <vt:lpstr>WorkOther</vt:lpstr>
      <vt:lpstr>WorkParttime</vt:lpstr>
      <vt:lpstr>WorkRetired</vt:lpstr>
      <vt:lpstr>WorkSelfemployed</vt:lpstr>
      <vt:lpstr>WorkStudent</vt:lpstr>
      <vt:lpstr>WorkUnemployed</vt:lpstr>
    </vt:vector>
  </TitlesOfParts>
  <Company>FCAC-ACFC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Pauley Idurot</dc:creator>
  <cp:lastModifiedBy>Daniel</cp:lastModifiedBy>
  <dcterms:created xsi:type="dcterms:W3CDTF">2019-01-30T12:14:23Z</dcterms:created>
  <dcterms:modified xsi:type="dcterms:W3CDTF">2025-05-20T00:55:04Z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