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-main\"/>
    </mc:Choice>
  </mc:AlternateContent>
  <xr:revisionPtr revIDLastSave="0" documentId="8_{272C8328-2B8E-40B1-BDED-24F423F5C5CF}" xr6:coauthVersionLast="47" xr6:coauthVersionMax="47" xr10:uidLastSave="{00000000-0000-0000-0000-000000000000}"/>
  <bookViews>
    <workbookView xWindow="-108" yWindow="-108" windowWidth="23256" windowHeight="12576" xr2:uid="{5678D2EE-22B9-41C8-A00D-5B9238D63F2F}"/>
  </bookViews>
  <sheets>
    <sheet name="Calculator_case_study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5" i="1" l="1"/>
  <c r="D275" i="1"/>
  <c r="D270" i="1"/>
  <c r="D279" i="1"/>
  <c r="D278" i="1"/>
  <c r="D277" i="1"/>
  <c r="D276" i="1"/>
  <c r="D274" i="1"/>
  <c r="D273" i="1"/>
  <c r="D272" i="1"/>
  <c r="D271" i="1"/>
  <c r="D269" i="1"/>
  <c r="D268" i="1"/>
  <c r="D267" i="1"/>
  <c r="D266" i="1"/>
  <c r="D264" i="1"/>
  <c r="D263" i="1"/>
  <c r="D262" i="1"/>
  <c r="D261" i="1"/>
  <c r="D280" i="1"/>
  <c r="I203" i="1"/>
  <c r="I206" i="1" s="1"/>
  <c r="I200" i="1"/>
  <c r="I201" i="1"/>
  <c r="E213" i="1"/>
  <c r="C213" i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E212" i="1"/>
  <c r="C212" i="1"/>
  <c r="D212" i="1"/>
  <c r="F204" i="1"/>
  <c r="D204" i="1"/>
  <c r="F200" i="1"/>
  <c r="F203" i="1"/>
  <c r="F202" i="1"/>
  <c r="F201" i="1"/>
  <c r="F199" i="1"/>
  <c r="I161" i="1"/>
  <c r="I160" i="1"/>
  <c r="H145" i="1"/>
  <c r="I159" i="1"/>
  <c r="H153" i="1"/>
  <c r="H147" i="1"/>
  <c r="E190" i="1"/>
  <c r="F177" i="1"/>
  <c r="E177" i="1"/>
  <c r="D177" i="1"/>
  <c r="D178" i="1"/>
  <c r="E178" i="1" s="1"/>
  <c r="C178" i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F163" i="1"/>
  <c r="E163" i="1"/>
  <c r="E164" i="1"/>
  <c r="E162" i="1"/>
  <c r="E161" i="1"/>
  <c r="D164" i="1"/>
  <c r="F164" i="1" s="1"/>
  <c r="C163" i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62" i="1"/>
  <c r="C161" i="1"/>
  <c r="H151" i="1"/>
  <c r="D147" i="1"/>
  <c r="D151" i="1" s="1"/>
  <c r="D153" i="1" s="1"/>
  <c r="D135" i="1"/>
  <c r="E136" i="1" s="1"/>
  <c r="D125" i="1"/>
  <c r="E126" i="1" s="1"/>
  <c r="E108" i="1"/>
  <c r="E107" i="1"/>
  <c r="K77" i="1"/>
  <c r="J78" i="1" s="1"/>
  <c r="K78" i="1" s="1"/>
  <c r="J79" i="1" s="1"/>
  <c r="K79" i="1" s="1"/>
  <c r="D77" i="1"/>
  <c r="C78" i="1" s="1"/>
  <c r="D78" i="1" s="1"/>
  <c r="C79" i="1" s="1"/>
  <c r="D79" i="1" s="1"/>
  <c r="C80" i="1" s="1"/>
  <c r="D80" i="1" s="1"/>
  <c r="C81" i="1" s="1"/>
  <c r="D81" i="1" s="1"/>
  <c r="C82" i="1" s="1"/>
  <c r="D82" i="1" s="1"/>
  <c r="C83" i="1" s="1"/>
  <c r="D83" i="1" s="1"/>
  <c r="C84" i="1" s="1"/>
  <c r="D84" i="1" s="1"/>
  <c r="C85" i="1" s="1"/>
  <c r="D85" i="1" s="1"/>
  <c r="C86" i="1" s="1"/>
  <c r="D86" i="1" s="1"/>
  <c r="C87" i="1" s="1"/>
  <c r="D87" i="1" s="1"/>
  <c r="F66" i="1"/>
  <c r="F67" i="1" s="1"/>
  <c r="F61" i="1"/>
  <c r="F62" i="1" s="1"/>
  <c r="E49" i="1"/>
  <c r="F37" i="1"/>
  <c r="F15" i="1"/>
  <c r="F17" i="1" s="1"/>
  <c r="F22" i="1" s="1"/>
  <c r="D281" i="1" l="1"/>
  <c r="F212" i="1"/>
  <c r="D213" i="1" s="1"/>
  <c r="F178" i="1"/>
  <c r="D179" i="1" s="1"/>
  <c r="D165" i="1"/>
  <c r="D161" i="1"/>
  <c r="E110" i="1"/>
  <c r="J80" i="1"/>
  <c r="K80" i="1" s="1"/>
  <c r="F213" i="1" l="1"/>
  <c r="E179" i="1"/>
  <c r="F179" i="1" s="1"/>
  <c r="D180" i="1" s="1"/>
  <c r="E165" i="1"/>
  <c r="F165" i="1"/>
  <c r="D166" i="1"/>
  <c r="F161" i="1"/>
  <c r="D162" i="1" s="1"/>
  <c r="J81" i="1"/>
  <c r="K81" i="1" s="1"/>
  <c r="D214" i="1" l="1"/>
  <c r="E214" i="1" s="1"/>
  <c r="F214" i="1"/>
  <c r="E180" i="1"/>
  <c r="F180" i="1" s="1"/>
  <c r="D181" i="1" s="1"/>
  <c r="E166" i="1"/>
  <c r="F166" i="1" s="1"/>
  <c r="D167" i="1" s="1"/>
  <c r="F162" i="1"/>
  <c r="D163" i="1" s="1"/>
  <c r="J82" i="1"/>
  <c r="K82" i="1" s="1"/>
  <c r="D215" i="1" l="1"/>
  <c r="E181" i="1"/>
  <c r="F181" i="1" s="1"/>
  <c r="D182" i="1" s="1"/>
  <c r="E167" i="1"/>
  <c r="F167" i="1"/>
  <c r="D168" i="1"/>
  <c r="J83" i="1"/>
  <c r="K83" i="1" s="1"/>
  <c r="E215" i="1" l="1"/>
  <c r="F215" i="1" s="1"/>
  <c r="D216" i="1" s="1"/>
  <c r="E182" i="1"/>
  <c r="F182" i="1" s="1"/>
  <c r="D183" i="1" s="1"/>
  <c r="E168" i="1"/>
  <c r="F168" i="1" s="1"/>
  <c r="D169" i="1" s="1"/>
  <c r="J84" i="1"/>
  <c r="K84" i="1" s="1"/>
  <c r="F216" i="1" l="1"/>
  <c r="D217" i="1" s="1"/>
  <c r="E216" i="1"/>
  <c r="E183" i="1"/>
  <c r="F183" i="1" s="1"/>
  <c r="D184" i="1" s="1"/>
  <c r="E169" i="1"/>
  <c r="F169" i="1" s="1"/>
  <c r="D170" i="1" s="1"/>
  <c r="J85" i="1"/>
  <c r="K85" i="1" s="1"/>
  <c r="E217" i="1" l="1"/>
  <c r="F217" i="1" s="1"/>
  <c r="D218" i="1" s="1"/>
  <c r="E218" i="1" s="1"/>
  <c r="F184" i="1"/>
  <c r="D185" i="1" s="1"/>
  <c r="E184" i="1"/>
  <c r="F170" i="1"/>
  <c r="D171" i="1" s="1"/>
  <c r="E170" i="1"/>
  <c r="J86" i="1"/>
  <c r="K86" i="1" s="1"/>
  <c r="F218" i="1" l="1"/>
  <c r="E185" i="1"/>
  <c r="F185" i="1" s="1"/>
  <c r="D186" i="1" s="1"/>
  <c r="E171" i="1"/>
  <c r="F171" i="1" s="1"/>
  <c r="D172" i="1" s="1"/>
  <c r="J87" i="1"/>
  <c r="K87" i="1" s="1"/>
  <c r="D219" i="1" l="1"/>
  <c r="E186" i="1"/>
  <c r="F186" i="1"/>
  <c r="D187" i="1" s="1"/>
  <c r="E172" i="1"/>
  <c r="F172" i="1" s="1"/>
  <c r="D173" i="1" s="1"/>
  <c r="E219" i="1" l="1"/>
  <c r="F219" i="1" s="1"/>
  <c r="D220" i="1" s="1"/>
  <c r="E187" i="1"/>
  <c r="F187" i="1" s="1"/>
  <c r="D188" i="1" s="1"/>
  <c r="E173" i="1"/>
  <c r="F173" i="1"/>
  <c r="D174" i="1" s="1"/>
  <c r="F220" i="1" l="1"/>
  <c r="D221" i="1" s="1"/>
  <c r="E220" i="1"/>
  <c r="F188" i="1"/>
  <c r="D189" i="1" s="1"/>
  <c r="E188" i="1"/>
  <c r="E174" i="1"/>
  <c r="F174" i="1" s="1"/>
  <c r="D175" i="1" s="1"/>
  <c r="F221" i="1" l="1"/>
  <c r="D222" i="1" s="1"/>
  <c r="E222" i="1" s="1"/>
  <c r="E221" i="1"/>
  <c r="F189" i="1"/>
  <c r="D190" i="1" s="1"/>
  <c r="F190" i="1" s="1"/>
  <c r="D191" i="1" s="1"/>
  <c r="E189" i="1"/>
  <c r="E175" i="1"/>
  <c r="F175" i="1" s="1"/>
  <c r="D176" i="1" s="1"/>
  <c r="F222" i="1" l="1"/>
  <c r="E191" i="1"/>
  <c r="F191" i="1" s="1"/>
  <c r="D192" i="1" s="1"/>
  <c r="E176" i="1"/>
  <c r="F176" i="1" s="1"/>
  <c r="D223" i="1" l="1"/>
  <c r="E223" i="1" s="1"/>
  <c r="E192" i="1"/>
  <c r="F192" i="1" s="1"/>
  <c r="D193" i="1" s="1"/>
  <c r="F223" i="1" l="1"/>
  <c r="E193" i="1"/>
  <c r="F193" i="1" s="1"/>
  <c r="D194" i="1" s="1"/>
  <c r="D224" i="1" l="1"/>
  <c r="E194" i="1"/>
  <c r="F194" i="1" s="1"/>
  <c r="D195" i="1" s="1"/>
  <c r="F224" i="1" l="1"/>
  <c r="D225" i="1" s="1"/>
  <c r="E224" i="1"/>
  <c r="E195" i="1"/>
  <c r="F195" i="1" s="1"/>
  <c r="F225" i="1" l="1"/>
  <c r="D226" i="1" s="1"/>
  <c r="E225" i="1"/>
  <c r="F226" i="1" l="1"/>
  <c r="D227" i="1" s="1"/>
  <c r="E226" i="1"/>
  <c r="E227" i="1" l="1"/>
  <c r="F227" i="1" s="1"/>
  <c r="D228" i="1" s="1"/>
  <c r="E228" i="1" s="1"/>
  <c r="F228" i="1" l="1"/>
  <c r="D229" i="1" l="1"/>
  <c r="E229" i="1" l="1"/>
  <c r="F229" i="1" s="1"/>
  <c r="D230" i="1" s="1"/>
  <c r="E230" i="1" s="1"/>
  <c r="F230" i="1" l="1"/>
  <c r="D231" i="1" l="1"/>
  <c r="E231" i="1" l="1"/>
  <c r="F231" i="1" s="1"/>
  <c r="D232" i="1" s="1"/>
  <c r="E232" i="1" s="1"/>
  <c r="F232" i="1" l="1"/>
  <c r="D233" i="1" l="1"/>
  <c r="E233" i="1" l="1"/>
  <c r="F233" i="1" s="1"/>
  <c r="D234" i="1" s="1"/>
  <c r="E234" i="1" l="1"/>
  <c r="F234" i="1" s="1"/>
  <c r="D235" i="1" s="1"/>
  <c r="E235" i="1" l="1"/>
  <c r="F235" i="1" s="1"/>
  <c r="D236" i="1" s="1"/>
  <c r="E236" i="1" s="1"/>
  <c r="F236" i="1" l="1"/>
  <c r="D237" i="1" l="1"/>
  <c r="E237" i="1" s="1"/>
  <c r="F237" i="1" l="1"/>
  <c r="D238" i="1" l="1"/>
  <c r="E238" i="1" s="1"/>
  <c r="F238" i="1" l="1"/>
  <c r="D239" i="1" l="1"/>
  <c r="E239" i="1" l="1"/>
  <c r="F239" i="1" s="1"/>
  <c r="D240" i="1" s="1"/>
  <c r="E240" i="1" l="1"/>
  <c r="F240" i="1" s="1"/>
  <c r="D241" i="1" s="1"/>
  <c r="E241" i="1" l="1"/>
  <c r="F241" i="1" s="1"/>
  <c r="D242" i="1" s="1"/>
  <c r="E242" i="1" l="1"/>
  <c r="F242" i="1" s="1"/>
  <c r="D243" i="1" s="1"/>
  <c r="E243" i="1" l="1"/>
  <c r="F243" i="1" s="1"/>
  <c r="D244" i="1" s="1"/>
  <c r="E244" i="1" l="1"/>
  <c r="F244" i="1" s="1"/>
  <c r="D245" i="1" s="1"/>
  <c r="E245" i="1" l="1"/>
  <c r="F245" i="1" s="1"/>
  <c r="D246" i="1" s="1"/>
  <c r="E246" i="1" l="1"/>
  <c r="F246" i="1" s="1"/>
</calcChain>
</file>

<file path=xl/sharedStrings.xml><?xml version="1.0" encoding="utf-8"?>
<sst xmlns="http://schemas.openxmlformats.org/spreadsheetml/2006/main" count="184" uniqueCount="142">
  <si>
    <t xml:space="preserve">Problem : </t>
  </si>
  <si>
    <t>don’t pay more</t>
  </si>
  <si>
    <t>We pay back you 20 lakh in 15 year</t>
  </si>
  <si>
    <t>Solution :</t>
  </si>
  <si>
    <t>use future value formula , this will calculate the future value of investment</t>
  </si>
  <si>
    <t>Amount payable every year</t>
  </si>
  <si>
    <t>number of years</t>
  </si>
  <si>
    <t>Intrest rate</t>
  </si>
  <si>
    <t>assumption</t>
  </si>
  <si>
    <t>future value after 10 years</t>
  </si>
  <si>
    <t xml:space="preserve">present value </t>
  </si>
  <si>
    <t>present value after 10 years</t>
  </si>
  <si>
    <t>payment per year</t>
  </si>
  <si>
    <t>Intersent rate</t>
  </si>
  <si>
    <t>number of years (waiting period)</t>
  </si>
  <si>
    <t>Future value of investment after 15 years</t>
  </si>
  <si>
    <t xml:space="preserve">Pay rs. 1 Lakh per year for 10 years </t>
  </si>
  <si>
    <t>nper</t>
  </si>
  <si>
    <t>pmt</t>
  </si>
  <si>
    <t>negative because we are giving out money</t>
  </si>
  <si>
    <t>rate</t>
  </si>
  <si>
    <t>pv</t>
  </si>
  <si>
    <t>fv</t>
  </si>
  <si>
    <t>negative because we have not received money</t>
  </si>
  <si>
    <t xml:space="preserve">we do not make any payment for 5 years </t>
  </si>
  <si>
    <t>we have to wait 5 years to get our money</t>
  </si>
  <si>
    <t>Future Value</t>
  </si>
  <si>
    <t>Rate</t>
  </si>
  <si>
    <t xml:space="preserve">HDFC crest gaurantees 45 % absoulte resturn on whatever you invest today </t>
  </si>
  <si>
    <t>they will return money in 5 years</t>
  </si>
  <si>
    <t xml:space="preserve">absolute return </t>
  </si>
  <si>
    <t>years</t>
  </si>
  <si>
    <t>assume we invest 100 rs yearly</t>
  </si>
  <si>
    <t>45% of rs 100 is rs145</t>
  </si>
  <si>
    <t>after 5 years HDFC will return 100 rs with interest ie. Rs 145</t>
  </si>
  <si>
    <t>we  do not have to pay anything regularly . It is one time investment</t>
  </si>
  <si>
    <t>Rate per year</t>
  </si>
  <si>
    <t>therefore HDFC will pay you 8% pe anum</t>
  </si>
  <si>
    <t>Note we cannot get Rate of above Insurance prblem  with rate since . Payment and initial investment varies during total tenure</t>
  </si>
  <si>
    <t>Note we have to use %</t>
  </si>
  <si>
    <t>Rule fo 72</t>
  </si>
  <si>
    <t>rate required to double money</t>
  </si>
  <si>
    <t>72 / time in year</t>
  </si>
  <si>
    <t>rate to double money in 9 years</t>
  </si>
  <si>
    <t>that is at 8 % annual interset rate we will double our money in 9 years</t>
  </si>
  <si>
    <t>bank Loan</t>
  </si>
  <si>
    <t>you took 10 Lakh from bank , Bank says to pay 11K per month in 10 month , calcualate rate</t>
  </si>
  <si>
    <t>Loan</t>
  </si>
  <si>
    <t>period</t>
  </si>
  <si>
    <t>pay back monthly amount</t>
  </si>
  <si>
    <t>let us use rate formula</t>
  </si>
  <si>
    <t>per month</t>
  </si>
  <si>
    <t>Note : 10 percent per year is wrong answer</t>
  </si>
  <si>
    <t>21.26% per year</t>
  </si>
  <si>
    <t xml:space="preserve">10% per year </t>
  </si>
  <si>
    <t>total ammount I paid back</t>
  </si>
  <si>
    <t>rate of interst per year</t>
  </si>
  <si>
    <t>RATE( TIME , PAYMENT , -PV ,FV)</t>
  </si>
  <si>
    <t>CALCULATION</t>
  </si>
  <si>
    <t>Actually do it</t>
  </si>
  <si>
    <t>assumed</t>
  </si>
  <si>
    <t xml:space="preserve">Actual </t>
  </si>
  <si>
    <t>Month</t>
  </si>
  <si>
    <t>Outstanding</t>
  </si>
  <si>
    <t>plus interset</t>
  </si>
  <si>
    <t>Pay monthly EMI</t>
  </si>
  <si>
    <t>Direct vs Regular plan</t>
  </si>
  <si>
    <t xml:space="preserve">Direct Plan has no commision </t>
  </si>
  <si>
    <t>Regular plan is the one you take from agent like Bank /brooker / salesman</t>
  </si>
  <si>
    <t>Direct plan is cheaper than regular plan</t>
  </si>
  <si>
    <t xml:space="preserve">Regular plan charge you commision </t>
  </si>
  <si>
    <t xml:space="preserve">Interest received from </t>
  </si>
  <si>
    <t>Regular</t>
  </si>
  <si>
    <t>Direct</t>
  </si>
  <si>
    <t>eg : you invest 10K per month for 10 years</t>
  </si>
  <si>
    <t>regular</t>
  </si>
  <si>
    <t>direct</t>
  </si>
  <si>
    <t xml:space="preserve">commison paid in regular on 10 K per month for 10 years </t>
  </si>
  <si>
    <t>generally from 0.5% to 1%</t>
  </si>
  <si>
    <t xml:space="preserve">valueresearchonline.com </t>
  </si>
  <si>
    <t>time</t>
  </si>
  <si>
    <t>money</t>
  </si>
  <si>
    <t>Change values to see differnce in commison over years</t>
  </si>
  <si>
    <t>Change values to find out actual interest</t>
  </si>
  <si>
    <t>Inflation</t>
  </si>
  <si>
    <t>IN 20 years you will have 5 crore , how much that 5 cr buy you today</t>
  </si>
  <si>
    <t xml:space="preserve">in </t>
  </si>
  <si>
    <t>you will have</t>
  </si>
  <si>
    <t>inflation</t>
  </si>
  <si>
    <t>how much 5 Cr buy you</t>
  </si>
  <si>
    <t>Note Infalation varies person to person</t>
  </si>
  <si>
    <t>so we can ay that actual value of 5 cr is : its 25% i.e 1cr 30L</t>
  </si>
  <si>
    <t>Term Insurance</t>
  </si>
  <si>
    <t>Monthly investment</t>
  </si>
  <si>
    <t>infaltion rate</t>
  </si>
  <si>
    <t>change this to see absoulute return</t>
  </si>
  <si>
    <t>term cover</t>
  </si>
  <si>
    <t>ULIP /endowment</t>
  </si>
  <si>
    <t>Saving / investing for furture</t>
  </si>
  <si>
    <t>monthy investement</t>
  </si>
  <si>
    <t>fv/pv</t>
  </si>
  <si>
    <t>time period</t>
  </si>
  <si>
    <t xml:space="preserve">infaltion rate </t>
  </si>
  <si>
    <t>pv/fv</t>
  </si>
  <si>
    <t>year</t>
  </si>
  <si>
    <t>Lets say you increment your investment by 10% every year , and compounding anually</t>
  </si>
  <si>
    <t>invested per year</t>
  </si>
  <si>
    <t>Corpus</t>
  </si>
  <si>
    <t>Interset in money</t>
  </si>
  <si>
    <t>Total</t>
  </si>
  <si>
    <t>Increment investment by</t>
  </si>
  <si>
    <t xml:space="preserve">INCREMENT INVESTMENT BY </t>
  </si>
  <si>
    <t xml:space="preserve">Increment in investment by </t>
  </si>
  <si>
    <t>variance without increment in money</t>
  </si>
  <si>
    <t>variance without increment in percent</t>
  </si>
  <si>
    <t>You get a 320% more value if you just increase 10% more</t>
  </si>
  <si>
    <t>what if I can Save what I spend carelessly</t>
  </si>
  <si>
    <t>eg : I don’t smoke , what if I invest cost of 2 cigrette daily</t>
  </si>
  <si>
    <t>eg: I don't drink , what If I invest cost of 1/7 alchol bottle daily</t>
  </si>
  <si>
    <t>eg : I don't drink tea and coffee , what if I save cost of 2 cups of tea daily</t>
  </si>
  <si>
    <t>eg : I don't eat tobaaco/pan , what if I save cost for 2 pan daily</t>
  </si>
  <si>
    <t xml:space="preserve">what if I save daily </t>
  </si>
  <si>
    <t>inflation adjusted increment on investment</t>
  </si>
  <si>
    <t>then yearly saving</t>
  </si>
  <si>
    <t>time period for investment</t>
  </si>
  <si>
    <t>return on investment</t>
  </si>
  <si>
    <t>3 cr, 50lakh</t>
  </si>
  <si>
    <t>infaltion rate every  year</t>
  </si>
  <si>
    <t xml:space="preserve">time preiod </t>
  </si>
  <si>
    <t>This make a lot of impact</t>
  </si>
  <si>
    <t>Money back Policy</t>
  </si>
  <si>
    <t xml:space="preserve">every year you put </t>
  </si>
  <si>
    <t>after 5 years</t>
  </si>
  <si>
    <t>after 10 years</t>
  </si>
  <si>
    <t>after 15 years</t>
  </si>
  <si>
    <t>after 20  years</t>
  </si>
  <si>
    <t>Bomus at 20th year</t>
  </si>
  <si>
    <t>DATE</t>
  </si>
  <si>
    <t>PAYMENT</t>
  </si>
  <si>
    <t>Note : ICICI Direct is a regualr plan . Therefore you should search for word "DIRECT PLAN"</t>
  </si>
  <si>
    <t>XIRR is good for year , not good for anything lesss than year</t>
  </si>
  <si>
    <t xml:space="preserve">Notes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</si>
</sst>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₹&quot;\ #,##0.00;[Red]&quot;₹&quot;\ \-#,##0.00"/>
    <numFmt numFmtId="164" formatCode="&quot;₹&quot;\ #,##0.00"/>
    <numFmt numFmtId="165" formatCode="&quot;₹&quot;\ #,##0"/>
    <numFmt numFmtId="166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8" fontId="0" fillId="0" borderId="0" xfId="0" applyNumberFormat="1"/>
    <xf numFmtId="10" fontId="0" fillId="0" borderId="0" xfId="0" applyNumberFormat="1"/>
    <xf numFmtId="0" fontId="0" fillId="0" borderId="1" xfId="0" applyBorder="1"/>
    <xf numFmtId="10" fontId="0" fillId="2" borderId="1" xfId="0" applyNumberFormat="1" applyFill="1" applyBorder="1"/>
    <xf numFmtId="8" fontId="0" fillId="0" borderId="1" xfId="0" applyNumberFormat="1" applyBorder="1"/>
    <xf numFmtId="10" fontId="0" fillId="0" borderId="1" xfId="0" applyNumberFormat="1" applyBorder="1"/>
    <xf numFmtId="0" fontId="0" fillId="0" borderId="2" xfId="0" applyBorder="1"/>
    <xf numFmtId="0" fontId="0" fillId="0" borderId="3" xfId="0" applyBorder="1"/>
    <xf numFmtId="8" fontId="0" fillId="3" borderId="6" xfId="0" applyNumberFormat="1" applyFill="1" applyBorder="1"/>
    <xf numFmtId="8" fontId="0" fillId="4" borderId="6" xfId="0" applyNumberFormat="1" applyFill="1" applyBorder="1"/>
    <xf numFmtId="0" fontId="2" fillId="0" borderId="0" xfId="0" applyFont="1"/>
    <xf numFmtId="9" fontId="0" fillId="0" borderId="0" xfId="0" applyNumberFormat="1"/>
    <xf numFmtId="9" fontId="0" fillId="0" borderId="1" xfId="0" applyNumberFormat="1" applyBorder="1"/>
    <xf numFmtId="9" fontId="0" fillId="3" borderId="1" xfId="0" applyNumberFormat="1" applyFill="1" applyBorder="1"/>
    <xf numFmtId="9" fontId="0" fillId="6" borderId="0" xfId="0" applyNumberFormat="1" applyFill="1"/>
    <xf numFmtId="0" fontId="0" fillId="3" borderId="1" xfId="0" applyFill="1" applyBorder="1"/>
    <xf numFmtId="10" fontId="0" fillId="3" borderId="1" xfId="0" applyNumberFormat="1" applyFill="1" applyBorder="1"/>
    <xf numFmtId="10" fontId="0" fillId="7" borderId="0" xfId="0" applyNumberFormat="1" applyFill="1"/>
    <xf numFmtId="164" fontId="0" fillId="0" borderId="1" xfId="0" applyNumberFormat="1" applyBorder="1"/>
    <xf numFmtId="164" fontId="0" fillId="6" borderId="1" xfId="0" applyNumberFormat="1" applyFill="1" applyBorder="1"/>
    <xf numFmtId="164" fontId="0" fillId="7" borderId="1" xfId="0" applyNumberFormat="1" applyFill="1" applyBorder="1"/>
    <xf numFmtId="8" fontId="0" fillId="7" borderId="0" xfId="0" applyNumberFormat="1" applyFill="1"/>
    <xf numFmtId="0" fontId="0" fillId="8" borderId="1" xfId="0" applyFill="1" applyBorder="1"/>
    <xf numFmtId="0" fontId="0" fillId="9" borderId="0" xfId="0" applyFill="1"/>
    <xf numFmtId="8" fontId="0" fillId="3" borderId="1" xfId="0" applyNumberFormat="1" applyFill="1" applyBorder="1"/>
    <xf numFmtId="164" fontId="0" fillId="3" borderId="1" xfId="0" applyNumberFormat="1" applyFill="1" applyBorder="1"/>
    <xf numFmtId="9" fontId="0" fillId="9" borderId="0" xfId="0" applyNumberFormat="1" applyFill="1"/>
    <xf numFmtId="165" fontId="0" fillId="0" borderId="1" xfId="0" applyNumberFormat="1" applyBorder="1"/>
    <xf numFmtId="165" fontId="0" fillId="3" borderId="1" xfId="0" applyNumberFormat="1" applyFill="1" applyBorder="1"/>
    <xf numFmtId="165" fontId="0" fillId="0" borderId="0" xfId="0" applyNumberFormat="1"/>
    <xf numFmtId="14" fontId="0" fillId="0" borderId="1" xfId="0" applyNumberFormat="1" applyBorder="1"/>
    <xf numFmtId="166" fontId="0" fillId="9" borderId="1" xfId="1" applyNumberFormat="1" applyFont="1" applyFill="1" applyBorder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288</xdr:row>
      <xdr:rowOff>0</xdr:rowOff>
    </xdr:from>
    <xdr:to>
      <xdr:col>7</xdr:col>
      <xdr:colOff>2599195</xdr:colOff>
      <xdr:row>309</xdr:row>
      <xdr:rowOff>151898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EA6155-F605-1C94-FDF3-291314B1E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3054250"/>
          <a:ext cx="9038095" cy="40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7</xdr:col>
      <xdr:colOff>2189671</xdr:colOff>
      <xdr:row>336</xdr:row>
      <xdr:rowOff>94686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396FB-08E2-0C03-D6AF-895FD2F8D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7473850"/>
          <a:ext cx="8628571" cy="4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7</xdr:col>
      <xdr:colOff>2094433</xdr:colOff>
      <xdr:row>361</xdr:row>
      <xdr:rowOff>174074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F8B908-D297-FD38-2E10-C12B84485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62261750"/>
          <a:ext cx="8533333" cy="44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FCE71-AC1D-4D31-A6A0-85BA2E2B7FD6}">
  <dimension ref="A1:N288"/>
  <sheetViews>
    <sheetView tabSelected="1" zoomScale="120" zoomScaleNormal="120" workbookViewId="0">
      <selection activeCell="B365" sqref="B365"/>
    </sheetView>
  </sheetViews>
  <sheetFormatPr defaultRowHeight="14.4" x14ac:dyDescent="0.3"/>
  <cols>
    <col min="3" max="3" width="21.6640625" customWidth="1"/>
    <col min="4" max="4" width="15.21875" customWidth="1"/>
    <col min="5" max="5" width="20.44140625" customWidth="1"/>
    <col min="6" max="6" width="21.109375" bestFit="1" customWidth="1"/>
    <col min="7" max="7" width="6.5546875" customWidth="1"/>
    <col min="8" max="8" width="59.21875" bestFit="1" customWidth="1"/>
    <col min="9" max="9" width="14.5546875" bestFit="1" customWidth="1"/>
    <col min="10" max="11" width="14.6640625" bestFit="1" customWidth="1"/>
  </cols>
  <sheetData>
    <row r="1" spans="1:9" x14ac:dyDescent="0.3">
      <c r="A1" s="11">
        <v>1</v>
      </c>
      <c r="B1" s="11" t="s">
        <v>97</v>
      </c>
    </row>
    <row r="2" spans="1:9" x14ac:dyDescent="0.3">
      <c r="B2" s="11" t="s">
        <v>26</v>
      </c>
    </row>
    <row r="3" spans="1:9" x14ac:dyDescent="0.3">
      <c r="B3" t="s">
        <v>0</v>
      </c>
      <c r="C3" t="s">
        <v>16</v>
      </c>
    </row>
    <row r="4" spans="1:9" x14ac:dyDescent="0.3">
      <c r="C4" t="s">
        <v>1</v>
      </c>
    </row>
    <row r="5" spans="1:9" x14ac:dyDescent="0.3">
      <c r="C5" t="s">
        <v>2</v>
      </c>
    </row>
    <row r="7" spans="1:9" x14ac:dyDescent="0.3">
      <c r="B7" t="s">
        <v>3</v>
      </c>
      <c r="C7" t="s">
        <v>4</v>
      </c>
    </row>
    <row r="8" spans="1:9" ht="13.8" customHeight="1" x14ac:dyDescent="0.3"/>
    <row r="10" spans="1:9" x14ac:dyDescent="0.3">
      <c r="B10" s="33" t="s">
        <v>5</v>
      </c>
      <c r="C10" s="33"/>
      <c r="D10" s="33"/>
      <c r="E10" s="33"/>
      <c r="F10" s="3">
        <v>-100000</v>
      </c>
      <c r="H10" t="s">
        <v>18</v>
      </c>
      <c r="I10" t="s">
        <v>19</v>
      </c>
    </row>
    <row r="11" spans="1:9" x14ac:dyDescent="0.3">
      <c r="B11" s="33" t="s">
        <v>6</v>
      </c>
      <c r="C11" s="33"/>
      <c r="D11" s="33"/>
      <c r="E11" s="33"/>
      <c r="F11" s="3">
        <v>10</v>
      </c>
      <c r="H11" t="s">
        <v>17</v>
      </c>
    </row>
    <row r="12" spans="1:9" x14ac:dyDescent="0.3">
      <c r="B12" s="33" t="s">
        <v>7</v>
      </c>
      <c r="C12" s="33"/>
      <c r="D12" s="33"/>
      <c r="E12" s="33"/>
      <c r="F12" s="4">
        <v>7.4999999999999997E-2</v>
      </c>
      <c r="G12" s="2"/>
      <c r="H12" t="s">
        <v>20</v>
      </c>
      <c r="I12" t="s">
        <v>8</v>
      </c>
    </row>
    <row r="13" spans="1:9" x14ac:dyDescent="0.3">
      <c r="B13" s="33" t="s">
        <v>10</v>
      </c>
      <c r="C13" s="33"/>
      <c r="D13" s="33"/>
      <c r="E13" s="33"/>
      <c r="F13" s="3">
        <v>0</v>
      </c>
      <c r="H13" t="s">
        <v>21</v>
      </c>
    </row>
    <row r="14" spans="1:9" ht="15" thickBot="1" x14ac:dyDescent="0.35">
      <c r="B14" s="42"/>
      <c r="C14" s="42"/>
      <c r="D14" s="42"/>
      <c r="E14" s="42"/>
      <c r="F14" s="7"/>
    </row>
    <row r="15" spans="1:9" ht="15" thickBot="1" x14ac:dyDescent="0.35">
      <c r="B15" s="40" t="s">
        <v>9</v>
      </c>
      <c r="C15" s="41"/>
      <c r="D15" s="41"/>
      <c r="E15" s="41"/>
      <c r="F15" s="10">
        <f>FV(F12,F11,F10,F13)</f>
        <v>1414708.7495529482</v>
      </c>
      <c r="G15" s="1"/>
      <c r="H15" t="s">
        <v>22</v>
      </c>
    </row>
    <row r="16" spans="1:9" x14ac:dyDescent="0.3">
      <c r="B16" s="43"/>
      <c r="C16" s="43"/>
      <c r="D16" s="43"/>
      <c r="E16" s="43"/>
      <c r="F16" s="8"/>
    </row>
    <row r="17" spans="1:13" x14ac:dyDescent="0.3">
      <c r="B17" s="33" t="s">
        <v>11</v>
      </c>
      <c r="C17" s="33"/>
      <c r="D17" s="33"/>
      <c r="E17" s="33"/>
      <c r="F17" s="5">
        <f>-F15</f>
        <v>-1414708.7495529482</v>
      </c>
      <c r="G17" s="1"/>
      <c r="H17" t="s">
        <v>21</v>
      </c>
      <c r="I17" t="s">
        <v>23</v>
      </c>
    </row>
    <row r="18" spans="1:13" x14ac:dyDescent="0.3">
      <c r="B18" s="33" t="s">
        <v>12</v>
      </c>
      <c r="C18" s="33"/>
      <c r="D18" s="33"/>
      <c r="E18" s="33"/>
      <c r="F18" s="3">
        <v>0</v>
      </c>
      <c r="H18" t="s">
        <v>18</v>
      </c>
      <c r="I18" t="s">
        <v>24</v>
      </c>
    </row>
    <row r="19" spans="1:13" x14ac:dyDescent="0.3">
      <c r="B19" s="33" t="s">
        <v>13</v>
      </c>
      <c r="C19" s="33"/>
      <c r="D19" s="33"/>
      <c r="E19" s="33"/>
      <c r="F19" s="4">
        <v>7.4999999999999997E-2</v>
      </c>
      <c r="G19" s="2"/>
      <c r="H19" t="s">
        <v>20</v>
      </c>
      <c r="I19" t="s">
        <v>8</v>
      </c>
      <c r="K19" s="37" t="s">
        <v>39</v>
      </c>
      <c r="L19" s="37"/>
      <c r="M19" s="37"/>
    </row>
    <row r="20" spans="1:13" x14ac:dyDescent="0.3">
      <c r="B20" s="33" t="s">
        <v>14</v>
      </c>
      <c r="C20" s="33"/>
      <c r="D20" s="33"/>
      <c r="E20" s="33"/>
      <c r="F20" s="3">
        <v>5</v>
      </c>
      <c r="H20" t="s">
        <v>17</v>
      </c>
      <c r="I20" t="s">
        <v>25</v>
      </c>
    </row>
    <row r="21" spans="1:13" ht="15" thickBot="1" x14ac:dyDescent="0.35">
      <c r="B21" s="42"/>
      <c r="C21" s="42"/>
      <c r="D21" s="42"/>
      <c r="E21" s="42"/>
      <c r="F21" s="7"/>
    </row>
    <row r="22" spans="1:13" ht="15" thickBot="1" x14ac:dyDescent="0.35">
      <c r="B22" s="40" t="s">
        <v>15</v>
      </c>
      <c r="C22" s="41"/>
      <c r="D22" s="41"/>
      <c r="E22" s="41"/>
      <c r="F22" s="9">
        <f>FV(F19,F20,F18,F17)</f>
        <v>2030997.3688501546</v>
      </c>
      <c r="G22" s="1"/>
    </row>
    <row r="26" spans="1:13" x14ac:dyDescent="0.3">
      <c r="A26" s="11">
        <v>2</v>
      </c>
      <c r="B26" s="11" t="s">
        <v>27</v>
      </c>
    </row>
    <row r="28" spans="1:13" x14ac:dyDescent="0.3">
      <c r="B28" t="s">
        <v>28</v>
      </c>
    </row>
    <row r="29" spans="1:13" x14ac:dyDescent="0.3">
      <c r="B29" t="s">
        <v>29</v>
      </c>
    </row>
    <row r="31" spans="1:13" x14ac:dyDescent="0.3">
      <c r="B31" s="33" t="s">
        <v>30</v>
      </c>
      <c r="C31" s="33"/>
      <c r="D31" s="33"/>
      <c r="E31" s="33"/>
      <c r="F31" s="13">
        <v>0.45</v>
      </c>
    </row>
    <row r="32" spans="1:13" x14ac:dyDescent="0.3">
      <c r="B32" s="33" t="s">
        <v>21</v>
      </c>
      <c r="C32" s="33"/>
      <c r="D32" s="33"/>
      <c r="E32" s="33"/>
      <c r="F32" s="3">
        <v>-100</v>
      </c>
      <c r="H32" t="s">
        <v>32</v>
      </c>
    </row>
    <row r="33" spans="1:8" x14ac:dyDescent="0.3">
      <c r="B33" s="33" t="s">
        <v>22</v>
      </c>
      <c r="C33" s="33"/>
      <c r="D33" s="33"/>
      <c r="E33" s="33"/>
      <c r="F33" s="3">
        <v>145</v>
      </c>
      <c r="H33" t="s">
        <v>33</v>
      </c>
    </row>
    <row r="34" spans="1:8" x14ac:dyDescent="0.3">
      <c r="B34" s="33" t="s">
        <v>31</v>
      </c>
      <c r="C34" s="33"/>
      <c r="D34" s="33"/>
      <c r="E34" s="33"/>
      <c r="F34" s="3">
        <v>5</v>
      </c>
      <c r="H34" t="s">
        <v>34</v>
      </c>
    </row>
    <row r="35" spans="1:8" x14ac:dyDescent="0.3">
      <c r="B35" s="33" t="s">
        <v>18</v>
      </c>
      <c r="C35" s="33"/>
      <c r="D35" s="33"/>
      <c r="E35" s="33"/>
      <c r="F35" s="3">
        <v>0</v>
      </c>
      <c r="H35" t="s">
        <v>35</v>
      </c>
    </row>
    <row r="36" spans="1:8" x14ac:dyDescent="0.3">
      <c r="B36" s="33"/>
      <c r="C36" s="33"/>
      <c r="D36" s="33"/>
      <c r="E36" s="33"/>
      <c r="F36" s="3"/>
    </row>
    <row r="37" spans="1:8" x14ac:dyDescent="0.3">
      <c r="B37" s="33" t="s">
        <v>36</v>
      </c>
      <c r="C37" s="33"/>
      <c r="D37" s="33"/>
      <c r="E37" s="33"/>
      <c r="F37" s="14">
        <f>RATE(F34,F35,F32,F33)</f>
        <v>7.7143587798635949E-2</v>
      </c>
      <c r="H37" t="s">
        <v>37</v>
      </c>
    </row>
    <row r="38" spans="1:8" x14ac:dyDescent="0.3">
      <c r="B38" s="38"/>
      <c r="C38" s="38"/>
      <c r="D38" s="38"/>
      <c r="E38" s="38"/>
    </row>
    <row r="39" spans="1:8" x14ac:dyDescent="0.3">
      <c r="B39" s="38"/>
      <c r="C39" s="38"/>
      <c r="D39" s="38"/>
      <c r="E39" s="38"/>
    </row>
    <row r="40" spans="1:8" x14ac:dyDescent="0.3">
      <c r="B40" s="38"/>
      <c r="C40" s="38"/>
      <c r="D40" s="38"/>
      <c r="E40" s="38"/>
    </row>
    <row r="41" spans="1:8" x14ac:dyDescent="0.3">
      <c r="B41" s="39" t="s">
        <v>38</v>
      </c>
      <c r="C41" s="39"/>
      <c r="D41" s="39"/>
      <c r="E41" s="39"/>
    </row>
    <row r="42" spans="1:8" x14ac:dyDescent="0.3">
      <c r="B42" s="39"/>
      <c r="C42" s="39"/>
      <c r="D42" s="39"/>
      <c r="E42" s="39"/>
    </row>
    <row r="43" spans="1:8" x14ac:dyDescent="0.3">
      <c r="B43" s="39"/>
      <c r="C43" s="39"/>
      <c r="D43" s="39"/>
      <c r="E43" s="39"/>
    </row>
    <row r="45" spans="1:8" x14ac:dyDescent="0.3">
      <c r="A45" s="11">
        <v>3</v>
      </c>
      <c r="B45" s="11" t="s">
        <v>40</v>
      </c>
    </row>
    <row r="47" spans="1:8" x14ac:dyDescent="0.3">
      <c r="B47" t="s">
        <v>41</v>
      </c>
      <c r="E47" t="s">
        <v>42</v>
      </c>
    </row>
    <row r="49" spans="1:13" x14ac:dyDescent="0.3">
      <c r="B49" t="s">
        <v>43</v>
      </c>
      <c r="E49">
        <f>72/9</f>
        <v>8</v>
      </c>
      <c r="F49" s="37" t="s">
        <v>44</v>
      </c>
      <c r="G49" s="37"/>
      <c r="H49" s="37"/>
      <c r="I49" s="37"/>
      <c r="J49" s="37"/>
      <c r="K49" s="37"/>
      <c r="L49" s="37"/>
      <c r="M49" s="37"/>
    </row>
    <row r="53" spans="1:13" x14ac:dyDescent="0.3">
      <c r="A53" s="11">
        <v>4</v>
      </c>
      <c r="B53" s="11" t="s">
        <v>45</v>
      </c>
    </row>
    <row r="55" spans="1:13" x14ac:dyDescent="0.3">
      <c r="B55" t="s">
        <v>46</v>
      </c>
    </row>
    <row r="57" spans="1:13" x14ac:dyDescent="0.3">
      <c r="B57" s="33" t="s">
        <v>47</v>
      </c>
      <c r="C57" s="33"/>
      <c r="D57" s="33"/>
      <c r="E57" s="33"/>
      <c r="F57" s="3">
        <v>100000</v>
      </c>
    </row>
    <row r="58" spans="1:13" x14ac:dyDescent="0.3">
      <c r="B58" s="33" t="s">
        <v>48</v>
      </c>
      <c r="C58" s="33"/>
      <c r="D58" s="33"/>
      <c r="E58" s="33"/>
      <c r="F58" s="3">
        <v>10</v>
      </c>
    </row>
    <row r="59" spans="1:13" x14ac:dyDescent="0.3">
      <c r="B59" s="33" t="s">
        <v>49</v>
      </c>
      <c r="C59" s="33"/>
      <c r="D59" s="33"/>
      <c r="E59" s="33"/>
      <c r="F59" s="3">
        <v>11000</v>
      </c>
    </row>
    <row r="60" spans="1:13" x14ac:dyDescent="0.3">
      <c r="B60" s="33"/>
      <c r="C60" s="33"/>
      <c r="D60" s="33"/>
      <c r="E60" s="33"/>
      <c r="F60" s="3"/>
    </row>
    <row r="61" spans="1:13" x14ac:dyDescent="0.3">
      <c r="B61" s="33" t="s">
        <v>55</v>
      </c>
      <c r="C61" s="33"/>
      <c r="D61" s="33"/>
      <c r="E61" s="33"/>
      <c r="F61" s="3">
        <f>F59*F58</f>
        <v>110000</v>
      </c>
    </row>
    <row r="62" spans="1:13" x14ac:dyDescent="0.3">
      <c r="B62" s="33" t="s">
        <v>56</v>
      </c>
      <c r="C62" s="33"/>
      <c r="D62" s="33"/>
      <c r="E62" s="33"/>
      <c r="F62" s="3">
        <f>(F61-F57)/F57 *100</f>
        <v>10</v>
      </c>
      <c r="G62" s="15" t="s">
        <v>54</v>
      </c>
    </row>
    <row r="63" spans="1:13" x14ac:dyDescent="0.3">
      <c r="B63" s="33"/>
      <c r="C63" s="33"/>
      <c r="D63" s="33"/>
      <c r="E63" s="33"/>
      <c r="F63" s="3"/>
    </row>
    <row r="64" spans="1:13" x14ac:dyDescent="0.3">
      <c r="B64" s="33" t="s">
        <v>52</v>
      </c>
      <c r="C64" s="33"/>
      <c r="D64" s="33"/>
      <c r="E64" s="33"/>
      <c r="F64" s="3"/>
    </row>
    <row r="65" spans="2:11" x14ac:dyDescent="0.3">
      <c r="B65" s="33"/>
      <c r="C65" s="33"/>
      <c r="D65" s="33"/>
      <c r="E65" s="33"/>
      <c r="F65" s="3"/>
    </row>
    <row r="66" spans="2:11" x14ac:dyDescent="0.3">
      <c r="B66" s="33" t="s">
        <v>50</v>
      </c>
      <c r="C66" s="33"/>
      <c r="D66" s="33"/>
      <c r="E66" s="33"/>
      <c r="F66" s="13">
        <f>RATE(F58,F59,-F57,0)</f>
        <v>1.771542690651752E-2</v>
      </c>
      <c r="G66" t="s">
        <v>51</v>
      </c>
      <c r="I66" t="s">
        <v>57</v>
      </c>
    </row>
    <row r="67" spans="2:11" x14ac:dyDescent="0.3">
      <c r="B67" s="33"/>
      <c r="C67" s="33"/>
      <c r="D67" s="33"/>
      <c r="E67" s="33"/>
      <c r="F67" s="16">
        <f>F66*12*100</f>
        <v>21.258512287821024</v>
      </c>
      <c r="G67" t="s">
        <v>53</v>
      </c>
    </row>
    <row r="71" spans="2:11" x14ac:dyDescent="0.3">
      <c r="B71" t="s">
        <v>58</v>
      </c>
    </row>
    <row r="72" spans="2:11" x14ac:dyDescent="0.3">
      <c r="B72" t="s">
        <v>65</v>
      </c>
      <c r="D72">
        <v>11000</v>
      </c>
    </row>
    <row r="73" spans="2:11" x14ac:dyDescent="0.3">
      <c r="B73" t="s">
        <v>59</v>
      </c>
    </row>
    <row r="74" spans="2:11" x14ac:dyDescent="0.3">
      <c r="B74" t="s">
        <v>60</v>
      </c>
      <c r="C74" t="s">
        <v>27</v>
      </c>
      <c r="D74" s="12">
        <v>0.1</v>
      </c>
      <c r="E74" s="24" t="s">
        <v>83</v>
      </c>
      <c r="F74" s="24"/>
      <c r="I74" t="s">
        <v>61</v>
      </c>
      <c r="J74" t="s">
        <v>20</v>
      </c>
      <c r="K74" s="18">
        <v>0.21260000000000001</v>
      </c>
    </row>
    <row r="76" spans="2:11" x14ac:dyDescent="0.3">
      <c r="B76" s="3" t="s">
        <v>62</v>
      </c>
      <c r="C76" s="3" t="s">
        <v>63</v>
      </c>
      <c r="D76" s="3" t="s">
        <v>64</v>
      </c>
      <c r="I76" s="3" t="s">
        <v>62</v>
      </c>
      <c r="J76" s="3" t="s">
        <v>63</v>
      </c>
      <c r="K76" s="3" t="s">
        <v>64</v>
      </c>
    </row>
    <row r="77" spans="2:11" x14ac:dyDescent="0.3">
      <c r="B77" s="3">
        <v>0</v>
      </c>
      <c r="C77" s="19">
        <v>100000</v>
      </c>
      <c r="D77" s="19">
        <f>C77*(1+$D$74/12)</f>
        <v>100833.33333333333</v>
      </c>
      <c r="I77" s="3">
        <v>0</v>
      </c>
      <c r="J77" s="19">
        <v>100000</v>
      </c>
      <c r="K77" s="19">
        <f>J77*(1+$K$74/12)</f>
        <v>101771.66666666666</v>
      </c>
    </row>
    <row r="78" spans="2:11" x14ac:dyDescent="0.3">
      <c r="B78" s="3">
        <v>1</v>
      </c>
      <c r="C78" s="19">
        <f>D77-$D$72</f>
        <v>89833.333333333328</v>
      </c>
      <c r="D78" s="19">
        <f>C78*(1+$D$74/12)</f>
        <v>90581.944444444438</v>
      </c>
      <c r="I78" s="3">
        <v>1</v>
      </c>
      <c r="J78" s="19">
        <f>K77-$D$72</f>
        <v>90771.666666666657</v>
      </c>
      <c r="K78" s="19">
        <f t="shared" ref="K78:K87" si="0">J78*(1+$K$74/12)</f>
        <v>92379.838027777761</v>
      </c>
    </row>
    <row r="79" spans="2:11" x14ac:dyDescent="0.3">
      <c r="B79" s="3">
        <v>2</v>
      </c>
      <c r="C79" s="19">
        <f t="shared" ref="C79:C87" si="1">D78-$D$72</f>
        <v>79581.944444444438</v>
      </c>
      <c r="D79" s="19">
        <f t="shared" ref="D79:D87" si="2">C79*(1+$D$74/12)</f>
        <v>80245.127314814803</v>
      </c>
      <c r="I79" s="3">
        <v>2</v>
      </c>
      <c r="J79" s="19">
        <f t="shared" ref="J79:J87" si="3">K78-$D$72</f>
        <v>81379.838027777761</v>
      </c>
      <c r="K79" s="19">
        <f t="shared" si="0"/>
        <v>82821.617491503217</v>
      </c>
    </row>
    <row r="80" spans="2:11" x14ac:dyDescent="0.3">
      <c r="B80" s="3">
        <v>3</v>
      </c>
      <c r="C80" s="19">
        <f t="shared" si="1"/>
        <v>69245.127314814803</v>
      </c>
      <c r="D80" s="19">
        <f t="shared" si="2"/>
        <v>69822.170042438258</v>
      </c>
      <c r="I80" s="3">
        <v>3</v>
      </c>
      <c r="J80" s="19">
        <f t="shared" si="3"/>
        <v>71821.617491503217</v>
      </c>
      <c r="K80" s="19">
        <f t="shared" si="0"/>
        <v>73094.057148061009</v>
      </c>
    </row>
    <row r="81" spans="1:11" x14ac:dyDescent="0.3">
      <c r="B81" s="3">
        <v>4</v>
      </c>
      <c r="C81" s="19">
        <f t="shared" si="1"/>
        <v>58822.170042438258</v>
      </c>
      <c r="D81" s="19">
        <f t="shared" si="2"/>
        <v>59312.354792791906</v>
      </c>
      <c r="I81" s="3">
        <v>4</v>
      </c>
      <c r="J81" s="19">
        <f t="shared" si="3"/>
        <v>62094.057148061009</v>
      </c>
      <c r="K81" s="19">
        <f t="shared" si="0"/>
        <v>63194.156860534153</v>
      </c>
    </row>
    <row r="82" spans="1:11" x14ac:dyDescent="0.3">
      <c r="B82" s="3">
        <v>5</v>
      </c>
      <c r="C82" s="19">
        <f t="shared" si="1"/>
        <v>48312.354792791906</v>
      </c>
      <c r="D82" s="19">
        <f t="shared" si="2"/>
        <v>48714.957749398505</v>
      </c>
      <c r="I82" s="3">
        <v>5</v>
      </c>
      <c r="J82" s="19">
        <f t="shared" si="3"/>
        <v>52194.156860534153</v>
      </c>
      <c r="K82" s="19">
        <f t="shared" si="0"/>
        <v>53118.863339579948</v>
      </c>
    </row>
    <row r="83" spans="1:11" x14ac:dyDescent="0.3">
      <c r="B83" s="3">
        <v>6</v>
      </c>
      <c r="C83" s="19">
        <f t="shared" si="1"/>
        <v>37714.957749398505</v>
      </c>
      <c r="D83" s="19">
        <f t="shared" si="2"/>
        <v>38029.249063976822</v>
      </c>
      <c r="I83" s="3">
        <v>6</v>
      </c>
      <c r="J83" s="19">
        <f t="shared" si="3"/>
        <v>42118.863339579948</v>
      </c>
      <c r="K83" s="19">
        <f t="shared" si="0"/>
        <v>42865.06920174617</v>
      </c>
    </row>
    <row r="84" spans="1:11" x14ac:dyDescent="0.3">
      <c r="B84" s="3">
        <v>7</v>
      </c>
      <c r="C84" s="19">
        <f t="shared" si="1"/>
        <v>27029.249063976822</v>
      </c>
      <c r="D84" s="19">
        <f t="shared" si="2"/>
        <v>27254.49280617663</v>
      </c>
      <c r="I84" s="3">
        <v>7</v>
      </c>
      <c r="J84" s="19">
        <f t="shared" si="3"/>
        <v>31865.06920174617</v>
      </c>
      <c r="K84" s="19">
        <f t="shared" si="0"/>
        <v>32429.612011103771</v>
      </c>
    </row>
    <row r="85" spans="1:11" x14ac:dyDescent="0.3">
      <c r="B85" s="3">
        <v>8</v>
      </c>
      <c r="C85" s="19">
        <f t="shared" si="1"/>
        <v>16254.49280617663</v>
      </c>
      <c r="D85" s="19">
        <f t="shared" si="2"/>
        <v>16389.946912894768</v>
      </c>
      <c r="I85" s="3">
        <v>8</v>
      </c>
      <c r="J85" s="19">
        <f t="shared" si="3"/>
        <v>21429.612011103771</v>
      </c>
      <c r="K85" s="19">
        <f t="shared" si="0"/>
        <v>21809.273303900492</v>
      </c>
    </row>
    <row r="86" spans="1:11" x14ac:dyDescent="0.3">
      <c r="B86" s="3">
        <v>9</v>
      </c>
      <c r="C86" s="19">
        <f>D85-$D$72</f>
        <v>5389.9469128947676</v>
      </c>
      <c r="D86" s="19">
        <f t="shared" si="2"/>
        <v>5434.8631371688907</v>
      </c>
      <c r="I86" s="3">
        <v>9</v>
      </c>
      <c r="J86" s="19">
        <f t="shared" si="3"/>
        <v>10809.273303900492</v>
      </c>
      <c r="K86" s="19">
        <f t="shared" si="0"/>
        <v>11000.777595934596</v>
      </c>
    </row>
    <row r="87" spans="1:11" x14ac:dyDescent="0.3">
      <c r="B87" s="3">
        <v>10</v>
      </c>
      <c r="C87" s="20">
        <f t="shared" si="1"/>
        <v>-5565.1368628311093</v>
      </c>
      <c r="D87" s="20">
        <f t="shared" si="2"/>
        <v>-5611.5130033547021</v>
      </c>
      <c r="I87" s="3">
        <v>10</v>
      </c>
      <c r="J87" s="21">
        <f t="shared" si="3"/>
        <v>0.77759593459632015</v>
      </c>
      <c r="K87" s="21">
        <f t="shared" si="0"/>
        <v>0.79137234257091826</v>
      </c>
    </row>
    <row r="92" spans="1:11" x14ac:dyDescent="0.3">
      <c r="A92" s="11">
        <v>5</v>
      </c>
      <c r="B92" s="11" t="s">
        <v>66</v>
      </c>
      <c r="C92" s="11"/>
      <c r="E92" s="24" t="s">
        <v>139</v>
      </c>
      <c r="F92" s="24"/>
      <c r="G92" s="24"/>
      <c r="H92" s="24"/>
    </row>
    <row r="93" spans="1:11" x14ac:dyDescent="0.3">
      <c r="A93" t="s">
        <v>67</v>
      </c>
    </row>
    <row r="94" spans="1:11" x14ac:dyDescent="0.3">
      <c r="A94" t="s">
        <v>68</v>
      </c>
    </row>
    <row r="95" spans="1:11" x14ac:dyDescent="0.3">
      <c r="A95" t="s">
        <v>69</v>
      </c>
    </row>
    <row r="96" spans="1:11" x14ac:dyDescent="0.3">
      <c r="A96" t="s">
        <v>70</v>
      </c>
      <c r="D96" t="s">
        <v>78</v>
      </c>
    </row>
    <row r="98" spans="1:11" x14ac:dyDescent="0.3">
      <c r="A98" s="38" t="s">
        <v>71</v>
      </c>
      <c r="B98" s="38"/>
      <c r="C98" s="38"/>
      <c r="D98" t="s">
        <v>72</v>
      </c>
      <c r="E98" s="12">
        <v>0.12</v>
      </c>
    </row>
    <row r="99" spans="1:11" x14ac:dyDescent="0.3">
      <c r="D99" t="s">
        <v>73</v>
      </c>
      <c r="E99" s="12">
        <v>0.13</v>
      </c>
    </row>
    <row r="102" spans="1:11" x14ac:dyDescent="0.3">
      <c r="B102" t="s">
        <v>74</v>
      </c>
    </row>
    <row r="104" spans="1:11" x14ac:dyDescent="0.3">
      <c r="D104" s="3" t="s">
        <v>80</v>
      </c>
      <c r="E104" s="23">
        <v>30</v>
      </c>
      <c r="F104" t="s">
        <v>31</v>
      </c>
      <c r="G104" s="24" t="s">
        <v>82</v>
      </c>
      <c r="H104" s="24"/>
      <c r="I104" s="24"/>
      <c r="J104" s="24"/>
      <c r="K104" s="24"/>
    </row>
    <row r="105" spans="1:11" x14ac:dyDescent="0.3">
      <c r="D105" s="3" t="s">
        <v>81</v>
      </c>
      <c r="E105" s="23">
        <v>10000</v>
      </c>
    </row>
    <row r="107" spans="1:11" x14ac:dyDescent="0.3">
      <c r="D107" t="s">
        <v>75</v>
      </c>
      <c r="E107" s="1">
        <f>FV(E98,E104,-E105*12,0)</f>
        <v>28959922.120911136</v>
      </c>
    </row>
    <row r="108" spans="1:11" x14ac:dyDescent="0.3">
      <c r="D108" t="s">
        <v>76</v>
      </c>
      <c r="E108" s="1">
        <f>FV(E99,E104,-E105*12,0)</f>
        <v>35183905.806776859</v>
      </c>
    </row>
    <row r="110" spans="1:11" ht="14.4" customHeight="1" x14ac:dyDescent="0.3">
      <c r="D110" s="36" t="s">
        <v>77</v>
      </c>
      <c r="E110" s="22">
        <f>E108-E107</f>
        <v>6223983.6858657226</v>
      </c>
    </row>
    <row r="111" spans="1:11" x14ac:dyDescent="0.3">
      <c r="D111" s="36"/>
    </row>
    <row r="112" spans="1:11" x14ac:dyDescent="0.3">
      <c r="D112" s="36"/>
    </row>
    <row r="113" spans="1:10" x14ac:dyDescent="0.3">
      <c r="D113" s="36"/>
    </row>
    <row r="116" spans="1:10" x14ac:dyDescent="0.3">
      <c r="A116" s="37" t="s">
        <v>79</v>
      </c>
      <c r="B116" s="37"/>
      <c r="C116" s="37"/>
    </row>
    <row r="119" spans="1:10" x14ac:dyDescent="0.3">
      <c r="A119" s="11">
        <v>6</v>
      </c>
      <c r="B119" s="11" t="s">
        <v>84</v>
      </c>
    </row>
    <row r="120" spans="1:10" x14ac:dyDescent="0.3">
      <c r="C120" t="s">
        <v>85</v>
      </c>
    </row>
    <row r="122" spans="1:10" x14ac:dyDescent="0.3">
      <c r="B122" s="33" t="s">
        <v>86</v>
      </c>
      <c r="C122" s="33"/>
      <c r="D122" s="3">
        <v>20</v>
      </c>
      <c r="E122" s="3" t="s">
        <v>31</v>
      </c>
    </row>
    <row r="123" spans="1:10" x14ac:dyDescent="0.3">
      <c r="B123" s="33" t="s">
        <v>87</v>
      </c>
      <c r="C123" s="33"/>
      <c r="D123" s="3">
        <v>50000000</v>
      </c>
      <c r="E123" s="3"/>
    </row>
    <row r="124" spans="1:10" x14ac:dyDescent="0.3">
      <c r="B124" s="33" t="s">
        <v>88</v>
      </c>
      <c r="C124" s="33"/>
      <c r="D124" s="13">
        <v>7.0000000000000007E-2</v>
      </c>
      <c r="E124" s="3"/>
    </row>
    <row r="125" spans="1:10" x14ac:dyDescent="0.3">
      <c r="B125" s="33" t="s">
        <v>89</v>
      </c>
      <c r="C125" s="33"/>
      <c r="D125" s="5">
        <f>PV(D124,D122,0,-D123)</f>
        <v>12920950.140693435</v>
      </c>
      <c r="E125" s="3"/>
    </row>
    <row r="126" spans="1:10" x14ac:dyDescent="0.3">
      <c r="B126" s="34" t="s">
        <v>103</v>
      </c>
      <c r="C126" s="35"/>
      <c r="D126" s="3"/>
      <c r="E126" s="6">
        <f>D125/D123</f>
        <v>0.2584190028138687</v>
      </c>
      <c r="F126" s="24" t="s">
        <v>91</v>
      </c>
      <c r="G126" s="24"/>
      <c r="H126" s="24"/>
      <c r="I126" s="24"/>
      <c r="J126" s="24"/>
    </row>
    <row r="127" spans="1:10" x14ac:dyDescent="0.3">
      <c r="B127" s="24" t="s">
        <v>90</v>
      </c>
      <c r="C127" s="24"/>
      <c r="D127" s="24"/>
      <c r="E127" s="24"/>
    </row>
    <row r="129" spans="1:9" x14ac:dyDescent="0.3">
      <c r="A129" s="11">
        <v>7</v>
      </c>
      <c r="B129" s="11" t="s">
        <v>92</v>
      </c>
    </row>
    <row r="131" spans="1:9" x14ac:dyDescent="0.3">
      <c r="B131" s="34" t="s">
        <v>93</v>
      </c>
      <c r="C131" s="35"/>
      <c r="D131" s="3">
        <v>1500</v>
      </c>
      <c r="E131" s="3"/>
    </row>
    <row r="132" spans="1:9" x14ac:dyDescent="0.3">
      <c r="B132" s="34" t="s">
        <v>80</v>
      </c>
      <c r="C132" s="35"/>
      <c r="D132" s="3">
        <v>35</v>
      </c>
      <c r="E132" s="3" t="s">
        <v>31</v>
      </c>
      <c r="F132" t="s">
        <v>95</v>
      </c>
    </row>
    <row r="133" spans="1:9" x14ac:dyDescent="0.3">
      <c r="B133" s="34" t="s">
        <v>22</v>
      </c>
      <c r="C133" s="35"/>
      <c r="D133" s="3">
        <v>20000000</v>
      </c>
      <c r="E133" s="3"/>
      <c r="F133" t="s">
        <v>96</v>
      </c>
    </row>
    <row r="134" spans="1:9" x14ac:dyDescent="0.3">
      <c r="B134" s="34" t="s">
        <v>94</v>
      </c>
      <c r="C134" s="35"/>
      <c r="D134" s="13">
        <v>7.0000000000000007E-2</v>
      </c>
      <c r="E134" s="3"/>
    </row>
    <row r="135" spans="1:9" x14ac:dyDescent="0.3">
      <c r="B135" s="34" t="s">
        <v>21</v>
      </c>
      <c r="C135" s="35"/>
      <c r="D135" s="25">
        <f>PV(D134,D132,D131*12,-D133)</f>
        <v>1640200.6779889322</v>
      </c>
      <c r="E135" s="3"/>
    </row>
    <row r="136" spans="1:9" x14ac:dyDescent="0.3">
      <c r="B136" s="34" t="s">
        <v>103</v>
      </c>
      <c r="C136" s="35"/>
      <c r="D136" s="3"/>
      <c r="E136" s="17">
        <f>D135/D133</f>
        <v>8.201003389944661E-2</v>
      </c>
    </row>
    <row r="140" spans="1:9" x14ac:dyDescent="0.3">
      <c r="A140">
        <v>8</v>
      </c>
      <c r="B140" t="s">
        <v>98</v>
      </c>
    </row>
    <row r="142" spans="1:9" x14ac:dyDescent="0.3">
      <c r="B142" s="33" t="s">
        <v>99</v>
      </c>
      <c r="C142" s="33"/>
      <c r="D142" s="19">
        <v>5000</v>
      </c>
      <c r="F142" s="33" t="s">
        <v>99</v>
      </c>
      <c r="G142" s="33"/>
      <c r="H142" s="19">
        <v>5000</v>
      </c>
    </row>
    <row r="143" spans="1:9" x14ac:dyDescent="0.3">
      <c r="B143" s="33" t="s">
        <v>101</v>
      </c>
      <c r="C143" s="33"/>
      <c r="D143" s="3">
        <v>35</v>
      </c>
      <c r="E143" t="s">
        <v>31</v>
      </c>
      <c r="F143" s="33" t="s">
        <v>101</v>
      </c>
      <c r="G143" s="33"/>
      <c r="H143" s="3">
        <v>35</v>
      </c>
      <c r="I143" t="s">
        <v>31</v>
      </c>
    </row>
    <row r="144" spans="1:9" x14ac:dyDescent="0.3">
      <c r="B144" s="33" t="s">
        <v>20</v>
      </c>
      <c r="C144" s="33"/>
      <c r="D144" s="13">
        <v>0.12</v>
      </c>
      <c r="F144" s="33" t="s">
        <v>20</v>
      </c>
      <c r="G144" s="33"/>
      <c r="H144" s="13">
        <v>0.12</v>
      </c>
    </row>
    <row r="145" spans="2:9" x14ac:dyDescent="0.3">
      <c r="B145" s="33"/>
      <c r="C145" s="33"/>
      <c r="D145" s="3"/>
      <c r="F145" s="33" t="s">
        <v>111</v>
      </c>
      <c r="G145" s="33"/>
      <c r="H145" s="13">
        <f>D157</f>
        <v>0.1</v>
      </c>
    </row>
    <row r="146" spans="2:9" x14ac:dyDescent="0.3">
      <c r="B146" s="33"/>
      <c r="C146" s="33"/>
      <c r="D146" s="3"/>
      <c r="F146" s="33"/>
      <c r="G146" s="33"/>
      <c r="H146" s="3"/>
    </row>
    <row r="147" spans="2:9" x14ac:dyDescent="0.3">
      <c r="B147" s="33" t="s">
        <v>22</v>
      </c>
      <c r="C147" s="33"/>
      <c r="D147" s="25">
        <f>FV(D144,D143,-D142*12,0)</f>
        <v>25899809.789553732</v>
      </c>
      <c r="F147" s="33" t="s">
        <v>22</v>
      </c>
      <c r="G147" s="33"/>
      <c r="H147" s="25">
        <f>F195</f>
        <v>82982533.976304844</v>
      </c>
    </row>
    <row r="148" spans="2:9" x14ac:dyDescent="0.3">
      <c r="B148" s="33"/>
      <c r="C148" s="33"/>
      <c r="D148" s="3"/>
      <c r="F148" s="33"/>
      <c r="G148" s="33"/>
      <c r="H148" s="3"/>
    </row>
    <row r="149" spans="2:9" x14ac:dyDescent="0.3">
      <c r="B149" s="33" t="s">
        <v>102</v>
      </c>
      <c r="C149" s="33"/>
      <c r="D149" s="13">
        <v>7.0000000000000007E-2</v>
      </c>
      <c r="F149" s="33" t="s">
        <v>102</v>
      </c>
      <c r="G149" s="33"/>
      <c r="H149" s="13">
        <v>7.0000000000000007E-2</v>
      </c>
    </row>
    <row r="150" spans="2:9" x14ac:dyDescent="0.3">
      <c r="B150" s="33"/>
      <c r="C150" s="33"/>
      <c r="D150" s="3"/>
      <c r="F150" s="33"/>
      <c r="G150" s="33"/>
      <c r="H150" s="3"/>
    </row>
    <row r="151" spans="2:9" x14ac:dyDescent="0.3">
      <c r="B151" s="33" t="s">
        <v>21</v>
      </c>
      <c r="C151" s="33"/>
      <c r="D151" s="25">
        <f>PV(D149,D143,0,-D147)</f>
        <v>2425852.3036492923</v>
      </c>
      <c r="F151" s="33" t="s">
        <v>21</v>
      </c>
      <c r="G151" s="33"/>
      <c r="H151" s="25">
        <f>PV(H149,H143,0,-H147)</f>
        <v>7772388.0153848547</v>
      </c>
    </row>
    <row r="152" spans="2:9" x14ac:dyDescent="0.3">
      <c r="B152" s="33"/>
      <c r="C152" s="33"/>
      <c r="D152" s="3"/>
      <c r="F152" s="33"/>
      <c r="G152" s="33"/>
      <c r="H152" s="3"/>
    </row>
    <row r="153" spans="2:9" x14ac:dyDescent="0.3">
      <c r="B153" s="33" t="s">
        <v>103</v>
      </c>
      <c r="C153" s="33" t="s">
        <v>100</v>
      </c>
      <c r="D153" s="17">
        <f>D151/D147</f>
        <v>9.3662938969834464E-2</v>
      </c>
      <c r="F153" s="33" t="s">
        <v>103</v>
      </c>
      <c r="G153" s="33" t="s">
        <v>100</v>
      </c>
      <c r="H153" s="17">
        <f>H151/H147</f>
        <v>9.366293896983445E-2</v>
      </c>
    </row>
    <row r="155" spans="2:9" x14ac:dyDescent="0.3">
      <c r="B155" t="s">
        <v>105</v>
      </c>
    </row>
    <row r="157" spans="2:9" x14ac:dyDescent="0.3">
      <c r="B157" s="33" t="s">
        <v>110</v>
      </c>
      <c r="C157" s="33"/>
      <c r="D157" s="27">
        <v>0.1</v>
      </c>
      <c r="E157" t="s">
        <v>129</v>
      </c>
    </row>
    <row r="159" spans="2:9" x14ac:dyDescent="0.3">
      <c r="B159" s="3" t="s">
        <v>104</v>
      </c>
      <c r="C159" s="3" t="s">
        <v>106</v>
      </c>
      <c r="D159" s="3" t="s">
        <v>107</v>
      </c>
      <c r="E159" s="3" t="s">
        <v>108</v>
      </c>
      <c r="F159" s="3" t="s">
        <v>109</v>
      </c>
      <c r="H159" t="s">
        <v>112</v>
      </c>
      <c r="I159" s="12">
        <f>D157</f>
        <v>0.1</v>
      </c>
    </row>
    <row r="160" spans="2:9" x14ac:dyDescent="0.3">
      <c r="B160" s="3">
        <v>0</v>
      </c>
      <c r="C160" s="3">
        <v>0</v>
      </c>
      <c r="D160" s="3">
        <v>0</v>
      </c>
      <c r="E160" s="3">
        <v>0</v>
      </c>
      <c r="F160" s="3">
        <v>0</v>
      </c>
      <c r="H160" t="s">
        <v>113</v>
      </c>
      <c r="I160" s="1">
        <f>H147-D147</f>
        <v>57082724.186751112</v>
      </c>
    </row>
    <row r="161" spans="2:14" x14ac:dyDescent="0.3">
      <c r="B161" s="3">
        <v>1</v>
      </c>
      <c r="C161" s="19">
        <f>D142*12</f>
        <v>60000</v>
      </c>
      <c r="D161" s="19">
        <f>C161+E160</f>
        <v>60000</v>
      </c>
      <c r="E161" s="19">
        <f>D161*$D$144</f>
        <v>7200</v>
      </c>
      <c r="F161" s="19">
        <f>D161+E161</f>
        <v>67200</v>
      </c>
      <c r="H161" t="s">
        <v>114</v>
      </c>
      <c r="I161" s="2">
        <f>H147/D147</f>
        <v>3.2039823709351913</v>
      </c>
      <c r="J161" s="24" t="s">
        <v>115</v>
      </c>
      <c r="K161" s="24"/>
      <c r="L161" s="24"/>
      <c r="M161" s="24"/>
      <c r="N161" s="24"/>
    </row>
    <row r="162" spans="2:14" x14ac:dyDescent="0.3">
      <c r="B162" s="3">
        <v>2</v>
      </c>
      <c r="C162" s="19">
        <f>C161*(1+$D$157)</f>
        <v>66000</v>
      </c>
      <c r="D162" s="19">
        <f>F161+C162</f>
        <v>133200</v>
      </c>
      <c r="E162" s="19">
        <f>D162*$D$144</f>
        <v>15984</v>
      </c>
      <c r="F162" s="19">
        <f>D162+E162</f>
        <v>149184</v>
      </c>
    </row>
    <row r="163" spans="2:14" x14ac:dyDescent="0.3">
      <c r="B163" s="3">
        <v>3</v>
      </c>
      <c r="C163" s="19">
        <f t="shared" ref="C163:C195" si="4">C162*(1+$D$157)</f>
        <v>72600</v>
      </c>
      <c r="D163" s="19">
        <f t="shared" ref="D163:D195" si="5">F162+C163</f>
        <v>221784</v>
      </c>
      <c r="E163" s="19">
        <f t="shared" ref="E163:E195" si="6">D163*$D$144</f>
        <v>26614.079999999998</v>
      </c>
      <c r="F163" s="19">
        <f t="shared" ref="F163:F195" si="7">D163+E163</f>
        <v>248398.07999999999</v>
      </c>
    </row>
    <row r="164" spans="2:14" x14ac:dyDescent="0.3">
      <c r="B164" s="3">
        <v>4</v>
      </c>
      <c r="C164" s="19">
        <f t="shared" si="4"/>
        <v>79860</v>
      </c>
      <c r="D164" s="19">
        <f t="shared" si="5"/>
        <v>328258.07999999996</v>
      </c>
      <c r="E164" s="19">
        <f t="shared" si="6"/>
        <v>39390.969599999997</v>
      </c>
      <c r="F164" s="19">
        <f t="shared" si="7"/>
        <v>367649.04959999997</v>
      </c>
    </row>
    <row r="165" spans="2:14" x14ac:dyDescent="0.3">
      <c r="B165" s="3">
        <v>5</v>
      </c>
      <c r="C165" s="19">
        <f t="shared" si="4"/>
        <v>87846</v>
      </c>
      <c r="D165" s="19">
        <f t="shared" si="5"/>
        <v>455495.04959999997</v>
      </c>
      <c r="E165" s="19">
        <f t="shared" si="6"/>
        <v>54659.405951999994</v>
      </c>
      <c r="F165" s="19">
        <f t="shared" si="7"/>
        <v>510154.45555199997</v>
      </c>
    </row>
    <row r="166" spans="2:14" x14ac:dyDescent="0.3">
      <c r="B166" s="3">
        <v>6</v>
      </c>
      <c r="C166" s="19">
        <f t="shared" si="4"/>
        <v>96630.6</v>
      </c>
      <c r="D166" s="19">
        <f t="shared" si="5"/>
        <v>606785.05555199995</v>
      </c>
      <c r="E166" s="19">
        <f t="shared" si="6"/>
        <v>72814.206666239988</v>
      </c>
      <c r="F166" s="19">
        <f t="shared" si="7"/>
        <v>679599.26221823995</v>
      </c>
    </row>
    <row r="167" spans="2:14" x14ac:dyDescent="0.3">
      <c r="B167" s="3">
        <v>7</v>
      </c>
      <c r="C167" s="19">
        <f t="shared" si="4"/>
        <v>106293.66000000002</v>
      </c>
      <c r="D167" s="19">
        <f t="shared" si="5"/>
        <v>785892.92221823998</v>
      </c>
      <c r="E167" s="19">
        <f t="shared" si="6"/>
        <v>94307.150666188798</v>
      </c>
      <c r="F167" s="19">
        <f t="shared" si="7"/>
        <v>880200.07288442878</v>
      </c>
    </row>
    <row r="168" spans="2:14" x14ac:dyDescent="0.3">
      <c r="B168" s="3">
        <v>8</v>
      </c>
      <c r="C168" s="19">
        <f t="shared" si="4"/>
        <v>116923.02600000003</v>
      </c>
      <c r="D168" s="19">
        <f t="shared" si="5"/>
        <v>997123.09888442885</v>
      </c>
      <c r="E168" s="19">
        <f t="shared" si="6"/>
        <v>119654.77186613146</v>
      </c>
      <c r="F168" s="19">
        <f t="shared" si="7"/>
        <v>1116777.8707505604</v>
      </c>
    </row>
    <row r="169" spans="2:14" x14ac:dyDescent="0.3">
      <c r="B169" s="3">
        <v>9</v>
      </c>
      <c r="C169" s="19">
        <f t="shared" si="4"/>
        <v>128615.32860000004</v>
      </c>
      <c r="D169" s="19">
        <f t="shared" si="5"/>
        <v>1245393.1993505605</v>
      </c>
      <c r="E169" s="19">
        <f t="shared" si="6"/>
        <v>149447.18392206726</v>
      </c>
      <c r="F169" s="19">
        <f t="shared" si="7"/>
        <v>1394840.3832726278</v>
      </c>
    </row>
    <row r="170" spans="2:14" x14ac:dyDescent="0.3">
      <c r="B170" s="3">
        <v>10</v>
      </c>
      <c r="C170" s="19">
        <f t="shared" si="4"/>
        <v>141476.86146000004</v>
      </c>
      <c r="D170" s="19">
        <f t="shared" si="5"/>
        <v>1536317.2447326279</v>
      </c>
      <c r="E170" s="19">
        <f t="shared" si="6"/>
        <v>184358.06936791533</v>
      </c>
      <c r="F170" s="19">
        <f t="shared" si="7"/>
        <v>1720675.3141005433</v>
      </c>
    </row>
    <row r="171" spans="2:14" x14ac:dyDescent="0.3">
      <c r="B171" s="3">
        <v>11</v>
      </c>
      <c r="C171" s="19">
        <f t="shared" si="4"/>
        <v>155624.54760600007</v>
      </c>
      <c r="D171" s="19">
        <f t="shared" si="5"/>
        <v>1876299.8617065432</v>
      </c>
      <c r="E171" s="19">
        <f t="shared" si="6"/>
        <v>225155.98340478519</v>
      </c>
      <c r="F171" s="19">
        <f t="shared" si="7"/>
        <v>2101455.8451113286</v>
      </c>
    </row>
    <row r="172" spans="2:14" x14ac:dyDescent="0.3">
      <c r="B172" s="3">
        <v>12</v>
      </c>
      <c r="C172" s="19">
        <f t="shared" si="4"/>
        <v>171187.00236660009</v>
      </c>
      <c r="D172" s="19">
        <f t="shared" si="5"/>
        <v>2272642.8474779287</v>
      </c>
      <c r="E172" s="19">
        <f t="shared" si="6"/>
        <v>272717.14169735141</v>
      </c>
      <c r="F172" s="19">
        <f t="shared" si="7"/>
        <v>2545359.9891752801</v>
      </c>
    </row>
    <row r="173" spans="2:14" x14ac:dyDescent="0.3">
      <c r="B173" s="3">
        <v>13</v>
      </c>
      <c r="C173" s="19">
        <f t="shared" si="4"/>
        <v>188305.70260326011</v>
      </c>
      <c r="D173" s="19">
        <f t="shared" si="5"/>
        <v>2733665.6917785401</v>
      </c>
      <c r="E173" s="19">
        <f t="shared" si="6"/>
        <v>328039.88301342481</v>
      </c>
      <c r="F173" s="19">
        <f t="shared" si="7"/>
        <v>3061705.5747919651</v>
      </c>
    </row>
    <row r="174" spans="2:14" x14ac:dyDescent="0.3">
      <c r="B174" s="3">
        <v>14</v>
      </c>
      <c r="C174" s="19">
        <f t="shared" si="4"/>
        <v>207136.27286358614</v>
      </c>
      <c r="D174" s="19">
        <f t="shared" si="5"/>
        <v>3268841.847655551</v>
      </c>
      <c r="E174" s="19">
        <f t="shared" si="6"/>
        <v>392261.02171866613</v>
      </c>
      <c r="F174" s="19">
        <f t="shared" si="7"/>
        <v>3661102.869374217</v>
      </c>
    </row>
    <row r="175" spans="2:14" x14ac:dyDescent="0.3">
      <c r="B175" s="3">
        <v>15</v>
      </c>
      <c r="C175" s="19">
        <f t="shared" si="4"/>
        <v>227849.90014994476</v>
      </c>
      <c r="D175" s="19">
        <f t="shared" si="5"/>
        <v>3888952.7695241617</v>
      </c>
      <c r="E175" s="19">
        <f t="shared" si="6"/>
        <v>466674.3323428994</v>
      </c>
      <c r="F175" s="19">
        <f t="shared" si="7"/>
        <v>4355627.1018670611</v>
      </c>
    </row>
    <row r="176" spans="2:14" x14ac:dyDescent="0.3">
      <c r="B176" s="3">
        <v>16</v>
      </c>
      <c r="C176" s="19">
        <f t="shared" si="4"/>
        <v>250634.89016493925</v>
      </c>
      <c r="D176" s="19">
        <f t="shared" si="5"/>
        <v>4606261.9920320008</v>
      </c>
      <c r="E176" s="19">
        <f t="shared" si="6"/>
        <v>552751.43904384004</v>
      </c>
      <c r="F176" s="19">
        <f t="shared" si="7"/>
        <v>5159013.4310758412</v>
      </c>
    </row>
    <row r="177" spans="2:6" x14ac:dyDescent="0.3">
      <c r="B177" s="3">
        <v>17</v>
      </c>
      <c r="C177" s="19">
        <f t="shared" si="4"/>
        <v>275698.37918143318</v>
      </c>
      <c r="D177" s="19">
        <f t="shared" si="5"/>
        <v>5434711.8102572747</v>
      </c>
      <c r="E177" s="19">
        <f t="shared" si="6"/>
        <v>652165.4172308729</v>
      </c>
      <c r="F177" s="19">
        <f t="shared" si="7"/>
        <v>6086877.2274881471</v>
      </c>
    </row>
    <row r="178" spans="2:6" x14ac:dyDescent="0.3">
      <c r="B178" s="3">
        <v>18</v>
      </c>
      <c r="C178" s="19">
        <f t="shared" si="4"/>
        <v>303268.21709957655</v>
      </c>
      <c r="D178" s="19">
        <f t="shared" si="5"/>
        <v>6390145.4445877234</v>
      </c>
      <c r="E178" s="19">
        <f t="shared" si="6"/>
        <v>766817.45335052675</v>
      </c>
      <c r="F178" s="19">
        <f t="shared" si="7"/>
        <v>7156962.8979382496</v>
      </c>
    </row>
    <row r="179" spans="2:6" x14ac:dyDescent="0.3">
      <c r="B179" s="3">
        <v>19</v>
      </c>
      <c r="C179" s="19">
        <f t="shared" si="4"/>
        <v>333595.03880953422</v>
      </c>
      <c r="D179" s="19">
        <f t="shared" si="5"/>
        <v>7490557.9367477838</v>
      </c>
      <c r="E179" s="19">
        <f t="shared" si="6"/>
        <v>898866.95240973402</v>
      </c>
      <c r="F179" s="19">
        <f t="shared" si="7"/>
        <v>8389424.8891575187</v>
      </c>
    </row>
    <row r="180" spans="2:6" x14ac:dyDescent="0.3">
      <c r="B180" s="3">
        <v>20</v>
      </c>
      <c r="C180" s="19">
        <f t="shared" si="4"/>
        <v>366954.54269048769</v>
      </c>
      <c r="D180" s="19">
        <f t="shared" si="5"/>
        <v>8756379.4318480063</v>
      </c>
      <c r="E180" s="19">
        <f t="shared" si="6"/>
        <v>1050765.5318217608</v>
      </c>
      <c r="F180" s="19">
        <f t="shared" si="7"/>
        <v>9807144.9636697676</v>
      </c>
    </row>
    <row r="181" spans="2:6" x14ac:dyDescent="0.3">
      <c r="B181" s="3">
        <v>21</v>
      </c>
      <c r="C181" s="19">
        <f t="shared" si="4"/>
        <v>403649.99695953651</v>
      </c>
      <c r="D181" s="19">
        <f t="shared" si="5"/>
        <v>10210794.960629305</v>
      </c>
      <c r="E181" s="19">
        <f t="shared" si="6"/>
        <v>1225295.3952755164</v>
      </c>
      <c r="F181" s="19">
        <f t="shared" si="7"/>
        <v>11436090.355904821</v>
      </c>
    </row>
    <row r="182" spans="2:6" x14ac:dyDescent="0.3">
      <c r="B182" s="3">
        <v>22</v>
      </c>
      <c r="C182" s="19">
        <f t="shared" si="4"/>
        <v>444014.99665549019</v>
      </c>
      <c r="D182" s="19">
        <f t="shared" si="5"/>
        <v>11880105.352560312</v>
      </c>
      <c r="E182" s="19">
        <f t="shared" si="6"/>
        <v>1425612.6423072373</v>
      </c>
      <c r="F182" s="19">
        <f t="shared" si="7"/>
        <v>13305717.994867548</v>
      </c>
    </row>
    <row r="183" spans="2:6" x14ac:dyDescent="0.3">
      <c r="B183" s="3">
        <v>23</v>
      </c>
      <c r="C183" s="19">
        <f t="shared" si="4"/>
        <v>488416.49632103927</v>
      </c>
      <c r="D183" s="19">
        <f t="shared" si="5"/>
        <v>13794134.491188588</v>
      </c>
      <c r="E183" s="19">
        <f t="shared" si="6"/>
        <v>1655296.1389426305</v>
      </c>
      <c r="F183" s="19">
        <f t="shared" si="7"/>
        <v>15449430.630131219</v>
      </c>
    </row>
    <row r="184" spans="2:6" x14ac:dyDescent="0.3">
      <c r="B184" s="3">
        <v>24</v>
      </c>
      <c r="C184" s="19">
        <f t="shared" si="4"/>
        <v>537258.14595314325</v>
      </c>
      <c r="D184" s="19">
        <f t="shared" si="5"/>
        <v>15986688.776084362</v>
      </c>
      <c r="E184" s="19">
        <f t="shared" si="6"/>
        <v>1918402.6531301234</v>
      </c>
      <c r="F184" s="19">
        <f t="shared" si="7"/>
        <v>17905091.429214485</v>
      </c>
    </row>
    <row r="185" spans="2:6" x14ac:dyDescent="0.3">
      <c r="B185" s="3">
        <v>25</v>
      </c>
      <c r="C185" s="19">
        <f t="shared" si="4"/>
        <v>590983.96054845757</v>
      </c>
      <c r="D185" s="19">
        <f t="shared" si="5"/>
        <v>18496075.389762942</v>
      </c>
      <c r="E185" s="19">
        <f t="shared" si="6"/>
        <v>2219529.0467715529</v>
      </c>
      <c r="F185" s="19">
        <f t="shared" si="7"/>
        <v>20715604.436534494</v>
      </c>
    </row>
    <row r="186" spans="2:6" x14ac:dyDescent="0.3">
      <c r="B186" s="3">
        <v>26</v>
      </c>
      <c r="C186" s="19">
        <f t="shared" si="4"/>
        <v>650082.35660330334</v>
      </c>
      <c r="D186" s="19">
        <f t="shared" si="5"/>
        <v>21365686.793137796</v>
      </c>
      <c r="E186" s="19">
        <f t="shared" si="6"/>
        <v>2563882.4151765355</v>
      </c>
      <c r="F186" s="19">
        <f t="shared" si="7"/>
        <v>23929569.208314333</v>
      </c>
    </row>
    <row r="187" spans="2:6" x14ac:dyDescent="0.3">
      <c r="B187" s="3">
        <v>27</v>
      </c>
      <c r="C187" s="19">
        <f t="shared" si="4"/>
        <v>715090.59226363373</v>
      </c>
      <c r="D187" s="19">
        <f t="shared" si="5"/>
        <v>24644659.800577968</v>
      </c>
      <c r="E187" s="19">
        <f t="shared" si="6"/>
        <v>2957359.176069356</v>
      </c>
      <c r="F187" s="19">
        <f t="shared" si="7"/>
        <v>27602018.976647325</v>
      </c>
    </row>
    <row r="188" spans="2:6" x14ac:dyDescent="0.3">
      <c r="B188" s="3">
        <v>28</v>
      </c>
      <c r="C188" s="19">
        <f t="shared" si="4"/>
        <v>786599.65148999717</v>
      </c>
      <c r="D188" s="19">
        <f t="shared" si="5"/>
        <v>28388618.62813732</v>
      </c>
      <c r="E188" s="19">
        <f t="shared" si="6"/>
        <v>3406634.2353764782</v>
      </c>
      <c r="F188" s="19">
        <f t="shared" si="7"/>
        <v>31795252.863513798</v>
      </c>
    </row>
    <row r="189" spans="2:6" x14ac:dyDescent="0.3">
      <c r="B189" s="3">
        <v>29</v>
      </c>
      <c r="C189" s="19">
        <f t="shared" si="4"/>
        <v>865259.61663899699</v>
      </c>
      <c r="D189" s="19">
        <f t="shared" si="5"/>
        <v>32660512.480152793</v>
      </c>
      <c r="E189" s="19">
        <f t="shared" si="6"/>
        <v>3919261.4976183348</v>
      </c>
      <c r="F189" s="19">
        <f t="shared" si="7"/>
        <v>36579773.977771126</v>
      </c>
    </row>
    <row r="190" spans="2:6" x14ac:dyDescent="0.3">
      <c r="B190" s="3">
        <v>30</v>
      </c>
      <c r="C190" s="19">
        <f t="shared" si="4"/>
        <v>951785.57830289681</v>
      </c>
      <c r="D190" s="19">
        <f t="shared" si="5"/>
        <v>37531559.556074023</v>
      </c>
      <c r="E190" s="19">
        <f t="shared" si="6"/>
        <v>4503787.1467288826</v>
      </c>
      <c r="F190" s="19">
        <f t="shared" si="7"/>
        <v>42035346.702802904</v>
      </c>
    </row>
    <row r="191" spans="2:6" x14ac:dyDescent="0.3">
      <c r="B191" s="3">
        <v>31</v>
      </c>
      <c r="C191" s="19">
        <f t="shared" si="4"/>
        <v>1046964.1361331866</v>
      </c>
      <c r="D191" s="19">
        <f t="shared" si="5"/>
        <v>43082310.83893609</v>
      </c>
      <c r="E191" s="19">
        <f t="shared" si="6"/>
        <v>5169877.3006723309</v>
      </c>
      <c r="F191" s="19">
        <f t="shared" si="7"/>
        <v>48252188.13960842</v>
      </c>
    </row>
    <row r="192" spans="2:6" x14ac:dyDescent="0.3">
      <c r="B192" s="3">
        <v>32</v>
      </c>
      <c r="C192" s="19">
        <f t="shared" si="4"/>
        <v>1151660.5497465055</v>
      </c>
      <c r="D192" s="19">
        <f t="shared" si="5"/>
        <v>49403848.689354926</v>
      </c>
      <c r="E192" s="19">
        <f t="shared" si="6"/>
        <v>5928461.842722591</v>
      </c>
      <c r="F192" s="19">
        <f t="shared" si="7"/>
        <v>55332310.532077521</v>
      </c>
    </row>
    <row r="193" spans="1:9" x14ac:dyDescent="0.3">
      <c r="B193" s="3">
        <v>33</v>
      </c>
      <c r="C193" s="19">
        <f t="shared" si="4"/>
        <v>1266826.6047211562</v>
      </c>
      <c r="D193" s="19">
        <f t="shared" si="5"/>
        <v>56599137.13679868</v>
      </c>
      <c r="E193" s="19">
        <f t="shared" si="6"/>
        <v>6791896.4564158414</v>
      </c>
      <c r="F193" s="19">
        <f t="shared" si="7"/>
        <v>63391033.593214519</v>
      </c>
    </row>
    <row r="194" spans="1:9" x14ac:dyDescent="0.3">
      <c r="B194" s="3">
        <v>34</v>
      </c>
      <c r="C194" s="19">
        <f t="shared" si="4"/>
        <v>1393509.2651932719</v>
      </c>
      <c r="D194" s="19">
        <f t="shared" si="5"/>
        <v>64784542.858407788</v>
      </c>
      <c r="E194" s="19">
        <f t="shared" si="6"/>
        <v>7774145.1430089343</v>
      </c>
      <c r="F194" s="19">
        <f t="shared" si="7"/>
        <v>72558688.001416728</v>
      </c>
    </row>
    <row r="195" spans="1:9" x14ac:dyDescent="0.3">
      <c r="B195" s="3">
        <v>35</v>
      </c>
      <c r="C195" s="19">
        <f t="shared" si="4"/>
        <v>1532860.1917125992</v>
      </c>
      <c r="D195" s="19">
        <f t="shared" si="5"/>
        <v>74091548.193129331</v>
      </c>
      <c r="E195" s="19">
        <f t="shared" si="6"/>
        <v>8890985.7831755187</v>
      </c>
      <c r="F195" s="26">
        <f t="shared" si="7"/>
        <v>82982533.976304844</v>
      </c>
    </row>
    <row r="198" spans="1:9" x14ac:dyDescent="0.3">
      <c r="A198" s="11">
        <v>9</v>
      </c>
      <c r="B198" s="11" t="s">
        <v>116</v>
      </c>
    </row>
    <row r="199" spans="1:9" x14ac:dyDescent="0.3">
      <c r="B199" t="s">
        <v>117</v>
      </c>
      <c r="F199">
        <f>15*2</f>
        <v>30</v>
      </c>
      <c r="H199" t="s">
        <v>127</v>
      </c>
      <c r="I199" s="12">
        <v>7.0000000000000007E-2</v>
      </c>
    </row>
    <row r="200" spans="1:9" x14ac:dyDescent="0.3">
      <c r="B200" t="s">
        <v>118</v>
      </c>
      <c r="F200">
        <f>350/7</f>
        <v>50</v>
      </c>
      <c r="H200" t="s">
        <v>128</v>
      </c>
      <c r="I200">
        <f>B246</f>
        <v>35</v>
      </c>
    </row>
    <row r="201" spans="1:9" x14ac:dyDescent="0.3">
      <c r="B201" t="s">
        <v>119</v>
      </c>
      <c r="F201">
        <f>15*2</f>
        <v>30</v>
      </c>
      <c r="H201" t="s">
        <v>22</v>
      </c>
      <c r="I201" s="30">
        <f>F246</f>
        <v>34930800.729913637</v>
      </c>
    </row>
    <row r="202" spans="1:9" x14ac:dyDescent="0.3">
      <c r="B202" t="s">
        <v>120</v>
      </c>
      <c r="F202">
        <f>20*2</f>
        <v>40</v>
      </c>
    </row>
    <row r="203" spans="1:9" x14ac:dyDescent="0.3">
      <c r="F203">
        <f>SUM(F199:F202)</f>
        <v>150</v>
      </c>
      <c r="H203" t="s">
        <v>21</v>
      </c>
      <c r="I203" s="1">
        <f>PV(I199,I200,0,-I201)</f>
        <v>3271721.4569333498</v>
      </c>
    </row>
    <row r="204" spans="1:9" x14ac:dyDescent="0.3">
      <c r="B204" t="s">
        <v>121</v>
      </c>
      <c r="D204">
        <f>F203</f>
        <v>150</v>
      </c>
      <c r="E204" t="s">
        <v>123</v>
      </c>
      <c r="F204">
        <f>F203*365</f>
        <v>54750</v>
      </c>
    </row>
    <row r="205" spans="1:9" x14ac:dyDescent="0.3">
      <c r="B205" t="s">
        <v>122</v>
      </c>
      <c r="F205" s="27">
        <v>0.3</v>
      </c>
    </row>
    <row r="206" spans="1:9" x14ac:dyDescent="0.3">
      <c r="B206" t="s">
        <v>124</v>
      </c>
      <c r="F206">
        <v>20</v>
      </c>
      <c r="H206" t="s">
        <v>103</v>
      </c>
      <c r="I206" s="2">
        <f>I203/I201</f>
        <v>9.366293896983445E-2</v>
      </c>
    </row>
    <row r="207" spans="1:9" x14ac:dyDescent="0.3">
      <c r="B207" t="s">
        <v>125</v>
      </c>
      <c r="F207" s="27">
        <v>0.06</v>
      </c>
    </row>
    <row r="210" spans="2:6" x14ac:dyDescent="0.3">
      <c r="B210" s="3" t="s">
        <v>104</v>
      </c>
      <c r="C210" s="3" t="s">
        <v>106</v>
      </c>
      <c r="D210" s="3" t="s">
        <v>107</v>
      </c>
      <c r="E210" s="3" t="s">
        <v>108</v>
      </c>
      <c r="F210" s="3" t="s">
        <v>109</v>
      </c>
    </row>
    <row r="211" spans="2:6" x14ac:dyDescent="0.3">
      <c r="B211" s="3">
        <v>0</v>
      </c>
      <c r="C211" s="3">
        <v>0</v>
      </c>
      <c r="D211" s="3">
        <v>0</v>
      </c>
      <c r="E211" s="3">
        <v>0</v>
      </c>
      <c r="F211" s="3">
        <v>0</v>
      </c>
    </row>
    <row r="212" spans="2:6" x14ac:dyDescent="0.3">
      <c r="B212" s="3">
        <v>1</v>
      </c>
      <c r="C212" s="19">
        <f>F204</f>
        <v>54750</v>
      </c>
      <c r="D212" s="19">
        <f>C212+E211</f>
        <v>54750</v>
      </c>
      <c r="E212" s="19">
        <f>D212*$F$207</f>
        <v>3285</v>
      </c>
      <c r="F212" s="28">
        <f>D212+E212</f>
        <v>58035</v>
      </c>
    </row>
    <row r="213" spans="2:6" x14ac:dyDescent="0.3">
      <c r="B213" s="3">
        <v>2</v>
      </c>
      <c r="C213" s="19">
        <f>C212*(1+$F$205)</f>
        <v>71175</v>
      </c>
      <c r="D213" s="19">
        <f>F212+C213</f>
        <v>129210</v>
      </c>
      <c r="E213" s="19">
        <f t="shared" ref="E213:E246" si="8">D213*$F$207</f>
        <v>7752.5999999999995</v>
      </c>
      <c r="F213" s="28">
        <f>D213+E213</f>
        <v>136962.6</v>
      </c>
    </row>
    <row r="214" spans="2:6" x14ac:dyDescent="0.3">
      <c r="B214" s="3">
        <v>3</v>
      </c>
      <c r="C214" s="19">
        <f t="shared" ref="C214:C246" si="9">C213*(1+$D$157)</f>
        <v>78292.5</v>
      </c>
      <c r="D214" s="19">
        <f t="shared" ref="D214:D246" si="10">F213+C214</f>
        <v>215255.1</v>
      </c>
      <c r="E214" s="19">
        <f t="shared" si="8"/>
        <v>12915.306</v>
      </c>
      <c r="F214" s="28">
        <f t="shared" ref="F214:F246" si="11">D214+E214</f>
        <v>228170.40600000002</v>
      </c>
    </row>
    <row r="215" spans="2:6" x14ac:dyDescent="0.3">
      <c r="B215" s="3">
        <v>4</v>
      </c>
      <c r="C215" s="19">
        <f t="shared" si="9"/>
        <v>86121.75</v>
      </c>
      <c r="D215" s="19">
        <f t="shared" si="10"/>
        <v>314292.15600000002</v>
      </c>
      <c r="E215" s="19">
        <f t="shared" si="8"/>
        <v>18857.52936</v>
      </c>
      <c r="F215" s="28">
        <f t="shared" si="11"/>
        <v>333149.68536</v>
      </c>
    </row>
    <row r="216" spans="2:6" x14ac:dyDescent="0.3">
      <c r="B216" s="3">
        <v>5</v>
      </c>
      <c r="C216" s="19">
        <f t="shared" si="9"/>
        <v>94733.925000000003</v>
      </c>
      <c r="D216" s="19">
        <f t="shared" si="10"/>
        <v>427883.61035999999</v>
      </c>
      <c r="E216" s="19">
        <f t="shared" si="8"/>
        <v>25673.0166216</v>
      </c>
      <c r="F216" s="28">
        <f t="shared" si="11"/>
        <v>453556.62698160001</v>
      </c>
    </row>
    <row r="217" spans="2:6" x14ac:dyDescent="0.3">
      <c r="B217" s="3">
        <v>6</v>
      </c>
      <c r="C217" s="19">
        <f t="shared" si="9"/>
        <v>104207.3175</v>
      </c>
      <c r="D217" s="19">
        <f t="shared" si="10"/>
        <v>557763.94448160008</v>
      </c>
      <c r="E217" s="19">
        <f t="shared" si="8"/>
        <v>33465.836668896001</v>
      </c>
      <c r="F217" s="28">
        <f t="shared" si="11"/>
        <v>591229.7811504961</v>
      </c>
    </row>
    <row r="218" spans="2:6" x14ac:dyDescent="0.3">
      <c r="B218" s="3">
        <v>7</v>
      </c>
      <c r="C218" s="19">
        <f t="shared" si="9"/>
        <v>114628.04925000001</v>
      </c>
      <c r="D218" s="19">
        <f t="shared" si="10"/>
        <v>705857.83040049614</v>
      </c>
      <c r="E218" s="19">
        <f t="shared" si="8"/>
        <v>42351.469824029766</v>
      </c>
      <c r="F218" s="28">
        <f t="shared" si="11"/>
        <v>748209.30022452585</v>
      </c>
    </row>
    <row r="219" spans="2:6" x14ac:dyDescent="0.3">
      <c r="B219" s="3">
        <v>8</v>
      </c>
      <c r="C219" s="19">
        <f t="shared" si="9"/>
        <v>126090.85417500001</v>
      </c>
      <c r="D219" s="19">
        <f t="shared" si="10"/>
        <v>874300.15439952584</v>
      </c>
      <c r="E219" s="19">
        <f t="shared" si="8"/>
        <v>52458.009263971551</v>
      </c>
      <c r="F219" s="28">
        <f t="shared" si="11"/>
        <v>926758.16366349743</v>
      </c>
    </row>
    <row r="220" spans="2:6" x14ac:dyDescent="0.3">
      <c r="B220" s="3">
        <v>9</v>
      </c>
      <c r="C220" s="19">
        <f t="shared" si="9"/>
        <v>138699.93959250001</v>
      </c>
      <c r="D220" s="19">
        <f t="shared" si="10"/>
        <v>1065458.1032559974</v>
      </c>
      <c r="E220" s="19">
        <f t="shared" si="8"/>
        <v>63927.486195359845</v>
      </c>
      <c r="F220" s="28">
        <f t="shared" si="11"/>
        <v>1129385.5894513573</v>
      </c>
    </row>
    <row r="221" spans="2:6" x14ac:dyDescent="0.3">
      <c r="B221" s="3">
        <v>10</v>
      </c>
      <c r="C221" s="19">
        <f t="shared" si="9"/>
        <v>152569.93355175003</v>
      </c>
      <c r="D221" s="19">
        <f t="shared" si="10"/>
        <v>1281955.5230031074</v>
      </c>
      <c r="E221" s="19">
        <f t="shared" si="8"/>
        <v>76917.331380186442</v>
      </c>
      <c r="F221" s="28">
        <f t="shared" si="11"/>
        <v>1358872.8543832938</v>
      </c>
    </row>
    <row r="222" spans="2:6" x14ac:dyDescent="0.3">
      <c r="B222" s="3">
        <v>11</v>
      </c>
      <c r="C222" s="19">
        <f t="shared" si="9"/>
        <v>167826.92690692504</v>
      </c>
      <c r="D222" s="19">
        <f t="shared" si="10"/>
        <v>1526699.7812902187</v>
      </c>
      <c r="E222" s="19">
        <f t="shared" si="8"/>
        <v>91601.986877413117</v>
      </c>
      <c r="F222" s="28">
        <f t="shared" si="11"/>
        <v>1618301.7681676317</v>
      </c>
    </row>
    <row r="223" spans="2:6" x14ac:dyDescent="0.3">
      <c r="B223" s="3">
        <v>12</v>
      </c>
      <c r="C223" s="19">
        <f t="shared" si="9"/>
        <v>184609.61959761757</v>
      </c>
      <c r="D223" s="19">
        <f t="shared" si="10"/>
        <v>1802911.3877652492</v>
      </c>
      <c r="E223" s="19">
        <f t="shared" si="8"/>
        <v>108174.68326591495</v>
      </c>
      <c r="F223" s="28">
        <f t="shared" si="11"/>
        <v>1911086.0710311641</v>
      </c>
    </row>
    <row r="224" spans="2:6" x14ac:dyDescent="0.3">
      <c r="B224" s="3">
        <v>13</v>
      </c>
      <c r="C224" s="19">
        <f t="shared" si="9"/>
        <v>203070.58155737934</v>
      </c>
      <c r="D224" s="19">
        <f t="shared" si="10"/>
        <v>2114156.6525885435</v>
      </c>
      <c r="E224" s="19">
        <f t="shared" si="8"/>
        <v>126849.39915531261</v>
      </c>
      <c r="F224" s="28">
        <f t="shared" si="11"/>
        <v>2241006.0517438562</v>
      </c>
    </row>
    <row r="225" spans="2:6" x14ac:dyDescent="0.3">
      <c r="B225" s="3">
        <v>14</v>
      </c>
      <c r="C225" s="19">
        <f t="shared" si="9"/>
        <v>223377.6397131173</v>
      </c>
      <c r="D225" s="19">
        <f t="shared" si="10"/>
        <v>2464383.6914569736</v>
      </c>
      <c r="E225" s="19">
        <f t="shared" si="8"/>
        <v>147863.02148741842</v>
      </c>
      <c r="F225" s="28">
        <f t="shared" si="11"/>
        <v>2612246.7129443921</v>
      </c>
    </row>
    <row r="226" spans="2:6" x14ac:dyDescent="0.3">
      <c r="B226" s="3">
        <v>15</v>
      </c>
      <c r="C226" s="19">
        <f t="shared" si="9"/>
        <v>245715.40368442904</v>
      </c>
      <c r="D226" s="19">
        <f t="shared" si="10"/>
        <v>2857962.116628821</v>
      </c>
      <c r="E226" s="19">
        <f t="shared" si="8"/>
        <v>171477.72699772925</v>
      </c>
      <c r="F226" s="28">
        <f t="shared" si="11"/>
        <v>3029439.8436265504</v>
      </c>
    </row>
    <row r="227" spans="2:6" x14ac:dyDescent="0.3">
      <c r="B227" s="3">
        <v>16</v>
      </c>
      <c r="C227" s="19">
        <f t="shared" si="9"/>
        <v>270286.94405287196</v>
      </c>
      <c r="D227" s="19">
        <f t="shared" si="10"/>
        <v>3299726.7876794222</v>
      </c>
      <c r="E227" s="19">
        <f t="shared" si="8"/>
        <v>197983.60726076533</v>
      </c>
      <c r="F227" s="28">
        <f t="shared" si="11"/>
        <v>3497710.3949401877</v>
      </c>
    </row>
    <row r="228" spans="2:6" x14ac:dyDescent="0.3">
      <c r="B228" s="3">
        <v>17</v>
      </c>
      <c r="C228" s="19">
        <f t="shared" si="9"/>
        <v>297315.63845815917</v>
      </c>
      <c r="D228" s="19">
        <f t="shared" si="10"/>
        <v>3795026.033398347</v>
      </c>
      <c r="E228" s="19">
        <f t="shared" si="8"/>
        <v>227701.56200390082</v>
      </c>
      <c r="F228" s="28">
        <f t="shared" si="11"/>
        <v>4022727.5954022477</v>
      </c>
    </row>
    <row r="229" spans="2:6" x14ac:dyDescent="0.3">
      <c r="B229" s="3">
        <v>18</v>
      </c>
      <c r="C229" s="19">
        <f t="shared" si="9"/>
        <v>327047.20230397512</v>
      </c>
      <c r="D229" s="19">
        <f t="shared" si="10"/>
        <v>4349774.7977062231</v>
      </c>
      <c r="E229" s="19">
        <f t="shared" si="8"/>
        <v>260986.48786237338</v>
      </c>
      <c r="F229" s="28">
        <f t="shared" si="11"/>
        <v>4610761.2855685968</v>
      </c>
    </row>
    <row r="230" spans="2:6" x14ac:dyDescent="0.3">
      <c r="B230" s="3">
        <v>19</v>
      </c>
      <c r="C230" s="19">
        <f t="shared" si="9"/>
        <v>359751.92253437266</v>
      </c>
      <c r="D230" s="19">
        <f t="shared" si="10"/>
        <v>4970513.2081029695</v>
      </c>
      <c r="E230" s="19">
        <f t="shared" si="8"/>
        <v>298230.79248617816</v>
      </c>
      <c r="F230" s="28">
        <f t="shared" si="11"/>
        <v>5268744.0005891472</v>
      </c>
    </row>
    <row r="231" spans="2:6" x14ac:dyDescent="0.3">
      <c r="B231" s="3">
        <v>20</v>
      </c>
      <c r="C231" s="19">
        <f t="shared" si="9"/>
        <v>395727.11478780996</v>
      </c>
      <c r="D231" s="19">
        <f t="shared" si="10"/>
        <v>5664471.1153769568</v>
      </c>
      <c r="E231" s="19">
        <f t="shared" si="8"/>
        <v>339868.26692261739</v>
      </c>
      <c r="F231" s="28">
        <f t="shared" si="11"/>
        <v>6004339.3822995741</v>
      </c>
    </row>
    <row r="232" spans="2:6" x14ac:dyDescent="0.3">
      <c r="B232" s="3">
        <v>21</v>
      </c>
      <c r="C232" s="19">
        <f t="shared" si="9"/>
        <v>435299.82626659097</v>
      </c>
      <c r="D232" s="19">
        <f t="shared" si="10"/>
        <v>6439639.2085661646</v>
      </c>
      <c r="E232" s="19">
        <f t="shared" si="8"/>
        <v>386378.35251396988</v>
      </c>
      <c r="F232" s="28">
        <f t="shared" si="11"/>
        <v>6826017.5610801345</v>
      </c>
    </row>
    <row r="233" spans="2:6" x14ac:dyDescent="0.3">
      <c r="B233" s="3">
        <v>22</v>
      </c>
      <c r="C233" s="19">
        <f t="shared" si="9"/>
        <v>478829.80889325013</v>
      </c>
      <c r="D233" s="19">
        <f t="shared" si="10"/>
        <v>7304847.3699733848</v>
      </c>
      <c r="E233" s="19">
        <f t="shared" si="8"/>
        <v>438290.84219840309</v>
      </c>
      <c r="F233" s="28">
        <f t="shared" si="11"/>
        <v>7743138.2121717874</v>
      </c>
    </row>
    <row r="234" spans="2:6" x14ac:dyDescent="0.3">
      <c r="B234" s="3">
        <v>23</v>
      </c>
      <c r="C234" s="19">
        <f t="shared" si="9"/>
        <v>526712.78978257522</v>
      </c>
      <c r="D234" s="19">
        <f t="shared" si="10"/>
        <v>8269851.0019543627</v>
      </c>
      <c r="E234" s="19">
        <f t="shared" si="8"/>
        <v>496191.06011726172</v>
      </c>
      <c r="F234" s="28">
        <f t="shared" si="11"/>
        <v>8766042.0620716251</v>
      </c>
    </row>
    <row r="235" spans="2:6" x14ac:dyDescent="0.3">
      <c r="B235" s="3">
        <v>24</v>
      </c>
      <c r="C235" s="19">
        <f t="shared" si="9"/>
        <v>579384.06876083277</v>
      </c>
      <c r="D235" s="19">
        <f t="shared" si="10"/>
        <v>9345426.1308324579</v>
      </c>
      <c r="E235" s="19">
        <f t="shared" si="8"/>
        <v>560725.56784994749</v>
      </c>
      <c r="F235" s="28">
        <f t="shared" si="11"/>
        <v>9906151.6986824051</v>
      </c>
    </row>
    <row r="236" spans="2:6" x14ac:dyDescent="0.3">
      <c r="B236" s="3">
        <v>25</v>
      </c>
      <c r="C236" s="19">
        <f t="shared" si="9"/>
        <v>637322.47563691612</v>
      </c>
      <c r="D236" s="19">
        <f t="shared" si="10"/>
        <v>10543474.174319321</v>
      </c>
      <c r="E236" s="19">
        <f t="shared" si="8"/>
        <v>632608.45045915921</v>
      </c>
      <c r="F236" s="28">
        <f t="shared" si="11"/>
        <v>11176082.624778481</v>
      </c>
    </row>
    <row r="237" spans="2:6" x14ac:dyDescent="0.3">
      <c r="B237" s="3">
        <v>26</v>
      </c>
      <c r="C237" s="19">
        <f t="shared" si="9"/>
        <v>701054.72320060781</v>
      </c>
      <c r="D237" s="19">
        <f t="shared" si="10"/>
        <v>11877137.347979089</v>
      </c>
      <c r="E237" s="19">
        <f t="shared" si="8"/>
        <v>712628.24087874533</v>
      </c>
      <c r="F237" s="28">
        <f t="shared" si="11"/>
        <v>12589765.588857835</v>
      </c>
    </row>
    <row r="238" spans="2:6" x14ac:dyDescent="0.3">
      <c r="B238" s="3">
        <v>27</v>
      </c>
      <c r="C238" s="19">
        <f t="shared" si="9"/>
        <v>771160.19552066864</v>
      </c>
      <c r="D238" s="19">
        <f t="shared" si="10"/>
        <v>13360925.784378504</v>
      </c>
      <c r="E238" s="19">
        <f t="shared" si="8"/>
        <v>801655.54706271028</v>
      </c>
      <c r="F238" s="28">
        <f t="shared" si="11"/>
        <v>14162581.331441214</v>
      </c>
    </row>
    <row r="239" spans="2:6" x14ac:dyDescent="0.3">
      <c r="B239" s="3">
        <v>28</v>
      </c>
      <c r="C239" s="19">
        <f t="shared" si="9"/>
        <v>848276.21507273556</v>
      </c>
      <c r="D239" s="19">
        <f t="shared" si="10"/>
        <v>15010857.54651395</v>
      </c>
      <c r="E239" s="19">
        <f t="shared" si="8"/>
        <v>900651.45279083704</v>
      </c>
      <c r="F239" s="28">
        <f t="shared" si="11"/>
        <v>15911508.999304788</v>
      </c>
    </row>
    <row r="240" spans="2:6" x14ac:dyDescent="0.3">
      <c r="B240" s="3">
        <v>29</v>
      </c>
      <c r="C240" s="19">
        <f t="shared" si="9"/>
        <v>933103.8365800092</v>
      </c>
      <c r="D240" s="19">
        <f t="shared" si="10"/>
        <v>16844612.835884798</v>
      </c>
      <c r="E240" s="19">
        <f t="shared" si="8"/>
        <v>1010676.7701530879</v>
      </c>
      <c r="F240" s="28">
        <f t="shared" si="11"/>
        <v>17855289.606037885</v>
      </c>
    </row>
    <row r="241" spans="1:8" x14ac:dyDescent="0.3">
      <c r="B241" s="3">
        <v>30</v>
      </c>
      <c r="C241" s="19">
        <f t="shared" si="9"/>
        <v>1026414.2202380102</v>
      </c>
      <c r="D241" s="19">
        <f t="shared" si="10"/>
        <v>18881703.826275896</v>
      </c>
      <c r="E241" s="19">
        <f t="shared" si="8"/>
        <v>1132902.2295765537</v>
      </c>
      <c r="F241" s="28">
        <f t="shared" si="11"/>
        <v>20014606.05585245</v>
      </c>
    </row>
    <row r="242" spans="1:8" x14ac:dyDescent="0.3">
      <c r="B242" s="3">
        <v>31</v>
      </c>
      <c r="C242" s="19">
        <f t="shared" si="9"/>
        <v>1129055.6422618113</v>
      </c>
      <c r="D242" s="19">
        <f t="shared" si="10"/>
        <v>21143661.698114261</v>
      </c>
      <c r="E242" s="19">
        <f t="shared" si="8"/>
        <v>1268619.7018868555</v>
      </c>
      <c r="F242" s="28">
        <f t="shared" si="11"/>
        <v>22412281.400001116</v>
      </c>
    </row>
    <row r="243" spans="1:8" x14ac:dyDescent="0.3">
      <c r="B243" s="3">
        <v>32</v>
      </c>
      <c r="C243" s="19">
        <f t="shared" si="9"/>
        <v>1241961.2064879925</v>
      </c>
      <c r="D243" s="19">
        <f t="shared" si="10"/>
        <v>23654242.606489107</v>
      </c>
      <c r="E243" s="19">
        <f t="shared" si="8"/>
        <v>1419254.5563893463</v>
      </c>
      <c r="F243" s="28">
        <f t="shared" si="11"/>
        <v>25073497.162878454</v>
      </c>
    </row>
    <row r="244" spans="1:8" x14ac:dyDescent="0.3">
      <c r="B244" s="3">
        <v>33</v>
      </c>
      <c r="C244" s="19">
        <f t="shared" si="9"/>
        <v>1366157.327136792</v>
      </c>
      <c r="D244" s="19">
        <f t="shared" si="10"/>
        <v>26439654.490015246</v>
      </c>
      <c r="E244" s="19">
        <f t="shared" si="8"/>
        <v>1586379.2694009147</v>
      </c>
      <c r="F244" s="28">
        <f t="shared" si="11"/>
        <v>28026033.759416159</v>
      </c>
    </row>
    <row r="245" spans="1:8" x14ac:dyDescent="0.3">
      <c r="B245" s="3">
        <v>34</v>
      </c>
      <c r="C245" s="19">
        <f t="shared" si="9"/>
        <v>1502773.0598504713</v>
      </c>
      <c r="D245" s="19">
        <f t="shared" si="10"/>
        <v>29528806.819266632</v>
      </c>
      <c r="E245" s="19">
        <f t="shared" si="8"/>
        <v>1771728.4091559979</v>
      </c>
      <c r="F245" s="28">
        <f t="shared" si="11"/>
        <v>31300535.228422631</v>
      </c>
    </row>
    <row r="246" spans="1:8" x14ac:dyDescent="0.3">
      <c r="B246" s="3">
        <v>35</v>
      </c>
      <c r="C246" s="19">
        <f t="shared" si="9"/>
        <v>1653050.3658355186</v>
      </c>
      <c r="D246" s="19">
        <f t="shared" si="10"/>
        <v>32953585.594258148</v>
      </c>
      <c r="E246" s="19">
        <f t="shared" si="8"/>
        <v>1977215.1356554888</v>
      </c>
      <c r="F246" s="29">
        <f t="shared" si="11"/>
        <v>34930800.729913637</v>
      </c>
      <c r="H246" t="s">
        <v>126</v>
      </c>
    </row>
    <row r="249" spans="1:8" x14ac:dyDescent="0.3">
      <c r="A249" s="11">
        <v>10</v>
      </c>
      <c r="B249" s="11" t="s">
        <v>130</v>
      </c>
    </row>
    <row r="251" spans="1:8" x14ac:dyDescent="0.3">
      <c r="B251" t="s">
        <v>131</v>
      </c>
      <c r="D251">
        <v>20000</v>
      </c>
    </row>
    <row r="252" spans="1:8" x14ac:dyDescent="0.3">
      <c r="B252" t="s">
        <v>132</v>
      </c>
      <c r="D252">
        <v>25000</v>
      </c>
    </row>
    <row r="253" spans="1:8" x14ac:dyDescent="0.3">
      <c r="B253" t="s">
        <v>133</v>
      </c>
      <c r="D253">
        <v>25000</v>
      </c>
    </row>
    <row r="254" spans="1:8" x14ac:dyDescent="0.3">
      <c r="B254" t="s">
        <v>134</v>
      </c>
      <c r="D254">
        <v>25000</v>
      </c>
    </row>
    <row r="255" spans="1:8" x14ac:dyDescent="0.3">
      <c r="B255" t="s">
        <v>135</v>
      </c>
      <c r="D255">
        <v>165000</v>
      </c>
    </row>
    <row r="256" spans="1:8" x14ac:dyDescent="0.3">
      <c r="B256" t="s">
        <v>136</v>
      </c>
      <c r="D256">
        <v>200000</v>
      </c>
    </row>
    <row r="259" spans="3:4" x14ac:dyDescent="0.3">
      <c r="C259" s="3" t="s">
        <v>137</v>
      </c>
      <c r="D259" s="3" t="s">
        <v>138</v>
      </c>
    </row>
    <row r="260" spans="3:4" x14ac:dyDescent="0.3">
      <c r="C260" s="3"/>
      <c r="D260" s="3"/>
    </row>
    <row r="261" spans="3:4" x14ac:dyDescent="0.3">
      <c r="C261" s="31">
        <v>42370</v>
      </c>
      <c r="D261" s="3">
        <f>-$D$251</f>
        <v>-20000</v>
      </c>
    </row>
    <row r="262" spans="3:4" x14ac:dyDescent="0.3">
      <c r="C262" s="31">
        <v>42736</v>
      </c>
      <c r="D262" s="3">
        <f t="shared" ref="D262:D264" si="12">-$D$251</f>
        <v>-20000</v>
      </c>
    </row>
    <row r="263" spans="3:4" x14ac:dyDescent="0.3">
      <c r="C263" s="31">
        <v>43101</v>
      </c>
      <c r="D263" s="3">
        <f t="shared" si="12"/>
        <v>-20000</v>
      </c>
    </row>
    <row r="264" spans="3:4" x14ac:dyDescent="0.3">
      <c r="C264" s="31">
        <v>43466</v>
      </c>
      <c r="D264" s="3">
        <f t="shared" si="12"/>
        <v>-20000</v>
      </c>
    </row>
    <row r="265" spans="3:4" x14ac:dyDescent="0.3">
      <c r="C265" s="31">
        <v>43831</v>
      </c>
      <c r="D265" s="3">
        <f>(-D251+D252)</f>
        <v>5000</v>
      </c>
    </row>
    <row r="266" spans="3:4" x14ac:dyDescent="0.3">
      <c r="C266" s="31">
        <v>44197</v>
      </c>
      <c r="D266" s="3">
        <f t="shared" ref="D266:D269" si="13">-$D$251</f>
        <v>-20000</v>
      </c>
    </row>
    <row r="267" spans="3:4" x14ac:dyDescent="0.3">
      <c r="C267" s="31">
        <v>44562</v>
      </c>
      <c r="D267" s="3">
        <f t="shared" si="13"/>
        <v>-20000</v>
      </c>
    </row>
    <row r="268" spans="3:4" x14ac:dyDescent="0.3">
      <c r="C268" s="31">
        <v>44927</v>
      </c>
      <c r="D268" s="3">
        <f t="shared" si="13"/>
        <v>-20000</v>
      </c>
    </row>
    <row r="269" spans="3:4" x14ac:dyDescent="0.3">
      <c r="C269" s="31">
        <v>45292</v>
      </c>
      <c r="D269" s="3">
        <f t="shared" si="13"/>
        <v>-20000</v>
      </c>
    </row>
    <row r="270" spans="3:4" x14ac:dyDescent="0.3">
      <c r="C270" s="31">
        <v>45658</v>
      </c>
      <c r="D270" s="3">
        <f>-D251+D253</f>
        <v>5000</v>
      </c>
    </row>
    <row r="271" spans="3:4" x14ac:dyDescent="0.3">
      <c r="C271" s="31">
        <v>46023</v>
      </c>
      <c r="D271" s="3">
        <f t="shared" ref="D271:D274" si="14">-$D$251</f>
        <v>-20000</v>
      </c>
    </row>
    <row r="272" spans="3:4" x14ac:dyDescent="0.3">
      <c r="C272" s="31">
        <v>46388</v>
      </c>
      <c r="D272" s="3">
        <f t="shared" si="14"/>
        <v>-20000</v>
      </c>
    </row>
    <row r="273" spans="1:4" x14ac:dyDescent="0.3">
      <c r="C273" s="31">
        <v>46753</v>
      </c>
      <c r="D273" s="3">
        <f t="shared" si="14"/>
        <v>-20000</v>
      </c>
    </row>
    <row r="274" spans="1:4" x14ac:dyDescent="0.3">
      <c r="C274" s="31">
        <v>47119</v>
      </c>
      <c r="D274" s="3">
        <f t="shared" si="14"/>
        <v>-20000</v>
      </c>
    </row>
    <row r="275" spans="1:4" x14ac:dyDescent="0.3">
      <c r="C275" s="31">
        <v>47484</v>
      </c>
      <c r="D275" s="3">
        <f>-D251+D254</f>
        <v>5000</v>
      </c>
    </row>
    <row r="276" spans="1:4" x14ac:dyDescent="0.3">
      <c r="C276" s="31">
        <v>47849</v>
      </c>
      <c r="D276" s="3">
        <f t="shared" ref="D276:D279" si="15">-$D$251</f>
        <v>-20000</v>
      </c>
    </row>
    <row r="277" spans="1:4" x14ac:dyDescent="0.3">
      <c r="C277" s="31">
        <v>48214</v>
      </c>
      <c r="D277" s="3">
        <f t="shared" si="15"/>
        <v>-20000</v>
      </c>
    </row>
    <row r="278" spans="1:4" x14ac:dyDescent="0.3">
      <c r="C278" s="31">
        <v>48580</v>
      </c>
      <c r="D278" s="3">
        <f t="shared" si="15"/>
        <v>-20000</v>
      </c>
    </row>
    <row r="279" spans="1:4" x14ac:dyDescent="0.3">
      <c r="C279" s="31">
        <v>48945</v>
      </c>
      <c r="D279" s="3">
        <f t="shared" si="15"/>
        <v>-20000</v>
      </c>
    </row>
    <row r="280" spans="1:4" x14ac:dyDescent="0.3">
      <c r="C280" s="31">
        <v>49310</v>
      </c>
      <c r="D280" s="3">
        <f>-D251+D255+D256</f>
        <v>345000</v>
      </c>
    </row>
    <row r="281" spans="1:4" x14ac:dyDescent="0.3">
      <c r="C281" s="31">
        <v>49675</v>
      </c>
      <c r="D281" s="32">
        <f>XIRR(D261:D280,C261:C280)</f>
        <v>1.21458500623703E-2</v>
      </c>
    </row>
    <row r="284" spans="1:4" x14ac:dyDescent="0.3">
      <c r="B284" t="s">
        <v>140</v>
      </c>
    </row>
    <row r="287" spans="1:4" s="24" customFormat="1" x14ac:dyDescent="0.3"/>
    <row r="288" spans="1:4" x14ac:dyDescent="0.3">
      <c r="A288" t="s">
        <v>141</v>
      </c>
    </row>
  </sheetData>
  <mergeCells count="76">
    <mergeCell ref="B15:E15"/>
    <mergeCell ref="B16:E16"/>
    <mergeCell ref="B17:E17"/>
    <mergeCell ref="B18:E18"/>
    <mergeCell ref="B19:E19"/>
    <mergeCell ref="B10:E10"/>
    <mergeCell ref="B11:E11"/>
    <mergeCell ref="B12:E12"/>
    <mergeCell ref="B13:E13"/>
    <mergeCell ref="B14:E14"/>
    <mergeCell ref="B41:E43"/>
    <mergeCell ref="K19:M19"/>
    <mergeCell ref="F49:M49"/>
    <mergeCell ref="B36:E36"/>
    <mergeCell ref="B37:E37"/>
    <mergeCell ref="B38:E38"/>
    <mergeCell ref="B39:E39"/>
    <mergeCell ref="B40:E40"/>
    <mergeCell ref="B22:E22"/>
    <mergeCell ref="B31:E31"/>
    <mergeCell ref="B32:E32"/>
    <mergeCell ref="B33:E33"/>
    <mergeCell ref="B34:E34"/>
    <mergeCell ref="B35:E35"/>
    <mergeCell ref="B20:E20"/>
    <mergeCell ref="B21:E21"/>
    <mergeCell ref="A98:C98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B66:E66"/>
    <mergeCell ref="B67:E67"/>
    <mergeCell ref="B146:C146"/>
    <mergeCell ref="B134:C134"/>
    <mergeCell ref="B135:C135"/>
    <mergeCell ref="B136:C136"/>
    <mergeCell ref="D110:D113"/>
    <mergeCell ref="A116:C116"/>
    <mergeCell ref="B131:C131"/>
    <mergeCell ref="B132:C132"/>
    <mergeCell ref="B133:C133"/>
    <mergeCell ref="B122:C122"/>
    <mergeCell ref="B123:C123"/>
    <mergeCell ref="B124:C124"/>
    <mergeCell ref="B125:C125"/>
    <mergeCell ref="B126:C126"/>
    <mergeCell ref="B142:C142"/>
    <mergeCell ref="B143:C143"/>
    <mergeCell ref="B144:C144"/>
    <mergeCell ref="B145:C145"/>
    <mergeCell ref="F147:G147"/>
    <mergeCell ref="F148:G148"/>
    <mergeCell ref="F149:G149"/>
    <mergeCell ref="F150:G150"/>
    <mergeCell ref="B147:C147"/>
    <mergeCell ref="B148:C148"/>
    <mergeCell ref="B149:C149"/>
    <mergeCell ref="B150:C150"/>
    <mergeCell ref="F142:G142"/>
    <mergeCell ref="F143:G143"/>
    <mergeCell ref="F144:G144"/>
    <mergeCell ref="F145:G145"/>
    <mergeCell ref="F146:G146"/>
    <mergeCell ref="F151:G151"/>
    <mergeCell ref="F152:G152"/>
    <mergeCell ref="F153:G153"/>
    <mergeCell ref="B157:C157"/>
    <mergeCell ref="B153:C153"/>
    <mergeCell ref="B151:C151"/>
    <mergeCell ref="B152:C15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Calculator_case_study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Barman</dc:creator>
  <cp:lastModifiedBy>Shubham Barman</cp:lastModifiedBy>
  <dcterms:created xsi:type="dcterms:W3CDTF">2024-05-18T09:49:22Z</dcterms:created>
  <dcterms:modified xsi:type="dcterms:W3CDTF">2024-05-25T13:27:20Z</dcterms:modified>
</cp:coreProperties>
</file>