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9029"/>
  <workbookPr/>
  <mc:AlternateContent>
    <mc:Choice Requires="x15">
      <x15ac:absPath xmlns:x15ac="http://schemas.microsoft.com/office/spreadsheetml/2010/11/ac" url="C:\workspace\Modeling\code-generator-project\input\"/>
    </mc:Choice>
  </mc:AlternateContent>
  <xr:revisionPtr documentId="13_ncr:1_{75F31B27-6415-44DB-8875-B3C9EFD626F3}" revIDLastSave="0" xr10:uidLastSave="{00000000-0000-0000-0000-000000000000}" xr6:coauthVersionLast="28" xr6:coauthVersionMax="28"/>
  <bookViews>
    <workbookView windowHeight="11490" windowWidth="25200" xWindow="0" xr2:uid="{00000000-000D-0000-FFFF-FFFF00000000}" yWindow="0"/>
  </bookViews>
  <sheets>
    <sheet name="Calorie Amoritization" r:id="rId1" sheetId="1"/>
    <sheet name="Exercise Type Lookup" r:id="rId2" sheetId="2"/>
  </sheets>
  <definedNames>
    <definedName name="ActivityFactor">IF(ActivityLevel="S",1.2,IF(ActivityLevel="L",1.375,IF(ActivityLevel="M",1.55,IF(ActivityLevel="V",1.725,IF(ActivityLevel="E",1.9,"")))))</definedName>
    <definedName name="ActivityLevel">LEFT(Level,1)</definedName>
    <definedName name="Age">'Calorie Amoritization'!$L$5</definedName>
    <definedName name="AllComplete"><![CDATA[IF(AND(ActivityLevel<>"",WeightGoal<>"",UnitOfMeasure<>"",Height1<>"",Weight<>"",TargetWeight<>"",Age<>"",Gender<>""),TRUE,FALSE)]]></definedName>
    <definedName name="BMR">(BMRWeight+BMRHeight+BMRFactor)-IF(Gender="Female",Age*4.7,Age*6.8)</definedName>
    <definedName name="BMRAge">IF(Gender="Female",Age*4.7,Age*6.8)</definedName>
    <definedName name="BMRFactor">IF(Standard,IF(Gender="Female",655,66),IF(Gender="Female",655,66))</definedName>
    <definedName name="BMRHeight">IF(Gender="Female",Height*IF(Standard,4.7,1.8),Height*IF(Standard,12.7,5))</definedName>
    <definedName name="BMRWeight">IF(Gender="Female",Weight*IF(Standard,4.35,9.6),Weight*IF(Standard,6.23,13.7))</definedName>
    <definedName name="CalsPerkg">1587.573</definedName>
    <definedName name="CalsPerPound">3500</definedName>
    <definedName name="CalsRemain">200</definedName>
    <definedName name="ColumnTitleRegion1..B5.1">'Calorie Amoritization'!$B$4</definedName>
    <definedName name="ColumnTitleRegion2..L5.1">'Calorie Amoritization'!$H$4</definedName>
    <definedName name="ColumnTitleRegion3..L7.1">'Calorie Amoritization'!$B$6</definedName>
    <definedName name="ColumnTitleRegion4..L9.1">'Calorie Amoritization'!$B$8:$D$8</definedName>
    <definedName name="ColumnTitleRegion5..M998.1">'Calorie Amoritization'!$B$10</definedName>
    <definedName name="CurrentBMR">IF(Gender="Female",CalsRemain*IF(Standard,4.35,9.6),CalsRemain*IF(Standard,6.23,13.7))</definedName>
    <definedName name="DayNo">IF(DATEDIF(StartDate,TargetDate,"md")&gt;1," DAYS"," DAY")</definedName>
    <definedName name="ExerciseTypesLookup">ExerciseTypes[EXERCISE TYPE]</definedName>
    <definedName name="Gender">'Calorie Amoritization'!$L$7</definedName>
    <definedName name="Height">IF(Standard,(Height1*12)+Height2,(Height1*100)+Height1)</definedName>
    <definedName name="Height1">IF('Calorie Amoritization'!$H$7="",0,'Calorie Amoritization'!$H$7)</definedName>
    <definedName name="Height2">IF('Calorie Amoritization'!$I$7="",0,'Calorie Amoritization'!$I$7)</definedName>
    <definedName name="InitCal">'Calorie Amoritization'!$H$9</definedName>
    <definedName name="InitCalIntake">'Calorie Amoritization'!$J$9</definedName>
    <definedName name="LastRow">COUNT('Calorie Amoritization'!$B$1:$B$21)+9</definedName>
    <definedName name="Level">'Calorie Amoritization'!$B$5</definedName>
    <definedName name="Maintain">IF(WeightGoal="Maintain",TRUE,FALSE)</definedName>
    <definedName localSheetId="0" name="_xlnm.Print_Titles">'Calorie Amoritization'!$10:$10</definedName>
    <definedName name="RunningBMR">(CurrentBMR+BMRHeight+BMRFactor)-IF(Gender="Female",Age*4.7,Age*6.8)</definedName>
    <definedName name="Standard">IF(UnitOfMeasure="Imperial",TRUE,FALSE)</definedName>
    <definedName name="StartDate">'Calorie Amoritization'!$B$9</definedName>
    <definedName name="TargetDate">'Calorie Amoritization'!$E$9</definedName>
    <definedName name="TargetWeight">'Calorie Amoritization'!$J$7</definedName>
    <definedName name="UnitOfMeasure">'Calorie Amoritization'!$H$5</definedName>
    <definedName name="Weight">'Calorie Amoritization'!$J$5</definedName>
    <definedName name="WeightGainLoss">IF(WeightGoal="Decrease",Weight-TargetWeight,TargetWeight-Weight)</definedName>
    <definedName name="WeightGoal">'Calorie Amoritization'!$B$7</definedName>
    <definedName name="WeightToLoseGain">IF(Weight&gt;TargetWeight,Weight-TargetWeight,TargetWeight-Weight)</definedName>
  </definedNames>
  <calcPr calcId="171027"/>
  <fileRecoveryPr autoRecover="0"/>
</workbook>
</file>

<file path=xl/calcChain.xml><?xml version="1.0" encoding="utf-8"?>
<calcChain xmlns="http://schemas.openxmlformats.org/spreadsheetml/2006/main">
  <c i="1" l="1" r="M11"/>
  <c i="1" r="E11"/>
  <c i="1" r="F11" s="1"/>
  <c i="1" r="C11"/>
  <c i="1" l="1" r="I10"/>
  <c i="1" r="K10"/>
  <c i="1" r="L10"/>
  <c i="1" r="B9"/>
  <c i="1" r="B11" s="1"/>
  <c i="1" l="1" r="B3"/>
  <c i="1" l="1" r="L8"/>
  <c i="1" l="1" r="H6"/>
  <c i="1" r="I6"/>
  <c i="1" r="H3"/>
  <c i="1" l="1" r="H2"/>
  <c i="1" l="1" r="E5"/>
  <c i="1" l="1" r="L9"/>
  <c i="1" r="J11" s="1"/>
  <c i="1" r="D11" s="1"/>
  <c i="1" l="1" r="J9"/>
  <c i="1" r="G11" s="1"/>
  <c i="1" r="H9"/>
  <c i="1" r="K11"/>
  <c i="1" r="L11" s="1"/>
  <c i="1" l="1" r="B12"/>
  <c i="1" l="1" r="D12"/>
  <c i="1" r="C12" s="1"/>
  <c i="1" l="1" r="G12"/>
  <c i="1" l="1" r="H11"/>
  <c i="1" l="1" r="I11"/>
  <c i="1" r="E12" s="1"/>
  <c i="1" r="F12" s="1"/>
  <c i="1" r="H12" s="1"/>
  <c i="1" l="1" r="I12"/>
  <c i="1" r="J12" s="1"/>
  <c i="1" r="K12" s="1"/>
  <c i="1" l="1" r="L12"/>
  <c i="1" r="M12" s="1"/>
  <c i="1" r="G13"/>
  <c i="1" r="D13"/>
  <c i="1" r="B13"/>
  <c i="1" l="1" r="E13"/>
  <c i="1" r="F13" s="1"/>
  <c i="1" r="H13" s="1"/>
  <c i="1" r="I13" s="1"/>
  <c i="1" r="J13" s="1"/>
  <c i="1" r="K13" s="1"/>
  <c i="1" r="L13" s="1"/>
  <c i="1" r="M13" s="1"/>
  <c i="1" r="C13"/>
  <c i="1" l="1" r="D14"/>
  <c i="1" r="G14"/>
  <c i="1" r="B14"/>
  <c i="1" l="1" r="C14"/>
  <c i="1" r="E14"/>
  <c i="1" r="F14" s="1"/>
  <c i="1" r="H14" s="1"/>
  <c i="1" r="I14" s="1"/>
  <c i="1" r="J14" s="1"/>
  <c i="1" r="K14" s="1"/>
  <c i="1" r="L14" s="1"/>
  <c i="1" r="M14" s="1"/>
  <c i="1" l="1" r="B15"/>
  <c i="1" r="G15"/>
  <c i="1" r="D15"/>
  <c i="1" l="1" r="C15"/>
  <c i="1" r="E15"/>
  <c i="1" r="F15" s="1"/>
  <c i="1" r="H15" s="1"/>
  <c i="1" r="I15" s="1"/>
  <c i="1" r="J15" s="1"/>
  <c i="1" r="K15" s="1"/>
  <c i="1" r="L15" s="1"/>
  <c i="1" r="M15" s="1"/>
  <c i="1" l="1" r="B16"/>
  <c i="1" r="G16"/>
  <c i="1" r="D16"/>
  <c i="1" l="1" r="C16"/>
  <c i="1" r="E16"/>
  <c i="1" r="F16" s="1"/>
  <c i="1" r="H16" s="1"/>
  <c i="1" r="I16" s="1"/>
  <c i="1" r="J16" s="1"/>
  <c i="1" r="K16" s="1"/>
  <c i="1" r="L16" s="1"/>
  <c i="1" r="M16" s="1"/>
  <c i="1" l="1" r="B17"/>
  <c i="1" r="G17"/>
  <c i="1" r="D17"/>
  <c i="1" l="1" r="C17"/>
  <c i="1" r="E17"/>
  <c i="1" r="F17" s="1"/>
  <c i="1" r="H17" s="1"/>
  <c i="1" r="I17" s="1"/>
  <c i="1" r="J17" s="1"/>
  <c i="1" r="K17" s="1"/>
  <c i="1" r="L17" s="1"/>
  <c i="1" r="M17" s="1"/>
  <c i="1" l="1" r="B18"/>
  <c i="1" r="G18"/>
  <c i="1" r="D18"/>
  <c i="1" l="1" r="C18"/>
  <c i="1" r="E18"/>
  <c i="1" r="F18" s="1"/>
  <c i="1" r="H18" s="1"/>
  <c i="1" r="I18" s="1"/>
  <c i="1" r="J18" s="1"/>
  <c i="1" r="K18" s="1"/>
  <c i="1" r="L18" s="1"/>
  <c i="1" r="M18" s="1"/>
  <c i="1" l="1" r="B19"/>
  <c i="1" r="D19"/>
  <c i="1" r="G19"/>
  <c i="1" l="1" r="E19"/>
  <c i="1" r="F19" s="1"/>
  <c i="1" r="H19" s="1"/>
  <c i="1" r="I19" s="1"/>
  <c i="1" r="J19" s="1"/>
  <c i="1" r="K19" s="1"/>
  <c i="1" r="L19" s="1"/>
  <c i="1" r="M19" s="1"/>
  <c i="1" r="C19"/>
  <c i="1" l="1" r="D20"/>
  <c i="1" r="G20"/>
  <c i="1" r="B20"/>
  <c i="1" l="1" r="C20"/>
  <c i="1" r="E20"/>
  <c i="1" r="F20" s="1"/>
  <c i="1" r="H20" s="1"/>
  <c i="1" l="1" r="I20"/>
  <c i="1" r="J20" s="1"/>
  <c i="1" r="K20" s="1"/>
  <c i="1" r="L20" s="1"/>
  <c i="1" r="M20" s="1"/>
  <c i="1" l="1" r="G21"/>
  <c i="1" r="D21"/>
  <c i="1" r="B21"/>
  <c i="1" l="1" r="C21"/>
  <c i="1" r="E21"/>
  <c i="1" r="F21" s="1"/>
  <c i="1" r="H21" s="1"/>
  <c i="1" l="1" r="I21"/>
  <c i="1" r="J21" s="1"/>
  <c i="1" r="K21" s="1"/>
  <c i="1" r="L21" s="1"/>
  <c i="1" r="M21" s="1"/>
  <c i="1" l="1" r="E9"/>
  <c i="1" r="B2" s="1"/>
</calcChain>
</file>

<file path=xl/sharedStrings.xml><?xml version="1.0" encoding="utf-8"?>
<sst xmlns="http://schemas.openxmlformats.org/spreadsheetml/2006/main" count="83" uniqueCount="82">
  <si>
    <t>BMR</t>
  </si>
  <si>
    <t>Exercise Type Lookup</t>
  </si>
  <si>
    <t>I WANT MY WEIGHT TO</t>
  </si>
  <si>
    <t>ACTIVITY LEVEL</t>
  </si>
  <si>
    <t xml:space="preserve">SEDENTARY </t>
  </si>
  <si>
    <t xml:space="preserve">LIGHT ACTIVITY </t>
  </si>
  <si>
    <t xml:space="preserve">MODERATE ACTIVITY </t>
  </si>
  <si>
    <t xml:space="preserve">VERY ACTIVE </t>
  </si>
  <si>
    <t xml:space="preserve">EXTRA ACTIVE </t>
  </si>
  <si>
    <t>MEASUREMENT SYSTEM</t>
  </si>
  <si>
    <t>CURRENT WEIGHT</t>
  </si>
  <si>
    <t>GOAL WEIGHT</t>
  </si>
  <si>
    <t>GENDER</t>
  </si>
  <si>
    <t>FEMALE</t>
  </si>
  <si>
    <t>DECREASE</t>
  </si>
  <si>
    <t>IMPERIAL</t>
  </si>
  <si>
    <t>AGE</t>
  </si>
  <si>
    <t>INITIAL DAILY CALORIE NEEDS</t>
  </si>
  <si>
    <t>INITIAL DAILY CALORIE INTAKE</t>
  </si>
  <si>
    <t>GOAL START DATE</t>
  </si>
  <si>
    <t>GOAL TARGET DATE</t>
  </si>
  <si>
    <t>LITTLE TO NO EXERCISE</t>
  </si>
  <si>
    <t>EXERCISE 1-2 DAYS/WEEK</t>
  </si>
  <si>
    <t>EXERCISE 3-5 DAYS/WEEK</t>
  </si>
  <si>
    <t>EXERCISE 6-7 DAYS/WEEK</t>
  </si>
  <si>
    <t>EXERCISE 6-7 DAYS/WEEK + PHYSICAL JOB/2X TRAINING</t>
  </si>
  <si>
    <t>DATE</t>
  </si>
  <si>
    <t>WEEK</t>
  </si>
  <si>
    <t>DAY</t>
  </si>
  <si>
    <t>WEIGHT</t>
  </si>
  <si>
    <t>CAL BURNED</t>
  </si>
  <si>
    <t>CAL REMAINING</t>
  </si>
  <si>
    <t>% OF GOAL</t>
  </si>
  <si>
    <t>EXERCISE TYPE</t>
  </si>
  <si>
    <t>DESCRIPTION</t>
  </si>
  <si>
    <t xml:space="preserve"> This sheet should remain hidden.</t>
  </si>
  <si>
    <t>FACTOR</t>
  </si>
  <si>
    <t>CAL CONSUMED</t>
  </si>
  <si>
    <t>CALORIE AMORTIZATION SCHEDULE</t>
  </si>
  <si>
    <t xml:space="preserve">#Mon Apr 02 01:35:24 EDT 2018
value.B1=Exercise Type Lookup
key.B1=B1
fieldName.B1=B1
objectClass.B1=Schedule
representation.B1=String
objectClassName.B1=Schedule
acronym.B1=BCC
</t>
  </si>
  <si>
    <t xml:space="preserve">#Mon Apr 02 01:35:24 EDT 2018
value.B2=This sheet should remain hidden.
key.B2=B2
fieldName.B2=B2
objectClass.B2=Schedule
representation.B2=String
objectClassName.B2=Schedule
acronym.B2=BCC
</t>
  </si>
  <si>
    <t xml:space="preserve">#Mon Apr 02 01:35:24 EDT 2018
value.B1=CALORIE AMORTIZATION SCHEDULE
key.B1=B1
fieldName.B1=_calorie_B1
objectClass.B1=Schedule
representation.B1=String
objectClassName.B1=Schedule
acronym.B1=BCC
</t>
  </si>
  <si>
    <t xml:space="preserve">#Mon Apr 02 01:35:24 EDT 2018
value.B4=ACTIVITY LEVEL
key.B4=B4
fieldName.B4=B4
objectClass.B4=Schedule
representation.B4=String
objectClassName.B4=Schedule
acronym.B4=BCC
</t>
  </si>
  <si>
    <t xml:space="preserve">#Mon Apr 02 01:35:24 EDT 2018
value.H4=MEASUREMENT SYSTEM
key.H4=H4
fieldName.H4=H4
objectClass.H4=Schedule
representation.H4=String
objectClassName.H4=Schedule
acronym.H4=BCC
</t>
  </si>
  <si>
    <t xml:space="preserve">#Mon Apr 02 01:35:24 EDT 2018
acronym.J4=BCC
value.J4=CURRENT WEIGHT
key.J4=J4
fieldName.J4=J4
objectClass.J4=Schedule
representation.J4=String
objectClassName.J4=Schedule
</t>
  </si>
  <si>
    <t xml:space="preserve">#Mon Apr 02 01:35:24 EDT 2018
representation.L4=String
objectClassName.L4=Schedule
acronym.L4=BCC
value.L4=AGE
key.L4=L4
fieldName.L4=L4
objectClass.L4=Schedule
</t>
  </si>
  <si>
    <t xml:space="preserve">#Mon Apr 02 01:35:24 EDT 2018
objectClass.B5=Schedule
representation.B5=String
objectClassName.B5=Schedule
acronym.B5=BCC
control.B5=ComboBox
value.B5=SEDENTARY ,LIGHT ACTIVITY ,MODERATE ACTIVITY ,VERY ACTIVE ,EXTRA ACTIVE
key.B5=B5
fieldName.B5=B5
</t>
  </si>
  <si>
    <t xml:space="preserve">#Mon Apr 02 01:35:24 EDT 2018
value.H5=IMPERIAL,METRIC
key.H5=H5
fieldName.H5=H5
objectClass.H5=Schedule
representation.H5=String
objectClassName.H5=Schedule
acronym.H5=BCC
control.H5=ComboBox
</t>
  </si>
  <si>
    <t xml:space="preserve">#Mon Apr 02 01:35:24 EDT 2018
value.J5=150.0
key.J5=J5
fieldName.J5=J5
objectClass.J5=Schedule
format.J5=0.0
representation.J5=BigDecimal
objectClassName.J5=Schedule
acronym.J5=BCC
</t>
  </si>
  <si>
    <t xml:space="preserve">#Mon Apr 02 01:35:24 EDT 2018
representation.L5=BigDecimal
objectClassName.L5=Schedule
acronym.L5=BCC
value.L5=34
key.L5=L5
fieldName.L5=L5
objectClass.L5=Schedule
</t>
  </si>
  <si>
    <t xml:space="preserve">#Mon Apr 02 01:35:24 EDT 2018
representation.B6=String
objectClassName.B6=Schedule
acronym.B6=BCC
value.B6=I WANT MY WEIGHT TO
key.B6=B6
fieldName.B6=B6
objectClass.B6=Schedule
</t>
  </si>
  <si>
    <t xml:space="preserve">#Mon Apr 02 01:35:24 EDT 2018
value.J6=GOAL WEIGHT
key.J6=J6
fieldName.J6=J6
objectClass.J6=Schedule
representation.J6=String
objectClassName.J6=Schedule
acronym.J6=BCC
</t>
  </si>
  <si>
    <t xml:space="preserve">#Mon Apr 02 01:35:24 EDT 2018
representation.L6=String
objectClassName.L6=Schedule
acronym.L6=BCC
value.L6=GENDER
key.L6=L6
fieldName.L6=L6
objectClass.L6=Schedule
</t>
  </si>
  <si>
    <t xml:space="preserve">#Mon Apr 02 01:35:24 EDT 2018
representation.B7=String
objectClassName.B7=Schedule
acronym.B7=BCC
control.B7=ComboBox
value.B7=DECREASE, INCREASE,MAINTAIN
key.B7=B7
fieldName.B7=B7
objectClass.B7=Schedule
</t>
  </si>
  <si>
    <t xml:space="preserve">#Mon Apr 02 01:35:24 EDT 2018
representation.H7=BigDecimal
objectClassName.H7=Schedule
acronym.H7=BCC
value.H7=5
key.H7=H7
fieldName.H7=H7
objectClass.H7=Schedule
format.H7=0
</t>
  </si>
  <si>
    <t xml:space="preserve">#Mon Apr 02 01:35:24 EDT 2018
value.I7=5.0
key.I7=I7
fieldName.I7=I7
objectClass.I7=Schedule
format.I7=0.0
representation.I7=BigDecimal
objectClassName.I7=Schedule
acronym.I7=BCC
</t>
  </si>
  <si>
    <t xml:space="preserve">#Mon Apr 02 01:35:24 EDT 2018
value.J7=135.0
key.J7=J7
fieldName.J7=J7
objectClass.J7=Schedule
format.J7=0.0
representation.J7=BigDecimal
objectClassName.J7=Schedule
acronym.J7=BCC
</t>
  </si>
  <si>
    <t xml:space="preserve">#Mon Apr 02 01:35:24 EDT 2018
acronym.L7=BCC
control.L7=ComboBox
value.L7=FEMALE,MALE
key.L7=L7
fieldName.L7=L7
objectClass.L7=Schedule
representation.L7=String
objectClassName.L7=Schedule
</t>
  </si>
  <si>
    <t xml:space="preserve">#Mon Apr 02 01:35:25 EDT 2018
representation.B8=String
objectClassName.B8=Schedule
acronym.B8=BCC
value.B8=GOAL START DATE
key.B8=B8
fieldName.B8=B8
objectClass.B8=Schedule
</t>
  </si>
  <si>
    <t xml:space="preserve">#Mon Apr 02 01:35:25 EDT 2018
value.E8=GOAL TARGET DATE
key.E8=E8
fieldName.E8=E8
objectClass.E8=Schedule
representation.E8=String
objectClassName.E8=Schedule
acronym.E8=BCC
</t>
  </si>
  <si>
    <t xml:space="preserve">#Mon Apr 02 01:35:25 EDT 2018
representation.H8=String
objectClassName.H8=Schedule
acronym.H8=BCC
value.H8=INITIAL DAILY CALORIE NEEDS
key.H8=H8
fieldName.H8=H8
objectClass.H8=Schedule
</t>
  </si>
  <si>
    <t xml:space="preserve">#Mon Apr 02 01:35:25 EDT 2018
value.J8=INITIAL DAILY CALORIE INTAKE
key.J8=J8
fieldName.J8=J8
objectClass.J8=Schedule
representation.J8=String
objectClassName.J8=Schedule
acronym.J8=BCC
</t>
  </si>
  <si>
    <t xml:space="preserve">#Mon Apr 02 01:35:25 EDT 2018
key.B10=B10
representation.B10=String
fieldName.B10=B10
value.B10=DATE
acronym.B10=BCC
</t>
  </si>
  <si>
    <t xml:space="preserve">#Mon Apr 02 01:35:25 EDT 2018
key.C10=C10
representation.C10=String
fieldName.C10=C10
value.C10=WEEK
acronym.C10=BCC
</t>
  </si>
  <si>
    <t xml:space="preserve">#Mon Apr 02 01:35:25 EDT 2018
acronym.D10=BCC
key.D10=D10
representation.D10=String
fieldName.D10=D10
value.D10=DAY
</t>
  </si>
  <si>
    <t xml:space="preserve">#Mon Apr 02 01:35:25 EDT 2018
key.E10=E10
representation.E10=String
fieldName.E10=E10
value.E10=WEIGHT
acronym.E10=BCC
</t>
  </si>
  <si>
    <t xml:space="preserve">#Mon Apr 02 01:35:25 EDT 2018
representation.F10=String
fieldName.F10=F10
value.F10=BMR
acronym.F10=BCC
key.F10=F10
</t>
  </si>
  <si>
    <t xml:space="preserve">#Mon Apr 02 01:35:25 EDT 2018
key.G10=G10
representation.G10=String
fieldName.G10=G10
value.G10=CAL CONSUMED
acronym.G10=BCC
</t>
  </si>
  <si>
    <t xml:space="preserve">#Mon Apr 02 01:35:25 EDT 2018
key.H10=H10
representation.H10=String
fieldName.H10=H10
value.H10=CAL BURNED
acronym.H10=BCC
</t>
  </si>
  <si>
    <t xml:space="preserve">#Mon Apr 02 01:35:25 EDT 2018
key.J10=J10
representation.J10=String
fieldName.J10=J10
value.J10=CAL REMAINING
acronym.J10=BCC
</t>
  </si>
  <si>
    <t xml:space="preserve">#Mon Apr 02 01:35:25 EDT 2018
key.M10=M10
representation.M10=String
fieldName.M10=M10
value.M10=% OF GOAL
acronym.M10=BCC
</t>
  </si>
  <si>
    <t xml:space="preserve">#Mon Apr 02 01:35:25 EDT 2018
representation.L5=BigDecimal
acronym.L5=BCC
propertyName.L5=Age
value.L5=34
key.L5=L5
fieldName.L5=_Age_L5
property.L5=Age
</t>
  </si>
  <si>
    <t xml:space="preserve">#Mon Apr 02 01:35:25 EDT 2018
value.B4=ACTIVITY LEVEL
key.B4=B4
fieldName.B4=_ColumnTitleRegion1_B5_1_B4
property.B4=ColumnTitleRegion1_B5_1
representation.B4=String
acronym.B4=BCC
propertyName.B4=ColumnTitleRegion1_B5_1
</t>
  </si>
  <si>
    <t xml:space="preserve">#Mon Apr 02 01:35:25 EDT 2018
value.H4=MEASUREMENT SYSTEM
key.H4=H4
fieldName.H4=_ColumnTitleRegion2_L5_1_H4
property.H4=ColumnTitleRegion2_L5_1
representation.H4=String
acronym.H4=BCC
propertyName.H4=ColumnTitleRegion2_L5_1
</t>
  </si>
  <si>
    <t xml:space="preserve">#Mon Apr 02 01:35:25 EDT 2018
representation.B6=String
acronym.B6=BCC
propertyName.B6=ColumnTitleRegion3_L7_1
value.B6=I WANT MY WEIGHT TO
key.B6=B6
fieldName.B6=_ColumnTitleRegion3_L7_1_B6
property.B6=ColumnTitleRegion3_L7_1
</t>
  </si>
  <si>
    <t xml:space="preserve">#Mon Apr 02 01:35:25 EDT 2018
property.B10=ColumnTitleRegion5_M998_1
key.B10=B10
propertyName.B10=ColumnTitleRegion5_M998_1
representation.B10=String
fieldName.B10=_ColumnTitleRegion5_M998_1_B10
value.B10=DATE
acronym.B10=BCC
</t>
  </si>
  <si>
    <t xml:space="preserve">#Mon Apr 02 01:35:25 EDT 2018
acronym.L7=BCC
propertyName.L7=Gender
control.L7=ComboBox
value.L7=FEMALE,MALE
key.L7=L7
fieldName.L7=_Gender_L7
property.L7=Gender
representation.L7=String
</t>
  </si>
  <si>
    <t xml:space="preserve">#Mon Apr 02 01:35:25 EDT 2018
property.B5=Level
representation.B5=String
acronym.B5=BCC
propertyName.B5=Level
control.B5=ComboBox
value.B5=SEDENTARY ,LIGHT ACTIVITY ,MODERATE ACTIVITY ,VERY ACTIVE ,EXTRA ACTIVE
key.B5=B5
fieldName.B5=_Level_B5
</t>
  </si>
  <si>
    <t xml:space="preserve">#Mon Apr 02 01:35:25 EDT 2018
value.J7=135.0
key.J7=J7
fieldName.J7=_TargetWeight_J7
property.J7=TargetWeight
format.J7=0.0
representation.J7=BigDecimal
acronym.J7=BCC
propertyName.J7=TargetWeight
</t>
  </si>
  <si>
    <t xml:space="preserve">#Mon Apr 02 01:35:25 EDT 2018
value.H5=IMPERIAL,METRIC
key.H5=H5
fieldName.H5=_UnitOfMeasure_H5
property.H5=UnitOfMeasure
representation.H5=String
acronym.H5=BCC
propertyName.H5=UnitOfMeasure
control.H5=ComboBox
</t>
  </si>
  <si>
    <t xml:space="preserve">#Mon Apr 02 01:35:25 EDT 2018
propertyName.J5=Weight
value.J5=150.0
key.J5=J5
fieldName.J5=_Weight_J5
property.J5=Weight
format.J5=0.0
representation.J5=BigDecimal
acronym.J5=BCC
</t>
  </si>
  <si>
    <t xml:space="preserve">#Mon Apr 02 01:35:25 EDT 2018
representation.B7=String
acronym.B7=BCC
propertyName.B7=WeightGoal
control.B7=ComboBox
value.B7=DECREASE, INCREASE,MAINTAIN
key.B7=B7
fieldName.B7=_WeightGoal_B7
property.B7=WeightGoal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</si>
</sst>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0" x14ac:knownFonts="1">
    <font>
      <sz val="11"/>
      <color theme="1" tint="0.34998626667073579"/>
      <name val="Euphemia"/>
      <family val="2"/>
      <scheme val="minor"/>
    </font>
    <font>
      <sz val="18"/>
      <color theme="0"/>
      <name val="Franklin Gothic Medium"/>
      <family val="2"/>
      <scheme val="major"/>
    </font>
    <font>
      <sz val="8"/>
      <color theme="1" tint="0.249977111117893"/>
      <name val="Euphemia"/>
      <family val="2"/>
      <scheme val="minor"/>
    </font>
    <font>
      <sz val="11"/>
      <color theme="0"/>
      <name val="Euphemia"/>
      <family val="2"/>
      <scheme val="minor"/>
    </font>
    <font>
      <sz val="11"/>
      <color theme="1" tint="0.34998626667073579"/>
      <name val="Euphemia"/>
      <family val="2"/>
      <scheme val="minor"/>
    </font>
    <font>
      <sz val="11"/>
      <color theme="4"/>
      <name val="Euphemia"/>
      <family val="2"/>
      <scheme val="minor"/>
    </font>
    <font>
      <sz val="25"/>
      <color theme="1" tint="0.24994659260841701"/>
      <name val="Franklin Gothic Medium"/>
      <family val="2"/>
      <scheme val="major"/>
    </font>
    <font>
      <sz val="18"/>
      <color theme="4" tint="-0.499984740745262"/>
      <name val="Franklin Gothic Medium"/>
      <family val="2"/>
      <scheme val="major"/>
    </font>
    <font>
      <sz val="20"/>
      <color theme="4" tint="-0.499984740745262"/>
      <name val="Franklin Gothic Medium"/>
      <family val="2"/>
      <scheme val="major"/>
    </font>
    <font>
      <sz val="11"/>
      <color theme="1" tint="4.9989318521683403E-2"/>
      <name val="Euphemi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14996795556505021"/>
      </left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</borders>
  <cellStyleXfs count="16">
    <xf applyBorder="0" applyFill="0" borderId="0" fillId="0" fontId="0" numFmtId="0">
      <alignment horizontal="center" wrapText="1"/>
    </xf>
    <xf applyBorder="0" applyNumberFormat="0" applyProtection="0" borderId="0" fillId="7" fontId="6" numFmtId="0">
      <alignment horizontal="center" vertical="center"/>
    </xf>
    <xf applyBorder="0" applyFill="0" applyNumberFormat="0" applyProtection="0" borderId="0" fillId="0" fontId="4" numFmtId="0">
      <alignment horizontal="left" indent="1" vertical="top"/>
    </xf>
    <xf borderId="0" fillId="0" fontId="7" numFmtId="0">
      <alignment horizontal="left" indent="1"/>
    </xf>
    <xf applyNumberFormat="0" applyProtection="0" borderId="4" fillId="2" fontId="1" numFmtId="0">
      <alignment horizontal="left" indent="1" vertical="top"/>
    </xf>
    <xf applyBorder="0" applyNumberFormat="0" applyProtection="0" borderId="0" fillId="2" fontId="5" numFmtId="0">
      <alignment horizontal="left" indent="1"/>
    </xf>
    <xf applyBorder="0" applyFill="0" applyProtection="0" borderId="0" fillId="0" fontId="4" numFmtId="1">
      <alignment horizontal="left" indent="1" vertical="top"/>
    </xf>
    <xf applyAlignment="0" applyBorder="0" applyFill="0" applyFont="0" applyProtection="0" borderId="0" fillId="0" fontId="4" numFmtId="9"/>
    <xf applyBorder="0" applyFill="0" applyFont="0" applyProtection="0" borderId="0" fillId="0" fontId="4" numFmtId="164">
      <alignment horizontal="center"/>
    </xf>
    <xf applyBorder="0" applyFill="0" applyFont="0" borderId="0" fillId="0" fontId="4" numFmtId="14">
      <alignment horizontal="right" indent="1" wrapText="1"/>
    </xf>
    <xf applyBorder="0" applyFill="0" applyNumberFormat="0" applyProtection="0" borderId="0" fillId="0" fontId="4" numFmtId="0">
      <alignment horizontal="left" indent="1" vertical="top" wrapText="1"/>
    </xf>
    <xf applyFill="0" applyFont="0" applyNumberFormat="0" borderId="3" fillId="0" fontId="4" numFmtId="0">
      <alignment horizontal="left" indent="1" wrapText="1"/>
    </xf>
    <xf applyBorder="0" applyFill="0" borderId="0" fillId="0" fontId="8" numFmtId="14">
      <alignment horizontal="left" indent="1" vertical="top" wrapText="1"/>
    </xf>
    <xf applyBorder="0" applyFill="0" applyFont="0" borderId="0" fillId="0" fontId="4" numFmtId="14">
      <alignment horizontal="right" indent="1" wrapText="1"/>
    </xf>
    <xf applyAlignment="0" applyBorder="0" applyFill="0" borderId="0" fillId="0" fontId="9" numFmtId="2">
      <alignment horizontal="right" indent="1" wrapText="1"/>
    </xf>
    <xf applyBorder="0" applyFill="0" borderId="3" fillId="0" fontId="8" numFmtId="1">
      <alignment horizontal="left" indent="1" vertical="top" wrapText="1"/>
    </xf>
  </cellStyleXfs>
  <cellXfs count="70">
    <xf borderId="0" fillId="0" fontId="0" numFmtId="0" xfId="0">
      <alignment horizontal="center" wrapText="1"/>
    </xf>
    <xf borderId="0" fillId="0" fontId="0" numFmtId="0" xfId="0">
      <alignment horizontal="center" wrapText="1"/>
    </xf>
    <xf applyAlignment="1" applyBorder="1" borderId="2" fillId="2" fontId="5" numFmtId="0" xfId="5">
      <alignment horizontal="center" vertical="center"/>
    </xf>
    <xf applyFill="1" applyFont="1" borderId="0" fillId="6" fontId="2" numFmtId="0" xfId="0">
      <alignment horizontal="center" wrapText="1"/>
    </xf>
    <xf applyAlignment="1" applyFill="1" applyFont="1" borderId="0" fillId="5" fontId="2" numFmtId="0" xfId="0">
      <alignment horizontal="left" indent="1" vertical="center"/>
    </xf>
    <xf applyFill="1" applyFont="1" borderId="0" fillId="5" fontId="2" numFmtId="0" xfId="0">
      <alignment horizontal="center" wrapText="1"/>
    </xf>
    <xf applyAlignment="1" applyFill="1" borderId="0" fillId="6" fontId="6" numFmtId="0" xfId="1">
      <alignment horizontal="left" indent="1" vertical="center"/>
    </xf>
    <xf applyAlignment="1" applyBorder="1" applyFill="1" applyFont="1" borderId="0" fillId="0" fontId="0" numFmtId="0" xfId="0">
      <alignment horizontal="left" indent="1" vertical="center"/>
    </xf>
    <xf applyAlignment="1" applyBorder="1" applyFill="1" applyFont="1" borderId="0" fillId="0" fontId="0" numFmtId="0" xfId="0">
      <alignment horizontal="center" vertical="center"/>
    </xf>
    <xf applyBorder="1" borderId="2" fillId="0" fontId="0" numFmtId="0" xfId="0">
      <alignment horizontal="center" wrapText="1"/>
    </xf>
    <xf applyAlignment="1" applyBorder="1" applyFont="1" borderId="2" fillId="0" fontId="0" numFmtId="164" xfId="8">
      <alignment horizontal="center" vertical="center"/>
    </xf>
    <xf applyAlignment="1" applyBorder="1" applyFont="1" borderId="2" fillId="0" fontId="0" numFmtId="1" xfId="6">
      <alignment horizontal="center" wrapText="1"/>
    </xf>
    <xf applyAlignment="1" applyBorder="1" applyFont="1" borderId="2" fillId="0" fontId="0" numFmtId="1" xfId="6">
      <alignment horizontal="center"/>
    </xf>
    <xf applyAlignment="1" applyBorder="1" applyFont="1" borderId="2" fillId="0" fontId="0" numFmtId="164" xfId="8">
      <alignment horizontal="center" wrapText="1"/>
    </xf>
    <xf applyAlignment="1" applyBorder="1" applyFill="1" applyFont="1" borderId="3" fillId="2" fontId="1" numFmtId="1" xfId="6">
      <alignment horizontal="left" indent="1" vertical="top"/>
    </xf>
    <xf applyAlignment="1" applyBorder="1" borderId="2" fillId="0" fontId="9" numFmtId="2" xfId="14">
      <alignment horizontal="center" wrapText="1"/>
    </xf>
    <xf applyBorder="1" applyFont="1" borderId="2" fillId="0" fontId="0" numFmtId="164" xfId="8">
      <alignment horizontal="center"/>
    </xf>
    <xf applyAlignment="1" applyBorder="1" applyFill="1" applyFont="1" borderId="3" fillId="2" fontId="5" numFmtId="0" xfId="0">
      <alignment horizontal="left" indent="1"/>
    </xf>
    <xf applyAlignment="1" applyBorder="1" applyFill="1" applyFont="1" borderId="1" fillId="2" fontId="1" numFmtId="164" xfId="8">
      <alignment horizontal="left" indent="1" vertical="top"/>
    </xf>
    <xf applyAlignment="1" applyBorder="1" borderId="14" fillId="2" fontId="5" numFmtId="0" xfId="5">
      <alignment horizontal="center" vertical="center"/>
    </xf>
    <xf applyAlignment="1" applyBorder="1" borderId="13" fillId="2" fontId="5" numFmtId="0" xfId="5">
      <alignment horizontal="center" vertical="center"/>
    </xf>
    <xf applyBorder="1" applyFont="1" borderId="14" fillId="0" fontId="0" numFmtId="14" xfId="13">
      <alignment horizontal="right" indent="1" wrapText="1"/>
    </xf>
    <xf applyAlignment="1" applyBorder="1" applyFill="1" applyFont="1" borderId="13" fillId="4" fontId="0" numFmtId="9" xfId="7">
      <alignment horizontal="center" wrapText="1"/>
    </xf>
    <xf applyAlignment="1" applyBorder="1" applyFill="1" applyFont="1" borderId="13" fillId="0" fontId="0" numFmtId="9" xfId="7">
      <alignment horizontal="center" wrapText="1"/>
    </xf>
    <xf applyBorder="1" applyFont="1" borderId="15" fillId="0" fontId="0" numFmtId="14" xfId="13">
      <alignment horizontal="right" indent="1" wrapText="1"/>
    </xf>
    <xf applyBorder="1" borderId="16" fillId="0" fontId="0" numFmtId="0" xfId="0">
      <alignment horizontal="center" wrapText="1"/>
    </xf>
    <xf applyAlignment="1" applyBorder="1" applyFont="1" borderId="16" fillId="0" fontId="0" numFmtId="164" xfId="8">
      <alignment horizontal="center" vertical="center"/>
    </xf>
    <xf applyAlignment="1" applyBorder="1" applyFont="1" borderId="16" fillId="0" fontId="0" numFmtId="1" xfId="6">
      <alignment horizontal="center" wrapText="1"/>
    </xf>
    <xf applyAlignment="1" applyBorder="1" applyFont="1" borderId="16" fillId="0" fontId="0" numFmtId="1" xfId="6">
      <alignment horizontal="center"/>
    </xf>
    <xf applyAlignment="1" applyBorder="1" applyFont="1" borderId="16" fillId="0" fontId="0" numFmtId="164" xfId="8">
      <alignment horizontal="center" wrapText="1"/>
    </xf>
    <xf applyAlignment="1" applyBorder="1" borderId="16" fillId="0" fontId="9" numFmtId="2" xfId="14">
      <alignment horizontal="center" wrapText="1"/>
    </xf>
    <xf applyAlignment="1" applyBorder="1" applyFill="1" applyFont="1" borderId="17" fillId="0" fontId="0" numFmtId="9" xfId="7">
      <alignment horizontal="center" wrapText="1"/>
    </xf>
    <xf applyBorder="1" borderId="0" fillId="2" fontId="5" numFmtId="0" xfId="5">
      <alignment horizontal="left" indent="1"/>
    </xf>
    <xf applyAlignment="1" borderId="0" fillId="7" fontId="6" numFmtId="0" xfId="1">
      <alignment horizontal="center" vertical="center"/>
    </xf>
    <xf applyAlignment="1" applyBorder="1" applyFill="1" applyFont="1" borderId="10" fillId="2" fontId="5" numFmtId="0" xfId="0">
      <alignment horizontal="left" indent="1"/>
    </xf>
    <xf applyAlignment="1" applyBorder="1" applyFill="1" applyFont="1" borderId="21" fillId="2" fontId="5" numFmtId="0" xfId="0">
      <alignment horizontal="left" indent="1"/>
    </xf>
    <xf applyBorder="1" borderId="5" fillId="2" fontId="1" numFmtId="0" xfId="4">
      <alignment horizontal="left" indent="1" vertical="top"/>
    </xf>
    <xf applyBorder="1" borderId="23" fillId="2" fontId="1" numFmtId="0" xfId="4">
      <alignment horizontal="left" indent="1" vertical="top"/>
    </xf>
    <xf applyBorder="1" applyFont="1" borderId="10" fillId="0" fontId="0" numFmtId="0" xfId="11">
      <alignment horizontal="left" indent="1" wrapText="1"/>
    </xf>
    <xf applyBorder="1" borderId="3" fillId="0" fontId="8" numFmtId="1" xfId="15">
      <alignment horizontal="left" indent="1" vertical="top" wrapText="1"/>
    </xf>
    <xf applyBorder="1" borderId="12" fillId="0" fontId="8" numFmtId="14" xfId="12">
      <alignment horizontal="left" indent="1" vertical="top" wrapText="1"/>
    </xf>
    <xf applyBorder="1" borderId="3" fillId="0" fontId="8" numFmtId="14" xfId="12">
      <alignment horizontal="left" indent="1" vertical="top" wrapText="1"/>
    </xf>
    <xf applyBorder="1" borderId="9" fillId="2" fontId="5" numFmtId="0" xfId="5">
      <alignment horizontal="left" indent="1"/>
    </xf>
    <xf applyBorder="1" borderId="19" fillId="2" fontId="5" numFmtId="0" xfId="5">
      <alignment horizontal="left" indent="1"/>
    </xf>
    <xf applyAlignment="1" applyBorder="1" applyFill="1" applyFont="1" borderId="3" fillId="2" fontId="5" numFmtId="0" xfId="0">
      <alignment horizontal="left" indent="1"/>
    </xf>
    <xf applyBorder="1" borderId="24" fillId="2" fontId="5" numFmtId="0" xfId="5">
      <alignment horizontal="left" indent="1"/>
    </xf>
    <xf applyBorder="1" borderId="8" fillId="2" fontId="5" numFmtId="0" xfId="5">
      <alignment horizontal="left" indent="1"/>
    </xf>
    <xf applyBorder="1" borderId="7" fillId="2" fontId="5" numFmtId="0" xfId="5">
      <alignment horizontal="left" indent="1"/>
    </xf>
    <xf applyAlignment="1" applyBorder="1" applyFill="1" borderId="19" fillId="3" fontId="0" numFmtId="0" xfId="0">
      <alignment horizontal="center" wrapText="1"/>
    </xf>
    <xf applyAlignment="1" applyBorder="1" applyFill="1" borderId="20" fillId="3" fontId="0" numFmtId="0" xfId="0">
      <alignment horizontal="center" wrapText="1"/>
    </xf>
    <xf applyBorder="1" applyFont="1" borderId="9" fillId="0" fontId="0" numFmtId="0" xfId="11">
      <alignment horizontal="left" indent="1" wrapText="1"/>
    </xf>
    <xf applyBorder="1" applyFont="1" borderId="18" fillId="0" fontId="0" numFmtId="0" xfId="11">
      <alignment horizontal="left" indent="1" wrapText="1"/>
    </xf>
    <xf applyBorder="1" applyFont="1" borderId="11" fillId="0" fontId="0" numFmtId="0" xfId="11">
      <alignment horizontal="left" indent="1" wrapText="1"/>
    </xf>
    <xf applyBorder="1" borderId="22" fillId="2" fontId="1" numFmtId="0" xfId="4">
      <alignment horizontal="left" indent="1" vertical="top"/>
    </xf>
    <xf applyBorder="1" borderId="4" fillId="2" fontId="1" numFmtId="0" xfId="4">
      <alignment horizontal="left" indent="1" vertical="top"/>
    </xf>
    <xf applyBorder="1" borderId="13" fillId="0" fontId="8" numFmtId="1" xfId="15">
      <alignment horizontal="left" indent="1" vertical="top" wrapText="1"/>
    </xf>
    <xf applyAlignment="1" applyBorder="1" applyFill="1" applyFont="1" borderId="5" fillId="2" fontId="1" numFmtId="164" xfId="8">
      <alignment horizontal="left" indent="1" vertical="top"/>
    </xf>
    <xf applyAlignment="1" applyBorder="1" applyFill="1" applyFont="1" borderId="4" fillId="2" fontId="1" numFmtId="164" xfId="8">
      <alignment horizontal="left" indent="1" vertical="top"/>
    </xf>
    <xf applyAlignment="1" applyBorder="1" applyFill="1" applyFont="1" borderId="3" fillId="2" fontId="1" numFmtId="164" xfId="8">
      <alignment horizontal="left" indent="1" vertical="top"/>
    </xf>
    <xf applyBorder="1" borderId="6" fillId="2" fontId="1" numFmtId="0" xfId="4">
      <alignment horizontal="left" indent="1" vertical="top"/>
    </xf>
    <xf applyAlignment="1" applyBorder="1" applyFill="1" applyFont="1" borderId="13" fillId="2" fontId="5" numFmtId="0" xfId="0">
      <alignment horizontal="left" indent="1"/>
    </xf>
    <xf borderId="0" fillId="0" fontId="4" numFmtId="0" xfId="10">
      <alignment horizontal="left" indent="1" vertical="top" wrapText="1"/>
    </xf>
    <xf applyAlignment="1" applyBorder="1" applyFill="1" applyFont="1" borderId="4" fillId="3" fontId="3" numFmtId="0" xfId="0">
      <alignment horizontal="left" indent="1" vertical="center" wrapText="1"/>
    </xf>
    <xf applyAlignment="1" applyBorder="1" applyFill="1" applyFont="1" borderId="3" fillId="2" fontId="1" numFmtId="0" xfId="0">
      <alignment horizontal="left" indent="1" vertical="top"/>
    </xf>
    <xf applyAlignment="1" applyBorder="1" applyFill="1" applyFont="1" borderId="13" fillId="2" fontId="1" numFmtId="0" xfId="0">
      <alignment horizontal="left" indent="1" vertical="top"/>
    </xf>
    <xf borderId="0" fillId="0" fontId="7" numFmtId="0" xfId="3">
      <alignment horizontal="left" indent="1"/>
    </xf>
    <xf applyFill="1" borderId="0" fillId="5" fontId="4" numFmtId="0" xfId="2">
      <alignment horizontal="left" indent="1" vertical="top"/>
    </xf>
    <xf applyAlignment="1" applyBorder="1" borderId="25" fillId="2" fontId="1" numFmtId="0" xfId="4">
      <alignment horizontal="left" vertical="top"/>
    </xf>
    <xf applyAlignment="1" applyBorder="1" borderId="26" fillId="2" fontId="1" numFmtId="0" xfId="4">
      <alignment horizontal="left" vertical="top"/>
    </xf>
    <xf applyAlignment="1" applyBorder="1" borderId="27" fillId="2" fontId="1" numFmtId="0" xfId="4">
      <alignment horizontal="left" vertical="top"/>
    </xf>
  </cellXfs>
  <cellStyles count="16">
    <cellStyle name="Calorie Overview" xfId="15" xr:uid="{00000000-0005-0000-0000-000000000000}"/>
    <cellStyle builtinId="3" customBuiltin="1" name="Comma" xfId="6"/>
    <cellStyle builtinId="6" customBuiltin="1" name="Comma [0]" xfId="8"/>
    <cellStyle name="Date" xfId="13" xr:uid="{00000000-0005-0000-0000-000003000000}"/>
    <cellStyle builtinId="53" customBuiltin="1" name="Explanatory Text" xfId="10"/>
    <cellStyle name="Gain/Loss" xfId="14" xr:uid="{00000000-0005-0000-0000-000005000000}"/>
    <cellStyle name="Goal Date" xfId="12" xr:uid="{00000000-0005-0000-0000-000006000000}"/>
    <cellStyle builtinId="16" customBuiltin="1" name="Heading 1" xfId="3"/>
    <cellStyle builtinId="17" customBuiltin="1" name="Heading 2" xfId="4"/>
    <cellStyle builtinId="18" customBuiltin="1" name="Heading 3" xfId="5"/>
    <cellStyle builtinId="19" customBuiltin="1" name="Heading 4" xfId="2"/>
    <cellStyle builtinId="28" customBuiltin="1" name="Neutral" xfId="9"/>
    <cellStyle builtinId="0" customBuiltin="1" name="Normal" xfId="0"/>
    <cellStyle builtinId="5" customBuiltin="1" name="Percent" xfId="7"/>
    <cellStyle builtinId="15" customBuiltin="1" name="Title" xfId="1"/>
    <cellStyle name="Total Headers" xfId="11" xr:uid="{00000000-0005-0000-0000-00000F000000}"/>
  </cellStyles>
  <dxfs count="12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numFmt formatCode="0.0\ &quot;IN&quot;" numFmtId="165"/>
    </dxf>
    <dxf>
      <numFmt formatCode="0\ &quot;CM&quot;" numFmtId="166"/>
    </dxf>
    <dxf>
      <numFmt formatCode="0.0\ &quot;LBS&quot;" numFmtId="167"/>
    </dxf>
    <dxf>
      <numFmt formatCode="0.0\ &quot;KGS&quot;" numFmtId="168"/>
    </dxf>
    <dxf>
      <numFmt formatCode="0\ &quot;FT&quot;" numFmtId="169"/>
    </dxf>
    <dxf>
      <numFmt formatCode="0\ &quot;M&quot;" numFmtId="170"/>
    </dxf>
    <dxf>
      <font>
        <color theme="4"/>
      </font>
      <fill>
        <patternFill>
          <bgColor theme="1" tint="0.24994659260841701"/>
        </patternFill>
      </fill>
    </dxf>
    <dxf>
      <fill>
        <patternFill>
          <bgColor theme="0"/>
        </patternFill>
      </fill>
      <border>
        <vertical style="thin">
          <color theme="0" tint="-0.14996795556505021"/>
        </vertical>
        <horizontal style="thin">
          <color theme="0" tint="-0.14993743705557422"/>
        </horizontal>
      </border>
    </dxf>
  </dxfs>
  <tableStyles count="1" defaultPivotStyle="PivotStyleLight16" defaultTableStyle="TableStyleMedium2">
    <tableStyle count="2" name="Exercise Type Lookup" pivot="0" xr9:uid="{00000000-0011-0000-FFFF-FFFF00000000}">
      <tableStyleElement dxfId="11" type="wholeTable"/>
      <tableStyleElement dxfId="10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ExerciseTypes" id="1" mc:Ignorable="xr xr3" name="ExerciseTypes" ref="B3:D8" totalsRowShown="0" xr:uid="{00000000-000C-0000-FFFF-FFFF00000000}">
  <tableColumns count="3">
    <tableColumn id="1" name="EXERCISE TYPE" xr3:uid="{00000000-0010-0000-0000-000001000000}"/>
    <tableColumn id="2" name="DESCRIPTION" xr3:uid="{00000000-0010-0000-0000-000002000000}"/>
    <tableColumn id="3" name="FACTOR" xr3:uid="{00000000-0010-0000-0000-000003000000}"/>
  </tableColumns>
  <tableStyleInfo name="Exercise Type Lookup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Calorie Amoritization Schedule">
      <a:dk1>
        <a:sysClr lastClr="000000" val="windowText"/>
      </a:dk1>
      <a:lt1>
        <a:sysClr lastClr="FFFFFF" val="window"/>
      </a:lt1>
      <a:dk2>
        <a:srgbClr val="404040"/>
      </a:dk2>
      <a:lt2>
        <a:srgbClr val="F2F2F2"/>
      </a:lt2>
      <a:accent1>
        <a:srgbClr val="F8C400"/>
      </a:accent1>
      <a:accent2>
        <a:srgbClr val="3E9FE6"/>
      </a:accent2>
      <a:accent3>
        <a:srgbClr val="FA9029"/>
      </a:accent3>
      <a:accent4>
        <a:srgbClr val="7CBC42"/>
      </a:accent4>
      <a:accent5>
        <a:srgbClr val="EB4E47"/>
      </a:accent5>
      <a:accent6>
        <a:srgbClr val="9560B4"/>
      </a:accent6>
      <a:hlink>
        <a:srgbClr val="3F9FE6"/>
      </a:hlink>
      <a:folHlink>
        <a:srgbClr val="9560B4"/>
      </a:folHlink>
    </a:clrScheme>
    <a:fontScheme name="Calorie Amoritization Schedule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80000"/>
            </a:schemeClr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r="5400000" dist="381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r="5400000" dist="381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r="5400000" dist="38100" rotWithShape="0">
              <a:srgbClr val="000000">
                <a:alpha val="43137"/>
              </a:srgbClr>
            </a:outerShdw>
          </a:effectLst>
          <a:scene3d>
            <a:camera fov="0" prst="orthographicFront">
              <a:rot lat="0" lon="0" rev="0"/>
            </a:camera>
            <a:lightRig dir="tl" rig="soft">
              <a:rot lat="0" lon="0" rev="20000000"/>
            </a:lightRig>
          </a:scene3d>
          <a:sp3d prstMaterial="matte">
            <a:bevelT h="63500" prst="coolSlant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media/image1.png" Type="http://schemas.openxmlformats.org/officeDocument/2006/relationships/image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N21"/>
  <sheetViews>
    <sheetView showGridLines="0" tabSelected="1" topLeftCell="A5" workbookViewId="0" zoomScaleNormal="100">
      <selection activeCell="A7" sqref="A7"/>
    </sheetView>
  </sheetViews>
  <sheetFormatPr customHeight="1" defaultRowHeight="30" x14ac:dyDescent="0.4"/>
  <cols>
    <col min="1" max="1" customWidth="true" width="2.77734375" collapsed="true"/>
    <col min="2" max="2" customWidth="true" width="15.77734375" collapsed="true"/>
    <col min="3" max="4" customWidth="true" width="8.77734375" collapsed="true"/>
    <col min="5" max="5" customWidth="true" width="12.77734375" collapsed="true"/>
    <col min="6" max="6" customWidth="true" width="8.77734375" collapsed="true"/>
    <col min="7" max="11" customWidth="true" width="16.77734375" collapsed="true"/>
    <col min="12" max="12" customWidth="true" width="12.77734375" collapsed="true"/>
    <col min="13" max="13" customWidth="true" width="16.77734375" collapsed="true"/>
    <col min="14" max="14" customWidth="true" width="2.77734375" collapsed="true"/>
  </cols>
  <sheetData>
    <row customHeight="1" ht="65.099999999999994" r="1" spans="2:13" x14ac:dyDescent="0.4">
      <c r="B1" s="33" t="s">
        <v>41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customHeight="1" ht="36" r="2" spans="2:13" x14ac:dyDescent="0.4">
      <c r="B2" s="65" t="str">
        <f ca="1">IFERROR(CONCATENATE("ONLY ",DATEDIF(StartDate,TargetDate,"m")," MONTHS AND ", DATEDIF(StartDate,TargetDate,"md"),DayNo),"")</f>
        <v>#Mon Apr 02 01:35:24 EDT 2018
value.B2=ONLY 0 MONTHS AND 8 DAYS
key.B2=B2
fieldName.B2=B2
objectClass.B2=Schedule
representation.B2=String
objectClassName.B2=Schedule
acronym.B2=BCC
</v>
      </c>
      <c r="C2" s="65"/>
      <c r="D2" s="65"/>
      <c r="E2" s="65"/>
      <c r="F2" s="65"/>
      <c r="G2" s="65"/>
      <c r="H2" s="61" t="str">
        <f>IF(WeightGoal="Decrease","It's not recommended that you decrease your calorie intake by more than 1000 calories below your daily calorie needs or consume less than " &amp; IF(Gender="Female","1200 calories per day.","1800 calories per day."),"")</f>
        <v>#Mon Apr 02 01:35:24 EDT 2018
value.H2=It's not recommended that you decrease your calorie intake by more than 1000 calories below your daily calorie needs or consume less than 1200 calories per day.
key.H2=H2
fieldName.H2=H2
objectClass.H2=Schedule
representation.H2=String
objectClassName.H2=Schedule
acronym.H2=BCC
</v>
      </c>
      <c r="I2" s="61"/>
      <c r="J2" s="61"/>
      <c r="K2" s="61"/>
      <c r="L2" s="61"/>
      <c r="M2" s="61"/>
    </row>
    <row customHeight="1" ht="30" r="3" spans="2:13" x14ac:dyDescent="0.4">
      <c r="B3" s="66" t="str">
        <f>IF(WeightGoal="Maintain",""," UNTIL YOU REACH YOUR GOAL!")</f>
        <v xml:space="preserve">#Mon Apr 02 01:35:24 EDT 2018
value.B3=UNTIL YOU REACH YOUR GOAL\!
key.B3=B3
fieldName.B3=B3
objectClass.B3=Schedule
representation.B3=String
objectClassName.B3=Schedule
acronym.B3=BCC
</v>
      </c>
      <c r="C3" s="66"/>
      <c r="D3" s="66"/>
      <c r="E3" s="66"/>
      <c r="F3" s="66"/>
      <c r="G3" s="66"/>
      <c r="H3" s="61" t="str">
        <f>IF(WeightGoal="Maintain","",CONCATENATE("Goal target date is based on the recommended average weight ",IF(WeightGoal="Decrease","loss ","gain "),"of ",IF(UnitOfMeasure="Imperial","1 lb",".45 k")," per week."))</f>
        <v>#Mon Apr 02 01:35:24 EDT 2018
value.H3=Goal target date is based on the recommended average weight loss of 1 lb per week.
key.H3=H3
fieldName.H3=H3
objectClass.H3=Schedule
representation.H3=String
objectClassName.H3=Schedule
acronym.H3=BCC
</v>
      </c>
      <c r="I3" s="61"/>
      <c r="J3" s="61"/>
      <c r="K3" s="61"/>
      <c r="L3" s="61"/>
      <c r="M3" s="61"/>
    </row>
    <row customHeight="1" ht="24.95" r="4" spans="2:13" x14ac:dyDescent="0.4">
      <c r="B4" s="42" t="s">
        <v>72</v>
      </c>
      <c r="C4" s="43"/>
      <c r="D4" s="43"/>
      <c r="E4" s="48"/>
      <c r="F4" s="48"/>
      <c r="G4" s="49"/>
      <c r="H4" s="34" t="s">
        <v>73</v>
      </c>
      <c r="I4" s="34"/>
      <c r="J4" s="34" t="s">
        <v>44</v>
      </c>
      <c r="K4" s="34"/>
      <c r="L4" s="34" t="s">
        <v>45</v>
      </c>
      <c r="M4" s="35"/>
    </row>
    <row customHeight="1" ht="30" r="5" spans="2:13" x14ac:dyDescent="0.4">
      <c r="B5" s="53" t="s">
        <v>77</v>
      </c>
      <c r="C5" s="54"/>
      <c r="D5" s="54"/>
      <c r="E5" s="62" t="str">
        <f>VLOOKUP(Level,ExerciseTypes[],2,FALSE)</f>
        <v>#Mon Apr 02 01:35:24 EDT 2018
acronym.E5=BCC
value.E5=EXERCISE 3-5 DAYS/WEEK
key.E5=E5
fieldName.E5=E5
objectClass.E5=Schedule
representation.E5=String
objectClassName.E5=Schedule
</v>
      </c>
      <c r="F5" s="62"/>
      <c r="G5" s="62"/>
      <c r="H5" s="36" t="s">
        <v>79</v>
      </c>
      <c r="I5" s="59"/>
      <c r="J5" s="56" t="s">
        <v>80</v>
      </c>
      <c r="K5" s="57"/>
      <c r="L5" s="36" t="s">
        <v>71</v>
      </c>
      <c r="M5" s="37"/>
    </row>
    <row customHeight="1" ht="24.95" r="6" spans="2:13" x14ac:dyDescent="0.4">
      <c r="B6" s="45" t="s">
        <v>74</v>
      </c>
      <c r="C6" s="46"/>
      <c r="D6" s="46"/>
      <c r="E6" s="46"/>
      <c r="F6" s="46"/>
      <c r="G6" s="47"/>
      <c r="H6" s="17" t="str">
        <f>IF(Standard,"HEIGHT IN FT","HEIGHT IN M")</f>
        <v>#Mon Apr 02 01:35:24 EDT 2018
objectClass.H6=Schedule
representation.H6=String
objectClassName.H6=Schedule
acronym.H6=BCC
value.H6=HEIGHT IN FT
key.H6=H6
fieldName.H6=H6
</v>
      </c>
      <c r="I6" s="32" t="str">
        <f>IF(Standard,"INCHES","CENTIMETERS")</f>
        <v>#Mon Apr 02 01:35:24 EDT 2018
value.I6=INCHES
key.I6=I6
fieldName.I6=I6
objectClass.I6=Schedule
representation.I6=String
objectClassName.I6=Schedule
acronym.I6=BCC
</v>
      </c>
      <c r="J6" s="44" t="s">
        <v>51</v>
      </c>
      <c r="K6" s="44"/>
      <c r="L6" s="44" t="s">
        <v>52</v>
      </c>
      <c r="M6" s="60"/>
    </row>
    <row customHeight="1" ht="30" r="7" spans="2:13" x14ac:dyDescent="0.4">
      <c r="B7" s="67" t="s">
        <v>81</v>
      </c>
      <c r="C7" s="68"/>
      <c r="D7" s="68"/>
      <c r="E7" s="68"/>
      <c r="F7" s="68"/>
      <c r="G7" s="69"/>
      <c r="H7" s="14" t="s">
        <v>54</v>
      </c>
      <c r="I7" s="18" t="s">
        <v>55</v>
      </c>
      <c r="J7" s="58" t="s">
        <v>78</v>
      </c>
      <c r="K7" s="58"/>
      <c r="L7" s="63" t="s">
        <v>76</v>
      </c>
      <c r="M7" s="64"/>
    </row>
    <row customHeight="1" ht="35.1" r="8" spans="2:13" x14ac:dyDescent="0.4">
      <c r="B8" s="50" t="s">
        <v>58</v>
      </c>
      <c r="C8" s="38"/>
      <c r="D8" s="51"/>
      <c r="E8" s="38" t="s">
        <v>59</v>
      </c>
      <c r="F8" s="38"/>
      <c r="G8" s="38"/>
      <c r="H8" s="38" t="s">
        <v>60</v>
      </c>
      <c r="I8" s="38"/>
      <c r="J8" s="38" t="s">
        <v>61</v>
      </c>
      <c r="K8" s="38"/>
      <c r="L8" s="38" t="str">
        <f>IF(WeightGoal="Increase","EXCESS CALORIES NEEDED","CALORIES TO BURN")</f>
        <v>#Mon Apr 02 01:35:25 EDT 2018
acronym.L8=BCC
value.L8=CALORIES TO BURN
key.L8=L8
fieldName.L8=L8
objectClass.L8=Schedule
representation.L8=String
objectClassName.L8=Schedule
</v>
      </c>
      <c r="M8" s="52"/>
    </row>
    <row customHeight="1" ht="45" r="9" spans="2:13" x14ac:dyDescent="0.4">
      <c r="B9" s="40" t="str">
        <f ca="1">TODAY()-5</f>
        <v>#Mon Apr 02 01:35:25 EDT 2018
acronym.B9=BCC
propertyName.B9=StartDate
value.B9=3/22/18
key.B9=B9
fieldName.B9=_StartDate_B9
property.B9=StartDate
format.B9=m/d/yy
representation.B9=String
</v>
      </c>
      <c r="C9" s="41"/>
      <c r="D9" s="41"/>
      <c r="E9" s="41" t="str">
        <f ca="1">IF(WeightGoal="Maintain","",IF(AND(AllComplete,B12&lt;&gt;""),MAX(B11:B21),"Target date cannot be less than start date. Please check your entries."))</f>
        <v>#Mon Apr 02 01:35:25 EDT 2018
value.E9=3/30/18
key.E9=E9
fieldName.E9=_TargetDate_E9
property.E9=TargetDate
format.E9=m/d/yy
representation.E9=String
acronym.E9=BCC
propertyName.E9=TargetDate
</v>
      </c>
      <c r="F9" s="41"/>
      <c r="G9" s="41"/>
      <c r="H9" s="39" t="str">
        <f>IF(AllComplete,BMR*ActivityFactor,"")</f>
        <v>#Mon Apr 02 01:35:25 EDT 2018
representation.H9=String
acronym.H9=BCC
propertyName.H9=InitCal
value.H9=2252
key.H9=H9
fieldName.H9=_InitCal_H9
property.H9=InitCal
format.H9=0
</v>
      </c>
      <c r="I9" s="39"/>
      <c r="J9" s="39" t="str">
        <f>IF(AllComplete,BMR*ActivityFactor+IF(WeightGoal="Maintain",0,IF(WeightGoal="Decrease",-500,IF(WeightGoal="Increase",500))),"")</f>
        <v>#Mon Apr 02 01:35:25 EDT 2018
value.J9=1752
key.J9=J9
fieldName.J9=_InitCalIntake_J9
property.J9=InitCalIntake
format.J9=0
representation.J9=String
acronym.J9=BCC
propertyName.J9=InitCalIntake
</v>
      </c>
      <c r="K9" s="39"/>
      <c r="L9" s="39" t="str">
        <f>IF(WeightGoal="Maintain","",(WeightToLoseGain)*IF(Standard,1,2.2)*3500)</f>
        <v>#Mon Apr 02 01:35:25 EDT 2018
value.L9=52500
key.L9=L9
fieldName.L9=L9
format.L9=0
representation.L9=String
acronym.L9=BCC
</v>
      </c>
      <c r="M9" s="55"/>
    </row>
    <row customHeight="1" ht="30" r="10" spans="2:13" x14ac:dyDescent="0.4">
      <c r="B10" s="19" t="s">
        <v>75</v>
      </c>
      <c r="C10" s="2" t="s">
        <v>63</v>
      </c>
      <c r="D10" s="2" t="s">
        <v>64</v>
      </c>
      <c r="E10" s="2" t="s">
        <v>65</v>
      </c>
      <c r="F10" s="2" t="s">
        <v>66</v>
      </c>
      <c r="G10" s="2" t="s">
        <v>67</v>
      </c>
      <c r="H10" s="2" t="s">
        <v>68</v>
      </c>
      <c r="I10" s="2" t="str">
        <f>IF(WeightGoal="Increase", "EXTRA CAL","CAL DEFICIT")</f>
        <v>#Mon Apr 02 01:35:25 EDT 2018
representation.I10=String
fieldName.I10=I10
value.I10=CAL DEFICIT
acronym.I10=BCC
key.I10=I10
</v>
      </c>
      <c r="J10" s="2" t="s">
        <v>69</v>
      </c>
      <c r="K10" s="2" t="str">
        <f>IF(UnitOfMeasure="Imperial","LBS REMAINING","KGS REMAINING")</f>
        <v>#Mon Apr 02 01:35:25 EDT 2018
key.K10=K10
representation.K10=String
fieldName.K10=K10
value.K10=LBS REMAINING
acronym.K10=BCC
</v>
      </c>
      <c r="L10" s="2" t="str">
        <f>IF(WeightGoal="Increase","GAIN","LOSS")</f>
        <v>#Mon Apr 02 01:35:25 EDT 2018
value.L10=LOSS
acronym.L10=BCC
key.L10=L10
representation.L10=String
fieldName.L10=L10
</v>
      </c>
      <c r="M10" s="20" t="s">
        <v>70</v>
      </c>
    </row>
    <row customHeight="1" ht="30" r="11" spans="2:13" x14ac:dyDescent="0.4">
      <c r="B11" s="21">
        <f ca="1">IFERROR(IF(Maintain,"",StartDate), "")</f>
        <v>43181</v>
      </c>
      <c r="C11" s="9">
        <f>IFERROR(IF(Maintain,"",1), "")</f>
        <v>1</v>
      </c>
      <c r="D11" s="9">
        <f>IFERROR(IF(AND(ISNUMBER(J11),J11&gt;0),1,""), "")</f>
        <v>1</v>
      </c>
      <c r="E11" s="16">
        <f>IFERROR(IF(Maintain,"",Weight), "")</f>
        <v>150</v>
      </c>
      <c r="F11" s="11">
        <f>IFERROR(IF(Maintain,"",IF(E11&gt;0,RunningBMR,"")), "")</f>
        <v>1670.7</v>
      </c>
      <c r="G11" s="11">
        <f>IFERROR(IF(Maintain,"",InitCalIntake), "")</f>
        <v>1752.46</v>
      </c>
      <c r="H11" s="11">
        <f>IFERROR(F11*(ActivityFactor),"")</f>
        <v>2589.585</v>
      </c>
      <c r="I11" s="12">
        <f>IFERROR(IF(WeightGoal="Increase",G11-H11,H11-G11),"")</f>
        <v>837.125</v>
      </c>
      <c r="J11" s="12">
        <f>IFERROR(L9, "")</f>
        <v>52500</v>
      </c>
      <c r="K11" s="13">
        <f>IFERROR(IF(Standard,J11/CalsPerPound,J11/CalsPerPound/2.2),"")</f>
        <v>15</v>
      </c>
      <c r="L11" s="15">
        <f>IFERROR(WeightToLoseGain-K11,"")</f>
        <v>0</v>
      </c>
      <c r="M11" s="22">
        <f>IFERROR(IF(Maintain,"",0%), "")</f>
        <v>0</v>
      </c>
    </row>
    <row customHeight="1" ht="30" r="12" spans="2:13" x14ac:dyDescent="0.4">
      <c r="B12" s="21">
        <f ca="1" ref="B12:B19" si="0" t="shared">IFERROR(IF(K11&gt;0,B11+1,""),"")</f>
        <v>43182</v>
      </c>
      <c r="C12" s="9" t="str">
        <f>IFERROR(IF(D12&lt;&gt;"",IF(MOD(D12,7)=1,(D11/7)+1,""),""),"")</f>
        <v/>
      </c>
      <c r="D12" s="9">
        <f ref="D12:D19" si="1" t="shared">IFERROR(IF(K11&gt;0,D11+1,""),"")</f>
        <v>2</v>
      </c>
      <c r="E12" s="10">
        <f ref="E12:E19" si="2" t="shared">IFERROR(IF($D12&lt;&gt;"",E11-(I11/CalsPerPound),""),"")</f>
        <v>149.76082142857143</v>
      </c>
      <c r="F12" s="11">
        <f>IFERROR(RunningBMR,"")</f>
        <v>1670.7</v>
      </c>
      <c r="G12" s="11">
        <f>IFERROR(IF(K11&gt;0,F11*ActivityFactor+IF(WeightGoal="Maintain",0,IF(WeightGoal="Decrease",-500,IF(WeightGoal="Increase",500))),""),"")</f>
        <v>2089.585</v>
      </c>
      <c r="H12" s="11">
        <f>IFERROR(F12*(ActivityFactor),"")</f>
        <v>2589.585</v>
      </c>
      <c r="I12" s="12">
        <f>IFERROR(IF(WeightGoal="Increase",G12-H12,H12-G12),"")</f>
        <v>500</v>
      </c>
      <c r="J12" s="12">
        <f>IFERROR(J11-I12,"")</f>
        <v>52000</v>
      </c>
      <c r="K12" s="13">
        <f>IFERROR(IF(Standard,J12/CalsPerPound,J12/CalsPerPound/2.2),"")</f>
        <v>14.857142857142858</v>
      </c>
      <c r="L12" s="15">
        <f>IFERROR(WeightToLoseGain-K12,"")</f>
        <v>0.14285714285714235</v>
      </c>
      <c r="M12" s="22">
        <f ca="1">IFERROR(IF(B11&lt;&gt;"",L12/(WeightToLoseGain),""),"")</f>
        <v>9.52380952380949E-3</v>
      </c>
    </row>
    <row customHeight="1" ht="30" r="13" spans="2:13" x14ac:dyDescent="0.4">
      <c r="B13" s="21">
        <f ca="1" si="0" t="shared"/>
        <v>43183</v>
      </c>
      <c r="C13" s="9" t="str">
        <f ref="C13:C19" si="3" t="shared">IFERROR(IF(D13&lt;&gt;"",IF(MOD(D13,7)=1,(D12/7)+1,""),""),"")</f>
        <v/>
      </c>
      <c r="D13" s="9">
        <f si="1" t="shared"/>
        <v>3</v>
      </c>
      <c r="E13" s="10">
        <f si="2" t="shared"/>
        <v>149.61796428571429</v>
      </c>
      <c r="F13" s="11">
        <f>IFERROR(RunningBMR,"")</f>
        <v>1670.7</v>
      </c>
      <c r="G13" s="11">
        <f>IFERROR(IF(K12&gt;0,F12*ActivityFactor+IF(WeightGoal="Maintain",0,IF(WeightGoal="Decrease",-500,IF(WeightGoal="Increase",500))),""),"")</f>
        <v>2089.585</v>
      </c>
      <c r="H13" s="11">
        <f>IFERROR(F13*(ActivityFactor),"")</f>
        <v>2589.585</v>
      </c>
      <c r="I13" s="12">
        <f>IFERROR(IF(WeightGoal="Increase",G13-H13,H13-G13),"")</f>
        <v>500</v>
      </c>
      <c r="J13" s="12">
        <f ref="J13:J19" si="4" t="shared">IFERROR(J12-I13,"")</f>
        <v>51500</v>
      </c>
      <c r="K13" s="13">
        <f>IFERROR(IF(Standard,J13/CalsPerPound,J13/CalsPerPound/2.2),"")</f>
        <v>14.714285714285714</v>
      </c>
      <c r="L13" s="15">
        <f>IFERROR(WeightToLoseGain-K13,"")</f>
        <v>0.28571428571428648</v>
      </c>
      <c r="M13" s="22">
        <f ca="1">IFERROR(IF(B12&lt;&gt;"",L13/(WeightToLoseGain),""),"")</f>
        <v>1.9047619047619098E-2</v>
      </c>
    </row>
    <row customHeight="1" ht="30" r="14" spans="2:13" x14ac:dyDescent="0.4">
      <c r="B14" s="21">
        <f ca="1" si="0" t="shared"/>
        <v>43184</v>
      </c>
      <c r="C14" s="9" t="str">
        <f si="3" t="shared"/>
        <v/>
      </c>
      <c r="D14" s="9">
        <f si="1" t="shared"/>
        <v>4</v>
      </c>
      <c r="E14" s="10">
        <f si="2" t="shared"/>
        <v>149.47510714285715</v>
      </c>
      <c r="F14" s="11">
        <f>IFERROR(RunningBMR,"")</f>
        <v>1670.7</v>
      </c>
      <c r="G14" s="11">
        <f>IFERROR(IF(K13&gt;0,F13*ActivityFactor+IF(WeightGoal="Maintain",0,IF(WeightGoal="Decrease",-500,IF(WeightGoal="Increase",500))),""),"")</f>
        <v>2089.585</v>
      </c>
      <c r="H14" s="11">
        <f>IFERROR(F14*(ActivityFactor),"")</f>
        <v>2589.585</v>
      </c>
      <c r="I14" s="12">
        <f>IFERROR(IF(WeightGoal="Increase",G14-H14,H14-G14),"")</f>
        <v>500</v>
      </c>
      <c r="J14" s="12">
        <f si="4" t="shared"/>
        <v>51000</v>
      </c>
      <c r="K14" s="13">
        <f>IFERROR(IF(Standard,J14/CalsPerPound,J14/CalsPerPound/2.2),"")</f>
        <v>14.571428571428571</v>
      </c>
      <c r="L14" s="15">
        <f>IFERROR(WeightToLoseGain-K14,"")</f>
        <v>0.42857142857142883</v>
      </c>
      <c r="M14" s="22">
        <f ca="1">IFERROR(IF(B13&lt;&gt;"",L14/(WeightToLoseGain),""),"")</f>
        <v>2.8571428571428588E-2</v>
      </c>
    </row>
    <row customHeight="1" ht="30" r="15" spans="2:13" x14ac:dyDescent="0.4">
      <c r="B15" s="21">
        <f ca="1" si="0" t="shared"/>
        <v>43185</v>
      </c>
      <c r="C15" s="9" t="str">
        <f si="3" t="shared"/>
        <v/>
      </c>
      <c r="D15" s="9">
        <f si="1" t="shared"/>
        <v>5</v>
      </c>
      <c r="E15" s="10">
        <f si="2" t="shared"/>
        <v>149.33225000000002</v>
      </c>
      <c r="F15" s="11">
        <f>IFERROR(RunningBMR,"")</f>
        <v>1670.7</v>
      </c>
      <c r="G15" s="11">
        <f>IFERROR(IF(K14&gt;0,F14*ActivityFactor+IF(WeightGoal="Maintain",0,IF(WeightGoal="Decrease",-500,IF(WeightGoal="Increase",500))),""),"")</f>
        <v>2089.585</v>
      </c>
      <c r="H15" s="11">
        <f>IFERROR(F15*(ActivityFactor),"")</f>
        <v>2589.585</v>
      </c>
      <c r="I15" s="12">
        <f>IFERROR(IF(WeightGoal="Increase",G15-H15,H15-G15),"")</f>
        <v>500</v>
      </c>
      <c r="J15" s="12">
        <f si="4" t="shared"/>
        <v>50500</v>
      </c>
      <c r="K15" s="13">
        <f>IFERROR(IF(Standard,J15/CalsPerPound,J15/CalsPerPound/2.2),"")</f>
        <v>14.428571428571429</v>
      </c>
      <c r="L15" s="15">
        <f>IFERROR(WeightToLoseGain-K15,"")</f>
        <v>0.57142857142857117</v>
      </c>
      <c r="M15" s="22">
        <f ca="1">IFERROR(IF(B14&lt;&gt;"",L15/(WeightToLoseGain),""),"")</f>
        <v>3.8095238095238078E-2</v>
      </c>
    </row>
    <row customHeight="1" ht="30" r="16" spans="2:13" x14ac:dyDescent="0.4">
      <c r="B16" s="21">
        <f ca="1" si="0" t="shared"/>
        <v>43186</v>
      </c>
      <c r="C16" s="9" t="str">
        <f si="3" t="shared"/>
        <v/>
      </c>
      <c r="D16" s="9">
        <f si="1" t="shared"/>
        <v>6</v>
      </c>
      <c r="E16" s="10">
        <f si="2" t="shared"/>
        <v>149.18939285714288</v>
      </c>
      <c r="F16" s="11">
        <f>IFERROR(RunningBMR,"")</f>
        <v>1670.7</v>
      </c>
      <c r="G16" s="11">
        <f>IFERROR(IF(K15&gt;0,F15*ActivityFactor+IF(WeightGoal="Maintain",0,IF(WeightGoal="Decrease",-500,IF(WeightGoal="Increase",500))),""),"")</f>
        <v>2089.585</v>
      </c>
      <c r="H16" s="11">
        <f>IFERROR(F16*(ActivityFactor),"")</f>
        <v>2589.585</v>
      </c>
      <c r="I16" s="12">
        <f>IFERROR(IF(WeightGoal="Increase",G16-H16,H16-G16),"")</f>
        <v>500</v>
      </c>
      <c r="J16" s="12">
        <f si="4" t="shared"/>
        <v>50000</v>
      </c>
      <c r="K16" s="13">
        <f>IFERROR(IF(Standard,J16/CalsPerPound,J16/CalsPerPound/2.2),"")</f>
        <v>14.285714285714286</v>
      </c>
      <c r="L16" s="15">
        <f>IFERROR(WeightToLoseGain-K16,"")</f>
        <v>0.71428571428571352</v>
      </c>
      <c r="M16" s="22">
        <f ca="1">IFERROR(IF(B15&lt;&gt;"",L16/(WeightToLoseGain),""),"")</f>
        <v>4.7619047619047568E-2</v>
      </c>
    </row>
    <row customHeight="1" ht="30" r="17" spans="2:13" x14ac:dyDescent="0.4">
      <c r="B17" s="21">
        <f ca="1" si="0" t="shared"/>
        <v>43187</v>
      </c>
      <c r="C17" s="9" t="str">
        <f si="3" t="shared"/>
        <v/>
      </c>
      <c r="D17" s="9">
        <f si="1" t="shared"/>
        <v>7</v>
      </c>
      <c r="E17" s="10">
        <f si="2" t="shared"/>
        <v>149.04653571428574</v>
      </c>
      <c r="F17" s="11">
        <f>IFERROR(RunningBMR,"")</f>
        <v>1670.7</v>
      </c>
      <c r="G17" s="11">
        <f>IFERROR(IF(K16&gt;0,F16*ActivityFactor+IF(WeightGoal="Maintain",0,IF(WeightGoal="Decrease",-500,IF(WeightGoal="Increase",500))),""),"")</f>
        <v>2089.585</v>
      </c>
      <c r="H17" s="11">
        <f>IFERROR(F17*(ActivityFactor),"")</f>
        <v>2589.585</v>
      </c>
      <c r="I17" s="12">
        <f>IFERROR(IF(WeightGoal="Increase",G17-H17,H17-G17),"")</f>
        <v>500</v>
      </c>
      <c r="J17" s="12">
        <f si="4" t="shared"/>
        <v>49500</v>
      </c>
      <c r="K17" s="13">
        <f>IFERROR(IF(Standard,J17/CalsPerPound,J17/CalsPerPound/2.2),"")</f>
        <v>14.142857142857142</v>
      </c>
      <c r="L17" s="15">
        <f>IFERROR(WeightToLoseGain-K17,"")</f>
        <v>0.85714285714285765</v>
      </c>
      <c r="M17" s="22">
        <f ca="1">IFERROR(IF(B16&lt;&gt;"",L17/(WeightToLoseGain),""),"")</f>
        <v>5.7142857142857176E-2</v>
      </c>
    </row>
    <row customHeight="1" ht="30" r="18" spans="2:13" x14ac:dyDescent="0.4">
      <c r="B18" s="21">
        <f ca="1" si="0" t="shared"/>
        <v>43188</v>
      </c>
      <c r="C18" s="9">
        <f si="3" t="shared"/>
        <v>2</v>
      </c>
      <c r="D18" s="9">
        <f si="1" t="shared"/>
        <v>8</v>
      </c>
      <c r="E18" s="10">
        <f si="2" t="shared"/>
        <v>148.9036785714286</v>
      </c>
      <c r="F18" s="11">
        <f>IFERROR(RunningBMR,"")</f>
        <v>1670.7</v>
      </c>
      <c r="G18" s="11">
        <f>IFERROR(IF(K17&gt;0,F17*ActivityFactor+IF(WeightGoal="Maintain",0,IF(WeightGoal="Decrease",-500,IF(WeightGoal="Increase",500))),""),"")</f>
        <v>2089.585</v>
      </c>
      <c r="H18" s="11">
        <f>IFERROR(F18*(ActivityFactor),"")</f>
        <v>2589.585</v>
      </c>
      <c r="I18" s="12">
        <f>IFERROR(IF(WeightGoal="Increase",G18-H18,H18-G18),"")</f>
        <v>500</v>
      </c>
      <c r="J18" s="12">
        <f si="4" t="shared"/>
        <v>49000</v>
      </c>
      <c r="K18" s="13">
        <f>IFERROR(IF(Standard,J18/CalsPerPound,J18/CalsPerPound/2.2),"")</f>
        <v>14</v>
      </c>
      <c r="L18" s="15">
        <f>IFERROR(WeightToLoseGain-K18,"")</f>
        <v>1</v>
      </c>
      <c r="M18" s="22">
        <f ca="1">IFERROR(IF(B17&lt;&gt;"",L18/(WeightToLoseGain),""),"")</f>
        <v>6.6666666666666666E-2</v>
      </c>
    </row>
    <row customHeight="1" ht="30" r="19" spans="2:13" x14ac:dyDescent="0.4">
      <c r="B19" s="21">
        <f ca="1" si="0" t="shared"/>
        <v>43189</v>
      </c>
      <c r="C19" s="9" t="str">
        <f si="3" t="shared"/>
        <v/>
      </c>
      <c r="D19" s="9">
        <f si="1" t="shared"/>
        <v>9</v>
      </c>
      <c r="E19" s="10">
        <f si="2" t="shared"/>
        <v>148.76082142857146</v>
      </c>
      <c r="F19" s="11">
        <f>IFERROR(RunningBMR,"")</f>
        <v>1670.7</v>
      </c>
      <c r="G19" s="11">
        <f>IFERROR(IF(K18&gt;0,F18*ActivityFactor+IF(WeightGoal="Maintain",0,IF(WeightGoal="Decrease",-500,IF(WeightGoal="Increase",500))),""),"")</f>
        <v>2089.585</v>
      </c>
      <c r="H19" s="11">
        <f>IFERROR(F19*(ActivityFactor),"")</f>
        <v>2589.585</v>
      </c>
      <c r="I19" s="12">
        <f>IFERROR(IF(WeightGoal="Increase",G19-H19,H19-G19),"")</f>
        <v>500</v>
      </c>
      <c r="J19" s="12">
        <f si="4" t="shared"/>
        <v>48500</v>
      </c>
      <c r="K19" s="13">
        <f>IFERROR(IF(Standard,J19/CalsPerPound,J19/CalsPerPound/2.2),"")</f>
        <v>13.857142857142858</v>
      </c>
      <c r="L19" s="15">
        <f>IFERROR(WeightToLoseGain-K19,"")</f>
        <v>1.1428571428571423</v>
      </c>
      <c r="M19" s="22">
        <f ca="1">IFERROR(IF(B18&lt;&gt;"",L19/(WeightToLoseGain),""),"")</f>
        <v>7.6190476190476156E-2</v>
      </c>
    </row>
    <row customHeight="1" ht="30" r="20" spans="2:13" x14ac:dyDescent="0.4">
      <c r="B20" s="21" t="str">
        <f>IFERROR(IF(#REF!&gt;0,#REF!+1,""),"")</f>
        <v/>
      </c>
      <c r="C20" s="9" t="str">
        <f>IFERROR(IF(D20&lt;&gt;"",IF(MOD(D20,7)=1,(#REF!/7)+1,""),""),"")</f>
        <v/>
      </c>
      <c r="D20" s="9" t="str">
        <f>IFERROR(IF(#REF!&gt;0,#REF!+1,""),"")</f>
        <v/>
      </c>
      <c r="E20" s="10" t="str">
        <f>IFERROR(IF($D20&lt;&gt;"",#REF!-(#REF!/CalsPerPound),""),"")</f>
        <v/>
      </c>
      <c r="F20" s="11">
        <f>IFERROR(RunningBMR,"")</f>
        <v>1670.7</v>
      </c>
      <c r="G20" s="11" t="str">
        <f>IFERROR(IF(#REF!&gt;0,#REF!*ActivityFactor+IF(WeightGoal="Maintain",0,IF(WeightGoal="Decrease",-500,IF(WeightGoal="Increase",500))),""),"")</f>
        <v/>
      </c>
      <c r="H20" s="11">
        <f>IFERROR(F20*(ActivityFactor),"")</f>
        <v>2589.585</v>
      </c>
      <c r="I20" s="12" t="str">
        <f>IFERROR(IF(WeightGoal="Increase",G20-H20,H20-G20),"")</f>
        <v/>
      </c>
      <c r="J20" s="12" t="str">
        <f>IFERROR(#REF!-I20,"")</f>
        <v/>
      </c>
      <c r="K20" s="13" t="str">
        <f>IFERROR(IF(Standard,J20/CalsPerPound,J20/CalsPerPound/2.2),"")</f>
        <v/>
      </c>
      <c r="L20" s="15" t="str">
        <f>IFERROR(WeightToLoseGain-K20,"")</f>
        <v/>
      </c>
      <c r="M20" s="23" t="str">
        <f>IFERROR(IF(#REF!&lt;&gt;"",L20/(WeightToLoseGain),""),"")</f>
        <v/>
      </c>
    </row>
    <row customHeight="1" ht="30" r="21" spans="2:13" x14ac:dyDescent="0.4">
      <c r="B21" s="24" t="str">
        <f ref="B21" si="5" t="shared">IFERROR(IF(K20&gt;0,B20+1,""),"")</f>
        <v/>
      </c>
      <c r="C21" s="25" t="str">
        <f ref="C21" si="6" t="shared">IFERROR(IF(D21&lt;&gt;"",IF(MOD(D21,7)=1,(D20/7)+1,""),""),"")</f>
        <v/>
      </c>
      <c r="D21" s="25" t="str">
        <f ref="D21" si="7" t="shared">IFERROR(IF(K20&gt;0,D20+1,""),"")</f>
        <v/>
      </c>
      <c r="E21" s="26" t="str">
        <f ref="E21" si="8" t="shared">IFERROR(IF($D21&lt;&gt;"",E20-(I20/CalsPerPound),""),"")</f>
        <v/>
      </c>
      <c r="F21" s="27">
        <f>IFERROR(RunningBMR,"")</f>
        <v>1670.7</v>
      </c>
      <c r="G21" s="27">
        <f>IFERROR(IF(K20&gt;0,F20*ActivityFactor+IF(WeightGoal="Maintain",0,IF(WeightGoal="Decrease",-500,IF(WeightGoal="Increase",500))),""),"")</f>
        <v>2089.585</v>
      </c>
      <c r="H21" s="27">
        <f>IFERROR(F21*(ActivityFactor),"")</f>
        <v>2589.585</v>
      </c>
      <c r="I21" s="28">
        <f>IFERROR(IF(WeightGoal="Increase",G21-H21,H21-G21),"")</f>
        <v>500</v>
      </c>
      <c r="J21" s="28" t="str">
        <f ref="J21" si="9" t="shared">IFERROR(J20-I21,"")</f>
        <v/>
      </c>
      <c r="K21" s="29" t="str">
        <f>IFERROR(IF(Standard,J21/CalsPerPound,J21/CalsPerPound/2.2),"")</f>
        <v/>
      </c>
      <c r="L21" s="30" t="str">
        <f>IFERROR(WeightToLoseGain-K21,"")</f>
        <v/>
      </c>
      <c r="M21" s="31" t="str">
        <f>IFERROR(IF(B20&lt;&gt;"",L21/(WeightToLoseGain),""),"")</f>
        <v/>
      </c>
    </row>
  </sheetData>
  <mergeCells count="31">
    <mergeCell ref="H3:M3"/>
    <mergeCell ref="E5:G5"/>
    <mergeCell ref="H2:M2"/>
    <mergeCell ref="L7:M7"/>
    <mergeCell ref="B2:G2"/>
    <mergeCell ref="B3:G3"/>
    <mergeCell ref="B7:G7"/>
    <mergeCell ref="E8:G8"/>
    <mergeCell ref="L8:M8"/>
    <mergeCell ref="B5:D5"/>
    <mergeCell ref="L9:M9"/>
    <mergeCell ref="J5:K5"/>
    <mergeCell ref="J7:K7"/>
    <mergeCell ref="H5:I5"/>
    <mergeCell ref="L6:M6"/>
    <mergeCell ref="B1:M1"/>
    <mergeCell ref="L4:M4"/>
    <mergeCell ref="L5:M5"/>
    <mergeCell ref="J8:K8"/>
    <mergeCell ref="J9:K9"/>
    <mergeCell ref="H8:I8"/>
    <mergeCell ref="H9:I9"/>
    <mergeCell ref="B9:D9"/>
    <mergeCell ref="E9:G9"/>
    <mergeCell ref="B4:D4"/>
    <mergeCell ref="H4:I4"/>
    <mergeCell ref="J4:K4"/>
    <mergeCell ref="J6:K6"/>
    <mergeCell ref="B6:G6"/>
    <mergeCell ref="E4:G4"/>
    <mergeCell ref="B8:D8"/>
  </mergeCells>
  <conditionalFormatting sqref="H7">
    <cfRule dxfId="9" priority="8" type="expression">
      <formula>Standard=FALSE</formula>
    </cfRule>
    <cfRule dxfId="8" priority="9" type="expression">
      <formula>Standard=TRUE</formula>
    </cfRule>
  </conditionalFormatting>
  <conditionalFormatting sqref="J7 J5">
    <cfRule dxfId="7" priority="6" type="expression">
      <formula>Standard=FALSE</formula>
    </cfRule>
    <cfRule dxfId="6" priority="7" type="expression">
      <formula>Standard=TRUE</formula>
    </cfRule>
  </conditionalFormatting>
  <conditionalFormatting sqref="I7">
    <cfRule dxfId="5" priority="4" type="expression">
      <formula>Standard=FALSE</formula>
    </cfRule>
    <cfRule dxfId="4" priority="5" type="expression">
      <formula>Standard=TRUE</formula>
    </cfRule>
  </conditionalFormatting>
  <conditionalFormatting sqref="B11:M21">
    <cfRule dxfId="3" priority="11" stopIfTrue="1" type="expression">
      <formula>$B11=TODAY()</formula>
    </cfRule>
    <cfRule dxfId="2" priority="12" stopIfTrue="1" type="expression">
      <formula>$C11&lt;&gt;""</formula>
    </cfRule>
    <cfRule dxfId="1" priority="13" type="expression">
      <formula>$C11&lt;&gt;""</formula>
    </cfRule>
    <cfRule dxfId="0" priority="14" type="expression">
      <formula>$B11&lt;&gt;""</formula>
    </cfRule>
  </conditionalFormatting>
  <dataValidations count="43">
    <dataValidation allowBlank="1" error="Select Activity Level from the list. Select CANCEL, then press ALT+DOWN ARROW for options, then DOWN ARROW and ENTER to make selection" errorStyle="warning" prompt="Select Activity Level in this cell. Press ALT+DOWN ARROW for options, then DOWN ARROW and ENTER to make selection" showErrorMessage="1" showInputMessage="1" sqref="B5:D5" type="list" xr:uid="{00000000-0002-0000-0000-000000000000}">
      <formula1>ExerciseTypesLookup</formula1>
    </dataValidation>
    <dataValidation allowBlank="1" error="Select Imperial or Metric from the list. Select CANCEL, then press ALT+DOWN ARROW for options, then DOWN ARROW and ENTER to make selection" errorStyle="warning" prompt="Select Measurement System Imperial or Metric in this cell. Press ALT+DOWN ARROW for options, then DOWN ARROW and ENTER to make selection" showErrorMessage="1" showInputMessage="1" sqref="H5:I5" type="list" xr:uid="{00000000-0002-0000-0000-000001000000}">
      <formula1>"IMPERIAL,METRIC"</formula1>
    </dataValidation>
    <dataValidation allowBlank="1" error="Select Female or Male from the list. Select CANCEL, then press ALT+DOWN ARROW for options, then DOWN ARROW and ENTER to make selection" errorStyle="warning" prompt="Select Gender in this cell. Press ALT+DOWN ARROW for options, then DOWN ARROW and ENTER to make selection" showErrorMessage="1" showInputMessage="1" sqref="L7:M7" type="list" xr:uid="{00000000-0002-0000-0000-000002000000}">
      <formula1>"FEMALE,MALE"</formula1>
    </dataValidation>
    <dataValidation allowBlank="1" prompt="Create a Calorie Amortization Schedule in this worksheet. Enter details in cells B4 through L7. Overview of plan is in cells B8 through L9. Amortization starts in cell B10" showErrorMessage="1" showInputMessage="1" sqref="A1" xr:uid="{00000000-0002-0000-0000-000003000000}"/>
    <dataValidation allowBlank="1" prompt="Time to reach goal is automatically updated in this &amp; cell B3. Enter target start and end dates in cells B9 and E9. A note starts in cell H2 and is updated based on goal and gender" showErrorMessage="1" showInputMessage="1" sqref="B2:G2" xr:uid="{00000000-0002-0000-0000-000004000000}"/>
    <dataValidation allowBlank="1" prompt="Select Activity Level in cell below" showErrorMessage="1" showInputMessage="1" sqref="B4:D4" xr:uid="{00000000-0002-0000-0000-000005000000}"/>
    <dataValidation allowBlank="1" prompt="Exercise schedule is automatically updated in this cell based on Activity Level selected at left" showErrorMessage="1" showInputMessage="1" sqref="E5:G5" xr:uid="{00000000-0002-0000-0000-000006000000}"/>
    <dataValidation allowBlank="1" prompt="Select what you want your weight to do: Increase, Decrease, or Maintain in cell below" showErrorMessage="1" showInputMessage="1" sqref="B6:G6" xr:uid="{00000000-0002-0000-0000-000007000000}"/>
    <dataValidation allowBlank="1" error="Select Increase, Decrease, or Maintain from the list. Select CANCEL, then press ALT+DOWN ARROW for options, then DOWN ARROW and ENTER to make selection" errorStyle="warning" prompt="Select what you want your weight to do: Increase, Decrease, or Maintain in this cell. Press ALT+DOWN ARROW for options, then DOWN ARROW and ENTER to make selection" showErrorMessage="1" showInputMessage="1" sqref="B7" type="list" xr:uid="{00000000-0002-0000-0000-000008000000}">
      <formula1>"DECREASE, INCREASE,MAINTAIN"</formula1>
    </dataValidation>
    <dataValidation allowBlank="1" prompt="Enter Height in the metric selected above in cell below" showErrorMessage="1" showInputMessage="1" sqref="H6:I6" xr:uid="{00000000-0002-0000-0000-000009000000}"/>
    <dataValidation allowBlank="1" prompt="Enter Height in Feet or Meter in this cell. Enter inches or centimeters in cell at right" showErrorMessage="1" showInputMessage="1" sqref="H7" xr:uid="{00000000-0002-0000-0000-00000A000000}"/>
    <dataValidation allowBlank="1" prompt="Enter Height in Inches or Centimeters in this cell" showErrorMessage="1" showInputMessage="1" sqref="I7" xr:uid="{00000000-0002-0000-0000-00000B000000}"/>
    <dataValidation allowBlank="1" prompt="Select Measurement System in cell below" showErrorMessage="1" showInputMessage="1" sqref="H4:I4" xr:uid="{00000000-0002-0000-0000-00000C000000}"/>
    <dataValidation allowBlank="1" prompt="Enter Current Weight in cell below" showErrorMessage="1" showInputMessage="1" sqref="J4:K4" xr:uid="{00000000-0002-0000-0000-00000D000000}"/>
    <dataValidation allowBlank="1" prompt="Enter Current Weight in this cell" showErrorMessage="1" showInputMessage="1" sqref="J5:K5" xr:uid="{00000000-0002-0000-0000-00000E000000}"/>
    <dataValidation allowBlank="1" prompt="Enter Goal Weight in cell below" showErrorMessage="1" showInputMessage="1" sqref="J6:K6" xr:uid="{00000000-0002-0000-0000-00000F000000}"/>
    <dataValidation allowBlank="1" prompt="Enter Goal Weight in this cell" showErrorMessage="1" showInputMessage="1" sqref="J7:K7" xr:uid="{00000000-0002-0000-0000-000010000000}"/>
    <dataValidation allowBlank="1" prompt="Enter Age in cell below" showErrorMessage="1" showInputMessage="1" sqref="L4:M4" xr:uid="{00000000-0002-0000-0000-000011000000}"/>
    <dataValidation allowBlank="1" prompt="Enter Age in this cell" showErrorMessage="1" showInputMessage="1" sqref="L5:M5" xr:uid="{00000000-0002-0000-0000-000012000000}"/>
    <dataValidation allowBlank="1" prompt="Select Gender in cell below" showErrorMessage="1" showInputMessage="1" sqref="L6:M6" xr:uid="{00000000-0002-0000-0000-000013000000}"/>
    <dataValidation allowBlank="1" prompt="Calories to Burn is automatically updated in cell below" showErrorMessage="1" showInputMessage="1" sqref="L8:M8" xr:uid="{00000000-0002-0000-0000-000014000000}"/>
    <dataValidation allowBlank="1" prompt="Calories to Burn is automatically updated in this cell" showErrorMessage="1" showInputMessage="1" sqref="L9:M9" xr:uid="{00000000-0002-0000-0000-000015000000}"/>
    <dataValidation allowBlank="1" prompt="Enter Goal Start Date in cell below" showErrorMessage="1" showInputMessage="1" sqref="B8:D8" xr:uid="{00000000-0002-0000-0000-000016000000}"/>
    <dataValidation allowBlank="1" prompt="Enter Goal Start Date in this cell" showErrorMessage="1" showInputMessage="1" sqref="B9:D9" xr:uid="{00000000-0002-0000-0000-000017000000}"/>
    <dataValidation allowBlank="1" prompt="Goal Target Date is automatically updated in cell below" showErrorMessage="1" showInputMessage="1" sqref="E8:G8" xr:uid="{00000000-0002-0000-0000-000018000000}"/>
    <dataValidation allowBlank="1" prompt="Goal Target Date is automatically updated in this cell" showErrorMessage="1" showInputMessage="1" sqref="E9:G9" xr:uid="{00000000-0002-0000-0000-000019000000}"/>
    <dataValidation allowBlank="1" prompt="Week is automatically updated in this column under this heading" showErrorMessage="1" showInputMessage="1" sqref="C10" xr:uid="{00000000-0002-0000-0000-00001A000000}"/>
    <dataValidation allowBlank="1" prompt="Day is automatically updated in this column under this heading" showErrorMessage="1" showInputMessage="1" sqref="D10" xr:uid="{00000000-0002-0000-0000-00001B000000}"/>
    <dataValidation allowBlank="1" prompt="Weight is automatically calculated in this column under this heading" showErrorMessage="1" showInputMessage="1" sqref="E10" xr:uid="{00000000-0002-0000-0000-00001C000000}"/>
    <dataValidation allowBlank="1" prompt="Basal Metabolic Rate is automatically calculated in this column under this heading" showErrorMessage="1" showInputMessage="1" sqref="F10" xr:uid="{00000000-0002-0000-0000-00001D000000}"/>
    <dataValidation allowBlank="1" prompt="Calorie Consumed is automatically calculated in this column under this heading" showErrorMessage="1" showInputMessage="1" sqref="G10" xr:uid="{00000000-0002-0000-0000-00001E000000}"/>
    <dataValidation allowBlank="1" prompt="Calorie Burned is automatically calculated in this column under this heading" showErrorMessage="1" showInputMessage="1" sqref="H10" xr:uid="{00000000-0002-0000-0000-00001F000000}"/>
    <dataValidation allowBlank="1" prompt="Weight Gain or Loss is automatically calculated in this column under this heading" showErrorMessage="1" showInputMessage="1" sqref="L10" xr:uid="{00000000-0002-0000-0000-000020000000}"/>
    <dataValidation allowBlank="1" prompt="Extra Calorie or Calorie Deficit is automatically calculated in this column under this heading" showErrorMessage="1" showInputMessage="1" sqref="I10" xr:uid="{00000000-0002-0000-0000-000021000000}"/>
    <dataValidation allowBlank="1" prompt="Calorie Remaining is automatically calculated in this column under this heading" showErrorMessage="1" showInputMessage="1" sqref="J10" xr:uid="{00000000-0002-0000-0000-000022000000}"/>
    <dataValidation allowBlank="1" prompt="Remaining weight to gain or lose is automatically calculated in this column under this heading" showErrorMessage="1" showInputMessage="1" sqref="K10" xr:uid="{00000000-0002-0000-0000-000023000000}"/>
    <dataValidation allowBlank="1" prompt="Percent of Goal is automatically calculated in this column under this heading" showErrorMessage="1" showInputMessage="1" sqref="M10" xr:uid="{00000000-0002-0000-0000-000024000000}"/>
    <dataValidation allowBlank="1" prompt="Instruction is automatically updated in this cell" showErrorMessage="1" showInputMessage="1" sqref="B3:G3" xr:uid="{00000000-0002-0000-0000-000025000000}"/>
    <dataValidation allowBlank="1" prompt="Title of this worksheet is in this cell" showErrorMessage="1" showInputMessage="1" sqref="B1:M1" xr:uid="{00000000-0002-0000-0000-000026000000}"/>
    <dataValidation allowBlank="1" prompt="Initial Daily Calorie Intake are automatically updated in cell below" showErrorMessage="1" showInputMessage="1" sqref="J8:K8 J9:K9" xr:uid="{00000000-0002-0000-0000-000027000000}"/>
    <dataValidation allowBlank="1" prompt="Initial Daily Calorie Needs are automatically updated in cell below" showErrorMessage="1" showInputMessage="1" sqref="H8:I8" xr:uid="{00000000-0002-0000-0000-000028000000}"/>
    <dataValidation allowBlank="1" prompt="Initial Daily Calorie Needs are automatically updated in this cell" showErrorMessage="1" showInputMessage="1" sqref="H9:I9" xr:uid="{00000000-0002-0000-0000-000029000000}"/>
    <dataValidation allowBlank="1" prompt="Date is automatically updated in this column under this heading. Current day row &amp; the first day each week row are highlighted with RGB: 248,196,0 &amp; RGB 242,242,242 respectively" showErrorMessage="1" showInputMessage="1" sqref="B10" xr:uid="{00000000-0002-0000-0000-00002A000000}"/>
  </dataValidations>
  <printOptions horizontalCentered="1"/>
  <pageMargins bottom="0.75" footer="0.3" header="0.3" left="0.25" right="0.25" top="0.75"/>
  <pageSetup fitToHeight="0" orientation="landscape" r:id="rId1" scale="68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8"/>
  <sheetViews>
    <sheetView showGridLines="0" workbookViewId="0">
      <selection activeCell="A5" sqref="A5"/>
    </sheetView>
  </sheetViews>
  <sheetFormatPr customHeight="1" defaultRowHeight="19.5" x14ac:dyDescent="0.4"/>
  <cols>
    <col min="1" max="1" customWidth="true" width="1.21875" collapsed="true"/>
    <col min="2" max="2" customWidth="true" width="25.44140625" collapsed="true"/>
    <col min="3" max="3" customWidth="true" width="61.0" collapsed="true"/>
    <col min="4" max="4" customWidth="true" width="13.44140625" collapsed="true"/>
  </cols>
  <sheetData>
    <row customFormat="1" customHeight="1" ht="44.25" r="1" s="1" spans="2:4" x14ac:dyDescent="0.4">
      <c r="B1" s="6" t="s">
        <v>39</v>
      </c>
      <c r="C1" s="3"/>
      <c r="D1" s="3"/>
    </row>
    <row customHeight="1" ht="17.25" r="2" spans="2:4" x14ac:dyDescent="0.4">
      <c r="B2" s="4" t="s">
        <v>40</v>
      </c>
      <c r="C2" s="5"/>
      <c r="D2" s="5"/>
    </row>
    <row customHeight="1" ht="19.5" r="3" spans="2:4" x14ac:dyDescent="0.4">
      <c r="B3" s="7" t="s">
        <v>33</v>
      </c>
      <c r="C3" s="7" t="s">
        <v>34</v>
      </c>
      <c r="D3" s="8" t="s">
        <v>36</v>
      </c>
    </row>
    <row customHeight="1" ht="19.5" r="4" spans="2:4" x14ac:dyDescent="0.4">
      <c r="B4" s="7" t="s">
        <v>4</v>
      </c>
      <c r="C4" s="7" t="s">
        <v>21</v>
      </c>
      <c r="D4" s="8">
        <v>1.2</v>
      </c>
    </row>
    <row customHeight="1" ht="19.5" r="5" spans="2:4" x14ac:dyDescent="0.4">
      <c r="B5" s="7" t="s">
        <v>5</v>
      </c>
      <c r="C5" s="7" t="s">
        <v>22</v>
      </c>
      <c r="D5" s="8">
        <v>1.375</v>
      </c>
    </row>
    <row customHeight="1" ht="19.5" r="6" spans="2:4" x14ac:dyDescent="0.4">
      <c r="B6" s="7" t="s">
        <v>6</v>
      </c>
      <c r="C6" s="7" t="s">
        <v>23</v>
      </c>
      <c r="D6" s="8">
        <v>1.55</v>
      </c>
    </row>
    <row customHeight="1" ht="19.5" r="7" spans="2:4" x14ac:dyDescent="0.4">
      <c r="B7" s="7" t="s">
        <v>7</v>
      </c>
      <c r="C7" s="7" t="s">
        <v>24</v>
      </c>
      <c r="D7" s="8">
        <v>1.7250000000000001</v>
      </c>
    </row>
    <row customHeight="1" ht="19.5" r="8" spans="2:4" x14ac:dyDescent="0.4">
      <c r="B8" s="7" t="s">
        <v>8</v>
      </c>
      <c r="C8" s="7" t="s">
        <v>25</v>
      </c>
      <c r="D8" s="8">
        <v>1.9</v>
      </c>
    </row>
  </sheetData>
  <pageMargins bottom="0.75" footer="0.3" header="0.3" left="0.7" right="0.7" top="0.75"/>
  <pageSetup orientation="portrait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baseType="lpstr" size="20">
      <vt:lpstr>Calorie Amoritization</vt:lpstr>
      <vt:lpstr>Exercise Type Lookup</vt:lpstr>
      <vt:lpstr>Age</vt:lpstr>
      <vt:lpstr>ColumnTitleRegion1..B5.1</vt:lpstr>
      <vt:lpstr>ColumnTitleRegion2..L5.1</vt:lpstr>
      <vt:lpstr>ColumnTitleRegion3..L7.1</vt:lpstr>
      <vt:lpstr>ColumnTitleRegion4..L9.1</vt:lpstr>
      <vt:lpstr>ColumnTitleRegion5..M998.1</vt:lpstr>
      <vt:lpstr>ExerciseTypesLookup</vt:lpstr>
      <vt:lpstr>Gender</vt:lpstr>
      <vt:lpstr>InitCal</vt:lpstr>
      <vt:lpstr>InitCalIntake</vt:lpstr>
      <vt:lpstr>Level</vt:lpstr>
      <vt:lpstr>'Calorie Amoritization'!Print_Titles</vt:lpstr>
      <vt:lpstr>StartDate</vt:lpstr>
      <vt:lpstr>TargetDate</vt:lpstr>
      <vt:lpstr>TargetWeight</vt:lpstr>
      <vt:lpstr>UnitOfMeasure</vt:lpstr>
      <vt:lpstr>Weight</vt:lpstr>
      <vt:lpstr>WeightGoal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2017-07-30T16:59:17Z</dcterms:created>
  <dc:creator>magui</dc:creator>
  <cp:lastModifiedBy>magui</cp:lastModifiedBy>
  <dcterms:modified xsi:type="dcterms:W3CDTF">2018-03-28T02:11:17Z</dcterms:modified>
</cp:coreProperties>
</file>