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7875"/>
  </bookViews>
  <sheets>
    <sheet name="Sheet1 " sheetId="1" r:id="rId1"/>
  </sheets>
  <calcPr calcId="124519" iterate="1"/>
</workbook>
</file>

<file path=xl/calcChain.xml><?xml version="1.0" encoding="utf-8"?>
<calcChain xmlns="http://schemas.openxmlformats.org/spreadsheetml/2006/main">
  <c r="J34" i="1"/>
  <c r="N33"/>
  <c r="L33"/>
  <c r="I33"/>
  <c r="H33"/>
  <c r="G33"/>
  <c r="M33" s="1"/>
  <c r="O33" s="1"/>
  <c r="N32"/>
  <c r="M32"/>
  <c r="O32" s="1"/>
  <c r="L32"/>
  <c r="I32"/>
  <c r="N31"/>
  <c r="M31"/>
  <c r="O31" s="1"/>
  <c r="L31"/>
  <c r="I31"/>
  <c r="N30"/>
  <c r="L30"/>
  <c r="I30"/>
  <c r="H30"/>
  <c r="G30"/>
  <c r="M30" s="1"/>
  <c r="O30" s="1"/>
  <c r="N29"/>
  <c r="L29"/>
  <c r="I29"/>
  <c r="H29"/>
  <c r="H34" s="1"/>
  <c r="G29"/>
  <c r="G34" s="1"/>
  <c r="N28"/>
  <c r="M28"/>
  <c r="O28" s="1"/>
  <c r="I28"/>
  <c r="F28"/>
  <c r="L28" s="1"/>
  <c r="M27"/>
  <c r="O27" s="1"/>
  <c r="L27"/>
  <c r="I27"/>
  <c r="L26"/>
  <c r="K26"/>
  <c r="M26" s="1"/>
  <c r="O26" s="1"/>
  <c r="J26"/>
  <c r="I26"/>
  <c r="M25"/>
  <c r="O25" s="1"/>
  <c r="L25"/>
  <c r="I25"/>
  <c r="M24"/>
  <c r="O24" s="1"/>
  <c r="L24"/>
  <c r="I24"/>
  <c r="M23"/>
  <c r="O23" s="1"/>
  <c r="L23"/>
  <c r="I23"/>
  <c r="N22"/>
  <c r="L22"/>
  <c r="K22"/>
  <c r="M22" s="1"/>
  <c r="O22" s="1"/>
  <c r="J22"/>
  <c r="I22"/>
  <c r="N21"/>
  <c r="M21"/>
  <c r="O21" s="1"/>
  <c r="L21"/>
  <c r="N20"/>
  <c r="L20"/>
  <c r="K20"/>
  <c r="M20" s="1"/>
  <c r="O20" s="1"/>
  <c r="J20"/>
  <c r="I20"/>
  <c r="N19"/>
  <c r="N34" s="1"/>
  <c r="L19"/>
  <c r="K19"/>
  <c r="K34" s="1"/>
  <c r="J19"/>
  <c r="I19"/>
  <c r="I34" s="1"/>
  <c r="E14"/>
  <c r="L13"/>
  <c r="J13"/>
  <c r="I13"/>
  <c r="G13"/>
  <c r="K13" s="1"/>
  <c r="L12"/>
  <c r="J12"/>
  <c r="I12"/>
  <c r="G12"/>
  <c r="K12" s="1"/>
  <c r="L11"/>
  <c r="J11"/>
  <c r="I11"/>
  <c r="G11"/>
  <c r="K11" s="1"/>
  <c r="L10"/>
  <c r="L14" s="1"/>
  <c r="J10"/>
  <c r="I10"/>
  <c r="I14" s="1"/>
  <c r="H10"/>
  <c r="H14" s="1"/>
  <c r="G10"/>
  <c r="K10" s="1"/>
  <c r="M19" l="1"/>
  <c r="M29"/>
  <c r="O29" s="1"/>
  <c r="M34" l="1"/>
  <c r="O19"/>
  <c r="O34" s="1"/>
</calcChain>
</file>

<file path=xl/sharedStrings.xml><?xml version="1.0" encoding="utf-8"?>
<sst xmlns="http://schemas.openxmlformats.org/spreadsheetml/2006/main" count="104" uniqueCount="59">
  <si>
    <t>شرکت: سرمایه گذاری مسکن شمالغرب (سهامی عام)</t>
  </si>
  <si>
    <r>
      <t xml:space="preserve">نماد: </t>
    </r>
    <r>
      <rPr>
        <sz val="16"/>
        <rFont val="B Mitra"/>
        <charset val="178"/>
      </rPr>
      <t>ثغرب</t>
    </r>
  </si>
  <si>
    <r>
      <t xml:space="preserve">کد صنعت: </t>
    </r>
    <r>
      <rPr>
        <sz val="16"/>
        <rFont val="B Mitra"/>
        <charset val="178"/>
      </rPr>
      <t>.........</t>
    </r>
    <r>
      <rPr>
        <b/>
        <sz val="16"/>
        <rFont val="B Mitra"/>
        <charset val="178"/>
      </rPr>
      <t xml:space="preserve"> </t>
    </r>
  </si>
  <si>
    <t>گزارش فعالیت ماهانه دوره منتهی به 1395/09/30</t>
  </si>
  <si>
    <r>
      <t xml:space="preserve">وضعیت ناشر: </t>
    </r>
    <r>
      <rPr>
        <sz val="16"/>
        <rFont val="B Mitra"/>
        <charset val="178"/>
      </rPr>
      <t>پذیرفته در فرابورس</t>
    </r>
  </si>
  <si>
    <t>سال مالی منتهی به 1396/06/31</t>
  </si>
  <si>
    <t>پروژه های واگذار شده :</t>
  </si>
  <si>
    <t>نام پروژه</t>
  </si>
  <si>
    <t>محل پروژه</t>
  </si>
  <si>
    <t>کاربری</t>
  </si>
  <si>
    <t>واحد</t>
  </si>
  <si>
    <t>ماه آذر</t>
  </si>
  <si>
    <t>از ابتدای سال مالی تا پایان ماه آذر</t>
  </si>
  <si>
    <t>بهای تمام شده (میلیون ریال)</t>
  </si>
  <si>
    <t>متراژ فروش</t>
  </si>
  <si>
    <t>نرخ فروش (ریال)</t>
  </si>
  <si>
    <t>مبلغ فروش (میلیون ریال)</t>
  </si>
  <si>
    <t>فاز 4 گلشهر</t>
  </si>
  <si>
    <t>زنجان</t>
  </si>
  <si>
    <t xml:space="preserve">مسکونی </t>
  </si>
  <si>
    <t>مروارید اردبیل</t>
  </si>
  <si>
    <t>اردبیل</t>
  </si>
  <si>
    <t>پزشکان اردبیل</t>
  </si>
  <si>
    <t>خدماتی</t>
  </si>
  <si>
    <t>پارکینگهای گلشهر و آفتاب زنجان</t>
  </si>
  <si>
    <t>جمع</t>
  </si>
  <si>
    <t>آمار وضعیت تکمیل پروژه ها :</t>
  </si>
  <si>
    <t>متراژ پروژه</t>
  </si>
  <si>
    <t>وضعیت در پایان ماه گذشته</t>
  </si>
  <si>
    <t>پروژه های فروش رفته در طی ماه آذر</t>
  </si>
  <si>
    <t>وضعیت در پایان ماه آذر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</si>
  <si>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</si>
  <si>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</si>
  <si>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</si>
  <si>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</si>
  <si>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</si>
  <si>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 xml:space="preserve">تجاری و مسکونی </t>
  </si>
  <si>
    <t>مهدیه اردبیل</t>
  </si>
  <si>
    <t>تجاری و خدماتی</t>
  </si>
  <si>
    <t>مسکونی</t>
  </si>
  <si>
    <t xml:space="preserve">مسکونی ستاره رشدیه - مشارکتی </t>
  </si>
  <si>
    <t>تبریز</t>
  </si>
  <si>
    <t>مسکونی افرا 2</t>
  </si>
  <si>
    <t>تجاری و خدماتی ایپک</t>
  </si>
  <si>
    <t xml:space="preserve">ساختمان آموزشی </t>
  </si>
  <si>
    <t>فاز5 گلشهر زنجان (ساختمان پزشکان )</t>
  </si>
  <si>
    <t>تجاری خدماتی</t>
  </si>
  <si>
    <t>پونک</t>
  </si>
  <si>
    <t>تجاری و اداری گلشهر</t>
  </si>
  <si>
    <t xml:space="preserve">تجاری و اداری </t>
  </si>
  <si>
    <t>خاوران</t>
  </si>
  <si>
    <t>دکوسنتر اردبیل</t>
  </si>
  <si>
    <t>تجاری</t>
  </si>
  <si>
    <t>ایپک سهند</t>
  </si>
  <si>
    <t>کادر توضیحی مربوط به اطلاعات دوره 1 ماهه منتهی به ........</t>
  </si>
  <si>
    <t>مبلغ بهای تمام شده برآوردی اکثر پروژه های در جریان به تاریخ 1395/08/30 به روز شده است بنابراین با بودجه  حسابرسی شده سال مالی 96 دارای مغایراتی خواهد بود.</t>
  </si>
  <si>
    <t>کادر توضیحی مربوط اطلاعات تجمعی از ابتدای سال تا پایان مورخ ........</t>
  </si>
  <si>
    <t xml:space="preserve">سرمایه ثبت نشده: </t>
  </si>
  <si>
    <t>سرمایه ثبت شده: 900.000.000.000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</si>
</sst>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6"/>
      <name val="B Mitra"/>
      <charset val="178"/>
    </font>
    <font>
      <sz val="16"/>
      <color theme="1"/>
      <name val="B Mitra"/>
      <charset val="178"/>
    </font>
    <font>
      <sz val="16"/>
      <color theme="1"/>
      <name val="Calibri"/>
      <family val="2"/>
      <scheme val="minor"/>
    </font>
    <font>
      <sz val="16"/>
      <name val="B Mitra"/>
      <charset val="178"/>
    </font>
    <font>
      <sz val="16"/>
      <name val="B Titr"/>
      <charset val="178"/>
    </font>
    <font>
      <sz val="16"/>
      <name val="Calibri"/>
      <family val="2"/>
      <scheme val="minor"/>
    </font>
    <font>
      <i/>
      <sz val="16"/>
      <color theme="1"/>
      <name val="B Mitra"/>
      <charset val="178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3" fontId="4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/>
    <xf numFmtId="3" fontId="4" fillId="3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4" fillId="4" borderId="6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3" fontId="4" fillId="5" borderId="8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5" borderId="9" xfId="0" applyNumberFormat="1" applyFont="1" applyFill="1" applyBorder="1" applyAlignment="1">
      <alignment horizontal="center" vertical="center" wrapText="1"/>
    </xf>
    <xf numFmtId="3" fontId="4" fillId="5" borderId="10" xfId="0" applyNumberFormat="1" applyFont="1" applyFill="1" applyBorder="1" applyAlignment="1">
      <alignment horizontal="center" vertical="center" wrapText="1"/>
    </xf>
    <xf numFmtId="3" fontId="4" fillId="5" borderId="11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/>
    <xf numFmtId="4" fontId="4" fillId="2" borderId="1" xfId="0" applyNumberFormat="1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3" fontId="4" fillId="6" borderId="6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 vertical="center" wrapText="1"/>
    </xf>
    <xf numFmtId="3" fontId="6" fillId="6" borderId="0" xfId="0" applyNumberFormat="1" applyFont="1" applyFill="1"/>
    <xf numFmtId="3" fontId="6" fillId="7" borderId="0" xfId="0" applyNumberFormat="1" applyFont="1" applyFill="1"/>
    <xf numFmtId="3" fontId="4" fillId="0" borderId="12" xfId="0" applyNumberFormat="1" applyFont="1" applyFill="1" applyBorder="1" applyAlignment="1">
      <alignment horizontal="center" vertical="center" wrapText="1"/>
    </xf>
    <xf numFmtId="4" fontId="4" fillId="2" borderId="7" xfId="0" applyNumberFormat="1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4" fontId="4" fillId="4" borderId="7" xfId="0" applyNumberFormat="1" applyFont="1" applyFill="1" applyBorder="1" applyAlignment="1">
      <alignment horizontal="center" vertical="center" wrapText="1"/>
    </xf>
    <xf numFmtId="3" fontId="4" fillId="6" borderId="13" xfId="0" applyNumberFormat="1" applyFont="1" applyFill="1" applyBorder="1" applyAlignment="1">
      <alignment horizontal="center" vertical="center" wrapText="1"/>
    </xf>
    <xf numFmtId="3" fontId="7" fillId="0" borderId="14" xfId="0" applyNumberFormat="1" applyFont="1" applyBorder="1" applyAlignment="1">
      <alignment vertical="center"/>
    </xf>
    <xf numFmtId="3" fontId="7" fillId="0" borderId="14" xfId="0" applyNumberFormat="1" applyFont="1" applyBorder="1" applyAlignment="1">
      <alignment horizontal="center" vertical="center"/>
    </xf>
    <xf numFmtId="3" fontId="2" fillId="0" borderId="14" xfId="0" applyNumberFormat="1" applyFont="1" applyBorder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2" fillId="0" borderId="15" xfId="0" applyNumberFormat="1" applyFont="1" applyBorder="1" applyAlignment="1">
      <alignment horizontal="right" vertical="center"/>
    </xf>
    <xf numFmtId="3" fontId="2" fillId="0" borderId="0" xfId="0" applyNumberFormat="1" applyFont="1" applyBorder="1" applyAlignment="1">
      <alignment horizontal="right" vertical="center"/>
    </xf>
    <xf numFmtId="3" fontId="7" fillId="0" borderId="14" xfId="0" applyNumberFormat="1" applyFont="1" applyBorder="1" applyAlignment="1">
      <alignment horizontal="right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3" fontId="2" fillId="0" borderId="18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3" fontId="4" fillId="2" borderId="2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rightToLeft="1" tabSelected="1" view="pageBreakPreview" zoomScale="60" workbookViewId="0">
      <selection activeCell="I6" sqref="I6"/>
    </sheetView>
  </sheetViews>
  <sheetFormatPr defaultColWidth="15" defaultRowHeight="29.25" customHeight="1"/>
  <cols>
    <col min="1" max="1" width="36.85546875" style="4" bestFit="1" customWidth="1"/>
    <col min="2" max="2" width="8.28515625" style="4" bestFit="1" customWidth="1"/>
    <col min="3" max="3" width="16.28515625" style="4" hidden="1" customWidth="1"/>
    <col min="4" max="7" width="16.28515625" style="4" customWidth="1"/>
    <col min="8" max="8" width="19.5703125" style="4" customWidth="1"/>
    <col min="9" max="9" width="16.28515625" style="4" customWidth="1"/>
    <col min="10" max="10" width="17.7109375" style="4" customWidth="1"/>
    <col min="11" max="11" width="20.28515625" style="4" customWidth="1"/>
    <col min="12" max="12" width="17.5703125" style="4" bestFit="1" customWidth="1"/>
    <col min="13" max="13" width="15.85546875" style="4" customWidth="1"/>
    <col min="14" max="15" width="19.42578125" style="4" customWidth="1"/>
    <col min="16" max="16384" width="15" style="4"/>
  </cols>
  <sheetData>
    <row r="1" spans="1:14" s="2" customFormat="1" ht="29.25" customHeight="1">
      <c r="A1" s="49" t="s">
        <v>0</v>
      </c>
      <c r="B1" s="49"/>
      <c r="C1" s="49"/>
      <c r="D1" s="49"/>
      <c r="E1" s="49"/>
      <c r="F1" s="49"/>
      <c r="G1" s="49"/>
      <c r="H1" s="49" t="s">
        <v>58</v>
      </c>
      <c r="I1" s="49"/>
      <c r="J1" s="49"/>
      <c r="K1" s="49"/>
      <c r="L1" s="49"/>
      <c r="M1" s="49"/>
      <c r="N1" s="1"/>
    </row>
    <row r="2" spans="1:14" s="2" customFormat="1" ht="29.25" customHeight="1">
      <c r="A2" s="49" t="s">
        <v>1</v>
      </c>
      <c r="B2" s="49"/>
      <c r="C2" s="49"/>
      <c r="D2" s="49"/>
      <c r="E2" s="49"/>
      <c r="F2" s="49"/>
      <c r="G2" s="49"/>
      <c r="H2" s="49" t="s">
        <v>57</v>
      </c>
      <c r="I2" s="49"/>
      <c r="J2" s="49"/>
      <c r="K2" s="49"/>
      <c r="L2" s="49"/>
      <c r="M2" s="49"/>
      <c r="N2" s="1"/>
    </row>
    <row r="3" spans="1:14" s="2" customFormat="1" ht="29.25" customHeight="1">
      <c r="A3" s="49" t="s">
        <v>2</v>
      </c>
      <c r="B3" s="49"/>
      <c r="C3" s="49"/>
      <c r="D3" s="49"/>
      <c r="E3" s="49"/>
      <c r="F3" s="49"/>
      <c r="G3" s="49"/>
      <c r="H3" s="50" t="s">
        <v>3</v>
      </c>
      <c r="I3" s="50"/>
      <c r="J3" s="50"/>
      <c r="K3" s="50"/>
      <c r="L3" s="50"/>
      <c r="M3" s="50"/>
      <c r="N3" s="1"/>
    </row>
    <row r="4" spans="1:14" s="2" customFormat="1" ht="29.25" customHeight="1">
      <c r="A4" s="49" t="s">
        <v>4</v>
      </c>
      <c r="B4" s="49"/>
      <c r="C4" s="49"/>
      <c r="D4" s="49"/>
      <c r="E4" s="49"/>
      <c r="F4" s="49"/>
      <c r="G4" s="49"/>
      <c r="H4" s="50" t="s">
        <v>5</v>
      </c>
      <c r="I4" s="50"/>
      <c r="J4" s="50"/>
      <c r="K4" s="50"/>
      <c r="L4" s="50"/>
      <c r="M4" s="50"/>
      <c r="N4" s="1"/>
    </row>
    <row r="5" spans="1:14" s="2" customFormat="1" ht="29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</row>
    <row r="7" spans="1:14" ht="29.25" customHeight="1" thickBot="1">
      <c r="A7" s="44" t="s">
        <v>6</v>
      </c>
      <c r="B7" s="44"/>
      <c r="C7" s="44"/>
      <c r="D7" s="44"/>
      <c r="E7" s="44"/>
      <c r="F7" s="44"/>
      <c r="G7" s="44"/>
      <c r="H7" s="44"/>
      <c r="I7" s="44"/>
      <c r="J7" s="44"/>
    </row>
    <row r="8" spans="1:14" ht="29.25" customHeight="1">
      <c r="A8" s="45" t="s">
        <v>7</v>
      </c>
      <c r="B8" s="47" t="s">
        <v>8</v>
      </c>
      <c r="C8" s="47" t="s">
        <v>9</v>
      </c>
      <c r="D8" s="47" t="s">
        <v>10</v>
      </c>
      <c r="E8" s="51" t="s">
        <v>11</v>
      </c>
      <c r="F8" s="51"/>
      <c r="G8" s="51"/>
      <c r="H8" s="51"/>
      <c r="I8" s="36" t="s">
        <v>12</v>
      </c>
      <c r="J8" s="36"/>
      <c r="K8" s="36"/>
      <c r="L8" s="37"/>
    </row>
    <row r="9" spans="1:14" ht="29.25" customHeight="1">
      <c r="A9" s="46"/>
      <c r="B9" s="48"/>
      <c r="C9" s="48"/>
      <c r="D9" s="48"/>
      <c r="E9" s="5" t="s">
        <v>13</v>
      </c>
      <c r="F9" s="5" t="s">
        <v>14</v>
      </c>
      <c r="G9" s="5" t="s">
        <v>15</v>
      </c>
      <c r="H9" s="5" t="s">
        <v>16</v>
      </c>
      <c r="I9" s="6" t="s">
        <v>13</v>
      </c>
      <c r="J9" s="6" t="s">
        <v>14</v>
      </c>
      <c r="K9" s="6" t="s">
        <v>15</v>
      </c>
      <c r="L9" s="7" t="s">
        <v>16</v>
      </c>
    </row>
    <row r="10" spans="1:14" ht="29.25" customHeight="1">
      <c r="A10" s="8" t="s">
        <v>17</v>
      </c>
      <c r="B10" s="9" t="s">
        <v>18</v>
      </c>
      <c r="C10" s="9" t="s">
        <v>19</v>
      </c>
      <c r="D10" s="9">
        <v>1</v>
      </c>
      <c r="E10" s="9">
        <v>1336</v>
      </c>
      <c r="F10" s="9">
        <v>72</v>
      </c>
      <c r="G10" s="9">
        <f>1185987816/F10</f>
        <v>16472053</v>
      </c>
      <c r="H10" s="9">
        <f>1140594176/1000000</f>
        <v>1140.5941760000001</v>
      </c>
      <c r="I10" s="9">
        <f>(1691950132/1000000)+(1354893138/1000000)+1336</f>
        <v>4382.8432699999994</v>
      </c>
      <c r="J10" s="9">
        <f>167+F10</f>
        <v>239</v>
      </c>
      <c r="K10" s="9">
        <f>((1501774880/94)+G10)/2</f>
        <v>16224190.755319148</v>
      </c>
      <c r="L10" s="10">
        <f>(1501774880/1000000)+(1185987816/1000000)+(1140594176/1000000)</f>
        <v>3828.3568719999998</v>
      </c>
    </row>
    <row r="11" spans="1:14" ht="29.25" customHeight="1">
      <c r="A11" s="8" t="s">
        <v>20</v>
      </c>
      <c r="B11" s="9" t="s">
        <v>21</v>
      </c>
      <c r="C11" s="9" t="s">
        <v>19</v>
      </c>
      <c r="D11" s="9">
        <v>3</v>
      </c>
      <c r="E11" s="9">
        <v>5592</v>
      </c>
      <c r="F11" s="9">
        <v>243</v>
      </c>
      <c r="G11" s="9">
        <f>5608771830/F11</f>
        <v>23081365.555555556</v>
      </c>
      <c r="H11" s="9">
        <v>5609</v>
      </c>
      <c r="I11" s="9">
        <f>E11</f>
        <v>5592</v>
      </c>
      <c r="J11" s="9">
        <f>F11</f>
        <v>243</v>
      </c>
      <c r="K11" s="9">
        <f>G11</f>
        <v>23081365.555555556</v>
      </c>
      <c r="L11" s="10">
        <f>H11</f>
        <v>5609</v>
      </c>
    </row>
    <row r="12" spans="1:14" ht="29.25" customHeight="1">
      <c r="A12" s="8" t="s">
        <v>22</v>
      </c>
      <c r="B12" s="9" t="s">
        <v>21</v>
      </c>
      <c r="C12" s="9" t="s">
        <v>23</v>
      </c>
      <c r="D12" s="9">
        <v>1</v>
      </c>
      <c r="E12" s="9">
        <v>1740</v>
      </c>
      <c r="F12" s="9">
        <v>56</v>
      </c>
      <c r="G12" s="9">
        <f>2110000000/F12</f>
        <v>37678571.428571425</v>
      </c>
      <c r="H12" s="9">
        <v>2110</v>
      </c>
      <c r="I12" s="9">
        <f t="shared" ref="I12:L13" si="0">E12</f>
        <v>1740</v>
      </c>
      <c r="J12" s="9">
        <f t="shared" si="0"/>
        <v>56</v>
      </c>
      <c r="K12" s="9">
        <f t="shared" si="0"/>
        <v>37678571.428571425</v>
      </c>
      <c r="L12" s="10">
        <f t="shared" si="0"/>
        <v>2110</v>
      </c>
    </row>
    <row r="13" spans="1:14" ht="29.25" customHeight="1" thickBot="1">
      <c r="A13" s="11" t="s">
        <v>24</v>
      </c>
      <c r="B13" s="12" t="s">
        <v>18</v>
      </c>
      <c r="C13" s="13" t="s">
        <v>23</v>
      </c>
      <c r="D13" s="12">
        <v>1</v>
      </c>
      <c r="E13" s="12">
        <v>25</v>
      </c>
      <c r="F13" s="12">
        <v>12</v>
      </c>
      <c r="G13" s="12">
        <f>30000000/F13</f>
        <v>2500000</v>
      </c>
      <c r="H13" s="12">
        <v>30</v>
      </c>
      <c r="I13" s="9">
        <f t="shared" si="0"/>
        <v>25</v>
      </c>
      <c r="J13" s="9">
        <f t="shared" si="0"/>
        <v>12</v>
      </c>
      <c r="K13" s="9">
        <f t="shared" si="0"/>
        <v>2500000</v>
      </c>
      <c r="L13" s="10">
        <f t="shared" si="0"/>
        <v>30</v>
      </c>
    </row>
    <row r="14" spans="1:14" ht="29.25" customHeight="1" thickBot="1">
      <c r="A14" s="14" t="s">
        <v>25</v>
      </c>
      <c r="B14" s="15"/>
      <c r="C14" s="15"/>
      <c r="D14" s="15"/>
      <c r="E14" s="16">
        <f>SUM(E10:E13)</f>
        <v>8693</v>
      </c>
      <c r="F14" s="15"/>
      <c r="G14" s="15"/>
      <c r="H14" s="17">
        <f>SUM(H10:H13)</f>
        <v>8889.5941760000005</v>
      </c>
      <c r="I14" s="18">
        <f>SUM(I10:I13)</f>
        <v>11739.843269999999</v>
      </c>
      <c r="J14" s="15"/>
      <c r="K14" s="15"/>
      <c r="L14" s="16">
        <f>SUM(L10:L13)</f>
        <v>11577.356872</v>
      </c>
    </row>
    <row r="15" spans="1:14" s="19" customFormat="1" ht="29.25" customHeight="1"/>
    <row r="16" spans="1:14" ht="29.25" customHeight="1" thickBot="1">
      <c r="A16" s="44" t="s">
        <v>26</v>
      </c>
      <c r="B16" s="44"/>
      <c r="C16" s="44"/>
      <c r="D16" s="44"/>
      <c r="E16" s="44"/>
      <c r="F16" s="44"/>
      <c r="G16" s="44"/>
      <c r="H16" s="44"/>
      <c r="I16" s="44"/>
      <c r="J16" s="44"/>
    </row>
    <row r="17" spans="1:15" ht="29.25" customHeight="1">
      <c r="A17" s="45" t="s">
        <v>7</v>
      </c>
      <c r="B17" s="47" t="s">
        <v>8</v>
      </c>
      <c r="C17" s="47" t="s">
        <v>9</v>
      </c>
      <c r="D17" s="47" t="s">
        <v>10</v>
      </c>
      <c r="E17" s="47" t="s">
        <v>27</v>
      </c>
      <c r="F17" s="36" t="s">
        <v>28</v>
      </c>
      <c r="G17" s="36"/>
      <c r="H17" s="36"/>
      <c r="I17" s="36"/>
      <c r="J17" s="36" t="s">
        <v>29</v>
      </c>
      <c r="K17" s="36"/>
      <c r="L17" s="36" t="s">
        <v>30</v>
      </c>
      <c r="M17" s="36"/>
      <c r="N17" s="36"/>
      <c r="O17" s="37"/>
    </row>
    <row r="18" spans="1:15" ht="84" customHeight="1">
      <c r="A18" s="46"/>
      <c r="B18" s="48"/>
      <c r="C18" s="48"/>
      <c r="D18" s="48"/>
      <c r="E18" s="48"/>
      <c r="F18" s="6" t="s">
        <v>31</v>
      </c>
      <c r="G18" s="6" t="s">
        <v>32</v>
      </c>
      <c r="H18" s="6" t="s">
        <v>33</v>
      </c>
      <c r="I18" s="6" t="s">
        <v>34</v>
      </c>
      <c r="J18" s="6" t="s">
        <v>35</v>
      </c>
      <c r="K18" s="6" t="s">
        <v>32</v>
      </c>
      <c r="L18" s="6" t="s">
        <v>31</v>
      </c>
      <c r="M18" s="6" t="s">
        <v>32</v>
      </c>
      <c r="N18" s="6" t="s">
        <v>33</v>
      </c>
      <c r="O18" s="7" t="s">
        <v>34</v>
      </c>
    </row>
    <row r="19" spans="1:15" ht="29.25" customHeight="1">
      <c r="A19" s="11" t="s">
        <v>22</v>
      </c>
      <c r="B19" s="9" t="s">
        <v>21</v>
      </c>
      <c r="C19" s="9" t="s">
        <v>23</v>
      </c>
      <c r="D19" s="9">
        <v>141</v>
      </c>
      <c r="E19" s="9">
        <v>10435</v>
      </c>
      <c r="F19" s="20">
        <v>99.98</v>
      </c>
      <c r="G19" s="6">
        <v>324181</v>
      </c>
      <c r="H19" s="6">
        <v>70</v>
      </c>
      <c r="I19" s="6">
        <f>324251084394/1000000</f>
        <v>324251.084394</v>
      </c>
      <c r="J19" s="9">
        <f>F12</f>
        <v>56</v>
      </c>
      <c r="K19" s="9">
        <f>E12</f>
        <v>1740</v>
      </c>
      <c r="L19" s="21">
        <f>F19</f>
        <v>99.98</v>
      </c>
      <c r="M19" s="9">
        <f>G19-K19</f>
        <v>322441</v>
      </c>
      <c r="N19" s="9">
        <f>211776942/1000000</f>
        <v>211.77694199999999</v>
      </c>
      <c r="O19" s="22">
        <f>M19+N19+K19</f>
        <v>324392.77694200003</v>
      </c>
    </row>
    <row r="20" spans="1:15" ht="29.25" customHeight="1">
      <c r="A20" s="11" t="s">
        <v>20</v>
      </c>
      <c r="B20" s="9" t="s">
        <v>21</v>
      </c>
      <c r="C20" s="9" t="s">
        <v>36</v>
      </c>
      <c r="D20" s="9">
        <v>56</v>
      </c>
      <c r="E20" s="9">
        <v>5118</v>
      </c>
      <c r="F20" s="20">
        <v>76.98</v>
      </c>
      <c r="G20" s="6">
        <v>84277</v>
      </c>
      <c r="H20" s="6">
        <v>23023</v>
      </c>
      <c r="I20" s="6">
        <f>107300000000/1000000</f>
        <v>107300</v>
      </c>
      <c r="J20" s="9">
        <f>F11</f>
        <v>243</v>
      </c>
      <c r="K20" s="9">
        <f>E11</f>
        <v>5592</v>
      </c>
      <c r="L20" s="21">
        <f>F20+0.44</f>
        <v>77.42</v>
      </c>
      <c r="M20" s="9">
        <f t="shared" ref="M20:M33" si="1">G20-K20</f>
        <v>78685</v>
      </c>
      <c r="N20" s="9">
        <f>22103255076/1000000</f>
        <v>22103.255076000001</v>
      </c>
      <c r="O20" s="22">
        <f t="shared" ref="O20:O33" si="2">M20+N20+K20</f>
        <v>106380.255076</v>
      </c>
    </row>
    <row r="21" spans="1:15" ht="29.25" customHeight="1">
      <c r="A21" s="11" t="s">
        <v>37</v>
      </c>
      <c r="B21" s="9" t="s">
        <v>21</v>
      </c>
      <c r="C21" s="9" t="s">
        <v>38</v>
      </c>
      <c r="D21" s="9">
        <v>26</v>
      </c>
      <c r="E21" s="9">
        <v>859</v>
      </c>
      <c r="F21" s="20">
        <v>99.13</v>
      </c>
      <c r="G21" s="6">
        <v>46184</v>
      </c>
      <c r="H21" s="6">
        <v>816</v>
      </c>
      <c r="I21" s="6">
        <v>47000</v>
      </c>
      <c r="J21" s="9">
        <v>0</v>
      </c>
      <c r="K21" s="9">
        <v>0</v>
      </c>
      <c r="L21" s="21">
        <f>F21+0.57</f>
        <v>99.699999999999989</v>
      </c>
      <c r="M21" s="9">
        <f t="shared" si="1"/>
        <v>46184</v>
      </c>
      <c r="N21" s="9">
        <f>266936409/1000000</f>
        <v>266.93640900000003</v>
      </c>
      <c r="O21" s="22">
        <f t="shared" si="2"/>
        <v>46450.936409000002</v>
      </c>
    </row>
    <row r="22" spans="1:15" s="24" customFormat="1" ht="29.25" customHeight="1">
      <c r="A22" s="11" t="s">
        <v>17</v>
      </c>
      <c r="B22" s="23" t="s">
        <v>18</v>
      </c>
      <c r="C22" s="23" t="s">
        <v>39</v>
      </c>
      <c r="D22" s="23">
        <v>64</v>
      </c>
      <c r="E22" s="23">
        <v>5334</v>
      </c>
      <c r="F22" s="20">
        <v>97.8</v>
      </c>
      <c r="G22" s="6">
        <v>98410</v>
      </c>
      <c r="H22" s="6">
        <v>590</v>
      </c>
      <c r="I22" s="6">
        <f>99000000000/1000000</f>
        <v>99000</v>
      </c>
      <c r="J22" s="23">
        <f>F10</f>
        <v>72</v>
      </c>
      <c r="K22" s="23">
        <f>E10</f>
        <v>1336</v>
      </c>
      <c r="L22" s="21">
        <f>F22+1.04</f>
        <v>98.84</v>
      </c>
      <c r="M22" s="9">
        <f t="shared" si="1"/>
        <v>97074</v>
      </c>
      <c r="N22" s="23">
        <f>H22</f>
        <v>590</v>
      </c>
      <c r="O22" s="22">
        <f t="shared" si="2"/>
        <v>99000</v>
      </c>
    </row>
    <row r="23" spans="1:15" s="25" customFormat="1" ht="29.25" customHeight="1">
      <c r="A23" s="11" t="s">
        <v>40</v>
      </c>
      <c r="B23" s="13" t="s">
        <v>41</v>
      </c>
      <c r="C23" s="13" t="s">
        <v>39</v>
      </c>
      <c r="D23" s="13">
        <v>26</v>
      </c>
      <c r="E23" s="13">
        <v>3787</v>
      </c>
      <c r="F23" s="20">
        <v>57.5</v>
      </c>
      <c r="G23" s="6">
        <v>32741</v>
      </c>
      <c r="H23" s="20">
        <v>0</v>
      </c>
      <c r="I23" s="6">
        <f>G23+H23</f>
        <v>32741</v>
      </c>
      <c r="J23" s="13">
        <v>0</v>
      </c>
      <c r="K23" s="13">
        <v>0</v>
      </c>
      <c r="L23" s="21">
        <f t="shared" ref="L23:L32" si="3">F23</f>
        <v>57.5</v>
      </c>
      <c r="M23" s="9">
        <f t="shared" si="1"/>
        <v>32741</v>
      </c>
      <c r="N23" s="13">
        <v>0</v>
      </c>
      <c r="O23" s="22">
        <f t="shared" si="2"/>
        <v>32741</v>
      </c>
    </row>
    <row r="24" spans="1:15" s="25" customFormat="1" ht="29.25" customHeight="1">
      <c r="A24" s="11" t="s">
        <v>42</v>
      </c>
      <c r="B24" s="13" t="s">
        <v>41</v>
      </c>
      <c r="C24" s="13" t="s">
        <v>39</v>
      </c>
      <c r="D24" s="13">
        <v>13</v>
      </c>
      <c r="E24" s="13">
        <v>1803</v>
      </c>
      <c r="F24" s="20">
        <v>100</v>
      </c>
      <c r="G24" s="6">
        <v>60068</v>
      </c>
      <c r="H24" s="20">
        <v>0</v>
      </c>
      <c r="I24" s="6">
        <f t="shared" ref="I24:I27" si="4">G24+H24</f>
        <v>60068</v>
      </c>
      <c r="J24" s="13">
        <v>0</v>
      </c>
      <c r="K24" s="13">
        <v>0</v>
      </c>
      <c r="L24" s="21">
        <f t="shared" si="3"/>
        <v>100</v>
      </c>
      <c r="M24" s="9">
        <f t="shared" si="1"/>
        <v>60068</v>
      </c>
      <c r="N24" s="13">
        <v>0</v>
      </c>
      <c r="O24" s="22">
        <f t="shared" si="2"/>
        <v>60068</v>
      </c>
    </row>
    <row r="25" spans="1:15" s="25" customFormat="1" ht="29.25" customHeight="1">
      <c r="A25" s="11" t="s">
        <v>43</v>
      </c>
      <c r="B25" s="13" t="s">
        <v>41</v>
      </c>
      <c r="C25" s="13" t="s">
        <v>38</v>
      </c>
      <c r="D25" s="13">
        <v>1</v>
      </c>
      <c r="E25" s="13">
        <v>32</v>
      </c>
      <c r="F25" s="20">
        <v>100</v>
      </c>
      <c r="G25" s="6">
        <v>8415</v>
      </c>
      <c r="H25" s="20">
        <v>0</v>
      </c>
      <c r="I25" s="6">
        <f t="shared" si="4"/>
        <v>8415</v>
      </c>
      <c r="J25" s="13">
        <v>0</v>
      </c>
      <c r="K25" s="13">
        <v>0</v>
      </c>
      <c r="L25" s="21">
        <f t="shared" si="3"/>
        <v>100</v>
      </c>
      <c r="M25" s="9">
        <f t="shared" si="1"/>
        <v>8415</v>
      </c>
      <c r="N25" s="13">
        <v>0</v>
      </c>
      <c r="O25" s="22">
        <f t="shared" si="2"/>
        <v>8415</v>
      </c>
    </row>
    <row r="26" spans="1:15" s="25" customFormat="1" ht="29.25" customHeight="1">
      <c r="A26" s="11" t="s">
        <v>24</v>
      </c>
      <c r="B26" s="13" t="s">
        <v>18</v>
      </c>
      <c r="C26" s="13" t="s">
        <v>23</v>
      </c>
      <c r="D26" s="13">
        <v>61</v>
      </c>
      <c r="E26" s="13">
        <v>996</v>
      </c>
      <c r="F26" s="20">
        <v>100</v>
      </c>
      <c r="G26" s="6">
        <v>2059</v>
      </c>
      <c r="H26" s="20">
        <v>0</v>
      </c>
      <c r="I26" s="6">
        <f t="shared" si="4"/>
        <v>2059</v>
      </c>
      <c r="J26" s="13">
        <f>F13</f>
        <v>12</v>
      </c>
      <c r="K26" s="13">
        <f>E13</f>
        <v>25</v>
      </c>
      <c r="L26" s="21">
        <f t="shared" si="3"/>
        <v>100</v>
      </c>
      <c r="M26" s="9">
        <f t="shared" si="1"/>
        <v>2034</v>
      </c>
      <c r="N26" s="13">
        <v>0</v>
      </c>
      <c r="O26" s="22">
        <f t="shared" si="2"/>
        <v>2059</v>
      </c>
    </row>
    <row r="27" spans="1:15" s="25" customFormat="1" ht="29.25" customHeight="1">
      <c r="A27" s="11" t="s">
        <v>44</v>
      </c>
      <c r="B27" s="13" t="s">
        <v>41</v>
      </c>
      <c r="C27" s="13" t="s">
        <v>23</v>
      </c>
      <c r="D27" s="13">
        <v>1</v>
      </c>
      <c r="E27" s="13">
        <v>1683</v>
      </c>
      <c r="F27" s="20">
        <v>100</v>
      </c>
      <c r="G27" s="6">
        <v>18465</v>
      </c>
      <c r="H27" s="20">
        <v>0</v>
      </c>
      <c r="I27" s="6">
        <f t="shared" si="4"/>
        <v>18465</v>
      </c>
      <c r="J27" s="13">
        <v>0</v>
      </c>
      <c r="K27" s="13">
        <v>0</v>
      </c>
      <c r="L27" s="21">
        <f t="shared" si="3"/>
        <v>100</v>
      </c>
      <c r="M27" s="9">
        <f t="shared" si="1"/>
        <v>18465</v>
      </c>
      <c r="N27" s="13">
        <v>0</v>
      </c>
      <c r="O27" s="22">
        <f t="shared" si="2"/>
        <v>18465</v>
      </c>
    </row>
    <row r="28" spans="1:15" ht="29.25" customHeight="1">
      <c r="A28" s="11" t="s">
        <v>45</v>
      </c>
      <c r="B28" s="9" t="s">
        <v>18</v>
      </c>
      <c r="C28" s="9" t="s">
        <v>46</v>
      </c>
      <c r="D28" s="9">
        <v>47</v>
      </c>
      <c r="E28" s="9">
        <v>3761</v>
      </c>
      <c r="F28" s="20">
        <f>43.39-0</f>
        <v>43.39</v>
      </c>
      <c r="G28" s="6">
        <v>33897</v>
      </c>
      <c r="H28" s="6">
        <v>76300</v>
      </c>
      <c r="I28" s="6">
        <f>110197260040/1000000</f>
        <v>110197.26003999999</v>
      </c>
      <c r="J28" s="9">
        <v>0</v>
      </c>
      <c r="K28" s="9">
        <v>0</v>
      </c>
      <c r="L28" s="21">
        <f t="shared" si="3"/>
        <v>43.39</v>
      </c>
      <c r="M28" s="9">
        <f t="shared" si="1"/>
        <v>33897</v>
      </c>
      <c r="N28" s="9">
        <f>76703329291/1000000</f>
        <v>76703.329291000002</v>
      </c>
      <c r="O28" s="22">
        <f t="shared" si="2"/>
        <v>110600.329291</v>
      </c>
    </row>
    <row r="29" spans="1:15" ht="29.25" customHeight="1">
      <c r="A29" s="11" t="s">
        <v>47</v>
      </c>
      <c r="B29" s="9" t="s">
        <v>18</v>
      </c>
      <c r="C29" s="9" t="s">
        <v>39</v>
      </c>
      <c r="D29" s="9">
        <v>300</v>
      </c>
      <c r="E29" s="9">
        <v>23770</v>
      </c>
      <c r="F29" s="20">
        <v>98.62</v>
      </c>
      <c r="G29" s="6">
        <f>388695299725/1000000</f>
        <v>388695.29972499999</v>
      </c>
      <c r="H29" s="6">
        <f>733091530/1000000</f>
        <v>733.09153000000003</v>
      </c>
      <c r="I29" s="6">
        <f>389428391255/1000000</f>
        <v>389428.39125500002</v>
      </c>
      <c r="J29" s="9">
        <v>0</v>
      </c>
      <c r="K29" s="9">
        <v>0</v>
      </c>
      <c r="L29" s="21">
        <f>F29+0.48+0.17</f>
        <v>99.27000000000001</v>
      </c>
      <c r="M29" s="9">
        <f t="shared" si="1"/>
        <v>388695.29972499999</v>
      </c>
      <c r="N29" s="9">
        <f>733091530/1000000</f>
        <v>733.09153000000003</v>
      </c>
      <c r="O29" s="22">
        <f t="shared" si="2"/>
        <v>389428.39125499997</v>
      </c>
    </row>
    <row r="30" spans="1:15" ht="29.25" customHeight="1">
      <c r="A30" s="11" t="s">
        <v>48</v>
      </c>
      <c r="B30" s="9" t="s">
        <v>18</v>
      </c>
      <c r="C30" s="9" t="s">
        <v>49</v>
      </c>
      <c r="D30" s="9">
        <v>24</v>
      </c>
      <c r="E30" s="9">
        <v>1553</v>
      </c>
      <c r="F30" s="20">
        <v>100</v>
      </c>
      <c r="G30" s="6">
        <f>39391115693/1000000</f>
        <v>39391.115693</v>
      </c>
      <c r="H30" s="6">
        <f>34155451/1000000</f>
        <v>34.155450999999999</v>
      </c>
      <c r="I30" s="6">
        <f>39425271144/1000000</f>
        <v>39425.271143999998</v>
      </c>
      <c r="J30" s="9">
        <v>0</v>
      </c>
      <c r="K30" s="9">
        <v>0</v>
      </c>
      <c r="L30" s="21">
        <f t="shared" si="3"/>
        <v>100</v>
      </c>
      <c r="M30" s="9">
        <f t="shared" si="1"/>
        <v>39391.115693</v>
      </c>
      <c r="N30" s="9">
        <f>34155451/1000000</f>
        <v>34.155450999999999</v>
      </c>
      <c r="O30" s="22">
        <f t="shared" si="2"/>
        <v>39425.271143999998</v>
      </c>
    </row>
    <row r="31" spans="1:15" ht="29.25" customHeight="1">
      <c r="A31" s="11" t="s">
        <v>50</v>
      </c>
      <c r="B31" s="9" t="s">
        <v>41</v>
      </c>
      <c r="C31" s="9" t="s">
        <v>39</v>
      </c>
      <c r="D31" s="9">
        <v>124</v>
      </c>
      <c r="E31" s="9">
        <v>15864</v>
      </c>
      <c r="F31" s="20">
        <v>38.65</v>
      </c>
      <c r="G31" s="6">
        <v>126693</v>
      </c>
      <c r="H31" s="6">
        <v>133145</v>
      </c>
      <c r="I31" s="6">
        <f>259838432000/1000000</f>
        <v>259838.432</v>
      </c>
      <c r="J31" s="9">
        <v>0</v>
      </c>
      <c r="K31" s="9">
        <v>0</v>
      </c>
      <c r="L31" s="21">
        <f>F31+0.93</f>
        <v>39.58</v>
      </c>
      <c r="M31" s="9">
        <f t="shared" si="1"/>
        <v>126693</v>
      </c>
      <c r="N31" s="9">
        <f>136351264672/1000000</f>
        <v>136351.26467199999</v>
      </c>
      <c r="O31" s="22">
        <f t="shared" si="2"/>
        <v>263044.26467199996</v>
      </c>
    </row>
    <row r="32" spans="1:15" ht="29.25" customHeight="1">
      <c r="A32" s="11" t="s">
        <v>51</v>
      </c>
      <c r="B32" s="9" t="s">
        <v>21</v>
      </c>
      <c r="C32" s="9" t="s">
        <v>52</v>
      </c>
      <c r="D32" s="9">
        <v>127</v>
      </c>
      <c r="E32" s="9">
        <v>14183</v>
      </c>
      <c r="F32" s="20">
        <v>1</v>
      </c>
      <c r="G32" s="6">
        <v>5871</v>
      </c>
      <c r="H32" s="6">
        <v>616754</v>
      </c>
      <c r="I32" s="6">
        <f>622625000000/1000000</f>
        <v>622625</v>
      </c>
      <c r="J32" s="9">
        <v>0</v>
      </c>
      <c r="K32" s="9">
        <v>0</v>
      </c>
      <c r="L32" s="21">
        <f t="shared" si="3"/>
        <v>1</v>
      </c>
      <c r="M32" s="9">
        <f t="shared" si="1"/>
        <v>5871</v>
      </c>
      <c r="N32" s="9">
        <f>616868215245/1000000</f>
        <v>616868.21524499997</v>
      </c>
      <c r="O32" s="22">
        <f t="shared" si="2"/>
        <v>622739.21524499997</v>
      </c>
    </row>
    <row r="33" spans="1:15" ht="29.25" customHeight="1" thickBot="1">
      <c r="A33" s="26" t="s">
        <v>53</v>
      </c>
      <c r="B33" s="12" t="s">
        <v>41</v>
      </c>
      <c r="C33" s="12" t="s">
        <v>52</v>
      </c>
      <c r="D33" s="12">
        <v>82</v>
      </c>
      <c r="E33" s="12">
        <v>5094</v>
      </c>
      <c r="F33" s="27">
        <v>22.38</v>
      </c>
      <c r="G33" s="28">
        <f>95038032560/1000000</f>
        <v>95038.032560000007</v>
      </c>
      <c r="H33" s="28">
        <f>126533967440/1000000</f>
        <v>126533.96743999999</v>
      </c>
      <c r="I33" s="28">
        <f>221572000000/1000000</f>
        <v>221572</v>
      </c>
      <c r="J33" s="12">
        <v>0</v>
      </c>
      <c r="K33" s="12">
        <v>0</v>
      </c>
      <c r="L33" s="29">
        <f>F33+0.22</f>
        <v>22.599999999999998</v>
      </c>
      <c r="M33" s="12">
        <f t="shared" si="1"/>
        <v>95038.032560000007</v>
      </c>
      <c r="N33" s="12">
        <f>126533967440/1000000</f>
        <v>126533.96743999999</v>
      </c>
      <c r="O33" s="30">
        <f t="shared" si="2"/>
        <v>221572</v>
      </c>
    </row>
    <row r="34" spans="1:15" ht="29.25" customHeight="1" thickBot="1">
      <c r="A34" s="14" t="s">
        <v>25</v>
      </c>
      <c r="B34" s="15"/>
      <c r="C34" s="15"/>
      <c r="D34" s="15"/>
      <c r="E34" s="15"/>
      <c r="F34" s="15"/>
      <c r="G34" s="17">
        <f>SUM(G19:G33)</f>
        <v>1364385.4479779999</v>
      </c>
      <c r="H34" s="17">
        <f t="shared" ref="H34:K34" si="5">SUM(H19:H33)</f>
        <v>977999.2144210001</v>
      </c>
      <c r="I34" s="17">
        <f t="shared" si="5"/>
        <v>2342385.4388330001</v>
      </c>
      <c r="J34" s="17">
        <f>SUM(J19:J33)</f>
        <v>383</v>
      </c>
      <c r="K34" s="17">
        <f t="shared" si="5"/>
        <v>8693</v>
      </c>
      <c r="L34" s="15"/>
      <c r="M34" s="17">
        <f>SUM(M19:M33)</f>
        <v>1355692.4479779999</v>
      </c>
      <c r="N34" s="17">
        <f t="shared" ref="N34:O34" si="6">SUM(N19:N33)</f>
        <v>980395.99205600005</v>
      </c>
      <c r="O34" s="17">
        <f t="shared" si="6"/>
        <v>2344781.4400340002</v>
      </c>
    </row>
    <row r="36" spans="1:15" s="2" customFormat="1" ht="29.25" customHeight="1" thickBot="1">
      <c r="A36" s="31" t="s">
        <v>54</v>
      </c>
      <c r="B36" s="31"/>
      <c r="C36" s="31"/>
      <c r="D36" s="32"/>
      <c r="E36" s="33"/>
      <c r="F36" s="34"/>
      <c r="G36" s="34"/>
      <c r="H36" s="1"/>
      <c r="I36" s="1"/>
      <c r="J36" s="1"/>
      <c r="K36" s="1"/>
      <c r="L36" s="1"/>
      <c r="M36" s="1"/>
      <c r="N36" s="1"/>
    </row>
    <row r="37" spans="1:15" s="2" customFormat="1" ht="29.25" customHeight="1">
      <c r="A37" s="38" t="s">
        <v>55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</row>
    <row r="38" spans="1:15" s="2" customFormat="1" ht="29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5" s="2" customFormat="1" ht="29.25" customHeight="1" thickBot="1">
      <c r="A39" s="40" t="s">
        <v>56</v>
      </c>
      <c r="B39" s="40"/>
      <c r="C39" s="40"/>
      <c r="D39" s="40"/>
      <c r="E39" s="40"/>
      <c r="F39" s="35"/>
      <c r="G39" s="35"/>
      <c r="H39" s="1"/>
      <c r="I39" s="1"/>
      <c r="J39" s="1"/>
      <c r="K39" s="1"/>
      <c r="L39" s="1"/>
      <c r="M39" s="1"/>
      <c r="N39" s="1"/>
    </row>
    <row r="40" spans="1:15" s="2" customFormat="1" ht="29.25" customHeight="1" thickBot="1">
      <c r="A40" s="41"/>
      <c r="B40" s="42"/>
      <c r="C40" s="42"/>
      <c r="D40" s="42"/>
      <c r="E40" s="42"/>
      <c r="F40" s="43"/>
      <c r="G40" s="1"/>
      <c r="H40" s="1"/>
      <c r="I40" s="1"/>
      <c r="J40" s="1"/>
      <c r="K40" s="1"/>
      <c r="L40" s="1"/>
      <c r="M40" s="1"/>
      <c r="N40" s="1"/>
    </row>
  </sheetData>
  <mergeCells count="27">
    <mergeCell ref="A1:G1"/>
    <mergeCell ref="H1:M1"/>
    <mergeCell ref="A2:G2"/>
    <mergeCell ref="H2:M2"/>
    <mergeCell ref="A3:G3"/>
    <mergeCell ref="H3:M3"/>
    <mergeCell ref="A4:G4"/>
    <mergeCell ref="H4:M4"/>
    <mergeCell ref="A7:J7"/>
    <mergeCell ref="A8:A9"/>
    <mergeCell ref="B8:B9"/>
    <mergeCell ref="C8:C9"/>
    <mergeCell ref="D8:D9"/>
    <mergeCell ref="E8:H8"/>
    <mergeCell ref="I8:L8"/>
    <mergeCell ref="L17:O17"/>
    <mergeCell ref="A37:O37"/>
    <mergeCell ref="A39:E39"/>
    <mergeCell ref="A40:F40"/>
    <mergeCell ref="A16:J16"/>
    <mergeCell ref="A17:A18"/>
    <mergeCell ref="B17:B18"/>
    <mergeCell ref="C17:C18"/>
    <mergeCell ref="D17:D18"/>
    <mergeCell ref="E17:E18"/>
    <mergeCell ref="F17:I17"/>
    <mergeCell ref="J17:K17"/>
  </mergeCells>
  <pageMargins left="0" right="0" top="0" bottom="0" header="0" footer="0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</vt:lpstr>
    </vt:vector>
  </TitlesOfParts>
  <Company>maskan.co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hasanzadeh</dc:creator>
  <cp:lastModifiedBy>hasanzadeh</cp:lastModifiedBy>
  <dcterms:created xsi:type="dcterms:W3CDTF">2016-12-19T05:55:08Z</dcterms:created>
  <dcterms:modified xsi:type="dcterms:W3CDTF">2016-12-22T09:37:08Z</dcterms:modified>
</cp:coreProperties>
</file>