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0775" windowHeight="9690"/>
  </bookViews>
  <sheets>
    <sheet name="بهمن" sheetId="1" r:id="rId1"/>
  </sheets>
  <externalReferences>
    <externalReference r:id="rId2"/>
  </externalReferences>
  <definedNames>
    <definedName name="_xlnm.Print_Area" localSheetId="0">بهمن!$A$1:$O$44</definedName>
  </definedNames>
  <calcPr calcId="124519" iterate="1"/>
</workbook>
</file>

<file path=xl/calcChain.xml><?xml version="1.0" encoding="utf-8"?>
<calcChain xmlns="http://schemas.openxmlformats.org/spreadsheetml/2006/main">
  <c r="O39" i="1"/>
  <c r="M39"/>
  <c r="G39"/>
  <c r="H39" s="1"/>
  <c r="O38"/>
  <c r="M38"/>
  <c r="G38"/>
  <c r="H38" s="1"/>
  <c r="O37"/>
  <c r="N37" s="1"/>
  <c r="M37"/>
  <c r="G37"/>
  <c r="H37" s="1"/>
  <c r="O36"/>
  <c r="N36" s="1"/>
  <c r="J36"/>
  <c r="G36"/>
  <c r="H36" s="1"/>
  <c r="M35"/>
  <c r="L35"/>
  <c r="I35"/>
  <c r="O35" s="1"/>
  <c r="N35" s="1"/>
  <c r="G35"/>
  <c r="M34"/>
  <c r="L34"/>
  <c r="I34"/>
  <c r="O34" s="1"/>
  <c r="N34" s="1"/>
  <c r="G34"/>
  <c r="M33"/>
  <c r="L33"/>
  <c r="I33"/>
  <c r="O33" s="1"/>
  <c r="N33" s="1"/>
  <c r="G33"/>
  <c r="O32"/>
  <c r="N32" s="1"/>
  <c r="M32"/>
  <c r="L32"/>
  <c r="G32"/>
  <c r="H32" s="1"/>
  <c r="O31"/>
  <c r="N31" s="1"/>
  <c r="L31"/>
  <c r="K31"/>
  <c r="J31"/>
  <c r="G31"/>
  <c r="H31" s="1"/>
  <c r="M30"/>
  <c r="I30"/>
  <c r="O30" s="1"/>
  <c r="N30" s="1"/>
  <c r="G30"/>
  <c r="F30"/>
  <c r="L30" s="1"/>
  <c r="M29"/>
  <c r="L29"/>
  <c r="G29"/>
  <c r="O28"/>
  <c r="N28" s="1"/>
  <c r="M28"/>
  <c r="L28"/>
  <c r="G28"/>
  <c r="H28" s="1"/>
  <c r="O27"/>
  <c r="N27" s="1"/>
  <c r="M27"/>
  <c r="L27"/>
  <c r="G27"/>
  <c r="H27" s="1"/>
  <c r="M26"/>
  <c r="L26"/>
  <c r="G26"/>
  <c r="O25"/>
  <c r="L25"/>
  <c r="K25"/>
  <c r="M25" s="1"/>
  <c r="J25"/>
  <c r="G25"/>
  <c r="H25" s="1"/>
  <c r="O24"/>
  <c r="L24"/>
  <c r="K24"/>
  <c r="J24"/>
  <c r="J40" s="1"/>
  <c r="G24"/>
  <c r="H24" s="1"/>
  <c r="O23"/>
  <c r="N23" s="1"/>
  <c r="M23"/>
  <c r="L23"/>
  <c r="G23"/>
  <c r="H23" s="1"/>
  <c r="M22"/>
  <c r="L22"/>
  <c r="I22"/>
  <c r="H22" s="1"/>
  <c r="G22"/>
  <c r="O21"/>
  <c r="N21" s="1"/>
  <c r="M21"/>
  <c r="L21"/>
  <c r="G21"/>
  <c r="H16"/>
  <c r="E16"/>
  <c r="L9"/>
  <c r="L16" s="1"/>
  <c r="K9"/>
  <c r="J9"/>
  <c r="I9"/>
  <c r="I16" s="1"/>
  <c r="N39" l="1"/>
  <c r="N25"/>
  <c r="N38"/>
  <c r="G40"/>
  <c r="K40"/>
  <c r="H21"/>
  <c r="H34"/>
  <c r="H30"/>
  <c r="H35"/>
  <c r="H33"/>
  <c r="O22"/>
  <c r="N22" s="1"/>
  <c r="M24"/>
  <c r="N24" s="1"/>
  <c r="M40" l="1"/>
  <c r="H26"/>
  <c r="I26"/>
  <c r="N26"/>
  <c r="O26"/>
  <c r="H29"/>
  <c r="I29"/>
  <c r="N29"/>
  <c r="O29"/>
  <c r="H40"/>
  <c r="I40"/>
  <c r="N40"/>
  <c r="O40"/>
</calcChain>
</file>

<file path=xl/sharedStrings.xml><?xml version="1.0" encoding="utf-8"?>
<sst xmlns="http://schemas.openxmlformats.org/spreadsheetml/2006/main" count="118" uniqueCount="66">
  <si>
    <t>شرکت: سرمایه گذاری مسکن شمالغرب (سهامی عام)</t>
  </si>
  <si>
    <t>سرمایه ثبت شده: 900.000.000.000</t>
  </si>
  <si>
    <t>سرمایه ثبت نشده: 0</t>
  </si>
  <si>
    <t>گزارش فعالیت ماهانه دوره منتهی به 1395/11/30</t>
  </si>
  <si>
    <t>سال مالی منتهی به 1396/06/31</t>
  </si>
  <si>
    <t>پروژه های واگذار شده :</t>
  </si>
  <si>
    <t>نام پروژه</t>
  </si>
  <si>
    <t>محل پروژه</t>
  </si>
  <si>
    <t>کاربری</t>
  </si>
  <si>
    <t>واحد</t>
  </si>
  <si>
    <t>ماه بهمن</t>
  </si>
  <si>
    <t>از ابتدای سال مالی تا پایان ماه بهمن ماه</t>
  </si>
  <si>
    <t>بهای تمام شده (میلیون ریال)</t>
  </si>
  <si>
    <t>متراژ فروش</t>
  </si>
  <si>
    <t>نرخ فروش (ریال)</t>
  </si>
  <si>
    <t>مبلغ فروش (میلیون ریال)</t>
  </si>
  <si>
    <t>فاز 4 گلشهر</t>
  </si>
  <si>
    <t>زنجان</t>
  </si>
  <si>
    <t xml:space="preserve">مسکونی </t>
  </si>
  <si>
    <t>مروارید اردبیل</t>
  </si>
  <si>
    <t>اردبیل</t>
  </si>
  <si>
    <t>پزشکان اردبیل</t>
  </si>
  <si>
    <t>خدماتی</t>
  </si>
  <si>
    <t>پارکینگهای گلشهر و آفتاب زنجان</t>
  </si>
  <si>
    <t>پونک</t>
  </si>
  <si>
    <t>زمین قبادیان</t>
  </si>
  <si>
    <t>تهران</t>
  </si>
  <si>
    <t>مسکونی ستاره رشدیه</t>
  </si>
  <si>
    <t>تبریز</t>
  </si>
  <si>
    <t>جمع</t>
  </si>
  <si>
    <t>آمار وضعیت تکمیل پروژه ها :</t>
  </si>
  <si>
    <t>متراژ پروژه</t>
  </si>
  <si>
    <t>وضعیت در پایان ماه گذشته (دی)</t>
  </si>
  <si>
    <t>پروژه های فروش رفته در طی ماه بهمن</t>
  </si>
  <si>
    <t>درصد پیشرفت فیزیکی</t>
  </si>
  <si>
    <t>برآورد هزینه های تکمیل پروژه (میلیون ریال)</t>
  </si>
  <si>
    <t>مبلغ بهای تمام شده برآوردی (میلیون ریال)</t>
  </si>
  <si>
    <t xml:space="preserve">متراژ </t>
  </si>
  <si>
    <t>مبلغ بهای تمام شده (میلیون ریال)</t>
  </si>
  <si>
    <t xml:space="preserve">تجاری و مسکونی </t>
  </si>
  <si>
    <t>مهدیه اردبیل</t>
  </si>
  <si>
    <t>تجاری و خدماتی</t>
  </si>
  <si>
    <t>مسکونی</t>
  </si>
  <si>
    <t xml:space="preserve">مسکونی ستاره رشدیه - مشارکتی </t>
  </si>
  <si>
    <t>مسکونی افرا 2</t>
  </si>
  <si>
    <t>تجاری و خدماتی ایپک</t>
  </si>
  <si>
    <t xml:space="preserve">ساختمان آموزشی </t>
  </si>
  <si>
    <t>فاز5 گلشهر زنجان ( پزشکان زنجان)</t>
  </si>
  <si>
    <t>تجاری خدماتی</t>
  </si>
  <si>
    <t>تجاری و اداری گلشهر</t>
  </si>
  <si>
    <t xml:space="preserve">تجاری و اداری </t>
  </si>
  <si>
    <t>خاوران</t>
  </si>
  <si>
    <t>دکوسنتر اردبیل</t>
  </si>
  <si>
    <t>تجاری</t>
  </si>
  <si>
    <t>ایپک سهند</t>
  </si>
  <si>
    <t>زمین گاوازنگی</t>
  </si>
  <si>
    <t>پروزه پیمانکاری مسکونی نرگس رشدیه</t>
  </si>
  <si>
    <t>پروژه مباشرتی سپیدار ارومیه</t>
  </si>
  <si>
    <t>ارومیه</t>
  </si>
  <si>
    <t>کادر توضیحی مربوط به اطلاعات دوره 1 ماهه منتهی به ........</t>
  </si>
  <si>
    <t>مبلغ بهای تمام شده برآوردی اکثر پروژه های در جریان به تاریخ 1395/09/30 به روز شده است بنابراین با بودجه  حسابرسی شده سال مالی 96 دارای مغایراتی خواهد بود.</t>
  </si>
  <si>
    <t>کادر توضیحی مربوط اطلاعات تجمعی از ابتدای سال تا پایان مورخ ........</t>
  </si>
  <si>
    <t>نماد: ثغرب</t>
  </si>
  <si>
    <t xml:space="preserve">کد صنعت: ......... </t>
  </si>
  <si>
    <t>وضعیت ناشر: پذیرفته در فرابورس</t>
  </si>
  <si>
    <t>مخارج انجام شده تا پایان دیماه (میلیون ریال)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</si>
</sst>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name val="B Mitra"/>
      <charset val="178"/>
    </font>
    <font>
      <b/>
      <sz val="14"/>
      <name val="B Mitra"/>
      <charset val="178"/>
    </font>
    <font>
      <b/>
      <sz val="16"/>
      <color theme="1"/>
      <name val="B Mitra"/>
      <charset val="178"/>
    </font>
    <font>
      <b/>
      <sz val="16"/>
      <color theme="1"/>
      <name val="Calibri"/>
      <family val="2"/>
      <scheme val="minor"/>
    </font>
    <font>
      <b/>
      <sz val="16"/>
      <name val="B Titr"/>
      <charset val="178"/>
    </font>
    <font>
      <b/>
      <sz val="16"/>
      <name val="Calibri"/>
      <family val="2"/>
      <scheme val="minor"/>
    </font>
    <font>
      <b/>
      <i/>
      <sz val="10"/>
      <color theme="1"/>
      <name val="B Mitra"/>
      <charset val="178"/>
    </font>
    <font>
      <b/>
      <sz val="10"/>
      <color theme="1"/>
      <name val="B Mitra"/>
      <charset val="178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3" fontId="1" fillId="0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center" vertical="center"/>
    </xf>
    <xf numFmtId="3" fontId="4" fillId="0" borderId="0" xfId="0" applyNumberFormat="1" applyFont="1"/>
    <xf numFmtId="3" fontId="1" fillId="0" borderId="0" xfId="0" applyNumberFormat="1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3" fontId="6" fillId="0" borderId="0" xfId="0" applyNumberFormat="1" applyFont="1"/>
    <xf numFmtId="3" fontId="1" fillId="0" borderId="2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/>
    <xf numFmtId="3" fontId="1" fillId="0" borderId="5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9" xfId="0" applyNumberFormat="1" applyFont="1" applyFill="1" applyBorder="1" applyAlignment="1">
      <alignment horizontal="center" vertical="center" wrapText="1"/>
    </xf>
    <xf numFmtId="3" fontId="1" fillId="0" borderId="1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center" vertical="center" wrapText="1"/>
    </xf>
    <xf numFmtId="3" fontId="1" fillId="0" borderId="12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6" fillId="3" borderId="0" xfId="0" applyNumberFormat="1" applyFont="1" applyFill="1"/>
    <xf numFmtId="3" fontId="6" fillId="4" borderId="0" xfId="0" applyNumberFormat="1" applyFont="1" applyFill="1"/>
    <xf numFmtId="3" fontId="1" fillId="0" borderId="13" xfId="0" applyNumberFormat="1" applyFont="1" applyFill="1" applyBorder="1" applyAlignment="1">
      <alignment horizontal="center" vertical="center" wrapText="1"/>
    </xf>
    <xf numFmtId="3" fontId="1" fillId="2" borderId="14" xfId="0" applyNumberFormat="1" applyFont="1" applyFill="1" applyBorder="1" applyAlignment="1">
      <alignment horizontal="center" vertical="center" wrapText="1"/>
    </xf>
    <xf numFmtId="4" fontId="1" fillId="0" borderId="14" xfId="0" applyNumberFormat="1" applyFont="1" applyFill="1" applyBorder="1" applyAlignment="1">
      <alignment horizontal="center" vertical="center" wrapText="1"/>
    </xf>
    <xf numFmtId="3" fontId="1" fillId="0" borderId="14" xfId="0" applyNumberFormat="1" applyFont="1" applyFill="1" applyBorder="1" applyAlignment="1">
      <alignment horizontal="center" vertical="center" wrapText="1"/>
    </xf>
    <xf numFmtId="4" fontId="1" fillId="2" borderId="14" xfId="0" applyNumberFormat="1" applyFont="1" applyFill="1" applyBorder="1" applyAlignment="1">
      <alignment horizontal="center" vertical="center" wrapText="1"/>
    </xf>
    <xf numFmtId="3" fontId="1" fillId="0" borderId="15" xfId="0" applyNumberFormat="1" applyFont="1" applyFill="1" applyBorder="1" applyAlignment="1">
      <alignment horizontal="center" vertical="center" wrapText="1"/>
    </xf>
    <xf numFmtId="3" fontId="1" fillId="2" borderId="15" xfId="0" applyNumberFormat="1" applyFont="1" applyFill="1" applyBorder="1" applyAlignment="1">
      <alignment horizontal="center" vertical="center" wrapText="1"/>
    </xf>
    <xf numFmtId="3" fontId="1" fillId="3" borderId="16" xfId="0" applyNumberFormat="1" applyFont="1" applyFill="1" applyBorder="1" applyAlignment="1">
      <alignment horizontal="center" vertical="center" wrapText="1"/>
    </xf>
    <xf numFmtId="3" fontId="1" fillId="0" borderId="17" xfId="0" applyNumberFormat="1" applyFont="1" applyFill="1" applyBorder="1" applyAlignment="1">
      <alignment horizontal="center" vertical="center" wrapText="1"/>
    </xf>
    <xf numFmtId="3" fontId="1" fillId="0" borderId="18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Alignment="1">
      <alignment horizontal="center"/>
    </xf>
    <xf numFmtId="3" fontId="7" fillId="0" borderId="19" xfId="0" applyNumberFormat="1" applyFont="1" applyBorder="1" applyAlignment="1">
      <alignment vertical="center"/>
    </xf>
    <xf numFmtId="3" fontId="7" fillId="0" borderId="19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horizontal="center" vertical="center"/>
    </xf>
    <xf numFmtId="3" fontId="9" fillId="0" borderId="0" xfId="0" applyNumberFormat="1" applyFont="1"/>
    <xf numFmtId="3" fontId="8" fillId="0" borderId="2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3" fontId="7" fillId="0" borderId="19" xfId="0" applyNumberFormat="1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center" vertical="center"/>
    </xf>
    <xf numFmtId="3" fontId="8" fillId="0" borderId="20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75;&#1605;&#1575;&#1585;%20&#1583;&#1740;%20&#1605;&#1575;&#1607;%20&#1576;&#1608;&#1585;&#158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دی"/>
      <sheetName val="بهمن"/>
    </sheetNames>
    <sheetDataSet>
      <sheetData sheetId="0">
        <row r="21">
          <cell r="M21">
            <v>324181</v>
          </cell>
        </row>
        <row r="22">
          <cell r="M22">
            <v>87328</v>
          </cell>
        </row>
        <row r="23">
          <cell r="M23">
            <v>47561</v>
          </cell>
        </row>
        <row r="24">
          <cell r="M24">
            <v>104666</v>
          </cell>
        </row>
        <row r="25">
          <cell r="M25">
            <v>32741</v>
          </cell>
        </row>
        <row r="26">
          <cell r="M26">
            <v>60068</v>
          </cell>
        </row>
        <row r="27">
          <cell r="M27">
            <v>148005</v>
          </cell>
        </row>
        <row r="28">
          <cell r="M28">
            <v>2059</v>
          </cell>
        </row>
        <row r="29">
          <cell r="M29">
            <v>18465</v>
          </cell>
        </row>
        <row r="30">
          <cell r="M30">
            <v>38583</v>
          </cell>
        </row>
        <row r="31">
          <cell r="M31">
            <v>387424.29972499999</v>
          </cell>
        </row>
        <row r="32">
          <cell r="M32">
            <v>39391.115693</v>
          </cell>
        </row>
        <row r="33">
          <cell r="M33">
            <v>134467</v>
          </cell>
        </row>
        <row r="34">
          <cell r="M34">
            <v>6784</v>
          </cell>
        </row>
        <row r="35">
          <cell r="M35">
            <v>95038.032560000007</v>
          </cell>
        </row>
        <row r="36">
          <cell r="M36">
            <v>0</v>
          </cell>
        </row>
        <row r="37">
          <cell r="M37">
            <v>570</v>
          </cell>
        </row>
        <row r="38">
          <cell r="M38">
            <v>71789</v>
          </cell>
        </row>
        <row r="39">
          <cell r="M39">
            <v>482016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rightToLeft="1" tabSelected="1" view="pageBreakPreview" zoomScale="60" workbookViewId="0">
      <selection activeCell="G20" sqref="G20"/>
    </sheetView>
  </sheetViews>
  <sheetFormatPr defaultColWidth="15" defaultRowHeight="29.25" customHeight="1"/>
  <cols>
    <col min="1" max="1" width="36.85546875" style="9" bestFit="1" customWidth="1"/>
    <col min="2" max="2" width="8.28515625" style="9" bestFit="1" customWidth="1"/>
    <col min="3" max="3" width="16.28515625" style="9" hidden="1" customWidth="1"/>
    <col min="4" max="9" width="16.28515625" style="9" customWidth="1"/>
    <col min="10" max="10" width="17.7109375" style="9" customWidth="1"/>
    <col min="11" max="11" width="20.28515625" style="9" customWidth="1"/>
    <col min="12" max="12" width="17.5703125" style="9" bestFit="1" customWidth="1"/>
    <col min="13" max="13" width="15.85546875" style="9" customWidth="1"/>
    <col min="14" max="15" width="19.42578125" style="9" customWidth="1"/>
    <col min="16" max="16384" width="15" style="9"/>
  </cols>
  <sheetData>
    <row r="1" spans="1:14" s="6" customFormat="1" ht="29.25" customHeight="1">
      <c r="A1" s="4" t="s">
        <v>0</v>
      </c>
      <c r="B1" s="4"/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  <c r="N1" s="5"/>
    </row>
    <row r="2" spans="1:14" s="6" customFormat="1" ht="29.25" customHeight="1">
      <c r="A2" s="4" t="s">
        <v>62</v>
      </c>
      <c r="B2" s="4"/>
      <c r="C2" s="4"/>
      <c r="D2" s="4"/>
      <c r="E2" s="4"/>
      <c r="F2" s="4"/>
      <c r="G2" s="4"/>
      <c r="H2" s="4" t="s">
        <v>2</v>
      </c>
      <c r="I2" s="4"/>
      <c r="J2" s="4"/>
      <c r="K2" s="4"/>
      <c r="L2" s="4"/>
      <c r="M2" s="4"/>
      <c r="N2" s="5"/>
    </row>
    <row r="3" spans="1:14" s="6" customFormat="1" ht="29.25" customHeight="1">
      <c r="A3" s="4" t="s">
        <v>63</v>
      </c>
      <c r="B3" s="4"/>
      <c r="C3" s="4"/>
      <c r="D3" s="4"/>
      <c r="E3" s="4"/>
      <c r="F3" s="4"/>
      <c r="G3" s="4"/>
      <c r="H3" s="4" t="s">
        <v>3</v>
      </c>
      <c r="I3" s="4"/>
      <c r="J3" s="4"/>
      <c r="K3" s="4"/>
      <c r="L3" s="4"/>
      <c r="M3" s="4"/>
      <c r="N3" s="5"/>
    </row>
    <row r="4" spans="1:14" s="6" customFormat="1" ht="29.25" customHeight="1">
      <c r="A4" s="4" t="s">
        <v>64</v>
      </c>
      <c r="B4" s="4"/>
      <c r="C4" s="4"/>
      <c r="D4" s="4"/>
      <c r="E4" s="4"/>
      <c r="F4" s="4"/>
      <c r="G4" s="4"/>
      <c r="H4" s="4" t="s">
        <v>4</v>
      </c>
      <c r="I4" s="4"/>
      <c r="J4" s="4"/>
      <c r="K4" s="4"/>
      <c r="L4" s="4"/>
      <c r="M4" s="4"/>
      <c r="N4" s="5"/>
    </row>
    <row r="5" spans="1:14" s="6" customFormat="1" ht="29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5"/>
    </row>
    <row r="6" spans="1:14" ht="29.25" customHeight="1" thickBot="1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</row>
    <row r="7" spans="1:14" s="11" customFormat="1" ht="29.25" customHeight="1">
      <c r="A7" s="10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/>
      <c r="H7" s="1"/>
      <c r="I7" s="1" t="s">
        <v>11</v>
      </c>
      <c r="J7" s="1"/>
      <c r="K7" s="1"/>
      <c r="L7" s="2"/>
    </row>
    <row r="8" spans="1:14" s="11" customFormat="1" ht="29.25" customHeight="1">
      <c r="A8" s="12"/>
      <c r="B8" s="13"/>
      <c r="C8" s="13"/>
      <c r="D8" s="13"/>
      <c r="E8" s="14" t="s">
        <v>12</v>
      </c>
      <c r="F8" s="14" t="s">
        <v>13</v>
      </c>
      <c r="G8" s="14" t="s">
        <v>14</v>
      </c>
      <c r="H8" s="14" t="s">
        <v>15</v>
      </c>
      <c r="I8" s="14" t="s">
        <v>12</v>
      </c>
      <c r="J8" s="14" t="s">
        <v>13</v>
      </c>
      <c r="K8" s="14" t="s">
        <v>14</v>
      </c>
      <c r="L8" s="15" t="s">
        <v>15</v>
      </c>
    </row>
    <row r="9" spans="1:14" ht="29.25" customHeight="1">
      <c r="A9" s="16" t="s">
        <v>16</v>
      </c>
      <c r="B9" s="17" t="s">
        <v>17</v>
      </c>
      <c r="C9" s="17" t="s">
        <v>18</v>
      </c>
      <c r="D9" s="17">
        <v>4</v>
      </c>
      <c r="E9" s="17">
        <v>6108</v>
      </c>
      <c r="F9" s="17">
        <v>364</v>
      </c>
      <c r="G9" s="17">
        <v>16779153</v>
      </c>
      <c r="H9" s="17">
        <v>5691</v>
      </c>
      <c r="I9" s="17">
        <f>(1691950132/1000000)+(1354893138/1000000)+1336+E9</f>
        <v>10490.843269999999</v>
      </c>
      <c r="J9" s="17">
        <f>167+72+F9</f>
        <v>603</v>
      </c>
      <c r="K9" s="17">
        <f>(16224191+16779153)/2</f>
        <v>16501672</v>
      </c>
      <c r="L9" s="18">
        <f>(1501774880/1000000)+(1185987816/1000000)+(1140594176/1000000)+H9</f>
        <v>9519.3568720000003</v>
      </c>
    </row>
    <row r="10" spans="1:14" ht="29.25" customHeight="1">
      <c r="A10" s="16" t="s">
        <v>19</v>
      </c>
      <c r="B10" s="17" t="s">
        <v>20</v>
      </c>
      <c r="C10" s="17" t="s">
        <v>18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5592</v>
      </c>
      <c r="J10" s="17">
        <v>243</v>
      </c>
      <c r="K10" s="17">
        <v>23081366</v>
      </c>
      <c r="L10" s="18">
        <v>5609</v>
      </c>
    </row>
    <row r="11" spans="1:14" ht="29.25" customHeight="1">
      <c r="A11" s="16" t="s">
        <v>21</v>
      </c>
      <c r="B11" s="17" t="s">
        <v>20</v>
      </c>
      <c r="C11" s="17" t="s">
        <v>22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1740</v>
      </c>
      <c r="J11" s="17">
        <v>56</v>
      </c>
      <c r="K11" s="17">
        <v>37678571</v>
      </c>
      <c r="L11" s="18">
        <v>2110</v>
      </c>
    </row>
    <row r="12" spans="1:14" ht="29.25" customHeight="1">
      <c r="A12" s="19" t="s">
        <v>23</v>
      </c>
      <c r="B12" s="17" t="s">
        <v>17</v>
      </c>
      <c r="C12" s="14" t="s">
        <v>22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25</v>
      </c>
      <c r="J12" s="17">
        <v>12</v>
      </c>
      <c r="K12" s="17">
        <v>2500000</v>
      </c>
      <c r="L12" s="18">
        <v>30</v>
      </c>
    </row>
    <row r="13" spans="1:14" ht="29.25" customHeight="1">
      <c r="A13" s="16" t="s">
        <v>24</v>
      </c>
      <c r="B13" s="17" t="s">
        <v>17</v>
      </c>
      <c r="C13" s="17"/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1271</v>
      </c>
      <c r="J13" s="17">
        <v>82</v>
      </c>
      <c r="K13" s="17">
        <v>12534889</v>
      </c>
      <c r="L13" s="18">
        <v>1028</v>
      </c>
    </row>
    <row r="14" spans="1:14" ht="29.25" customHeight="1">
      <c r="A14" s="16" t="s">
        <v>25</v>
      </c>
      <c r="B14" s="17" t="s">
        <v>26</v>
      </c>
      <c r="C14" s="17"/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98721</v>
      </c>
      <c r="J14" s="17">
        <v>570</v>
      </c>
      <c r="K14" s="17">
        <v>149122807</v>
      </c>
      <c r="L14" s="18">
        <v>85000</v>
      </c>
    </row>
    <row r="15" spans="1:14" ht="29.25" customHeight="1" thickBot="1">
      <c r="A15" s="20" t="s">
        <v>27</v>
      </c>
      <c r="B15" s="21" t="s">
        <v>28</v>
      </c>
      <c r="C15" s="21"/>
      <c r="D15" s="21">
        <v>7</v>
      </c>
      <c r="E15" s="21">
        <v>8818</v>
      </c>
      <c r="F15" s="21">
        <v>1041</v>
      </c>
      <c r="G15" s="21">
        <v>28148765</v>
      </c>
      <c r="H15" s="21">
        <v>29291</v>
      </c>
      <c r="I15" s="21">
        <v>8818</v>
      </c>
      <c r="J15" s="21">
        <v>1041</v>
      </c>
      <c r="K15" s="21">
        <v>28148765</v>
      </c>
      <c r="L15" s="22">
        <v>29291</v>
      </c>
    </row>
    <row r="16" spans="1:14" s="11" customFormat="1" ht="29.25" customHeight="1" thickBot="1">
      <c r="A16" s="23" t="s">
        <v>29</v>
      </c>
      <c r="B16" s="24"/>
      <c r="C16" s="24"/>
      <c r="D16" s="24"/>
      <c r="E16" s="25">
        <f>SUM(E9:E15)</f>
        <v>14926</v>
      </c>
      <c r="F16" s="24"/>
      <c r="G16" s="24"/>
      <c r="H16" s="26">
        <f>SUM(H9:H15)</f>
        <v>34982</v>
      </c>
      <c r="I16" s="26">
        <f>SUM(I9:I15)</f>
        <v>126657.84327</v>
      </c>
      <c r="J16" s="24"/>
      <c r="K16" s="24"/>
      <c r="L16" s="25">
        <f>SUM(L9:L15)</f>
        <v>132587.356872</v>
      </c>
    </row>
    <row r="17" spans="1:15" s="11" customFormat="1" ht="29.25" customHeight="1"/>
    <row r="18" spans="1:15" ht="29.25" customHeight="1" thickBot="1">
      <c r="A18" s="8" t="s">
        <v>30</v>
      </c>
      <c r="B18" s="8"/>
      <c r="C18" s="8"/>
      <c r="D18" s="8"/>
      <c r="E18" s="8"/>
      <c r="F18" s="8"/>
      <c r="G18" s="8"/>
      <c r="H18" s="8"/>
      <c r="I18" s="8"/>
      <c r="J18" s="8"/>
    </row>
    <row r="19" spans="1:15" s="11" customFormat="1" ht="29.25" customHeight="1">
      <c r="A19" s="10" t="s">
        <v>6</v>
      </c>
      <c r="B19" s="1" t="s">
        <v>7</v>
      </c>
      <c r="C19" s="1" t="s">
        <v>8</v>
      </c>
      <c r="D19" s="1" t="s">
        <v>9</v>
      </c>
      <c r="E19" s="1" t="s">
        <v>31</v>
      </c>
      <c r="F19" s="1" t="s">
        <v>32</v>
      </c>
      <c r="G19" s="1"/>
      <c r="H19" s="1"/>
      <c r="I19" s="1"/>
      <c r="J19" s="3" t="s">
        <v>33</v>
      </c>
      <c r="K19" s="3"/>
      <c r="L19" s="1" t="s">
        <v>11</v>
      </c>
      <c r="M19" s="1"/>
      <c r="N19" s="1"/>
      <c r="O19" s="2"/>
    </row>
    <row r="20" spans="1:15" s="11" customFormat="1" ht="84" customHeight="1">
      <c r="A20" s="12"/>
      <c r="B20" s="13"/>
      <c r="C20" s="13"/>
      <c r="D20" s="13"/>
      <c r="E20" s="13"/>
      <c r="F20" s="14" t="s">
        <v>34</v>
      </c>
      <c r="G20" s="27" t="s">
        <v>65</v>
      </c>
      <c r="H20" s="27" t="s">
        <v>35</v>
      </c>
      <c r="I20" s="14" t="s">
        <v>36</v>
      </c>
      <c r="J20" s="14" t="s">
        <v>37</v>
      </c>
      <c r="K20" s="14" t="s">
        <v>38</v>
      </c>
      <c r="L20" s="14" t="s">
        <v>34</v>
      </c>
      <c r="M20" s="14" t="s">
        <v>38</v>
      </c>
      <c r="N20" s="14" t="s">
        <v>35</v>
      </c>
      <c r="O20" s="15" t="s">
        <v>36</v>
      </c>
    </row>
    <row r="21" spans="1:15" ht="29.25" customHeight="1">
      <c r="A21" s="19" t="s">
        <v>21</v>
      </c>
      <c r="B21" s="17" t="s">
        <v>20</v>
      </c>
      <c r="C21" s="17" t="s">
        <v>22</v>
      </c>
      <c r="D21" s="17">
        <v>141</v>
      </c>
      <c r="E21" s="17">
        <v>10435</v>
      </c>
      <c r="F21" s="28">
        <v>99.98</v>
      </c>
      <c r="G21" s="14">
        <f>[1]دی!M21</f>
        <v>324181</v>
      </c>
      <c r="H21" s="14">
        <f>I21-G21</f>
        <v>-3781</v>
      </c>
      <c r="I21" s="14">
        <v>320400</v>
      </c>
      <c r="J21" s="17"/>
      <c r="K21" s="17"/>
      <c r="L21" s="29">
        <f>F21</f>
        <v>99.98</v>
      </c>
      <c r="M21" s="17">
        <f>326030-K21</f>
        <v>326030</v>
      </c>
      <c r="N21" s="17">
        <f>O21-M21</f>
        <v>-5630</v>
      </c>
      <c r="O21" s="30">
        <f>I21</f>
        <v>320400</v>
      </c>
    </row>
    <row r="22" spans="1:15" ht="29.25" customHeight="1">
      <c r="A22" s="19" t="s">
        <v>19</v>
      </c>
      <c r="B22" s="17" t="s">
        <v>20</v>
      </c>
      <c r="C22" s="17" t="s">
        <v>39</v>
      </c>
      <c r="D22" s="17">
        <v>56</v>
      </c>
      <c r="E22" s="17">
        <v>5118</v>
      </c>
      <c r="F22" s="28">
        <v>77.42</v>
      </c>
      <c r="G22" s="14">
        <f>[1]دی!M22</f>
        <v>87328</v>
      </c>
      <c r="H22" s="14">
        <f t="shared" ref="H22:H39" si="0">I22-G22</f>
        <v>19972</v>
      </c>
      <c r="I22" s="14">
        <f>107300000000/1000000</f>
        <v>107300</v>
      </c>
      <c r="J22" s="17"/>
      <c r="K22" s="17"/>
      <c r="L22" s="29">
        <f>F22+0.44</f>
        <v>77.86</v>
      </c>
      <c r="M22" s="17">
        <f>88097-K22</f>
        <v>88097</v>
      </c>
      <c r="N22" s="17">
        <f t="shared" ref="N22:N39" si="1">O22-M22</f>
        <v>19203</v>
      </c>
      <c r="O22" s="30">
        <f t="shared" ref="O22:O39" si="2">I22</f>
        <v>107300</v>
      </c>
    </row>
    <row r="23" spans="1:15" ht="29.25" customHeight="1">
      <c r="A23" s="19" t="s">
        <v>40</v>
      </c>
      <c r="B23" s="17" t="s">
        <v>20</v>
      </c>
      <c r="C23" s="17" t="s">
        <v>41</v>
      </c>
      <c r="D23" s="17">
        <v>26</v>
      </c>
      <c r="E23" s="17">
        <v>859</v>
      </c>
      <c r="F23" s="28">
        <v>99.7</v>
      </c>
      <c r="G23" s="14">
        <f>[1]دی!M23</f>
        <v>47561</v>
      </c>
      <c r="H23" s="14">
        <f t="shared" si="0"/>
        <v>-6185</v>
      </c>
      <c r="I23" s="14">
        <v>41376</v>
      </c>
      <c r="J23" s="17">
        <v>0</v>
      </c>
      <c r="K23" s="17">
        <v>0</v>
      </c>
      <c r="L23" s="29">
        <f>F23+0.17</f>
        <v>99.87</v>
      </c>
      <c r="M23" s="17">
        <f>48658-K23</f>
        <v>48658</v>
      </c>
      <c r="N23" s="17">
        <f t="shared" si="1"/>
        <v>-7282</v>
      </c>
      <c r="O23" s="30">
        <f t="shared" si="2"/>
        <v>41376</v>
      </c>
    </row>
    <row r="24" spans="1:15" s="32" customFormat="1" ht="29.25" customHeight="1">
      <c r="A24" s="19" t="s">
        <v>16</v>
      </c>
      <c r="B24" s="31" t="s">
        <v>17</v>
      </c>
      <c r="C24" s="31" t="s">
        <v>42</v>
      </c>
      <c r="D24" s="31">
        <v>64</v>
      </c>
      <c r="E24" s="31">
        <v>5334</v>
      </c>
      <c r="F24" s="28">
        <v>98.84</v>
      </c>
      <c r="G24" s="14">
        <f>[1]دی!M24</f>
        <v>104666</v>
      </c>
      <c r="H24" s="14">
        <f t="shared" si="0"/>
        <v>-15166</v>
      </c>
      <c r="I24" s="14">
        <v>89500</v>
      </c>
      <c r="J24" s="31">
        <f>F9</f>
        <v>364</v>
      </c>
      <c r="K24" s="31">
        <f>E9</f>
        <v>6108</v>
      </c>
      <c r="L24" s="29">
        <f>F24+1.04</f>
        <v>99.88000000000001</v>
      </c>
      <c r="M24" s="17">
        <f>105988-K24</f>
        <v>99880</v>
      </c>
      <c r="N24" s="17">
        <f t="shared" si="1"/>
        <v>-10380</v>
      </c>
      <c r="O24" s="30">
        <f t="shared" si="2"/>
        <v>89500</v>
      </c>
    </row>
    <row r="25" spans="1:15" s="33" customFormat="1" ht="29.25" customHeight="1">
      <c r="A25" s="19" t="s">
        <v>43</v>
      </c>
      <c r="B25" s="14" t="s">
        <v>28</v>
      </c>
      <c r="C25" s="14" t="s">
        <v>42</v>
      </c>
      <c r="D25" s="14">
        <v>26</v>
      </c>
      <c r="E25" s="14">
        <v>3787</v>
      </c>
      <c r="F25" s="28">
        <v>57.5</v>
      </c>
      <c r="G25" s="14">
        <f>[1]دی!M25</f>
        <v>32741</v>
      </c>
      <c r="H25" s="14">
        <f t="shared" si="0"/>
        <v>1656</v>
      </c>
      <c r="I25" s="14">
        <v>34397</v>
      </c>
      <c r="J25" s="14">
        <f>F15</f>
        <v>1041</v>
      </c>
      <c r="K25" s="14">
        <f>E15</f>
        <v>8818</v>
      </c>
      <c r="L25" s="29">
        <f>F25+2.92</f>
        <v>60.42</v>
      </c>
      <c r="M25" s="17">
        <f>32741-K25</f>
        <v>23923</v>
      </c>
      <c r="N25" s="17">
        <f t="shared" si="1"/>
        <v>10474</v>
      </c>
      <c r="O25" s="30">
        <f t="shared" si="2"/>
        <v>34397</v>
      </c>
    </row>
    <row r="26" spans="1:15" s="33" customFormat="1" ht="29.25" customHeight="1">
      <c r="A26" s="19" t="s">
        <v>44</v>
      </c>
      <c r="B26" s="14" t="s">
        <v>28</v>
      </c>
      <c r="C26" s="14" t="s">
        <v>42</v>
      </c>
      <c r="D26" s="14">
        <v>13</v>
      </c>
      <c r="E26" s="14">
        <v>1803</v>
      </c>
      <c r="F26" s="28">
        <v>100</v>
      </c>
      <c r="G26" s="14">
        <f>[1]دی!M26</f>
        <v>60068</v>
      </c>
      <c r="H26" s="14">
        <f t="shared" ca="1" si="0"/>
        <v>0</v>
      </c>
      <c r="I26" s="14">
        <f ca="1">G26+H26</f>
        <v>60068</v>
      </c>
      <c r="J26" s="14">
        <v>0</v>
      </c>
      <c r="K26" s="14">
        <v>0</v>
      </c>
      <c r="L26" s="29">
        <f t="shared" ref="L26:L34" si="3">F26</f>
        <v>100</v>
      </c>
      <c r="M26" s="17">
        <f>60068</f>
        <v>60068</v>
      </c>
      <c r="N26" s="17">
        <f t="shared" ca="1" si="1"/>
        <v>0</v>
      </c>
      <c r="O26" s="30">
        <f t="shared" ca="1" si="2"/>
        <v>60068</v>
      </c>
    </row>
    <row r="27" spans="1:15" s="33" customFormat="1" ht="29.25" customHeight="1">
      <c r="A27" s="19" t="s">
        <v>45</v>
      </c>
      <c r="B27" s="14" t="s">
        <v>28</v>
      </c>
      <c r="C27" s="14" t="s">
        <v>41</v>
      </c>
      <c r="D27" s="14">
        <v>1</v>
      </c>
      <c r="E27" s="14">
        <v>32</v>
      </c>
      <c r="F27" s="28">
        <v>100</v>
      </c>
      <c r="G27" s="14">
        <f>[1]دی!M27</f>
        <v>148005</v>
      </c>
      <c r="H27" s="14">
        <f t="shared" si="0"/>
        <v>0</v>
      </c>
      <c r="I27" s="14">
        <v>148005</v>
      </c>
      <c r="J27" s="14">
        <v>0</v>
      </c>
      <c r="K27" s="14">
        <v>0</v>
      </c>
      <c r="L27" s="29">
        <f t="shared" si="3"/>
        <v>100</v>
      </c>
      <c r="M27" s="17">
        <f>148005</f>
        <v>148005</v>
      </c>
      <c r="N27" s="17">
        <f t="shared" si="1"/>
        <v>0</v>
      </c>
      <c r="O27" s="30">
        <f t="shared" si="2"/>
        <v>148005</v>
      </c>
    </row>
    <row r="28" spans="1:15" s="33" customFormat="1" ht="29.25" customHeight="1">
      <c r="A28" s="19" t="s">
        <v>23</v>
      </c>
      <c r="B28" s="14" t="s">
        <v>17</v>
      </c>
      <c r="C28" s="14" t="s">
        <v>22</v>
      </c>
      <c r="D28" s="14">
        <v>61</v>
      </c>
      <c r="E28" s="14">
        <v>996</v>
      </c>
      <c r="F28" s="28">
        <v>100</v>
      </c>
      <c r="G28" s="14">
        <f>[1]دی!M28</f>
        <v>2059</v>
      </c>
      <c r="H28" s="14">
        <f t="shared" si="0"/>
        <v>579</v>
      </c>
      <c r="I28" s="14">
        <v>2638</v>
      </c>
      <c r="J28" s="14"/>
      <c r="K28" s="14"/>
      <c r="L28" s="29">
        <f t="shared" si="3"/>
        <v>100</v>
      </c>
      <c r="M28" s="17">
        <f>2059</f>
        <v>2059</v>
      </c>
      <c r="N28" s="17">
        <f t="shared" si="1"/>
        <v>579</v>
      </c>
      <c r="O28" s="30">
        <f t="shared" si="2"/>
        <v>2638</v>
      </c>
    </row>
    <row r="29" spans="1:15" s="33" customFormat="1" ht="29.25" customHeight="1">
      <c r="A29" s="19" t="s">
        <v>46</v>
      </c>
      <c r="B29" s="14" t="s">
        <v>28</v>
      </c>
      <c r="C29" s="14" t="s">
        <v>22</v>
      </c>
      <c r="D29" s="14">
        <v>1</v>
      </c>
      <c r="E29" s="14">
        <v>1683</v>
      </c>
      <c r="F29" s="28">
        <v>100</v>
      </c>
      <c r="G29" s="14">
        <f>[1]دی!M29</f>
        <v>18465</v>
      </c>
      <c r="H29" s="14">
        <f t="shared" ca="1" si="0"/>
        <v>0</v>
      </c>
      <c r="I29" s="14">
        <f ca="1">G29+H29</f>
        <v>18465</v>
      </c>
      <c r="J29" s="14">
        <v>0</v>
      </c>
      <c r="K29" s="14">
        <v>0</v>
      </c>
      <c r="L29" s="29">
        <f t="shared" si="3"/>
        <v>100</v>
      </c>
      <c r="M29" s="17">
        <f>18465</f>
        <v>18465</v>
      </c>
      <c r="N29" s="17">
        <f t="shared" ca="1" si="1"/>
        <v>0</v>
      </c>
      <c r="O29" s="30">
        <f t="shared" ca="1" si="2"/>
        <v>18465</v>
      </c>
    </row>
    <row r="30" spans="1:15" ht="29.25" customHeight="1">
      <c r="A30" s="19" t="s">
        <v>47</v>
      </c>
      <c r="B30" s="17" t="s">
        <v>17</v>
      </c>
      <c r="C30" s="17" t="s">
        <v>48</v>
      </c>
      <c r="D30" s="17">
        <v>47</v>
      </c>
      <c r="E30" s="17">
        <v>3761</v>
      </c>
      <c r="F30" s="28">
        <f>43.39-0</f>
        <v>43.39</v>
      </c>
      <c r="G30" s="14">
        <f>[1]دی!M30</f>
        <v>38583</v>
      </c>
      <c r="H30" s="14">
        <f t="shared" si="0"/>
        <v>71614.260039999994</v>
      </c>
      <c r="I30" s="14">
        <f>110197260040/1000000</f>
        <v>110197.26003999999</v>
      </c>
      <c r="J30" s="17">
        <v>0</v>
      </c>
      <c r="K30" s="17">
        <v>0</v>
      </c>
      <c r="L30" s="29">
        <f>F30+1.89</f>
        <v>45.28</v>
      </c>
      <c r="M30" s="17">
        <f>38583</f>
        <v>38583</v>
      </c>
      <c r="N30" s="17">
        <f t="shared" si="1"/>
        <v>71614.260039999994</v>
      </c>
      <c r="O30" s="30">
        <f t="shared" si="2"/>
        <v>110197.26003999999</v>
      </c>
    </row>
    <row r="31" spans="1:15" ht="29.25" customHeight="1">
      <c r="A31" s="19" t="s">
        <v>24</v>
      </c>
      <c r="B31" s="17" t="s">
        <v>17</v>
      </c>
      <c r="C31" s="17" t="s">
        <v>42</v>
      </c>
      <c r="D31" s="17">
        <v>300</v>
      </c>
      <c r="E31" s="17">
        <v>23770</v>
      </c>
      <c r="F31" s="28">
        <v>99.27</v>
      </c>
      <c r="G31" s="14">
        <f>[1]دی!M31</f>
        <v>387424.29972499999</v>
      </c>
      <c r="H31" s="14">
        <f t="shared" si="0"/>
        <v>-8924.2997249999898</v>
      </c>
      <c r="I31" s="14">
        <v>378500</v>
      </c>
      <c r="J31" s="17">
        <f>F13</f>
        <v>0</v>
      </c>
      <c r="K31" s="17">
        <f>E13</f>
        <v>0</v>
      </c>
      <c r="L31" s="29">
        <f>F31+0.48+0.17</f>
        <v>99.92</v>
      </c>
      <c r="M31" s="17">
        <v>389500</v>
      </c>
      <c r="N31" s="17">
        <f t="shared" si="1"/>
        <v>-11000</v>
      </c>
      <c r="O31" s="30">
        <f t="shared" si="2"/>
        <v>378500</v>
      </c>
    </row>
    <row r="32" spans="1:15" ht="29.25" customHeight="1">
      <c r="A32" s="19" t="s">
        <v>49</v>
      </c>
      <c r="B32" s="17" t="s">
        <v>17</v>
      </c>
      <c r="C32" s="17" t="s">
        <v>50</v>
      </c>
      <c r="D32" s="17">
        <v>24</v>
      </c>
      <c r="E32" s="17">
        <v>1553</v>
      </c>
      <c r="F32" s="28">
        <v>100</v>
      </c>
      <c r="G32" s="14">
        <f>[1]دی!M32</f>
        <v>39391.115693</v>
      </c>
      <c r="H32" s="14">
        <f t="shared" si="0"/>
        <v>-1271.1156929999997</v>
      </c>
      <c r="I32" s="14">
        <v>38120</v>
      </c>
      <c r="J32" s="17">
        <v>0</v>
      </c>
      <c r="K32" s="17">
        <v>0</v>
      </c>
      <c r="L32" s="29">
        <f t="shared" si="3"/>
        <v>100</v>
      </c>
      <c r="M32" s="17">
        <f>39391</f>
        <v>39391</v>
      </c>
      <c r="N32" s="17">
        <f t="shared" si="1"/>
        <v>-1271</v>
      </c>
      <c r="O32" s="30">
        <f t="shared" si="2"/>
        <v>38120</v>
      </c>
    </row>
    <row r="33" spans="1:15" ht="29.25" customHeight="1">
      <c r="A33" s="19" t="s">
        <v>51</v>
      </c>
      <c r="B33" s="17" t="s">
        <v>28</v>
      </c>
      <c r="C33" s="17" t="s">
        <v>42</v>
      </c>
      <c r="D33" s="17">
        <v>124</v>
      </c>
      <c r="E33" s="17">
        <v>15864</v>
      </c>
      <c r="F33" s="28">
        <v>39.58</v>
      </c>
      <c r="G33" s="14">
        <f>[1]دی!M33</f>
        <v>134467</v>
      </c>
      <c r="H33" s="14">
        <f t="shared" si="0"/>
        <v>125371.432</v>
      </c>
      <c r="I33" s="14">
        <f>259838432000/1000000</f>
        <v>259838.432</v>
      </c>
      <c r="J33" s="17">
        <v>0</v>
      </c>
      <c r="K33" s="17">
        <v>0</v>
      </c>
      <c r="L33" s="29">
        <f>F33+1.35</f>
        <v>40.93</v>
      </c>
      <c r="M33" s="17">
        <f>136800</f>
        <v>136800</v>
      </c>
      <c r="N33" s="17">
        <f t="shared" si="1"/>
        <v>123038.432</v>
      </c>
      <c r="O33" s="30">
        <f t="shared" si="2"/>
        <v>259838.432</v>
      </c>
    </row>
    <row r="34" spans="1:15" ht="29.25" customHeight="1">
      <c r="A34" s="19" t="s">
        <v>52</v>
      </c>
      <c r="B34" s="17" t="s">
        <v>20</v>
      </c>
      <c r="C34" s="17" t="s">
        <v>53</v>
      </c>
      <c r="D34" s="17">
        <v>127</v>
      </c>
      <c r="E34" s="17">
        <v>14183</v>
      </c>
      <c r="F34" s="28">
        <v>1</v>
      </c>
      <c r="G34" s="14">
        <f>[1]دی!M34</f>
        <v>6784</v>
      </c>
      <c r="H34" s="14">
        <f t="shared" si="0"/>
        <v>615841</v>
      </c>
      <c r="I34" s="14">
        <f>622625000000/1000000</f>
        <v>622625</v>
      </c>
      <c r="J34" s="17">
        <v>0</v>
      </c>
      <c r="K34" s="17">
        <v>0</v>
      </c>
      <c r="L34" s="29">
        <f t="shared" si="3"/>
        <v>1</v>
      </c>
      <c r="M34" s="17">
        <f>7251</f>
        <v>7251</v>
      </c>
      <c r="N34" s="17">
        <f t="shared" si="1"/>
        <v>615374</v>
      </c>
      <c r="O34" s="30">
        <f t="shared" si="2"/>
        <v>622625</v>
      </c>
    </row>
    <row r="35" spans="1:15" ht="29.25" customHeight="1">
      <c r="A35" s="14" t="s">
        <v>54</v>
      </c>
      <c r="B35" s="17" t="s">
        <v>28</v>
      </c>
      <c r="C35" s="17" t="s">
        <v>53</v>
      </c>
      <c r="D35" s="17">
        <v>82</v>
      </c>
      <c r="E35" s="17">
        <v>5094</v>
      </c>
      <c r="F35" s="28">
        <v>22.6</v>
      </c>
      <c r="G35" s="14">
        <f>[1]دی!M35</f>
        <v>95038.032560000007</v>
      </c>
      <c r="H35" s="14">
        <f t="shared" si="0"/>
        <v>126533.96743999999</v>
      </c>
      <c r="I35" s="14">
        <f>221572000000/1000000</f>
        <v>221572</v>
      </c>
      <c r="J35" s="17">
        <v>0</v>
      </c>
      <c r="K35" s="17">
        <v>0</v>
      </c>
      <c r="L35" s="29">
        <f>F35+1.94</f>
        <v>24.540000000000003</v>
      </c>
      <c r="M35" s="17">
        <f>95038</f>
        <v>95038</v>
      </c>
      <c r="N35" s="17">
        <f t="shared" si="1"/>
        <v>126534</v>
      </c>
      <c r="O35" s="30">
        <f t="shared" si="2"/>
        <v>221572</v>
      </c>
    </row>
    <row r="36" spans="1:15" ht="29.25" customHeight="1">
      <c r="A36" s="34" t="s">
        <v>25</v>
      </c>
      <c r="B36" s="35" t="s">
        <v>26</v>
      </c>
      <c r="C36" s="35"/>
      <c r="D36" s="35">
        <v>1</v>
      </c>
      <c r="E36" s="35">
        <v>570</v>
      </c>
      <c r="F36" s="36">
        <v>100</v>
      </c>
      <c r="G36" s="14">
        <f>[1]دی!M36</f>
        <v>0</v>
      </c>
      <c r="H36" s="14">
        <f t="shared" si="0"/>
        <v>97300</v>
      </c>
      <c r="I36" s="37">
        <v>97300</v>
      </c>
      <c r="J36" s="35">
        <f>F14</f>
        <v>0</v>
      </c>
      <c r="K36" s="35"/>
      <c r="L36" s="38">
        <v>0</v>
      </c>
      <c r="M36" s="17">
        <v>0</v>
      </c>
      <c r="N36" s="17">
        <f t="shared" si="1"/>
        <v>97300</v>
      </c>
      <c r="O36" s="30">
        <f t="shared" si="2"/>
        <v>97300</v>
      </c>
    </row>
    <row r="37" spans="1:15" ht="29.25" customHeight="1">
      <c r="A37" s="19" t="s">
        <v>55</v>
      </c>
      <c r="B37" s="17" t="s">
        <v>17</v>
      </c>
      <c r="C37" s="17"/>
      <c r="D37" s="17">
        <v>3</v>
      </c>
      <c r="E37" s="17">
        <v>864</v>
      </c>
      <c r="F37" s="28">
        <v>100</v>
      </c>
      <c r="G37" s="14">
        <f>[1]دی!M37</f>
        <v>570</v>
      </c>
      <c r="H37" s="14">
        <f t="shared" si="0"/>
        <v>0</v>
      </c>
      <c r="I37" s="14">
        <v>570</v>
      </c>
      <c r="J37" s="17"/>
      <c r="K37" s="17"/>
      <c r="L37" s="29">
        <v>100</v>
      </c>
      <c r="M37" s="17">
        <f>570</f>
        <v>570</v>
      </c>
      <c r="N37" s="17">
        <f t="shared" si="1"/>
        <v>0</v>
      </c>
      <c r="O37" s="30">
        <f t="shared" si="2"/>
        <v>570</v>
      </c>
    </row>
    <row r="38" spans="1:15" ht="29.25" customHeight="1">
      <c r="A38" s="19" t="s">
        <v>56</v>
      </c>
      <c r="B38" s="17" t="s">
        <v>28</v>
      </c>
      <c r="C38" s="17"/>
      <c r="D38" s="17">
        <v>91</v>
      </c>
      <c r="E38" s="17">
        <v>14077</v>
      </c>
      <c r="F38" s="28">
        <v>34.33</v>
      </c>
      <c r="G38" s="14">
        <f>[1]دی!M38</f>
        <v>71789</v>
      </c>
      <c r="H38" s="14">
        <f t="shared" si="0"/>
        <v>151024</v>
      </c>
      <c r="I38" s="14">
        <v>222813</v>
      </c>
      <c r="J38" s="17"/>
      <c r="K38" s="17"/>
      <c r="L38" s="29">
        <v>36</v>
      </c>
      <c r="M38" s="17">
        <f>71985</f>
        <v>71985</v>
      </c>
      <c r="N38" s="17">
        <f t="shared" si="1"/>
        <v>150828</v>
      </c>
      <c r="O38" s="30">
        <f t="shared" si="2"/>
        <v>222813</v>
      </c>
    </row>
    <row r="39" spans="1:15" ht="29.25" customHeight="1" thickBot="1">
      <c r="A39" s="19" t="s">
        <v>57</v>
      </c>
      <c r="B39" s="17" t="s">
        <v>58</v>
      </c>
      <c r="C39" s="17"/>
      <c r="D39" s="17">
        <v>471</v>
      </c>
      <c r="E39" s="17">
        <v>76514</v>
      </c>
      <c r="F39" s="28">
        <v>99</v>
      </c>
      <c r="G39" s="14">
        <f>[1]دی!M39</f>
        <v>482016</v>
      </c>
      <c r="H39" s="14">
        <f t="shared" si="0"/>
        <v>35484</v>
      </c>
      <c r="I39" s="39">
        <v>517500</v>
      </c>
      <c r="J39" s="40"/>
      <c r="K39" s="40"/>
      <c r="L39" s="29">
        <v>99.36</v>
      </c>
      <c r="M39" s="17">
        <f>482979</f>
        <v>482979</v>
      </c>
      <c r="N39" s="17">
        <f t="shared" si="1"/>
        <v>34521</v>
      </c>
      <c r="O39" s="41">
        <f t="shared" si="2"/>
        <v>517500</v>
      </c>
    </row>
    <row r="40" spans="1:15" s="11" customFormat="1" ht="29.25" customHeight="1" thickBot="1">
      <c r="A40" s="23" t="s">
        <v>29</v>
      </c>
      <c r="B40" s="24"/>
      <c r="C40" s="24"/>
      <c r="D40" s="24"/>
      <c r="E40" s="24"/>
      <c r="F40" s="24"/>
      <c r="G40" s="42">
        <f>SUM(G21:G39)</f>
        <v>2081136.4479779999</v>
      </c>
      <c r="H40" s="42">
        <f ca="1">SUM(H21:H39)</f>
        <v>1210048.244062</v>
      </c>
      <c r="I40" s="42">
        <f ca="1">SUM(I21:I39)</f>
        <v>3291184.6920400001</v>
      </c>
      <c r="J40" s="42">
        <f>SUM(J21:J39)</f>
        <v>1405</v>
      </c>
      <c r="K40" s="43">
        <f>SUM(K21:K39)</f>
        <v>14926</v>
      </c>
      <c r="L40" s="24"/>
      <c r="M40" s="42">
        <f>SUM(M21:M39)</f>
        <v>2077282</v>
      </c>
      <c r="N40" s="42">
        <f ca="1">SUM(N21:N39)</f>
        <v>1213902.6920400001</v>
      </c>
      <c r="O40" s="43">
        <f ca="1">SUM(O21:O39)</f>
        <v>3291184.6920400001</v>
      </c>
    </row>
    <row r="41" spans="1:15" ht="8.2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2" spans="1:15" s="49" customFormat="1" ht="24" customHeight="1" thickBot="1">
      <c r="A42" s="45" t="s">
        <v>59</v>
      </c>
      <c r="B42" s="45"/>
      <c r="C42" s="45"/>
      <c r="D42" s="46"/>
      <c r="E42" s="47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1:15" s="49" customFormat="1" ht="21.75" customHeight="1">
      <c r="A43" s="50" t="s">
        <v>60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s="49" customFormat="1" ht="20.25" customHeight="1" thickBot="1">
      <c r="A44" s="52" t="s">
        <v>61</v>
      </c>
      <c r="B44" s="52"/>
      <c r="C44" s="52"/>
      <c r="D44" s="52"/>
      <c r="E44" s="52"/>
      <c r="F44" s="53"/>
      <c r="G44" s="53"/>
      <c r="H44" s="53"/>
      <c r="I44" s="53"/>
      <c r="J44" s="53"/>
      <c r="K44" s="53"/>
      <c r="L44" s="53"/>
      <c r="M44" s="53"/>
      <c r="N44" s="53"/>
      <c r="O44" s="53"/>
    </row>
    <row r="45" spans="1:15" s="49" customFormat="1" ht="29.25" customHeight="1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</sheetData>
  <mergeCells count="29">
    <mergeCell ref="A1:G1"/>
    <mergeCell ref="H1:M1"/>
    <mergeCell ref="A2:G2"/>
    <mergeCell ref="H2:M2"/>
    <mergeCell ref="A3:G3"/>
    <mergeCell ref="H3:M3"/>
    <mergeCell ref="A4:G4"/>
    <mergeCell ref="H4:M4"/>
    <mergeCell ref="A6:J6"/>
    <mergeCell ref="A7:A8"/>
    <mergeCell ref="B7:B8"/>
    <mergeCell ref="C7:C8"/>
    <mergeCell ref="D7:D8"/>
    <mergeCell ref="E7:H7"/>
    <mergeCell ref="I7:L7"/>
    <mergeCell ref="A44:E44"/>
    <mergeCell ref="F44:O44"/>
    <mergeCell ref="A18:J18"/>
    <mergeCell ref="A19:A20"/>
    <mergeCell ref="B19:B20"/>
    <mergeCell ref="C19:C20"/>
    <mergeCell ref="D19:D20"/>
    <mergeCell ref="E19:E20"/>
    <mergeCell ref="F19:I19"/>
    <mergeCell ref="J19:K19"/>
    <mergeCell ref="L19:O19"/>
    <mergeCell ref="A41:O41"/>
    <mergeCell ref="F42:O42"/>
    <mergeCell ref="A43:O43"/>
  </mergeCells>
  <pageMargins left="0" right="0" top="0" bottom="0" header="0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بهمن</vt:lpstr>
      <vt:lpstr>بهمن!Print_Area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hasanzadeh</dc:creator>
  <cp:lastModifiedBy>hasanzadeh</cp:lastModifiedBy>
  <cp:lastPrinted>2017-02-20T11:20:08Z</cp:lastPrinted>
  <dcterms:created xsi:type="dcterms:W3CDTF">2017-02-20T11:14:43Z</dcterms:created>
  <dcterms:modified xsi:type="dcterms:W3CDTF">2017-02-20T11:29:26Z</dcterms:modified>
</cp:coreProperties>
</file>