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پیوست1" sheetId="1" r:id="rId1"/>
    <sheet name="پیوست2" sheetId="2" r:id="rId2"/>
    <sheet name="پیوست3" sheetId="3" r:id="rId3"/>
    <sheet name="پیوست4" sheetId="4" r:id="rId4"/>
  </sheets>
  <calcPr calcId="125725"/>
</workbook>
</file>

<file path=xl/calcChain.xml><?xml version="1.0" encoding="utf-8"?>
<calcChain xmlns="http://schemas.openxmlformats.org/spreadsheetml/2006/main">
  <c r="X60" i="1"/>
  <c r="N60"/>
  <c r="AC59"/>
  <c r="Z59"/>
  <c r="Y59"/>
  <c r="W59"/>
  <c r="V59"/>
  <c r="U59"/>
  <c r="T59"/>
  <c r="S59"/>
  <c r="R59"/>
  <c r="X59" s="1"/>
  <c r="Q59"/>
  <c r="P59"/>
  <c r="N59"/>
  <c r="K59"/>
  <c r="AB57" s="1"/>
  <c r="J59"/>
  <c r="AB58"/>
  <c r="X58"/>
  <c r="N58"/>
  <c r="X57"/>
  <c r="N57"/>
  <c r="X56"/>
  <c r="N56"/>
  <c r="X55"/>
  <c r="N55"/>
  <c r="AB54"/>
  <c r="X54"/>
  <c r="N54"/>
  <c r="X53"/>
  <c r="N53"/>
  <c r="X52"/>
  <c r="N52"/>
  <c r="AB51"/>
  <c r="X51"/>
  <c r="N51"/>
  <c r="X50"/>
  <c r="N50"/>
  <c r="AB49"/>
  <c r="X49"/>
  <c r="N49"/>
  <c r="X48"/>
  <c r="N48"/>
  <c r="AB47"/>
  <c r="X47"/>
  <c r="N47"/>
  <c r="X46"/>
  <c r="N46"/>
  <c r="AB45"/>
  <c r="X45"/>
  <c r="N45"/>
  <c r="X44"/>
  <c r="N44"/>
  <c r="AB43"/>
  <c r="X43"/>
  <c r="N43"/>
  <c r="X42"/>
  <c r="N42"/>
  <c r="AB41"/>
  <c r="X41"/>
  <c r="N41"/>
  <c r="AB40"/>
  <c r="X40"/>
  <c r="N40"/>
  <c r="AB39"/>
  <c r="X39"/>
  <c r="N39"/>
  <c r="AB38"/>
  <c r="X38"/>
  <c r="N38"/>
  <c r="AB37"/>
  <c r="X37"/>
  <c r="N37"/>
  <c r="AB36"/>
  <c r="X36"/>
  <c r="N36"/>
  <c r="AB35"/>
  <c r="X35"/>
  <c r="N35"/>
  <c r="AB34"/>
  <c r="X34"/>
  <c r="N34"/>
  <c r="AB33"/>
  <c r="X33"/>
  <c r="N33"/>
  <c r="AB32"/>
  <c r="X32"/>
  <c r="N32"/>
  <c r="AB31"/>
  <c r="X31"/>
  <c r="N31"/>
  <c r="AB30"/>
  <c r="X30"/>
  <c r="N30"/>
  <c r="AB29"/>
  <c r="X29"/>
  <c r="N29"/>
  <c r="AB28"/>
  <c r="X28"/>
  <c r="N28"/>
  <c r="AB27"/>
  <c r="X27"/>
  <c r="N27"/>
  <c r="AB26"/>
  <c r="X26"/>
  <c r="N26"/>
  <c r="AB25"/>
  <c r="X25"/>
  <c r="N25"/>
  <c r="AB24"/>
  <c r="X24"/>
  <c r="N24"/>
  <c r="AB23"/>
  <c r="X23"/>
  <c r="N23"/>
  <c r="AB22"/>
  <c r="X22"/>
  <c r="N22"/>
  <c r="AB21"/>
  <c r="X21"/>
  <c r="N21"/>
  <c r="AB20"/>
  <c r="X20"/>
  <c r="N20"/>
  <c r="AB19"/>
  <c r="X19"/>
  <c r="N19"/>
  <c r="AB18"/>
  <c r="X18"/>
  <c r="N18"/>
  <c r="AB17"/>
  <c r="X17"/>
  <c r="N17"/>
  <c r="AB16"/>
  <c r="X16"/>
  <c r="N16"/>
  <c r="X15"/>
  <c r="N15"/>
  <c r="X14"/>
  <c r="N14"/>
  <c r="AC13"/>
  <c r="Z13"/>
  <c r="Y13"/>
  <c r="W13"/>
  <c r="V13"/>
  <c r="U13"/>
  <c r="T13"/>
  <c r="S13"/>
  <c r="R13"/>
  <c r="X13" s="1"/>
  <c r="Q13"/>
  <c r="P13"/>
  <c r="N13"/>
  <c r="K13"/>
  <c r="AB14" s="1"/>
  <c r="J13"/>
  <c r="AB12"/>
  <c r="X12"/>
  <c r="N12"/>
  <c r="X11"/>
  <c r="N11"/>
  <c r="X10"/>
  <c r="N10"/>
  <c r="X9"/>
  <c r="N9"/>
  <c r="AC8"/>
  <c r="Z8"/>
  <c r="R8"/>
  <c r="Q8"/>
  <c r="P8"/>
  <c r="P60" s="1"/>
  <c r="N8"/>
  <c r="J8"/>
  <c r="J60" s="1"/>
  <c r="Y7"/>
  <c r="V7"/>
  <c r="U7"/>
  <c r="T7"/>
  <c r="S7"/>
  <c r="N7"/>
  <c r="N6"/>
  <c r="Y5"/>
  <c r="W5"/>
  <c r="V5"/>
  <c r="U5"/>
  <c r="N5"/>
  <c r="Y4"/>
  <c r="W4"/>
  <c r="V4"/>
  <c r="U4"/>
  <c r="N4"/>
  <c r="W3"/>
  <c r="V3"/>
  <c r="U3"/>
  <c r="T3"/>
  <c r="S3"/>
  <c r="N3"/>
  <c r="K3"/>
  <c r="K8" s="1"/>
  <c r="T8" l="1"/>
  <c r="V8"/>
  <c r="Y8"/>
  <c r="AB10"/>
  <c r="AB42"/>
  <c r="AB44"/>
  <c r="AB46"/>
  <c r="AB48"/>
  <c r="AB50"/>
  <c r="AB52"/>
  <c r="AB56"/>
  <c r="S8"/>
  <c r="AC60"/>
  <c r="U8"/>
  <c r="W8"/>
  <c r="AB53"/>
  <c r="AB59" s="1"/>
  <c r="AA59" s="1"/>
  <c r="AD59" s="1"/>
  <c r="AB55"/>
  <c r="Z60"/>
  <c r="AB6"/>
  <c r="AB4"/>
  <c r="K60"/>
  <c r="AB7"/>
  <c r="AB5"/>
  <c r="AB3"/>
  <c r="AB15"/>
  <c r="AB9"/>
  <c r="AB11"/>
  <c r="AB13" l="1"/>
  <c r="AA13" s="1"/>
  <c r="AD13" s="1"/>
  <c r="AB8"/>
  <c r="AB60" l="1"/>
  <c r="AA60" s="1"/>
  <c r="AD60" s="1"/>
  <c r="AA8"/>
  <c r="AD8" s="1"/>
</calcChain>
</file>

<file path=xl/sharedStrings.xml><?xml version="1.0" encoding="utf-8"?>
<sst xmlns="http://schemas.openxmlformats.org/spreadsheetml/2006/main" count="359" uniqueCount="173">
  <si>
    <t>وضعیت صندوقهای سرمایه گذاری در پایان اسفند سال 1389</t>
  </si>
  <si>
    <t>رديف</t>
  </si>
  <si>
    <t>نام صندوق سرمایه گذاری</t>
  </si>
  <si>
    <t>نوع صندوق</t>
  </si>
  <si>
    <t>نام مدیر</t>
  </si>
  <si>
    <t>ارزش صندوق در پایان سال 1388(میلیون ريال)</t>
  </si>
  <si>
    <t>ارزش صندوق (میلیون ريال)</t>
  </si>
  <si>
    <t>تاریخ آغاز فعالیت</t>
  </si>
  <si>
    <t>عمر صندوق(به ماه)</t>
  </si>
  <si>
    <t>عمر صندوق(به روز)</t>
  </si>
  <si>
    <t>تعداد واحدهاي سرمايه گذاري صندوق</t>
  </si>
  <si>
    <t>ارزش خالص هر واحد سرمايه گذاري در پایان سال 1388(ريال)</t>
  </si>
  <si>
    <t>ارزش خالص هر واحد سرمايه گذاري(ريال)</t>
  </si>
  <si>
    <t>بازده صندوق در هفته گذشته(%)</t>
  </si>
  <si>
    <t>بازده صندوق در  ماه گذشته (%)</t>
  </si>
  <si>
    <t>بازده صندوق در سه ماه گذشته(%)</t>
  </si>
  <si>
    <t>بازده صندوق از ابتداي سال تا کنون (%)</t>
  </si>
  <si>
    <t>بازده صندوق در سال 89 (%)</t>
  </si>
  <si>
    <t>بازده صندوق از ابتداي تأسيس صندوق تاکنون (%)</t>
  </si>
  <si>
    <t>تعداد سرمايه گذاران حقيقي</t>
  </si>
  <si>
    <t>تملك از كل سرمايه گذاران حقيقي(%)</t>
  </si>
  <si>
    <t>تعداد سرمايه گذاران حقوقي</t>
  </si>
  <si>
    <t>تملك از كل سرمايه گذاران حقوقي(%)</t>
  </si>
  <si>
    <t>کارآفرین</t>
  </si>
  <si>
    <t>در اوراق بهادار با درآمد ثابت</t>
  </si>
  <si>
    <t>کارگزاری بانک کارآفرین</t>
  </si>
  <si>
    <t>1386/04/23</t>
  </si>
  <si>
    <t>آتيه نوين</t>
  </si>
  <si>
    <t>تأمین سرمایه نوین</t>
  </si>
  <si>
    <t>1388/12/26</t>
  </si>
  <si>
    <t>نوين سامان</t>
  </si>
  <si>
    <t>1388/10/21</t>
  </si>
  <si>
    <t xml:space="preserve">یکم کارگزاری بانک کشاورزي </t>
  </si>
  <si>
    <t>کارگزاری بانک کشاورزی</t>
  </si>
  <si>
    <t>-</t>
  </si>
  <si>
    <t>1389/12/25</t>
  </si>
  <si>
    <t>امین ملت</t>
  </si>
  <si>
    <t>تأمین سرمایه امین</t>
  </si>
  <si>
    <t>1389/02/19</t>
  </si>
  <si>
    <t>کل اوراق بهادار با درآمد ثابت(جمع/ میانگین ساده)</t>
  </si>
  <si>
    <t>يكم ايرانيان</t>
  </si>
  <si>
    <t>در سهام و در اندازه بزرگ</t>
  </si>
  <si>
    <t>1387/11/14</t>
  </si>
  <si>
    <t>مهر ايرانيان</t>
  </si>
  <si>
    <t>1388/10/07</t>
  </si>
  <si>
    <t>ممتاز</t>
  </si>
  <si>
    <t>کارگزاری مفید</t>
  </si>
  <si>
    <t>1388/11/27</t>
  </si>
  <si>
    <t>امين گلوبال</t>
  </si>
  <si>
    <t>1388/04/02</t>
  </si>
  <si>
    <t>کل صندوقهای سرمایه گذاری در سهام در اندازه بزرگ(جمع/ میانگین ساده)</t>
  </si>
  <si>
    <t>شاخصی کارآفرين</t>
  </si>
  <si>
    <t>شاخصی و در اندازه بزرگ</t>
  </si>
  <si>
    <t>1389/12/24</t>
  </si>
  <si>
    <t>کل صندوق شاخصی</t>
  </si>
  <si>
    <t>آگاه</t>
  </si>
  <si>
    <t>در سهام و در اندازه کوچک</t>
  </si>
  <si>
    <t>کارگزاری آگاه</t>
  </si>
  <si>
    <t>1387/05/16</t>
  </si>
  <si>
    <t>پیشتاز</t>
  </si>
  <si>
    <t>1387/02/24</t>
  </si>
  <si>
    <t>بورسيران</t>
  </si>
  <si>
    <t>کارگزاری بورسیران</t>
  </si>
  <si>
    <t>1388/04/27</t>
  </si>
  <si>
    <t>عقيق</t>
  </si>
  <si>
    <t>1389/12/06</t>
  </si>
  <si>
    <t>پويا</t>
  </si>
  <si>
    <t>کارگزاری نهایت نگر</t>
  </si>
  <si>
    <t>1387/01/05</t>
  </si>
  <si>
    <t>بانك ملي</t>
  </si>
  <si>
    <t>کارگزاری بانک ملی</t>
  </si>
  <si>
    <t>1387/02/21</t>
  </si>
  <si>
    <t>فارابي</t>
  </si>
  <si>
    <t>کارگزاری فارابی</t>
  </si>
  <si>
    <t>1388/09/02</t>
  </si>
  <si>
    <t>فيروزه</t>
  </si>
  <si>
    <t>کارگزاری بانک اقتصاد نوین</t>
  </si>
  <si>
    <t>1389/05/24</t>
  </si>
  <si>
    <t>بورس بيمه</t>
  </si>
  <si>
    <t>کارگزاری بورس بیمه</t>
  </si>
  <si>
    <t>1388/02/26</t>
  </si>
  <si>
    <t>گنجینه بهمن</t>
  </si>
  <si>
    <t>کارگزاری بهمن</t>
  </si>
  <si>
    <t>1389/01/30</t>
  </si>
  <si>
    <t>نوين</t>
  </si>
  <si>
    <t>کارگزاری تأمین سرمایه نوین</t>
  </si>
  <si>
    <t>پارس</t>
  </si>
  <si>
    <t>کارگزاری آبان</t>
  </si>
  <si>
    <t>1388/12/24</t>
  </si>
  <si>
    <t>بانك اقتصاد نوين</t>
  </si>
  <si>
    <t>1387/10/02</t>
  </si>
  <si>
    <t>سهم آشنا</t>
  </si>
  <si>
    <t>کارگزاری سهم آشنا</t>
  </si>
  <si>
    <t>1387/02/03</t>
  </si>
  <si>
    <t>تدبيرگران فردا</t>
  </si>
  <si>
    <t>کارگزاری تدبیرگران فردا</t>
  </si>
  <si>
    <t>1389/09/09</t>
  </si>
  <si>
    <t>حافظ</t>
  </si>
  <si>
    <t>کارگزاری حافظ</t>
  </si>
  <si>
    <t>بانك صادرات</t>
  </si>
  <si>
    <t>کارگزاری بانک صادرات</t>
  </si>
  <si>
    <t>1387/01/11</t>
  </si>
  <si>
    <t>اميد ايرانيان</t>
  </si>
  <si>
    <t>1389/05/04</t>
  </si>
  <si>
    <t>بورس 24</t>
  </si>
  <si>
    <t>1389/02/12</t>
  </si>
  <si>
    <t>نوانديشان بازار سرمايه</t>
  </si>
  <si>
    <t>کارگزاری نواندیشان بازارسرمایه</t>
  </si>
  <si>
    <t>1389/2/13</t>
  </si>
  <si>
    <t>بانک کشاورزي</t>
  </si>
  <si>
    <t>1389/04/20</t>
  </si>
  <si>
    <t>ارگ</t>
  </si>
  <si>
    <t>کارگزاری ارگ هومن</t>
  </si>
  <si>
    <t>1389/07/20</t>
  </si>
  <si>
    <t>نقش جهان</t>
  </si>
  <si>
    <t>کارگزاری اردیبهشت ایرانیان</t>
  </si>
  <si>
    <t>خبرگان سهام</t>
  </si>
  <si>
    <t>کارگزاری خبرگان سهام</t>
  </si>
  <si>
    <t>1387/02/07</t>
  </si>
  <si>
    <t>بيمه دي</t>
  </si>
  <si>
    <t>راهنما</t>
  </si>
  <si>
    <t>کارگزاری راهنمای سرمایه گذاران</t>
  </si>
  <si>
    <t>1389/10/08</t>
  </si>
  <si>
    <t>بانك پاسارگاد</t>
  </si>
  <si>
    <t>کارگزاری بانک پاسارگاد</t>
  </si>
  <si>
    <t>1387/06/11</t>
  </si>
  <si>
    <t>بانك تجارت</t>
  </si>
  <si>
    <t>کارگزاری بانک تجارت</t>
  </si>
  <si>
    <t>1387/05/21</t>
  </si>
  <si>
    <t>آپادانا</t>
  </si>
  <si>
    <t>کارگزاری آپادانا</t>
  </si>
  <si>
    <t>امين کارآفرين</t>
  </si>
  <si>
    <t>1388/08/24</t>
  </si>
  <si>
    <t>صنعت و معدن</t>
  </si>
  <si>
    <t>کارگزاری بانک صنعت و معدن</t>
  </si>
  <si>
    <t>1388/04/09</t>
  </si>
  <si>
    <t>رفاه</t>
  </si>
  <si>
    <t>کارگزاری بانک رفاه</t>
  </si>
  <si>
    <t>1389/04/16</t>
  </si>
  <si>
    <t>سينا</t>
  </si>
  <si>
    <t>کارگزاری بهگزین</t>
  </si>
  <si>
    <t>1389/11/11</t>
  </si>
  <si>
    <t>رضوي</t>
  </si>
  <si>
    <t>کارگزاری رضوی</t>
  </si>
  <si>
    <t>1388/07/05</t>
  </si>
  <si>
    <t>بانک مسکن</t>
  </si>
  <si>
    <t>کارگزاری بانک مسکن</t>
  </si>
  <si>
    <t>1388/12/16</t>
  </si>
  <si>
    <t>پيشگام</t>
  </si>
  <si>
    <t>کارگزاری سرمایه گذاری ملی ایران</t>
  </si>
  <si>
    <t>1388/04/28</t>
  </si>
  <si>
    <t>صبا</t>
  </si>
  <si>
    <t>کارگزاری صباتأمین</t>
  </si>
  <si>
    <t>ایساتیس</t>
  </si>
  <si>
    <t>کارگزاری ایساتیس پویا</t>
  </si>
  <si>
    <t>1388/11/28</t>
  </si>
  <si>
    <t>تدبيرگر سرمايه</t>
  </si>
  <si>
    <t>کارگزاری تدبیرگر سرمایه</t>
  </si>
  <si>
    <t>1389/12/16</t>
  </si>
  <si>
    <t>اميد سهم</t>
  </si>
  <si>
    <t>کارگزاری امید سهم</t>
  </si>
  <si>
    <t>1389/12/23</t>
  </si>
  <si>
    <t>آرين</t>
  </si>
  <si>
    <t>کارگزاری آراد ایرانیان(گلچین)</t>
  </si>
  <si>
    <t>1387/03/18</t>
  </si>
  <si>
    <t>کاسپين مهر ايرانيان</t>
  </si>
  <si>
    <t>کارگزاری کاسپین مهر ایرانیان</t>
  </si>
  <si>
    <t>1387/05/05</t>
  </si>
  <si>
    <t>شاداب</t>
  </si>
  <si>
    <t>کارگزاری راهبرد سهام</t>
  </si>
  <si>
    <t>1387/06/03</t>
  </si>
  <si>
    <t>کل صندوقهای سرمایه گذاری در سهام در اندازه کوچک(جمع/ میانگین ساده)</t>
  </si>
  <si>
    <t xml:space="preserve">کل 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</si>
</sst>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  <family val="2"/>
      <scheme val="minor"/>
    </font>
    <font>
      <sz val="28"/>
      <name val="Arial"/>
      <family val="2"/>
    </font>
    <font>
      <sz val="28"/>
      <name val="B Titr"/>
      <charset val="178"/>
    </font>
    <font>
      <b/>
      <sz val="14"/>
      <name val="B Zar"/>
      <charset val="178"/>
    </font>
    <font>
      <b/>
      <sz val="14"/>
      <name val="Arial"/>
      <family val="2"/>
    </font>
    <font>
      <sz val="11"/>
      <name val="B Zar"/>
      <charset val="178"/>
    </font>
    <font>
      <sz val="18"/>
      <name val="B Zar"/>
      <charset val="178"/>
    </font>
    <font>
      <sz val="14"/>
      <name val="B Zar"/>
      <charset val="178"/>
    </font>
    <font>
      <sz val="16"/>
      <name val="B Zar"/>
      <charset val="178"/>
    </font>
    <font>
      <sz val="20"/>
      <name val="B Zar"/>
      <charset val="178"/>
    </font>
    <font>
      <b/>
      <sz val="10"/>
      <name val="Arial"/>
      <family val="2"/>
    </font>
    <font>
      <sz val="12"/>
      <name val="B Zar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7" fillId="3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" fontId="6" fillId="4" borderId="5" xfId="0" applyNumberFormat="1" applyFont="1" applyFill="1" applyBorder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5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>
      <alignment horizontal="center" vertical="center"/>
    </xf>
    <xf numFmtId="3" fontId="9" fillId="2" borderId="5" xfId="0" applyNumberFormat="1" applyFont="1" applyFill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3" fontId="8" fillId="5" borderId="5" xfId="0" applyNumberFormat="1" applyFont="1" applyFill="1" applyBorder="1" applyAlignment="1">
      <alignment horizontal="center" vertical="center"/>
    </xf>
    <xf numFmtId="3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" fontId="6" fillId="5" borderId="5" xfId="0" applyNumberFormat="1" applyFont="1" applyFill="1" applyBorder="1" applyAlignment="1">
      <alignment horizontal="center" vertical="center"/>
    </xf>
    <xf numFmtId="3" fontId="9" fillId="5" borderId="5" xfId="0" applyNumberFormat="1" applyFont="1" applyFill="1" applyBorder="1" applyAlignment="1">
      <alignment horizontal="center" vertical="center"/>
    </xf>
    <xf numFmtId="2" fontId="9" fillId="5" borderId="5" xfId="0" applyNumberFormat="1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1" fontId="9" fillId="5" borderId="6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6" fillId="3" borderId="5" xfId="0" applyFont="1" applyFill="1" applyBorder="1" applyAlignment="1">
      <alignment horizontal="right" vertical="center"/>
    </xf>
    <xf numFmtId="0" fontId="0" fillId="0" borderId="0" xfId="0" applyAlignment="1">
      <alignment vertical="top"/>
    </xf>
    <xf numFmtId="4" fontId="9" fillId="5" borderId="5" xfId="0" applyNumberFormat="1" applyFont="1" applyFill="1" applyBorder="1" applyAlignment="1">
      <alignment horizontal="center" vertical="center"/>
    </xf>
    <xf numFmtId="2" fontId="9" fillId="5" borderId="5" xfId="0" applyNumberFormat="1" applyFont="1" applyFill="1" applyBorder="1" applyAlignment="1">
      <alignment horizontal="center" vertical="center"/>
    </xf>
    <xf numFmtId="0" fontId="9" fillId="5" borderId="5" xfId="0" applyNumberFormat="1" applyFont="1" applyFill="1" applyBorder="1" applyAlignment="1">
      <alignment horizontal="center" vertical="center"/>
    </xf>
    <xf numFmtId="1" fontId="9" fillId="5" borderId="6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3" fontId="6" fillId="3" borderId="5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3" fontId="9" fillId="3" borderId="5" xfId="0" applyNumberFormat="1" applyFont="1" applyFill="1" applyBorder="1" applyAlignment="1">
      <alignment horizontal="center" vertical="center"/>
    </xf>
    <xf numFmtId="0" fontId="9" fillId="3" borderId="5" xfId="0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1" fontId="9" fillId="3" borderId="5" xfId="0" applyNumberFormat="1" applyFont="1" applyFill="1" applyBorder="1" applyAlignment="1">
      <alignment horizontal="center" vertical="center"/>
    </xf>
    <xf numFmtId="0" fontId="9" fillId="3" borderId="6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right" vertical="center"/>
    </xf>
    <xf numFmtId="1" fontId="9" fillId="5" borderId="5" xfId="0" applyNumberFormat="1" applyFont="1" applyFill="1" applyBorder="1" applyAlignment="1">
      <alignment horizontal="center" vertical="center"/>
    </xf>
    <xf numFmtId="0" fontId="9" fillId="5" borderId="6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3" fontId="6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3" fontId="6" fillId="5" borderId="10" xfId="0" applyNumberFormat="1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3" fontId="9" fillId="5" borderId="10" xfId="0" applyNumberFormat="1" applyFont="1" applyFill="1" applyBorder="1" applyAlignment="1">
      <alignment horizontal="center" vertical="center"/>
    </xf>
    <xf numFmtId="2" fontId="9" fillId="5" borderId="10" xfId="0" applyNumberFormat="1" applyFont="1" applyFill="1" applyBorder="1" applyAlignment="1">
      <alignment horizontal="center" vertical="center"/>
    </xf>
    <xf numFmtId="1" fontId="9" fillId="5" borderId="10" xfId="0" applyNumberFormat="1" applyFont="1" applyFill="1" applyBorder="1" applyAlignment="1">
      <alignment horizontal="center" vertical="center" wrapText="1"/>
    </xf>
    <xf numFmtId="1" fontId="9" fillId="5" borderId="1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4" xfId="0" applyNumberFormat="1" applyFont="1" applyFill="1" applyBorder="1" applyAlignment="1">
      <alignment horizontal="center" vertical="center" wrapText="1"/>
    </xf>
    <xf numFmtId="0" fontId="6" fillId="5" borderId="5" xfId="0" applyNumberFormat="1" applyFont="1" applyFill="1" applyBorder="1" applyAlignment="1">
      <alignment horizontal="center" vertical="center" wrapText="1"/>
    </xf>
    <xf numFmtId="0" fontId="6" fillId="5" borderId="9" xfId="0" applyNumberFormat="1" applyFont="1" applyFill="1" applyBorder="1" applyAlignment="1">
      <alignment horizontal="center" vertical="center" wrapText="1"/>
    </xf>
    <xf numFmtId="0" fontId="6" fillId="5" borderId="1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F1:AI60"/>
  <sheetViews>
    <sheetView rightToLeft="1" tabSelected="1" topLeftCell="Y1" workbookViewId="0">
      <selection activeCell="AD3" sqref="AD3"/>
    </sheetView>
  </sheetViews>
  <sheetFormatPr defaultRowHeight="21"/>
  <cols>
    <col min="6" max="6" width="6.125" bestFit="1" customWidth="1"/>
    <col min="7" max="7" width="31.125" style="84" bestFit="1" customWidth="1"/>
    <col min="8" max="8" width="27" style="84" bestFit="1" customWidth="1"/>
    <col min="9" max="9" width="28.625" style="84" bestFit="1" customWidth="1"/>
    <col min="10" max="10" width="26.875" style="84" customWidth="1"/>
    <col min="11" max="11" width="24.5" customWidth="1"/>
    <col min="12" max="12" width="16.625" customWidth="1"/>
    <col min="13" max="13" width="17.125" style="85" customWidth="1"/>
    <col min="14" max="14" width="15" hidden="1" customWidth="1"/>
    <col min="15" max="15" width="21" customWidth="1"/>
    <col min="16" max="16" width="21.125" style="86" customWidth="1"/>
    <col min="17" max="17" width="25" style="86" customWidth="1"/>
    <col min="18" max="18" width="21.875" customWidth="1"/>
    <col min="19" max="19" width="16.75" customWidth="1"/>
    <col min="20" max="20" width="14.875" customWidth="1"/>
    <col min="21" max="21" width="14.375" customWidth="1"/>
    <col min="22" max="22" width="16.625" customWidth="1"/>
    <col min="23" max="23" width="13.875" customWidth="1"/>
    <col min="24" max="24" width="15.625" style="87" hidden="1" customWidth="1"/>
    <col min="25" max="25" width="17.375" style="87" customWidth="1"/>
    <col min="26" max="26" width="15.75" style="85" customWidth="1"/>
    <col min="27" max="27" width="16.375" style="85" customWidth="1"/>
    <col min="28" max="28" width="3.875" style="85" hidden="1" customWidth="1"/>
    <col min="29" max="29" width="15.25" customWidth="1"/>
    <col min="30" max="30" width="18" customWidth="1"/>
  </cols>
  <sheetData>
    <row r="1" spans="6:35" s="1" customFormat="1" ht="56.25" thickBot="1">
      <c r="G1" s="92" t="s">
        <v>0</v>
      </c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</row>
    <row r="2" spans="6:35" s="7" customFormat="1" ht="72.75" customHeight="1">
      <c r="F2" s="2" t="s">
        <v>1</v>
      </c>
      <c r="G2" s="3" t="s">
        <v>2</v>
      </c>
      <c r="H2" s="3" t="s">
        <v>3</v>
      </c>
      <c r="I2" s="3" t="s">
        <v>4</v>
      </c>
      <c r="J2" s="4" t="s">
        <v>5</v>
      </c>
      <c r="K2" s="4" t="s">
        <v>6</v>
      </c>
      <c r="L2" s="4" t="s">
        <v>7</v>
      </c>
      <c r="M2" s="4" t="s">
        <v>8</v>
      </c>
      <c r="N2" s="4"/>
      <c r="O2" s="4" t="s">
        <v>9</v>
      </c>
      <c r="P2" s="4" t="s">
        <v>10</v>
      </c>
      <c r="Q2" s="4" t="s">
        <v>11</v>
      </c>
      <c r="R2" s="4" t="s">
        <v>12</v>
      </c>
      <c r="S2" s="4" t="s">
        <v>13</v>
      </c>
      <c r="T2" s="4" t="s">
        <v>14</v>
      </c>
      <c r="U2" s="4" t="s">
        <v>15</v>
      </c>
      <c r="V2" s="4" t="s">
        <v>16</v>
      </c>
      <c r="W2" s="4" t="s">
        <v>17</v>
      </c>
      <c r="X2" s="5"/>
      <c r="Y2" s="5" t="s">
        <v>18</v>
      </c>
      <c r="Z2" s="4" t="s">
        <v>19</v>
      </c>
      <c r="AA2" s="4" t="s">
        <v>20</v>
      </c>
      <c r="AB2" s="4"/>
      <c r="AC2" s="4" t="s">
        <v>21</v>
      </c>
      <c r="AD2" s="6" t="s">
        <v>22</v>
      </c>
    </row>
    <row r="3" spans="6:35" ht="34.5">
      <c r="F3" s="8">
        <v>1</v>
      </c>
      <c r="G3" s="9" t="s">
        <v>23</v>
      </c>
      <c r="H3" s="10" t="s">
        <v>24</v>
      </c>
      <c r="I3" s="11" t="s">
        <v>25</v>
      </c>
      <c r="J3" s="12">
        <v>1410419</v>
      </c>
      <c r="K3" s="12">
        <f>(R3*P3)/1000000</f>
        <v>1501156.418936</v>
      </c>
      <c r="L3" s="13" t="s">
        <v>26</v>
      </c>
      <c r="M3" s="14">
        <v>43.333333333333336</v>
      </c>
      <c r="N3" s="13">
        <f>O3/30</f>
        <v>43.333333333333336</v>
      </c>
      <c r="O3" s="14">
        <v>1300</v>
      </c>
      <c r="P3" s="15">
        <v>1455736</v>
      </c>
      <c r="Q3" s="15">
        <v>1029610</v>
      </c>
      <c r="R3" s="15">
        <v>1031201</v>
      </c>
      <c r="S3" s="16">
        <f>((R3-1027817)/1021817)*100</f>
        <v>0.33117476025550563</v>
      </c>
      <c r="T3" s="16">
        <f>((R3-1016420)/1016420)*100</f>
        <v>1.4542216800141674</v>
      </c>
      <c r="U3" s="16">
        <f>((R3-1030679)+42360)/1030679*100</f>
        <v>4.1605582339409271</v>
      </c>
      <c r="V3" s="16">
        <f>((R3-1030679)+42310+43805+43618+42360)/1030679*100</f>
        <v>16.747697391719441</v>
      </c>
      <c r="W3" s="16">
        <f>((R3-1029610)+42310+43805+43618+42360)/1029610*100</f>
        <v>16.868911529608297</v>
      </c>
      <c r="X3" s="16"/>
      <c r="Y3" s="16">
        <v>62.32</v>
      </c>
      <c r="Z3" s="17">
        <v>3358</v>
      </c>
      <c r="AA3" s="17">
        <v>92</v>
      </c>
      <c r="AB3" s="17">
        <f>(AA3*K3)/$K$8</f>
        <v>30.543823495755536</v>
      </c>
      <c r="AC3" s="18">
        <v>34</v>
      </c>
      <c r="AD3" s="19">
        <v>8</v>
      </c>
    </row>
    <row r="4" spans="6:35" ht="34.5">
      <c r="F4" s="20">
        <v>2</v>
      </c>
      <c r="G4" s="21" t="s">
        <v>27</v>
      </c>
      <c r="H4" s="22" t="s">
        <v>24</v>
      </c>
      <c r="I4" s="23" t="s">
        <v>28</v>
      </c>
      <c r="J4" s="24">
        <v>142999.41135899999</v>
      </c>
      <c r="K4" s="24">
        <v>966022.04195099999</v>
      </c>
      <c r="L4" s="25" t="s">
        <v>29</v>
      </c>
      <c r="M4" s="26">
        <v>12.233333333333333</v>
      </c>
      <c r="N4" s="13">
        <f t="shared" ref="N4:N60" si="0">O4/30</f>
        <v>12.233333333333333</v>
      </c>
      <c r="O4" s="26">
        <v>367</v>
      </c>
      <c r="P4" s="27">
        <v>926562</v>
      </c>
      <c r="Q4" s="27">
        <v>1000906</v>
      </c>
      <c r="R4" s="27">
        <v>1042588</v>
      </c>
      <c r="S4" s="28">
        <v>0.28999999999999998</v>
      </c>
      <c r="T4" s="28">
        <v>1.41</v>
      </c>
      <c r="U4" s="29">
        <f>(((R4-1045276)+44713)/1045276)*100</f>
        <v>4.0204692349197728</v>
      </c>
      <c r="V4" s="29">
        <f>(((R4-1000906)+46203+45417+44713)/1000906)*100</f>
        <v>17.785386439885464</v>
      </c>
      <c r="W4" s="29">
        <f>(((R4-1001258)+46203+45417+44713)/1001258)*100</f>
        <v>17.74397807558092</v>
      </c>
      <c r="X4" s="29"/>
      <c r="Y4" s="29">
        <f>(((R4-1000000)+46203+45417+44713)/1000000)*100</f>
        <v>17.892099999999999</v>
      </c>
      <c r="Z4" s="30">
        <v>1261</v>
      </c>
      <c r="AA4" s="30">
        <v>66</v>
      </c>
      <c r="AB4" s="30">
        <f>(AA4*K4)/$K$8</f>
        <v>14.100697566214341</v>
      </c>
      <c r="AC4" s="28">
        <v>35</v>
      </c>
      <c r="AD4" s="31">
        <v>34</v>
      </c>
    </row>
    <row r="5" spans="6:35" ht="34.5">
      <c r="F5" s="8">
        <v>3</v>
      </c>
      <c r="G5" s="9" t="s">
        <v>30</v>
      </c>
      <c r="H5" s="10" t="s">
        <v>24</v>
      </c>
      <c r="I5" s="32" t="s">
        <v>28</v>
      </c>
      <c r="J5" s="12">
        <v>275576.728099</v>
      </c>
      <c r="K5" s="12">
        <v>994125.24502000003</v>
      </c>
      <c r="L5" s="13" t="s">
        <v>31</v>
      </c>
      <c r="M5" s="14">
        <v>14.4</v>
      </c>
      <c r="N5" s="13">
        <f t="shared" si="0"/>
        <v>14.4</v>
      </c>
      <c r="O5" s="14">
        <v>432</v>
      </c>
      <c r="P5" s="15">
        <v>953379</v>
      </c>
      <c r="Q5" s="15">
        <v>1033265</v>
      </c>
      <c r="R5" s="15">
        <v>1042739</v>
      </c>
      <c r="S5" s="18">
        <v>0.3</v>
      </c>
      <c r="T5" s="18">
        <v>1.46</v>
      </c>
      <c r="U5" s="16">
        <f>(((R5-1045276)+46320)/1045276)*100</f>
        <v>4.1886544797737635</v>
      </c>
      <c r="V5" s="16">
        <f>(((R5-1033265)+34747+45890+46716+46320)/1033265)*100</f>
        <v>17.725075367887229</v>
      </c>
      <c r="W5" s="16">
        <f>(((R5-1034244)+34747+45890+46716+46320)/1034244)*100</f>
        <v>17.613638561113238</v>
      </c>
      <c r="X5" s="16"/>
      <c r="Y5" s="16">
        <f>(((R5-1000000)+34747+45890+46716+46320)/1000000)*100</f>
        <v>21.641199999999998</v>
      </c>
      <c r="Z5" s="17">
        <v>1993</v>
      </c>
      <c r="AA5" s="17">
        <v>90</v>
      </c>
      <c r="AB5" s="17">
        <f>(AA5*K5)/$K$8</f>
        <v>19.78760527129705</v>
      </c>
      <c r="AC5" s="18">
        <v>13</v>
      </c>
      <c r="AD5" s="19">
        <v>10</v>
      </c>
    </row>
    <row r="6" spans="6:35" ht="34.5">
      <c r="F6" s="20">
        <v>4</v>
      </c>
      <c r="G6" s="21" t="s">
        <v>32</v>
      </c>
      <c r="H6" s="22" t="s">
        <v>24</v>
      </c>
      <c r="I6" s="23" t="s">
        <v>33</v>
      </c>
      <c r="J6" s="24" t="s">
        <v>34</v>
      </c>
      <c r="K6" s="24">
        <v>636500.38199000002</v>
      </c>
      <c r="L6" s="25" t="s">
        <v>35</v>
      </c>
      <c r="M6" s="26" t="s">
        <v>34</v>
      </c>
      <c r="N6" s="13" t="e">
        <f t="shared" si="0"/>
        <v>#VALUE!</v>
      </c>
      <c r="O6" s="26" t="s">
        <v>34</v>
      </c>
      <c r="P6" s="27">
        <v>635622</v>
      </c>
      <c r="Q6" s="27" t="s">
        <v>34</v>
      </c>
      <c r="R6" s="27">
        <v>1001382</v>
      </c>
      <c r="S6" s="28">
        <v>0.14000000000000001</v>
      </c>
      <c r="T6" s="28" t="s">
        <v>34</v>
      </c>
      <c r="U6" s="29" t="s">
        <v>34</v>
      </c>
      <c r="V6" s="29" t="s">
        <v>34</v>
      </c>
      <c r="W6" s="29" t="s">
        <v>34</v>
      </c>
      <c r="X6" s="29"/>
      <c r="Y6" s="29">
        <v>0.14000000000000001</v>
      </c>
      <c r="Z6" s="30">
        <v>119</v>
      </c>
      <c r="AA6" s="30">
        <v>14</v>
      </c>
      <c r="AB6" s="30">
        <f>(AA6*K6)/$K$8</f>
        <v>1.9707717611501576</v>
      </c>
      <c r="AC6" s="28">
        <v>16</v>
      </c>
      <c r="AD6" s="31">
        <v>86</v>
      </c>
    </row>
    <row r="7" spans="6:35" ht="34.5">
      <c r="F7" s="8">
        <v>5</v>
      </c>
      <c r="G7" s="33" t="s">
        <v>36</v>
      </c>
      <c r="H7" s="10" t="s">
        <v>24</v>
      </c>
      <c r="I7" s="32" t="s">
        <v>37</v>
      </c>
      <c r="J7" s="12" t="s">
        <v>34</v>
      </c>
      <c r="K7" s="12">
        <v>423777.51963499998</v>
      </c>
      <c r="L7" s="13" t="s">
        <v>38</v>
      </c>
      <c r="M7" s="14">
        <v>10.466666666666667</v>
      </c>
      <c r="N7" s="13">
        <f t="shared" si="0"/>
        <v>10.466666666666667</v>
      </c>
      <c r="O7" s="14">
        <v>314</v>
      </c>
      <c r="P7" s="15">
        <v>399835</v>
      </c>
      <c r="Q7" s="15" t="s">
        <v>34</v>
      </c>
      <c r="R7" s="15">
        <v>1059881</v>
      </c>
      <c r="S7" s="16">
        <f>((R7-1047577)/1047577)*100</f>
        <v>1.1745198682292566</v>
      </c>
      <c r="T7" s="16">
        <f>((R7-1035753)/1035753)*100</f>
        <v>2.329512924413446</v>
      </c>
      <c r="U7" s="16">
        <f>((R7-1042908)+45178)/1042908*100</f>
        <v>5.9593943089898627</v>
      </c>
      <c r="V7" s="16">
        <f>((R7-1000000)+20744+50770+45178)/1000000*100</f>
        <v>17.657299999999999</v>
      </c>
      <c r="W7" s="34" t="s">
        <v>34</v>
      </c>
      <c r="X7" s="35"/>
      <c r="Y7" s="16">
        <f>((R7-1000000)+20744+50770+45178)/1000000*100</f>
        <v>17.657299999999999</v>
      </c>
      <c r="Z7" s="36">
        <v>292</v>
      </c>
      <c r="AA7" s="36">
        <v>40</v>
      </c>
      <c r="AB7" s="17">
        <f>(AA7*K7)/$K$8</f>
        <v>3.748931736002076</v>
      </c>
      <c r="AC7" s="36">
        <v>16</v>
      </c>
      <c r="AD7" s="37">
        <v>60</v>
      </c>
      <c r="AE7" s="38"/>
      <c r="AF7" s="93"/>
      <c r="AG7" s="93"/>
      <c r="AH7" s="93"/>
      <c r="AI7" s="93"/>
    </row>
    <row r="8" spans="6:35" ht="34.5" customHeight="1">
      <c r="F8" s="88" t="s">
        <v>39</v>
      </c>
      <c r="G8" s="89"/>
      <c r="H8" s="39" t="s">
        <v>34</v>
      </c>
      <c r="I8" s="40" t="s">
        <v>34</v>
      </c>
      <c r="J8" s="41">
        <f>SUM(J3:J7)</f>
        <v>1828995.139458</v>
      </c>
      <c r="K8" s="42">
        <f>SUM(K3:K7)</f>
        <v>4521581.6075320002</v>
      </c>
      <c r="L8" s="43" t="s">
        <v>34</v>
      </c>
      <c r="M8" s="44">
        <v>43.333333333333336</v>
      </c>
      <c r="N8" s="13">
        <f t="shared" si="0"/>
        <v>43.333333333333336</v>
      </c>
      <c r="O8" s="44">
        <v>1300</v>
      </c>
      <c r="P8" s="45">
        <f>SUM(P3:P7)</f>
        <v>4371134</v>
      </c>
      <c r="Q8" s="45">
        <f t="shared" ref="Q8:Y8" si="1">AVERAGE(Q3:Q7)</f>
        <v>1021260.3333333334</v>
      </c>
      <c r="R8" s="45">
        <f t="shared" si="1"/>
        <v>1035558.2</v>
      </c>
      <c r="S8" s="46">
        <f t="shared" si="1"/>
        <v>0.44713892569695241</v>
      </c>
      <c r="T8" s="46">
        <f t="shared" si="1"/>
        <v>1.6634336511069034</v>
      </c>
      <c r="U8" s="46">
        <f t="shared" si="1"/>
        <v>4.5822690644060815</v>
      </c>
      <c r="V8" s="46">
        <f t="shared" si="1"/>
        <v>17.478864799873033</v>
      </c>
      <c r="W8" s="46">
        <f t="shared" si="1"/>
        <v>17.408842722100818</v>
      </c>
      <c r="X8" s="46"/>
      <c r="Y8" s="46">
        <f t="shared" si="1"/>
        <v>23.930119999999999</v>
      </c>
      <c r="Z8" s="47">
        <f>SUM(Z3:Z7)</f>
        <v>7023</v>
      </c>
      <c r="AA8" s="47">
        <f>AB8</f>
        <v>70.15182983041916</v>
      </c>
      <c r="AB8" s="47">
        <f>SUM(AB3:AB7)</f>
        <v>70.15182983041916</v>
      </c>
      <c r="AC8" s="47">
        <f>SUM(AC3:AC7)</f>
        <v>114</v>
      </c>
      <c r="AD8" s="48">
        <f>100-AA8</f>
        <v>29.84817016958084</v>
      </c>
      <c r="AE8" s="38"/>
      <c r="AF8" s="49"/>
      <c r="AG8" s="49"/>
      <c r="AH8" s="49"/>
      <c r="AI8" s="49"/>
    </row>
    <row r="9" spans="6:35" ht="34.5">
      <c r="F9" s="20">
        <v>6</v>
      </c>
      <c r="G9" s="21" t="s">
        <v>40</v>
      </c>
      <c r="H9" s="21" t="s">
        <v>41</v>
      </c>
      <c r="I9" s="23" t="s">
        <v>28</v>
      </c>
      <c r="J9" s="24">
        <v>575865.18983299995</v>
      </c>
      <c r="K9" s="24">
        <v>837401.21799799998</v>
      </c>
      <c r="L9" s="24" t="s">
        <v>42</v>
      </c>
      <c r="M9" s="26">
        <v>25.833333333333332</v>
      </c>
      <c r="N9" s="13">
        <f t="shared" si="0"/>
        <v>25.833333333333332</v>
      </c>
      <c r="O9" s="25">
        <v>775</v>
      </c>
      <c r="P9" s="27">
        <v>498727</v>
      </c>
      <c r="Q9" s="27">
        <v>1263794</v>
      </c>
      <c r="R9" s="27">
        <v>1679078</v>
      </c>
      <c r="S9" s="28">
        <v>1.72</v>
      </c>
      <c r="T9" s="28">
        <v>2.56</v>
      </c>
      <c r="U9" s="28">
        <v>8.85</v>
      </c>
      <c r="V9" s="28">
        <v>32.69</v>
      </c>
      <c r="W9" s="28">
        <v>32.729999999999997</v>
      </c>
      <c r="X9" s="29">
        <f>((R9-1000000)/1000000)*100</f>
        <v>67.907799999999995</v>
      </c>
      <c r="Y9" s="29">
        <v>67.907799999999995</v>
      </c>
      <c r="Z9" s="30">
        <v>997</v>
      </c>
      <c r="AA9" s="30">
        <v>65</v>
      </c>
      <c r="AB9" s="30">
        <f>(AA9*K9)/$K$13</f>
        <v>23.266411753705299</v>
      </c>
      <c r="AC9" s="28">
        <v>43</v>
      </c>
      <c r="AD9" s="31">
        <v>35</v>
      </c>
    </row>
    <row r="10" spans="6:35" ht="34.5">
      <c r="F10" s="8">
        <v>7</v>
      </c>
      <c r="G10" s="9" t="s">
        <v>43</v>
      </c>
      <c r="H10" s="50" t="s">
        <v>41</v>
      </c>
      <c r="I10" s="32" t="s">
        <v>28</v>
      </c>
      <c r="J10" s="12">
        <v>95807.785422999994</v>
      </c>
      <c r="K10" s="12">
        <v>689439.85379600001</v>
      </c>
      <c r="L10" s="13" t="s">
        <v>44</v>
      </c>
      <c r="M10" s="14">
        <v>14.866666666666667</v>
      </c>
      <c r="N10" s="13">
        <f t="shared" si="0"/>
        <v>14.866666666666667</v>
      </c>
      <c r="O10" s="14">
        <v>446</v>
      </c>
      <c r="P10" s="15">
        <v>498541</v>
      </c>
      <c r="Q10" s="15">
        <v>1050351</v>
      </c>
      <c r="R10" s="15">
        <v>1382915</v>
      </c>
      <c r="S10" s="18">
        <v>1.47</v>
      </c>
      <c r="T10" s="18">
        <v>2.2599999999999998</v>
      </c>
      <c r="U10" s="18">
        <v>9.2200000000000006</v>
      </c>
      <c r="V10" s="18">
        <v>31.44</v>
      </c>
      <c r="W10" s="18">
        <v>31.48</v>
      </c>
      <c r="X10" s="29">
        <f t="shared" ref="X10:X60" si="2">((R10-1000000)/1000000)*100</f>
        <v>38.291499999999999</v>
      </c>
      <c r="Y10" s="16">
        <v>38.291499999999999</v>
      </c>
      <c r="Z10" s="17">
        <v>525</v>
      </c>
      <c r="AA10" s="17">
        <v>75</v>
      </c>
      <c r="AB10" s="17">
        <f>(AA10*K10)/$K$13</f>
        <v>22.102434531618751</v>
      </c>
      <c r="AC10" s="18">
        <v>33</v>
      </c>
      <c r="AD10" s="19">
        <v>25</v>
      </c>
    </row>
    <row r="11" spans="6:35" ht="34.5">
      <c r="F11" s="20">
        <v>8</v>
      </c>
      <c r="G11" s="21" t="s">
        <v>45</v>
      </c>
      <c r="H11" s="21" t="s">
        <v>41</v>
      </c>
      <c r="I11" s="23" t="s">
        <v>46</v>
      </c>
      <c r="J11" s="24">
        <v>140446.72</v>
      </c>
      <c r="K11" s="24">
        <v>535265.30828400003</v>
      </c>
      <c r="L11" s="24" t="s">
        <v>47</v>
      </c>
      <c r="M11" s="26">
        <v>13.2</v>
      </c>
      <c r="N11" s="13">
        <f t="shared" si="0"/>
        <v>13.2</v>
      </c>
      <c r="O11" s="25">
        <v>396</v>
      </c>
      <c r="P11" s="27">
        <v>276332</v>
      </c>
      <c r="Q11" s="27">
        <v>1027852</v>
      </c>
      <c r="R11" s="27">
        <v>1937037</v>
      </c>
      <c r="S11" s="28">
        <v>8.3699999999999992</v>
      </c>
      <c r="T11" s="28">
        <v>7.67</v>
      </c>
      <c r="U11" s="28">
        <v>27.89</v>
      </c>
      <c r="V11" s="28">
        <v>88.41</v>
      </c>
      <c r="W11" s="28">
        <v>88.43</v>
      </c>
      <c r="X11" s="29">
        <f t="shared" si="2"/>
        <v>93.703699999999998</v>
      </c>
      <c r="Y11" s="29">
        <v>93.703699999999998</v>
      </c>
      <c r="Z11" s="30">
        <v>1960</v>
      </c>
      <c r="AA11" s="30">
        <v>71</v>
      </c>
      <c r="AB11" s="30">
        <f>(AA11*K11)/$K$13</f>
        <v>16.244633226932763</v>
      </c>
      <c r="AC11" s="28">
        <v>22</v>
      </c>
      <c r="AD11" s="31">
        <v>29</v>
      </c>
    </row>
    <row r="12" spans="6:35" ht="34.5">
      <c r="F12" s="8">
        <v>9</v>
      </c>
      <c r="G12" s="9" t="s">
        <v>48</v>
      </c>
      <c r="H12" s="50" t="s">
        <v>41</v>
      </c>
      <c r="I12" s="32" t="s">
        <v>37</v>
      </c>
      <c r="J12" s="12">
        <v>130724.88937600001</v>
      </c>
      <c r="K12" s="12">
        <v>277363.91495800001</v>
      </c>
      <c r="L12" s="13" t="s">
        <v>49</v>
      </c>
      <c r="M12" s="14">
        <v>21.133333333333333</v>
      </c>
      <c r="N12" s="13">
        <f t="shared" si="0"/>
        <v>21.133333333333333</v>
      </c>
      <c r="O12" s="14">
        <v>634</v>
      </c>
      <c r="P12" s="15">
        <v>184464</v>
      </c>
      <c r="Q12" s="15">
        <v>1182003</v>
      </c>
      <c r="R12" s="15">
        <v>1503621</v>
      </c>
      <c r="S12" s="18">
        <v>1.85</v>
      </c>
      <c r="T12" s="18">
        <v>2.87</v>
      </c>
      <c r="U12" s="18">
        <v>8.3699999999999992</v>
      </c>
      <c r="V12" s="18">
        <v>26.98</v>
      </c>
      <c r="W12" s="18">
        <v>27.02</v>
      </c>
      <c r="X12" s="29">
        <f t="shared" si="2"/>
        <v>50.362099999999998</v>
      </c>
      <c r="Y12" s="16">
        <v>50.362099999999998</v>
      </c>
      <c r="Z12" s="17">
        <v>44</v>
      </c>
      <c r="AA12" s="17">
        <v>4</v>
      </c>
      <c r="AB12" s="17">
        <f>(AA12*K12)/$K$13</f>
        <v>0.47423370246935642</v>
      </c>
      <c r="AC12" s="18">
        <v>6</v>
      </c>
      <c r="AD12" s="19">
        <v>96</v>
      </c>
      <c r="AE12" s="51"/>
      <c r="AF12" s="51"/>
      <c r="AG12" s="51"/>
      <c r="AH12" s="51"/>
      <c r="AI12" s="51"/>
    </row>
    <row r="13" spans="6:35" ht="34.5" customHeight="1">
      <c r="F13" s="88" t="s">
        <v>50</v>
      </c>
      <c r="G13" s="89"/>
      <c r="H13" s="43" t="s">
        <v>34</v>
      </c>
      <c r="I13" s="40" t="s">
        <v>34</v>
      </c>
      <c r="J13" s="42">
        <f>SUM(J9:J12)</f>
        <v>942844.58463199995</v>
      </c>
      <c r="K13" s="42">
        <f>SUM(K9:K12)</f>
        <v>2339470.2950360002</v>
      </c>
      <c r="L13" s="42" t="s">
        <v>34</v>
      </c>
      <c r="M13" s="44">
        <v>25.833333333333332</v>
      </c>
      <c r="N13" s="13">
        <f t="shared" si="0"/>
        <v>25.833333333333332</v>
      </c>
      <c r="O13" s="43">
        <v>775</v>
      </c>
      <c r="P13" s="45">
        <f>SUM(P9:P12)</f>
        <v>1458064</v>
      </c>
      <c r="Q13" s="45">
        <f t="shared" ref="Q13:W13" si="3">AVERAGE(Q9:Q12)</f>
        <v>1131000</v>
      </c>
      <c r="R13" s="45">
        <f t="shared" si="3"/>
        <v>1625662.75</v>
      </c>
      <c r="S13" s="52">
        <f t="shared" si="3"/>
        <v>3.3524999999999996</v>
      </c>
      <c r="T13" s="52">
        <f t="shared" si="3"/>
        <v>3.84</v>
      </c>
      <c r="U13" s="52">
        <f t="shared" si="3"/>
        <v>13.5825</v>
      </c>
      <c r="V13" s="52">
        <f t="shared" si="3"/>
        <v>44.879999999999995</v>
      </c>
      <c r="W13" s="52">
        <f t="shared" si="3"/>
        <v>44.914999999999999</v>
      </c>
      <c r="X13" s="29">
        <f t="shared" si="2"/>
        <v>62.566275000000005</v>
      </c>
      <c r="Y13" s="53">
        <f>AVERAGE(Y9:Y12)</f>
        <v>62.566274999999997</v>
      </c>
      <c r="Z13" s="47">
        <f>SUM(Z9:Z12)</f>
        <v>3526</v>
      </c>
      <c r="AA13" s="47">
        <f>AB13</f>
        <v>62.087713214726172</v>
      </c>
      <c r="AB13" s="47">
        <f>SUM(AB9:AB12)</f>
        <v>62.087713214726172</v>
      </c>
      <c r="AC13" s="54">
        <f>SUM(AC9:AC12)</f>
        <v>104</v>
      </c>
      <c r="AD13" s="55">
        <f>100-AA13</f>
        <v>37.912286785273828</v>
      </c>
      <c r="AE13" s="51"/>
      <c r="AF13" s="51"/>
      <c r="AG13" s="51"/>
      <c r="AH13" s="51"/>
      <c r="AI13" s="51"/>
    </row>
    <row r="14" spans="6:35" ht="34.5">
      <c r="F14" s="56">
        <v>10</v>
      </c>
      <c r="G14" s="50" t="s">
        <v>51</v>
      </c>
      <c r="H14" s="50" t="s">
        <v>52</v>
      </c>
      <c r="I14" s="11" t="s">
        <v>25</v>
      </c>
      <c r="J14" s="11" t="s">
        <v>34</v>
      </c>
      <c r="K14" s="57">
        <v>51421.370834000001</v>
      </c>
      <c r="L14" s="57" t="s">
        <v>53</v>
      </c>
      <c r="M14" s="58" t="s">
        <v>34</v>
      </c>
      <c r="N14" s="59">
        <f t="shared" si="0"/>
        <v>0.13333333333333333</v>
      </c>
      <c r="O14" s="59">
        <v>4</v>
      </c>
      <c r="P14" s="60">
        <v>51186</v>
      </c>
      <c r="Q14" s="60" t="s">
        <v>34</v>
      </c>
      <c r="R14" s="60">
        <v>1004598</v>
      </c>
      <c r="S14" s="61">
        <v>0.27</v>
      </c>
      <c r="T14" s="61" t="s">
        <v>34</v>
      </c>
      <c r="U14" s="61" t="s">
        <v>34</v>
      </c>
      <c r="V14" s="61" t="s">
        <v>34</v>
      </c>
      <c r="W14" s="61" t="s">
        <v>34</v>
      </c>
      <c r="X14" s="62">
        <f t="shared" si="2"/>
        <v>0.45979999999999999</v>
      </c>
      <c r="Y14" s="62">
        <v>0.45979999999999999</v>
      </c>
      <c r="Z14" s="63">
        <v>123</v>
      </c>
      <c r="AA14" s="63">
        <v>37</v>
      </c>
      <c r="AB14" s="63">
        <f>(AA14*K14)/$K$13</f>
        <v>0.81325705434046669</v>
      </c>
      <c r="AC14" s="61">
        <v>4</v>
      </c>
      <c r="AD14" s="64">
        <v>63</v>
      </c>
    </row>
    <row r="15" spans="6:35" ht="34.5">
      <c r="F15" s="94" t="s">
        <v>54</v>
      </c>
      <c r="G15" s="95"/>
      <c r="H15" s="65"/>
      <c r="I15" s="40"/>
      <c r="J15" s="40" t="s">
        <v>34</v>
      </c>
      <c r="K15" s="42">
        <v>51421.370834000001</v>
      </c>
      <c r="L15" s="42" t="s">
        <v>53</v>
      </c>
      <c r="M15" s="44" t="s">
        <v>34</v>
      </c>
      <c r="N15" s="43">
        <f>O15/30</f>
        <v>0.13333333333333333</v>
      </c>
      <c r="O15" s="43">
        <v>4</v>
      </c>
      <c r="P15" s="45">
        <v>51186</v>
      </c>
      <c r="Q15" s="45" t="s">
        <v>34</v>
      </c>
      <c r="R15" s="45">
        <v>1004598</v>
      </c>
      <c r="S15" s="54">
        <v>0.27</v>
      </c>
      <c r="T15" s="54" t="s">
        <v>34</v>
      </c>
      <c r="U15" s="54" t="s">
        <v>34</v>
      </c>
      <c r="V15" s="54" t="s">
        <v>34</v>
      </c>
      <c r="W15" s="54" t="s">
        <v>34</v>
      </c>
      <c r="X15" s="53">
        <f>((R15-1000000)/1000000)*100</f>
        <v>0.45979999999999999</v>
      </c>
      <c r="Y15" s="53">
        <v>0.45979999999999999</v>
      </c>
      <c r="Z15" s="66">
        <v>123</v>
      </c>
      <c r="AA15" s="66">
        <v>37</v>
      </c>
      <c r="AB15" s="66">
        <f>(AA15*K15)/$K$13</f>
        <v>0.81325705434046669</v>
      </c>
      <c r="AC15" s="54">
        <v>4</v>
      </c>
      <c r="AD15" s="67">
        <v>63</v>
      </c>
    </row>
    <row r="16" spans="6:35" ht="34.5">
      <c r="F16" s="20">
        <v>11</v>
      </c>
      <c r="G16" s="21" t="s">
        <v>55</v>
      </c>
      <c r="H16" s="21" t="s">
        <v>56</v>
      </c>
      <c r="I16" s="23" t="s">
        <v>57</v>
      </c>
      <c r="J16" s="24">
        <v>18098.383371</v>
      </c>
      <c r="K16" s="24">
        <v>210992.47357599999</v>
      </c>
      <c r="L16" s="24" t="s">
        <v>58</v>
      </c>
      <c r="M16" s="26">
        <v>31.833333333333332</v>
      </c>
      <c r="N16" s="13">
        <f t="shared" si="0"/>
        <v>31.833333333333332</v>
      </c>
      <c r="O16" s="25">
        <v>955</v>
      </c>
      <c r="P16" s="27">
        <v>49951</v>
      </c>
      <c r="Q16" s="27">
        <v>2076217</v>
      </c>
      <c r="R16" s="27">
        <v>4223989</v>
      </c>
      <c r="S16" s="28">
        <v>8.01</v>
      </c>
      <c r="T16" s="28">
        <v>6.11</v>
      </c>
      <c r="U16" s="28">
        <v>34.54</v>
      </c>
      <c r="V16" s="28">
        <v>103.49</v>
      </c>
      <c r="W16" s="28">
        <v>103.48</v>
      </c>
      <c r="X16" s="29">
        <f t="shared" si="2"/>
        <v>322.39890000000003</v>
      </c>
      <c r="Y16" s="29">
        <v>322.39890000000003</v>
      </c>
      <c r="Z16" s="30">
        <v>640</v>
      </c>
      <c r="AA16" s="30">
        <v>84</v>
      </c>
      <c r="AB16" s="30">
        <f t="shared" ref="AB16:AB58" si="4">(AA16*K16)/$K$59</f>
        <v>12.007397073144441</v>
      </c>
      <c r="AC16" s="28">
        <v>11</v>
      </c>
      <c r="AD16" s="31">
        <v>16</v>
      </c>
    </row>
    <row r="17" spans="6:30" ht="34.5">
      <c r="F17" s="8">
        <v>12</v>
      </c>
      <c r="G17" s="33" t="s">
        <v>59</v>
      </c>
      <c r="H17" s="50" t="s">
        <v>56</v>
      </c>
      <c r="I17" s="68" t="s">
        <v>46</v>
      </c>
      <c r="J17" s="12">
        <v>14348</v>
      </c>
      <c r="K17" s="12">
        <v>190558.44183600001</v>
      </c>
      <c r="L17" s="13" t="s">
        <v>60</v>
      </c>
      <c r="M17" s="14">
        <v>34.666666666666664</v>
      </c>
      <c r="N17" s="13">
        <f t="shared" si="0"/>
        <v>34.666666666666664</v>
      </c>
      <c r="O17" s="14">
        <v>1040</v>
      </c>
      <c r="P17" s="15">
        <v>49788</v>
      </c>
      <c r="Q17" s="15">
        <v>1923439</v>
      </c>
      <c r="R17" s="15">
        <v>3827397</v>
      </c>
      <c r="S17" s="18">
        <v>8.34</v>
      </c>
      <c r="T17" s="18">
        <v>7.6700000000000008</v>
      </c>
      <c r="U17" s="18">
        <v>30.98</v>
      </c>
      <c r="V17" s="18">
        <v>99.08</v>
      </c>
      <c r="W17" s="18">
        <v>99.03</v>
      </c>
      <c r="X17" s="29">
        <f t="shared" si="2"/>
        <v>282.73969999999997</v>
      </c>
      <c r="Y17" s="16">
        <v>282.73969999999997</v>
      </c>
      <c r="Z17" s="36">
        <v>367</v>
      </c>
      <c r="AA17" s="36">
        <v>75</v>
      </c>
      <c r="AB17" s="17">
        <f t="shared" si="4"/>
        <v>9.6826019684179503</v>
      </c>
      <c r="AC17" s="36">
        <v>12</v>
      </c>
      <c r="AD17" s="69">
        <v>25</v>
      </c>
    </row>
    <row r="18" spans="6:30" ht="34.5">
      <c r="F18" s="20">
        <v>13</v>
      </c>
      <c r="G18" s="21" t="s">
        <v>61</v>
      </c>
      <c r="H18" s="21" t="s">
        <v>56</v>
      </c>
      <c r="I18" s="23" t="s">
        <v>62</v>
      </c>
      <c r="J18" s="24">
        <v>26798.949335000001</v>
      </c>
      <c r="K18" s="24">
        <v>122887.850622</v>
      </c>
      <c r="L18" s="24" t="s">
        <v>63</v>
      </c>
      <c r="M18" s="26">
        <v>20.3</v>
      </c>
      <c r="N18" s="13">
        <f t="shared" si="0"/>
        <v>20.3</v>
      </c>
      <c r="O18" s="25">
        <v>609</v>
      </c>
      <c r="P18" s="27">
        <v>45362</v>
      </c>
      <c r="Q18" s="27">
        <v>1369880</v>
      </c>
      <c r="R18" s="27">
        <v>2709048</v>
      </c>
      <c r="S18" s="28">
        <v>7</v>
      </c>
      <c r="T18" s="28">
        <v>6.54</v>
      </c>
      <c r="U18" s="28">
        <v>33.18</v>
      </c>
      <c r="V18" s="28">
        <v>97.89</v>
      </c>
      <c r="W18" s="28">
        <v>97.86</v>
      </c>
      <c r="X18" s="29">
        <f t="shared" si="2"/>
        <v>170.90479999999999</v>
      </c>
      <c r="Y18" s="29">
        <v>170.90479999999999</v>
      </c>
      <c r="Z18" s="30">
        <v>229</v>
      </c>
      <c r="AA18" s="30">
        <v>90</v>
      </c>
      <c r="AB18" s="30">
        <f t="shared" si="4"/>
        <v>7.4929714970146595</v>
      </c>
      <c r="AC18" s="28">
        <v>6</v>
      </c>
      <c r="AD18" s="31">
        <v>10</v>
      </c>
    </row>
    <row r="19" spans="6:30" ht="34.5">
      <c r="F19" s="8">
        <v>14</v>
      </c>
      <c r="G19" s="9" t="s">
        <v>64</v>
      </c>
      <c r="H19" s="50" t="s">
        <v>56</v>
      </c>
      <c r="I19" s="32" t="s">
        <v>57</v>
      </c>
      <c r="J19" s="12" t="s">
        <v>34</v>
      </c>
      <c r="K19" s="12">
        <v>107548.24873799999</v>
      </c>
      <c r="L19" s="12" t="s">
        <v>65</v>
      </c>
      <c r="M19" s="70">
        <v>0.73333333333333328</v>
      </c>
      <c r="N19" s="13">
        <f t="shared" si="0"/>
        <v>0.73333333333333328</v>
      </c>
      <c r="O19" s="12">
        <v>22</v>
      </c>
      <c r="P19" s="15">
        <v>99998</v>
      </c>
      <c r="Q19" s="15" t="s">
        <v>34</v>
      </c>
      <c r="R19" s="15">
        <v>1075504</v>
      </c>
      <c r="S19" s="18">
        <v>6.93</v>
      </c>
      <c r="T19" s="18">
        <v>7.15</v>
      </c>
      <c r="U19" s="18" t="s">
        <v>34</v>
      </c>
      <c r="V19" s="18" t="s">
        <v>34</v>
      </c>
      <c r="W19" s="18" t="s">
        <v>34</v>
      </c>
      <c r="X19" s="29">
        <f t="shared" si="2"/>
        <v>7.5503999999999998</v>
      </c>
      <c r="Y19" s="16">
        <v>7.5503999999999998</v>
      </c>
      <c r="Z19" s="17">
        <v>724</v>
      </c>
      <c r="AA19" s="17">
        <v>80</v>
      </c>
      <c r="AB19" s="17">
        <f t="shared" si="4"/>
        <v>5.8290254679373001</v>
      </c>
      <c r="AC19" s="18">
        <v>15</v>
      </c>
      <c r="AD19" s="19">
        <v>20</v>
      </c>
    </row>
    <row r="20" spans="6:30" ht="34.5">
      <c r="F20" s="20">
        <v>15</v>
      </c>
      <c r="G20" s="21" t="s">
        <v>66</v>
      </c>
      <c r="H20" s="21" t="s">
        <v>56</v>
      </c>
      <c r="I20" s="23" t="s">
        <v>67</v>
      </c>
      <c r="J20" s="24">
        <v>10041.328619</v>
      </c>
      <c r="K20" s="24">
        <v>90049.008963</v>
      </c>
      <c r="L20" s="24" t="s">
        <v>68</v>
      </c>
      <c r="M20" s="26">
        <v>36.333333333333336</v>
      </c>
      <c r="N20" s="13">
        <f t="shared" si="0"/>
        <v>36.333333333333336</v>
      </c>
      <c r="O20" s="25">
        <v>1090</v>
      </c>
      <c r="P20" s="27">
        <v>23802</v>
      </c>
      <c r="Q20" s="27">
        <v>1812841</v>
      </c>
      <c r="R20" s="27">
        <v>3783254</v>
      </c>
      <c r="S20" s="28">
        <v>6.15</v>
      </c>
      <c r="T20" s="28">
        <v>6.6</v>
      </c>
      <c r="U20" s="28">
        <v>30.22</v>
      </c>
      <c r="V20" s="28">
        <v>108.82</v>
      </c>
      <c r="W20" s="28">
        <v>108.78</v>
      </c>
      <c r="X20" s="29">
        <f t="shared" si="2"/>
        <v>278.3254</v>
      </c>
      <c r="Y20" s="29">
        <v>278.3254</v>
      </c>
      <c r="Z20" s="30">
        <v>268</v>
      </c>
      <c r="AA20" s="30">
        <v>86</v>
      </c>
      <c r="AB20" s="30">
        <f t="shared" si="4"/>
        <v>5.2466248472166672</v>
      </c>
      <c r="AC20" s="28">
        <v>4</v>
      </c>
      <c r="AD20" s="31">
        <v>14</v>
      </c>
    </row>
    <row r="21" spans="6:30" ht="34.5">
      <c r="F21" s="8">
        <v>16</v>
      </c>
      <c r="G21" s="9" t="s">
        <v>69</v>
      </c>
      <c r="H21" s="50" t="s">
        <v>56</v>
      </c>
      <c r="I21" s="32" t="s">
        <v>70</v>
      </c>
      <c r="J21" s="12">
        <v>19525.699568</v>
      </c>
      <c r="K21" s="12">
        <v>80513.815491999994</v>
      </c>
      <c r="L21" s="13" t="s">
        <v>71</v>
      </c>
      <c r="M21" s="14">
        <v>34.766666666666666</v>
      </c>
      <c r="N21" s="13">
        <f t="shared" si="0"/>
        <v>34.766666666666666</v>
      </c>
      <c r="O21" s="14">
        <v>1043</v>
      </c>
      <c r="P21" s="15">
        <v>18154</v>
      </c>
      <c r="Q21" s="15">
        <v>2609690</v>
      </c>
      <c r="R21" s="15">
        <v>4435045</v>
      </c>
      <c r="S21" s="18">
        <v>6.62</v>
      </c>
      <c r="T21" s="18">
        <v>3.74</v>
      </c>
      <c r="U21" s="18">
        <v>27.85</v>
      </c>
      <c r="V21" s="18">
        <v>69.94</v>
      </c>
      <c r="W21" s="18">
        <v>69.95</v>
      </c>
      <c r="X21" s="29">
        <f t="shared" si="2"/>
        <v>343.50450000000001</v>
      </c>
      <c r="Y21" s="16">
        <v>343.50450000000001</v>
      </c>
      <c r="Z21" s="17">
        <v>187</v>
      </c>
      <c r="AA21" s="17">
        <v>73</v>
      </c>
      <c r="AB21" s="17">
        <f t="shared" si="4"/>
        <v>3.9819508123965135</v>
      </c>
      <c r="AC21" s="18">
        <v>5</v>
      </c>
      <c r="AD21" s="19">
        <v>27</v>
      </c>
    </row>
    <row r="22" spans="6:30" ht="34.5">
      <c r="F22" s="20">
        <v>17</v>
      </c>
      <c r="G22" s="21" t="s">
        <v>72</v>
      </c>
      <c r="H22" s="21" t="s">
        <v>56</v>
      </c>
      <c r="I22" s="23" t="s">
        <v>73</v>
      </c>
      <c r="J22" s="24">
        <v>8795.884935</v>
      </c>
      <c r="K22" s="24">
        <v>64403.325397000001</v>
      </c>
      <c r="L22" s="24" t="s">
        <v>74</v>
      </c>
      <c r="M22" s="26">
        <v>16.033333333333335</v>
      </c>
      <c r="N22" s="13">
        <f t="shared" si="0"/>
        <v>16.033333333333335</v>
      </c>
      <c r="O22" s="25">
        <v>481</v>
      </c>
      <c r="P22" s="27">
        <v>28675</v>
      </c>
      <c r="Q22" s="27">
        <v>1107097</v>
      </c>
      <c r="R22" s="27">
        <v>2245975</v>
      </c>
      <c r="S22" s="28">
        <v>6.98</v>
      </c>
      <c r="T22" s="28">
        <v>5.04</v>
      </c>
      <c r="U22" s="28">
        <v>33.43</v>
      </c>
      <c r="V22" s="28">
        <v>102.95</v>
      </c>
      <c r="W22" s="28">
        <v>102.93</v>
      </c>
      <c r="X22" s="29">
        <f t="shared" si="2"/>
        <v>124.59750000000001</v>
      </c>
      <c r="Y22" s="29">
        <v>124.59750000000001</v>
      </c>
      <c r="Z22" s="30">
        <v>321</v>
      </c>
      <c r="AA22" s="30">
        <v>80</v>
      </c>
      <c r="AB22" s="30">
        <f t="shared" si="4"/>
        <v>3.49060657299502</v>
      </c>
      <c r="AC22" s="28">
        <v>7</v>
      </c>
      <c r="AD22" s="31">
        <v>20</v>
      </c>
    </row>
    <row r="23" spans="6:30" ht="34.5">
      <c r="F23" s="8">
        <v>18</v>
      </c>
      <c r="G23" s="33" t="s">
        <v>75</v>
      </c>
      <c r="H23" s="50" t="s">
        <v>56</v>
      </c>
      <c r="I23" s="32" t="s">
        <v>76</v>
      </c>
      <c r="J23" s="12" t="s">
        <v>34</v>
      </c>
      <c r="K23" s="12">
        <v>54749.513434</v>
      </c>
      <c r="L23" s="71" t="s">
        <v>77</v>
      </c>
      <c r="M23" s="14">
        <v>7.2</v>
      </c>
      <c r="N23" s="13">
        <f t="shared" si="0"/>
        <v>7.2</v>
      </c>
      <c r="O23" s="13">
        <v>216</v>
      </c>
      <c r="P23" s="15">
        <v>43813</v>
      </c>
      <c r="Q23" s="15" t="s">
        <v>34</v>
      </c>
      <c r="R23" s="15">
        <v>1249618</v>
      </c>
      <c r="S23" s="18">
        <v>2.25</v>
      </c>
      <c r="T23" s="18">
        <v>1.26</v>
      </c>
      <c r="U23" s="18">
        <v>14.24</v>
      </c>
      <c r="V23" s="18" t="s">
        <v>34</v>
      </c>
      <c r="W23" s="18" t="s">
        <v>34</v>
      </c>
      <c r="X23" s="29">
        <f t="shared" si="2"/>
        <v>24.9618</v>
      </c>
      <c r="Y23" s="16">
        <v>24.9618</v>
      </c>
      <c r="Z23" s="36">
        <v>330</v>
      </c>
      <c r="AA23" s="36">
        <v>95</v>
      </c>
      <c r="AB23" s="17">
        <f t="shared" si="4"/>
        <v>3.52376138516146</v>
      </c>
      <c r="AC23" s="36">
        <v>5</v>
      </c>
      <c r="AD23" s="69">
        <v>5</v>
      </c>
    </row>
    <row r="24" spans="6:30" ht="34.5">
      <c r="F24" s="20">
        <v>19</v>
      </c>
      <c r="G24" s="21" t="s">
        <v>78</v>
      </c>
      <c r="H24" s="21" t="s">
        <v>56</v>
      </c>
      <c r="I24" s="23" t="s">
        <v>79</v>
      </c>
      <c r="J24" s="24">
        <v>21286.675507</v>
      </c>
      <c r="K24" s="24">
        <v>44219.519619999999</v>
      </c>
      <c r="L24" s="24" t="s">
        <v>80</v>
      </c>
      <c r="M24" s="26">
        <v>22.4</v>
      </c>
      <c r="N24" s="13">
        <f t="shared" si="0"/>
        <v>22.4</v>
      </c>
      <c r="O24" s="25">
        <v>672</v>
      </c>
      <c r="P24" s="27">
        <v>19624</v>
      </c>
      <c r="Q24" s="27">
        <v>1219098</v>
      </c>
      <c r="R24" s="27">
        <v>2253339</v>
      </c>
      <c r="S24" s="28">
        <v>9.49</v>
      </c>
      <c r="T24" s="28">
        <v>2.31</v>
      </c>
      <c r="U24" s="28">
        <v>27.35</v>
      </c>
      <c r="V24" s="28">
        <v>84.92</v>
      </c>
      <c r="W24" s="28">
        <v>84.9</v>
      </c>
      <c r="X24" s="29">
        <f t="shared" si="2"/>
        <v>125.3339</v>
      </c>
      <c r="Y24" s="29">
        <v>125.3339</v>
      </c>
      <c r="Z24" s="30">
        <v>116</v>
      </c>
      <c r="AA24" s="30">
        <v>30</v>
      </c>
      <c r="AB24" s="30">
        <f t="shared" si="4"/>
        <v>0.8987479191997062</v>
      </c>
      <c r="AC24" s="28">
        <v>3</v>
      </c>
      <c r="AD24" s="31">
        <v>70</v>
      </c>
    </row>
    <row r="25" spans="6:30" ht="34.5">
      <c r="F25" s="8">
        <v>20</v>
      </c>
      <c r="G25" s="33" t="s">
        <v>81</v>
      </c>
      <c r="H25" s="50" t="s">
        <v>56</v>
      </c>
      <c r="I25" s="32" t="s">
        <v>82</v>
      </c>
      <c r="J25" s="12" t="s">
        <v>34</v>
      </c>
      <c r="K25" s="12">
        <v>36723.335376000003</v>
      </c>
      <c r="L25" s="71" t="s">
        <v>83</v>
      </c>
      <c r="M25" s="14">
        <v>11.133333333333333</v>
      </c>
      <c r="N25" s="13">
        <f t="shared" si="0"/>
        <v>11.133333333333333</v>
      </c>
      <c r="O25" s="13">
        <v>334</v>
      </c>
      <c r="P25" s="15">
        <v>19708</v>
      </c>
      <c r="Q25" s="15" t="s">
        <v>34</v>
      </c>
      <c r="R25" s="15">
        <v>1863372</v>
      </c>
      <c r="S25" s="18">
        <v>6.17</v>
      </c>
      <c r="T25" s="18">
        <v>5.64</v>
      </c>
      <c r="U25" s="18">
        <v>38.17</v>
      </c>
      <c r="V25" s="18">
        <v>86.339999999999989</v>
      </c>
      <c r="W25" s="18">
        <v>86.339999999999989</v>
      </c>
      <c r="X25" s="29">
        <f t="shared" si="2"/>
        <v>86.337199999999996</v>
      </c>
      <c r="Y25" s="16">
        <v>86.337199999999996</v>
      </c>
      <c r="Z25" s="36">
        <v>237</v>
      </c>
      <c r="AA25" s="36">
        <v>63</v>
      </c>
      <c r="AB25" s="17">
        <f t="shared" si="4"/>
        <v>1.5674196651535497</v>
      </c>
      <c r="AC25" s="36">
        <v>9</v>
      </c>
      <c r="AD25" s="69">
        <v>37</v>
      </c>
    </row>
    <row r="26" spans="6:30" ht="34.5">
      <c r="F26" s="20">
        <v>21</v>
      </c>
      <c r="G26" s="21" t="s">
        <v>84</v>
      </c>
      <c r="H26" s="21" t="s">
        <v>56</v>
      </c>
      <c r="I26" s="23" t="s">
        <v>85</v>
      </c>
      <c r="J26" s="24">
        <v>6107.8536290000002</v>
      </c>
      <c r="K26" s="24">
        <v>34292.800532000001</v>
      </c>
      <c r="L26" s="24" t="s">
        <v>29</v>
      </c>
      <c r="M26" s="26">
        <v>12.233333333333333</v>
      </c>
      <c r="N26" s="13">
        <f t="shared" si="0"/>
        <v>12.233333333333333</v>
      </c>
      <c r="O26" s="25">
        <v>367</v>
      </c>
      <c r="P26" s="27">
        <v>18980</v>
      </c>
      <c r="Q26" s="27">
        <v>1000468</v>
      </c>
      <c r="R26" s="27">
        <v>1806787</v>
      </c>
      <c r="S26" s="28">
        <v>2.16</v>
      </c>
      <c r="T26" s="28">
        <v>6.77</v>
      </c>
      <c r="U26" s="28">
        <v>31.06</v>
      </c>
      <c r="V26" s="28">
        <v>80.260000000000005</v>
      </c>
      <c r="W26" s="28">
        <v>80.349999999999994</v>
      </c>
      <c r="X26" s="29">
        <f t="shared" si="2"/>
        <v>80.678700000000006</v>
      </c>
      <c r="Y26" s="29">
        <v>80.678700000000006</v>
      </c>
      <c r="Z26" s="30">
        <v>118</v>
      </c>
      <c r="AA26" s="30">
        <v>95</v>
      </c>
      <c r="AB26" s="30">
        <f t="shared" si="4"/>
        <v>2.2071364423973736</v>
      </c>
      <c r="AC26" s="28">
        <v>1</v>
      </c>
      <c r="AD26" s="31">
        <v>5</v>
      </c>
    </row>
    <row r="27" spans="6:30" ht="34.5">
      <c r="F27" s="8">
        <v>22</v>
      </c>
      <c r="G27" s="33" t="s">
        <v>86</v>
      </c>
      <c r="H27" s="50" t="s">
        <v>56</v>
      </c>
      <c r="I27" s="32" t="s">
        <v>87</v>
      </c>
      <c r="J27" s="12">
        <v>17418.8</v>
      </c>
      <c r="K27" s="12">
        <v>32094.093858</v>
      </c>
      <c r="L27" s="13" t="s">
        <v>88</v>
      </c>
      <c r="M27" s="14">
        <v>12.3</v>
      </c>
      <c r="N27" s="13">
        <f t="shared" si="0"/>
        <v>12.3</v>
      </c>
      <c r="O27" s="14">
        <v>369</v>
      </c>
      <c r="P27" s="15">
        <v>21081</v>
      </c>
      <c r="Q27" s="15">
        <v>1000161</v>
      </c>
      <c r="R27" s="15">
        <v>1522418</v>
      </c>
      <c r="S27" s="18">
        <v>4.63</v>
      </c>
      <c r="T27" s="18">
        <v>0.33999999999999997</v>
      </c>
      <c r="U27" s="18">
        <v>16.739999999999998</v>
      </c>
      <c r="V27" s="18">
        <v>51.970000000000006</v>
      </c>
      <c r="W27" s="18">
        <v>52.09</v>
      </c>
      <c r="X27" s="29">
        <f t="shared" si="2"/>
        <v>52.241800000000005</v>
      </c>
      <c r="Y27" s="16">
        <v>52.241800000000005</v>
      </c>
      <c r="Z27" s="36">
        <v>50</v>
      </c>
      <c r="AA27" s="36">
        <v>95</v>
      </c>
      <c r="AB27" s="17">
        <f t="shared" si="4"/>
        <v>2.0656243596557107</v>
      </c>
      <c r="AC27" s="36">
        <v>1</v>
      </c>
      <c r="AD27" s="69">
        <v>5</v>
      </c>
    </row>
    <row r="28" spans="6:30" ht="34.5">
      <c r="F28" s="20">
        <v>23</v>
      </c>
      <c r="G28" s="21" t="s">
        <v>89</v>
      </c>
      <c r="H28" s="21" t="s">
        <v>56</v>
      </c>
      <c r="I28" s="23" t="s">
        <v>76</v>
      </c>
      <c r="J28" s="24">
        <v>13824.850004</v>
      </c>
      <c r="K28" s="24">
        <v>30035.829446</v>
      </c>
      <c r="L28" s="24" t="s">
        <v>90</v>
      </c>
      <c r="M28" s="26">
        <v>27.233333333333334</v>
      </c>
      <c r="N28" s="13">
        <f t="shared" si="0"/>
        <v>27.233333333333334</v>
      </c>
      <c r="O28" s="25">
        <v>817</v>
      </c>
      <c r="P28" s="27">
        <v>12858</v>
      </c>
      <c r="Q28" s="27">
        <v>1386228</v>
      </c>
      <c r="R28" s="27">
        <v>2335965</v>
      </c>
      <c r="S28" s="28">
        <v>6.67</v>
      </c>
      <c r="T28" s="28">
        <v>1.1100000000000001</v>
      </c>
      <c r="U28" s="28">
        <v>21.39</v>
      </c>
      <c r="V28" s="28">
        <v>68.58</v>
      </c>
      <c r="W28" s="28">
        <v>68.569999999999993</v>
      </c>
      <c r="X28" s="29">
        <f t="shared" si="2"/>
        <v>133.59650000000002</v>
      </c>
      <c r="Y28" s="29">
        <v>133.59650000000002</v>
      </c>
      <c r="Z28" s="30">
        <v>84</v>
      </c>
      <c r="AA28" s="30">
        <v>69</v>
      </c>
      <c r="AB28" s="30">
        <f t="shared" si="4"/>
        <v>1.4040783511539301</v>
      </c>
      <c r="AC28" s="28">
        <v>15</v>
      </c>
      <c r="AD28" s="31">
        <v>31</v>
      </c>
    </row>
    <row r="29" spans="6:30" ht="34.5">
      <c r="F29" s="8">
        <v>24</v>
      </c>
      <c r="G29" s="9" t="s">
        <v>91</v>
      </c>
      <c r="H29" s="50" t="s">
        <v>56</v>
      </c>
      <c r="I29" s="32" t="s">
        <v>92</v>
      </c>
      <c r="J29" s="12">
        <v>14038.150858000001</v>
      </c>
      <c r="K29" s="12">
        <v>25198.645618999999</v>
      </c>
      <c r="L29" s="71" t="s">
        <v>93</v>
      </c>
      <c r="M29" s="14">
        <v>35.366666666666667</v>
      </c>
      <c r="N29" s="13">
        <f t="shared" si="0"/>
        <v>35.366666666666667</v>
      </c>
      <c r="O29" s="13">
        <v>1061</v>
      </c>
      <c r="P29" s="15">
        <v>6793</v>
      </c>
      <c r="Q29" s="15">
        <v>2399684</v>
      </c>
      <c r="R29" s="15">
        <v>3709502</v>
      </c>
      <c r="S29" s="18">
        <v>6.95</v>
      </c>
      <c r="T29" s="18">
        <v>4.4800000000000004</v>
      </c>
      <c r="U29" s="18">
        <v>19.739999999999998</v>
      </c>
      <c r="V29" s="18">
        <v>54.62</v>
      </c>
      <c r="W29" s="18">
        <v>54.61</v>
      </c>
      <c r="X29" s="29">
        <f t="shared" si="2"/>
        <v>270.9502</v>
      </c>
      <c r="Y29" s="16">
        <v>270.9502</v>
      </c>
      <c r="Z29" s="17">
        <v>131</v>
      </c>
      <c r="AA29" s="17">
        <v>73</v>
      </c>
      <c r="AB29" s="17">
        <f t="shared" si="4"/>
        <v>1.2462428563435655</v>
      </c>
      <c r="AC29" s="18">
        <v>3</v>
      </c>
      <c r="AD29" s="19">
        <v>27</v>
      </c>
    </row>
    <row r="30" spans="6:30" ht="34.5">
      <c r="F30" s="20">
        <v>25</v>
      </c>
      <c r="G30" s="21" t="s">
        <v>94</v>
      </c>
      <c r="H30" s="21" t="s">
        <v>56</v>
      </c>
      <c r="I30" s="23" t="s">
        <v>95</v>
      </c>
      <c r="J30" s="24" t="s">
        <v>34</v>
      </c>
      <c r="K30" s="24">
        <v>22798.028824000001</v>
      </c>
      <c r="L30" s="24" t="s">
        <v>96</v>
      </c>
      <c r="M30" s="26">
        <v>3.6333333333333333</v>
      </c>
      <c r="N30" s="13">
        <f t="shared" si="0"/>
        <v>3.6333333333333333</v>
      </c>
      <c r="O30" s="25">
        <v>109</v>
      </c>
      <c r="P30" s="27">
        <v>18215</v>
      </c>
      <c r="Q30" s="27" t="s">
        <v>34</v>
      </c>
      <c r="R30" s="27">
        <v>1251607</v>
      </c>
      <c r="S30" s="28">
        <v>4.97</v>
      </c>
      <c r="T30" s="28">
        <v>5.95</v>
      </c>
      <c r="U30" s="28">
        <v>22.26</v>
      </c>
      <c r="V30" s="28" t="s">
        <v>34</v>
      </c>
      <c r="W30" s="28" t="s">
        <v>34</v>
      </c>
      <c r="X30" s="29">
        <f t="shared" si="2"/>
        <v>25.160700000000002</v>
      </c>
      <c r="Y30" s="29">
        <v>25.160700000000002</v>
      </c>
      <c r="Z30" s="30">
        <v>128</v>
      </c>
      <c r="AA30" s="30">
        <v>53</v>
      </c>
      <c r="AB30" s="30">
        <f t="shared" si="4"/>
        <v>0.81860763497330902</v>
      </c>
      <c r="AC30" s="28">
        <v>5</v>
      </c>
      <c r="AD30" s="31">
        <v>47</v>
      </c>
    </row>
    <row r="31" spans="6:30" ht="34.5">
      <c r="F31" s="8">
        <v>26</v>
      </c>
      <c r="G31" s="9" t="s">
        <v>97</v>
      </c>
      <c r="H31" s="50" t="s">
        <v>56</v>
      </c>
      <c r="I31" s="32" t="s">
        <v>98</v>
      </c>
      <c r="J31" s="12">
        <v>10816.501284</v>
      </c>
      <c r="K31" s="12">
        <v>22411.620502999998</v>
      </c>
      <c r="L31" s="71" t="s">
        <v>68</v>
      </c>
      <c r="M31" s="14">
        <v>36.333333333333336</v>
      </c>
      <c r="N31" s="13">
        <f t="shared" si="0"/>
        <v>36.333333333333336</v>
      </c>
      <c r="O31" s="13">
        <v>1090</v>
      </c>
      <c r="P31" s="15">
        <v>12998</v>
      </c>
      <c r="Q31" s="15">
        <v>1273729</v>
      </c>
      <c r="R31" s="15">
        <v>1724236</v>
      </c>
      <c r="S31" s="18">
        <v>7.33</v>
      </c>
      <c r="T31" s="18">
        <v>6.15</v>
      </c>
      <c r="U31" s="18">
        <v>17.63</v>
      </c>
      <c r="V31" s="18">
        <v>35.229999999999997</v>
      </c>
      <c r="W31" s="18">
        <v>35.29</v>
      </c>
      <c r="X31" s="29">
        <f t="shared" si="2"/>
        <v>72.423599999999993</v>
      </c>
      <c r="Y31" s="16">
        <v>72.423599999999993</v>
      </c>
      <c r="Z31" s="17">
        <v>77</v>
      </c>
      <c r="AA31" s="17">
        <v>11</v>
      </c>
      <c r="AB31" s="17">
        <f t="shared" si="4"/>
        <v>0.16702003408346988</v>
      </c>
      <c r="AC31" s="18">
        <v>10</v>
      </c>
      <c r="AD31" s="19">
        <v>89</v>
      </c>
    </row>
    <row r="32" spans="6:30" ht="34.5">
      <c r="F32" s="20">
        <v>27</v>
      </c>
      <c r="G32" s="21" t="s">
        <v>99</v>
      </c>
      <c r="H32" s="21" t="s">
        <v>56</v>
      </c>
      <c r="I32" s="23" t="s">
        <v>100</v>
      </c>
      <c r="J32" s="24">
        <v>5350.0054909999999</v>
      </c>
      <c r="K32" s="24">
        <v>19381.386649</v>
      </c>
      <c r="L32" s="24" t="s">
        <v>101</v>
      </c>
      <c r="M32" s="26">
        <v>36.133333333333333</v>
      </c>
      <c r="N32" s="13">
        <f t="shared" si="0"/>
        <v>36.133333333333333</v>
      </c>
      <c r="O32" s="25">
        <v>1084</v>
      </c>
      <c r="P32" s="27">
        <v>10091</v>
      </c>
      <c r="Q32" s="27">
        <v>1064678</v>
      </c>
      <c r="R32" s="27">
        <v>1920660</v>
      </c>
      <c r="S32" s="28">
        <v>10.47</v>
      </c>
      <c r="T32" s="28">
        <v>15.71</v>
      </c>
      <c r="U32" s="28">
        <v>40.130000000000003</v>
      </c>
      <c r="V32" s="28">
        <v>80.16</v>
      </c>
      <c r="W32" s="28">
        <v>80.260000000000005</v>
      </c>
      <c r="X32" s="29">
        <f t="shared" si="2"/>
        <v>92.066000000000003</v>
      </c>
      <c r="Y32" s="29">
        <v>92.066000000000003</v>
      </c>
      <c r="Z32" s="30">
        <v>68</v>
      </c>
      <c r="AA32" s="30">
        <v>26</v>
      </c>
      <c r="AB32" s="30">
        <f t="shared" si="4"/>
        <v>0.34139787727514337</v>
      </c>
      <c r="AC32" s="28">
        <v>3</v>
      </c>
      <c r="AD32" s="31">
        <v>74</v>
      </c>
    </row>
    <row r="33" spans="6:35" ht="34.5">
      <c r="F33" s="8">
        <v>28</v>
      </c>
      <c r="G33" s="9" t="s">
        <v>102</v>
      </c>
      <c r="H33" s="50" t="s">
        <v>56</v>
      </c>
      <c r="I33" s="32" t="s">
        <v>28</v>
      </c>
      <c r="J33" s="12" t="s">
        <v>34</v>
      </c>
      <c r="K33" s="12">
        <v>17868.409736000001</v>
      </c>
      <c r="L33" s="13" t="s">
        <v>103</v>
      </c>
      <c r="M33" s="14">
        <v>7.8666666666666663</v>
      </c>
      <c r="N33" s="13">
        <f t="shared" si="0"/>
        <v>7.8666666666666663</v>
      </c>
      <c r="O33" s="14">
        <v>236</v>
      </c>
      <c r="P33" s="15">
        <v>15495</v>
      </c>
      <c r="Q33" s="15" t="s">
        <v>34</v>
      </c>
      <c r="R33" s="15">
        <v>1153172</v>
      </c>
      <c r="S33" s="18">
        <v>5.32</v>
      </c>
      <c r="T33" s="18">
        <v>8.0399999999999991</v>
      </c>
      <c r="U33" s="18">
        <v>19.21</v>
      </c>
      <c r="V33" s="18" t="s">
        <v>34</v>
      </c>
      <c r="W33" s="18" t="s">
        <v>34</v>
      </c>
      <c r="X33" s="29">
        <f t="shared" si="2"/>
        <v>15.3172</v>
      </c>
      <c r="Y33" s="16">
        <v>15.3172</v>
      </c>
      <c r="Z33" s="17">
        <v>190</v>
      </c>
      <c r="AA33" s="17">
        <v>45</v>
      </c>
      <c r="AB33" s="17">
        <f t="shared" si="4"/>
        <v>0.54475476693241964</v>
      </c>
      <c r="AC33" s="18">
        <v>12</v>
      </c>
      <c r="AD33" s="19">
        <v>55</v>
      </c>
    </row>
    <row r="34" spans="6:35" ht="34.5">
      <c r="F34" s="20">
        <v>29</v>
      </c>
      <c r="G34" s="21" t="s">
        <v>104</v>
      </c>
      <c r="H34" s="21" t="s">
        <v>56</v>
      </c>
      <c r="I34" s="23" t="s">
        <v>73</v>
      </c>
      <c r="J34" s="24" t="s">
        <v>34</v>
      </c>
      <c r="K34" s="24">
        <v>17245.569662999998</v>
      </c>
      <c r="L34" s="24" t="s">
        <v>105</v>
      </c>
      <c r="M34" s="26">
        <v>10.7</v>
      </c>
      <c r="N34" s="13">
        <f t="shared" si="0"/>
        <v>10.7</v>
      </c>
      <c r="O34" s="25">
        <v>321</v>
      </c>
      <c r="P34" s="27">
        <v>12011</v>
      </c>
      <c r="Q34" s="27" t="s">
        <v>34</v>
      </c>
      <c r="R34" s="27">
        <v>1435814</v>
      </c>
      <c r="S34" s="28">
        <v>6.02</v>
      </c>
      <c r="T34" s="28">
        <v>5.4</v>
      </c>
      <c r="U34" s="28">
        <v>35.18</v>
      </c>
      <c r="V34" s="28" t="s">
        <v>34</v>
      </c>
      <c r="W34" s="28" t="s">
        <v>34</v>
      </c>
      <c r="X34" s="29">
        <f t="shared" si="2"/>
        <v>43.581399999999995</v>
      </c>
      <c r="Y34" s="29">
        <v>43.581399999999995</v>
      </c>
      <c r="Z34" s="30">
        <v>70</v>
      </c>
      <c r="AA34" s="30">
        <v>70</v>
      </c>
      <c r="AB34" s="30">
        <f t="shared" si="4"/>
        <v>0.81785856775923504</v>
      </c>
      <c r="AC34" s="28">
        <v>4</v>
      </c>
      <c r="AD34" s="31">
        <v>30</v>
      </c>
    </row>
    <row r="35" spans="6:35" ht="34.5">
      <c r="F35" s="8">
        <v>30</v>
      </c>
      <c r="G35" s="9" t="s">
        <v>106</v>
      </c>
      <c r="H35" s="50" t="s">
        <v>56</v>
      </c>
      <c r="I35" s="72" t="s">
        <v>107</v>
      </c>
      <c r="J35" s="12" t="s">
        <v>34</v>
      </c>
      <c r="K35" s="12">
        <v>16459.825916000002</v>
      </c>
      <c r="L35" s="13" t="s">
        <v>108</v>
      </c>
      <c r="M35" s="14">
        <v>10.666666666666666</v>
      </c>
      <c r="N35" s="13">
        <f t="shared" si="0"/>
        <v>10.666666666666666</v>
      </c>
      <c r="O35" s="14">
        <v>320</v>
      </c>
      <c r="P35" s="15">
        <v>11148</v>
      </c>
      <c r="Q35" s="15" t="s">
        <v>34</v>
      </c>
      <c r="R35" s="15">
        <v>1476482</v>
      </c>
      <c r="S35" s="18">
        <v>8.35</v>
      </c>
      <c r="T35" s="18">
        <v>3.68</v>
      </c>
      <c r="U35" s="18">
        <v>31.82</v>
      </c>
      <c r="V35" s="18" t="s">
        <v>34</v>
      </c>
      <c r="W35" s="18" t="s">
        <v>34</v>
      </c>
      <c r="X35" s="29">
        <f t="shared" si="2"/>
        <v>47.648200000000003</v>
      </c>
      <c r="Y35" s="16">
        <v>47.648200000000003</v>
      </c>
      <c r="Z35" s="17">
        <v>66</v>
      </c>
      <c r="AA35" s="17">
        <v>68</v>
      </c>
      <c r="AB35" s="17">
        <f t="shared" si="4"/>
        <v>0.75829252219182386</v>
      </c>
      <c r="AC35" s="18">
        <v>2</v>
      </c>
      <c r="AD35" s="19">
        <v>32</v>
      </c>
    </row>
    <row r="36" spans="6:35" ht="34.5">
      <c r="F36" s="20">
        <v>31</v>
      </c>
      <c r="G36" s="21" t="s">
        <v>109</v>
      </c>
      <c r="H36" s="21" t="s">
        <v>56</v>
      </c>
      <c r="I36" s="23" t="s">
        <v>33</v>
      </c>
      <c r="J36" s="24" t="s">
        <v>34</v>
      </c>
      <c r="K36" s="24">
        <v>15822.293390000001</v>
      </c>
      <c r="L36" s="24" t="s">
        <v>110</v>
      </c>
      <c r="M36" s="26">
        <v>8.3666666666666671</v>
      </c>
      <c r="N36" s="13">
        <f t="shared" si="0"/>
        <v>8.3666666666666671</v>
      </c>
      <c r="O36" s="25">
        <v>251</v>
      </c>
      <c r="P36" s="27">
        <v>11444</v>
      </c>
      <c r="Q36" s="27" t="s">
        <v>34</v>
      </c>
      <c r="R36" s="27">
        <v>1382584</v>
      </c>
      <c r="S36" s="28">
        <v>5.58</v>
      </c>
      <c r="T36" s="28">
        <v>7.53</v>
      </c>
      <c r="U36" s="28">
        <v>24.48</v>
      </c>
      <c r="V36" s="28" t="s">
        <v>34</v>
      </c>
      <c r="W36" s="28" t="s">
        <v>34</v>
      </c>
      <c r="X36" s="29">
        <f t="shared" si="2"/>
        <v>38.258399999999995</v>
      </c>
      <c r="Y36" s="29">
        <v>38.258399999999995</v>
      </c>
      <c r="Z36" s="30">
        <v>84</v>
      </c>
      <c r="AA36" s="30">
        <v>44</v>
      </c>
      <c r="AB36" s="30">
        <f t="shared" si="4"/>
        <v>0.47165531487073303</v>
      </c>
      <c r="AC36" s="28">
        <v>7</v>
      </c>
      <c r="AD36" s="31">
        <v>56</v>
      </c>
    </row>
    <row r="37" spans="6:35" ht="34.5">
      <c r="F37" s="8">
        <v>32</v>
      </c>
      <c r="G37" s="9" t="s">
        <v>111</v>
      </c>
      <c r="H37" s="50" t="s">
        <v>56</v>
      </c>
      <c r="I37" s="68" t="s">
        <v>112</v>
      </c>
      <c r="J37" s="12" t="s">
        <v>34</v>
      </c>
      <c r="K37" s="12">
        <v>15642.894456</v>
      </c>
      <c r="L37" s="13" t="s">
        <v>113</v>
      </c>
      <c r="M37" s="14">
        <v>5.2666666666666666</v>
      </c>
      <c r="N37" s="13">
        <f t="shared" si="0"/>
        <v>5.2666666666666666</v>
      </c>
      <c r="O37" s="14">
        <v>158</v>
      </c>
      <c r="P37" s="15">
        <v>10388</v>
      </c>
      <c r="Q37" s="15" t="s">
        <v>34</v>
      </c>
      <c r="R37" s="15">
        <v>1505862</v>
      </c>
      <c r="S37" s="18">
        <v>8.9700000000000006</v>
      </c>
      <c r="T37" s="18">
        <v>13.69</v>
      </c>
      <c r="U37" s="18">
        <v>46.1</v>
      </c>
      <c r="V37" s="18" t="s">
        <v>34</v>
      </c>
      <c r="W37" s="18" t="s">
        <v>34</v>
      </c>
      <c r="X37" s="29">
        <f t="shared" si="2"/>
        <v>50.586200000000005</v>
      </c>
      <c r="Y37" s="16">
        <v>50.586200000000005</v>
      </c>
      <c r="Z37" s="36">
        <v>113</v>
      </c>
      <c r="AA37" s="36">
        <v>52</v>
      </c>
      <c r="AB37" s="17">
        <f t="shared" si="4"/>
        <v>0.55109069938430377</v>
      </c>
      <c r="AC37" s="36">
        <v>2</v>
      </c>
      <c r="AD37" s="37">
        <v>48</v>
      </c>
    </row>
    <row r="38" spans="6:35" ht="34.5">
      <c r="F38" s="20">
        <v>33</v>
      </c>
      <c r="G38" s="21" t="s">
        <v>114</v>
      </c>
      <c r="H38" s="21" t="s">
        <v>56</v>
      </c>
      <c r="I38" s="23" t="s">
        <v>115</v>
      </c>
      <c r="J38" s="24" t="s">
        <v>34</v>
      </c>
      <c r="K38" s="24">
        <v>15565.552104</v>
      </c>
      <c r="L38" s="24" t="s">
        <v>113</v>
      </c>
      <c r="M38" s="26">
        <v>5.2666666666666666</v>
      </c>
      <c r="N38" s="13">
        <f t="shared" si="0"/>
        <v>5.2666666666666666</v>
      </c>
      <c r="O38" s="25">
        <v>158</v>
      </c>
      <c r="P38" s="27">
        <v>11832</v>
      </c>
      <c r="Q38" s="27" t="s">
        <v>34</v>
      </c>
      <c r="R38" s="27">
        <v>1315547</v>
      </c>
      <c r="S38" s="28">
        <v>3.65</v>
      </c>
      <c r="T38" s="28">
        <v>-0.03</v>
      </c>
      <c r="U38" s="28">
        <v>27.43</v>
      </c>
      <c r="V38" s="28" t="s">
        <v>34</v>
      </c>
      <c r="W38" s="28" t="s">
        <v>34</v>
      </c>
      <c r="X38" s="29">
        <f t="shared" si="2"/>
        <v>31.554700000000004</v>
      </c>
      <c r="Y38" s="29">
        <v>31.554700000000004</v>
      </c>
      <c r="Z38" s="30">
        <v>136</v>
      </c>
      <c r="AA38" s="30">
        <v>68</v>
      </c>
      <c r="AB38" s="30">
        <f t="shared" si="4"/>
        <v>0.71709396104711565</v>
      </c>
      <c r="AC38" s="28">
        <v>3</v>
      </c>
      <c r="AD38" s="31">
        <v>32</v>
      </c>
    </row>
    <row r="39" spans="6:35" ht="34.5">
      <c r="F39" s="8">
        <v>34</v>
      </c>
      <c r="G39" s="9" t="s">
        <v>116</v>
      </c>
      <c r="H39" s="50" t="s">
        <v>56</v>
      </c>
      <c r="I39" s="32" t="s">
        <v>117</v>
      </c>
      <c r="J39" s="12">
        <v>9356.6381160000001</v>
      </c>
      <c r="K39" s="12">
        <v>14442.649933000001</v>
      </c>
      <c r="L39" s="13" t="s">
        <v>118</v>
      </c>
      <c r="M39" s="14">
        <v>35.233333333333334</v>
      </c>
      <c r="N39" s="13">
        <f t="shared" si="0"/>
        <v>35.233333333333334</v>
      </c>
      <c r="O39" s="14">
        <v>1057</v>
      </c>
      <c r="P39" s="15">
        <v>6046</v>
      </c>
      <c r="Q39" s="15">
        <v>1533624</v>
      </c>
      <c r="R39" s="15">
        <v>2388794</v>
      </c>
      <c r="S39" s="18">
        <v>4.78</v>
      </c>
      <c r="T39" s="18">
        <v>4.54</v>
      </c>
      <c r="U39" s="18">
        <v>24.04</v>
      </c>
      <c r="V39" s="18">
        <v>55.59</v>
      </c>
      <c r="W39" s="18">
        <v>55.66</v>
      </c>
      <c r="X39" s="29">
        <f t="shared" si="2"/>
        <v>138.8794</v>
      </c>
      <c r="Y39" s="16">
        <v>138.8794</v>
      </c>
      <c r="Z39" s="17">
        <v>55</v>
      </c>
      <c r="AA39" s="17">
        <v>42</v>
      </c>
      <c r="AB39" s="17">
        <f t="shared" si="4"/>
        <v>0.41095928588061259</v>
      </c>
      <c r="AC39" s="18">
        <v>2</v>
      </c>
      <c r="AD39" s="19">
        <v>58</v>
      </c>
    </row>
    <row r="40" spans="6:35" ht="34.5">
      <c r="F40" s="20">
        <v>35</v>
      </c>
      <c r="G40" s="21" t="s">
        <v>119</v>
      </c>
      <c r="H40" s="21" t="s">
        <v>56</v>
      </c>
      <c r="I40" s="23" t="s">
        <v>92</v>
      </c>
      <c r="J40" s="24" t="s">
        <v>34</v>
      </c>
      <c r="K40" s="24">
        <v>13522.595886999999</v>
      </c>
      <c r="L40" s="24" t="s">
        <v>110</v>
      </c>
      <c r="M40" s="26">
        <v>8.3666666666666671</v>
      </c>
      <c r="N40" s="13">
        <f t="shared" si="0"/>
        <v>8.3666666666666671</v>
      </c>
      <c r="O40" s="25">
        <v>251</v>
      </c>
      <c r="P40" s="27">
        <v>9780</v>
      </c>
      <c r="Q40" s="27" t="s">
        <v>34</v>
      </c>
      <c r="R40" s="27">
        <v>1382679</v>
      </c>
      <c r="S40" s="28">
        <v>4.5999999999999996</v>
      </c>
      <c r="T40" s="28">
        <v>8.3699999999999992</v>
      </c>
      <c r="U40" s="28">
        <v>21.96</v>
      </c>
      <c r="V40" s="28" t="s">
        <v>34</v>
      </c>
      <c r="W40" s="28" t="s">
        <v>34</v>
      </c>
      <c r="X40" s="29">
        <f t="shared" si="2"/>
        <v>38.267899999999997</v>
      </c>
      <c r="Y40" s="29">
        <v>38.267899999999997</v>
      </c>
      <c r="Z40" s="30">
        <v>171</v>
      </c>
      <c r="AA40" s="30">
        <v>72</v>
      </c>
      <c r="AB40" s="30">
        <f t="shared" si="4"/>
        <v>0.65962208653879117</v>
      </c>
      <c r="AC40" s="28">
        <v>2</v>
      </c>
      <c r="AD40" s="31">
        <v>28</v>
      </c>
    </row>
    <row r="41" spans="6:35" ht="34.5">
      <c r="F41" s="8">
        <v>36</v>
      </c>
      <c r="G41" s="9" t="s">
        <v>120</v>
      </c>
      <c r="H41" s="50" t="s">
        <v>56</v>
      </c>
      <c r="I41" s="32" t="s">
        <v>121</v>
      </c>
      <c r="J41" s="12" t="s">
        <v>34</v>
      </c>
      <c r="K41" s="12">
        <v>13072.680543</v>
      </c>
      <c r="L41" s="13" t="s">
        <v>122</v>
      </c>
      <c r="M41" s="14">
        <v>2.6666666666666665</v>
      </c>
      <c r="N41" s="13">
        <f t="shared" si="0"/>
        <v>2.6666666666666665</v>
      </c>
      <c r="O41" s="14">
        <v>80</v>
      </c>
      <c r="P41" s="15">
        <v>10886</v>
      </c>
      <c r="Q41" s="15" t="s">
        <v>34</v>
      </c>
      <c r="R41" s="15">
        <v>1200871</v>
      </c>
      <c r="S41" s="18">
        <v>7.73</v>
      </c>
      <c r="T41" s="18">
        <v>7.01</v>
      </c>
      <c r="U41" s="18">
        <v>19.260000000000002</v>
      </c>
      <c r="V41" s="18" t="s">
        <v>34</v>
      </c>
      <c r="W41" s="18" t="s">
        <v>34</v>
      </c>
      <c r="X41" s="29">
        <f t="shared" si="2"/>
        <v>20.0871</v>
      </c>
      <c r="Y41" s="16">
        <v>20.0871</v>
      </c>
      <c r="Z41" s="17">
        <v>73</v>
      </c>
      <c r="AA41" s="17">
        <v>55</v>
      </c>
      <c r="AB41" s="17">
        <f t="shared" si="4"/>
        <v>0.48711327000247612</v>
      </c>
      <c r="AC41" s="18">
        <v>2</v>
      </c>
      <c r="AD41" s="19">
        <v>45</v>
      </c>
    </row>
    <row r="42" spans="6:35" ht="34.5">
      <c r="F42" s="20">
        <v>37</v>
      </c>
      <c r="G42" s="21" t="s">
        <v>123</v>
      </c>
      <c r="H42" s="21" t="s">
        <v>56</v>
      </c>
      <c r="I42" s="23" t="s">
        <v>124</v>
      </c>
      <c r="J42" s="24">
        <v>7728.8614420000004</v>
      </c>
      <c r="K42" s="24">
        <v>12929.134593999999</v>
      </c>
      <c r="L42" s="24" t="s">
        <v>125</v>
      </c>
      <c r="M42" s="26">
        <v>30.966666666666665</v>
      </c>
      <c r="N42" s="13">
        <f t="shared" si="0"/>
        <v>30.966666666666665</v>
      </c>
      <c r="O42" s="25">
        <v>929</v>
      </c>
      <c r="P42" s="27">
        <v>6600</v>
      </c>
      <c r="Q42" s="27">
        <v>1257748</v>
      </c>
      <c r="R42" s="27">
        <v>1958960</v>
      </c>
      <c r="S42" s="28">
        <v>7.93</v>
      </c>
      <c r="T42" s="28">
        <v>5.33</v>
      </c>
      <c r="U42" s="28">
        <v>33.67</v>
      </c>
      <c r="V42" s="28">
        <v>55.85</v>
      </c>
      <c r="W42" s="28">
        <v>55.83</v>
      </c>
      <c r="X42" s="29">
        <f t="shared" si="2"/>
        <v>95.896000000000001</v>
      </c>
      <c r="Y42" s="29">
        <v>95.896000000000001</v>
      </c>
      <c r="Z42" s="30">
        <v>35</v>
      </c>
      <c r="AA42" s="30">
        <v>13</v>
      </c>
      <c r="AB42" s="30">
        <f t="shared" si="4"/>
        <v>0.11387160230932097</v>
      </c>
      <c r="AC42" s="28">
        <v>9</v>
      </c>
      <c r="AD42" s="31">
        <v>87</v>
      </c>
    </row>
    <row r="43" spans="6:35" ht="34.5">
      <c r="F43" s="8">
        <v>38</v>
      </c>
      <c r="G43" s="9" t="s">
        <v>126</v>
      </c>
      <c r="H43" s="50" t="s">
        <v>56</v>
      </c>
      <c r="I43" s="32" t="s">
        <v>127</v>
      </c>
      <c r="J43" s="12">
        <v>6049.6865280000002</v>
      </c>
      <c r="K43" s="12">
        <v>12909.570283999999</v>
      </c>
      <c r="L43" s="13" t="s">
        <v>128</v>
      </c>
      <c r="M43" s="14">
        <v>31.666666666666668</v>
      </c>
      <c r="N43" s="13">
        <f t="shared" si="0"/>
        <v>31.666666666666668</v>
      </c>
      <c r="O43" s="14">
        <v>950</v>
      </c>
      <c r="P43" s="15">
        <v>6201</v>
      </c>
      <c r="Q43" s="15">
        <v>1162730</v>
      </c>
      <c r="R43" s="15">
        <v>2081853</v>
      </c>
      <c r="S43" s="18">
        <v>4.45</v>
      </c>
      <c r="T43" s="18">
        <v>5.07</v>
      </c>
      <c r="U43" s="18">
        <v>21.52</v>
      </c>
      <c r="V43" s="18">
        <v>79</v>
      </c>
      <c r="W43" s="18">
        <v>79.03</v>
      </c>
      <c r="X43" s="29">
        <f t="shared" si="2"/>
        <v>108.1853</v>
      </c>
      <c r="Y43" s="16">
        <v>108.1853</v>
      </c>
      <c r="Z43" s="17">
        <v>41</v>
      </c>
      <c r="AA43" s="17">
        <v>31</v>
      </c>
      <c r="AB43" s="17">
        <f t="shared" si="4"/>
        <v>0.27112908163378202</v>
      </c>
      <c r="AC43" s="18">
        <v>3</v>
      </c>
      <c r="AD43" s="19">
        <v>69</v>
      </c>
    </row>
    <row r="44" spans="6:35" ht="34.5">
      <c r="F44" s="20">
        <v>39</v>
      </c>
      <c r="G44" s="21" t="s">
        <v>129</v>
      </c>
      <c r="H44" s="21" t="s">
        <v>56</v>
      </c>
      <c r="I44" s="23" t="s">
        <v>130</v>
      </c>
      <c r="J44" s="24" t="s">
        <v>34</v>
      </c>
      <c r="K44" s="24">
        <v>11851.304969000001</v>
      </c>
      <c r="L44" s="24" t="s">
        <v>96</v>
      </c>
      <c r="M44" s="26">
        <v>3.6333333333333333</v>
      </c>
      <c r="N44" s="13">
        <f t="shared" si="0"/>
        <v>3.6333333333333333</v>
      </c>
      <c r="O44" s="25">
        <v>109</v>
      </c>
      <c r="P44" s="27">
        <v>9627</v>
      </c>
      <c r="Q44" s="27" t="s">
        <v>34</v>
      </c>
      <c r="R44" s="27">
        <v>1231049</v>
      </c>
      <c r="S44" s="28">
        <v>6.61</v>
      </c>
      <c r="T44" s="28">
        <v>6.48</v>
      </c>
      <c r="U44" s="28">
        <v>22.83</v>
      </c>
      <c r="V44" s="28" t="s">
        <v>34</v>
      </c>
      <c r="W44" s="28" t="s">
        <v>34</v>
      </c>
      <c r="X44" s="29">
        <f t="shared" si="2"/>
        <v>23.104900000000001</v>
      </c>
      <c r="Y44" s="29">
        <v>23.104900000000001</v>
      </c>
      <c r="Z44" s="30">
        <v>44</v>
      </c>
      <c r="AA44" s="30">
        <v>53</v>
      </c>
      <c r="AB44" s="30">
        <f t="shared" si="4"/>
        <v>0.42554419098757584</v>
      </c>
      <c r="AC44" s="28">
        <v>7</v>
      </c>
      <c r="AD44" s="31">
        <v>47</v>
      </c>
    </row>
    <row r="45" spans="6:35" ht="34.5">
      <c r="F45" s="8">
        <v>40</v>
      </c>
      <c r="G45" s="9" t="s">
        <v>131</v>
      </c>
      <c r="H45" s="50" t="s">
        <v>56</v>
      </c>
      <c r="I45" s="32" t="s">
        <v>25</v>
      </c>
      <c r="J45" s="12">
        <v>6836.2143830000005</v>
      </c>
      <c r="K45" s="12">
        <v>11738.914349999999</v>
      </c>
      <c r="L45" s="71" t="s">
        <v>132</v>
      </c>
      <c r="M45" s="14">
        <v>16.3</v>
      </c>
      <c r="N45" s="13">
        <f t="shared" si="0"/>
        <v>16.3</v>
      </c>
      <c r="O45" s="13">
        <v>489</v>
      </c>
      <c r="P45" s="15">
        <v>6176</v>
      </c>
      <c r="Q45" s="15">
        <v>1076739</v>
      </c>
      <c r="R45" s="15">
        <v>1900731</v>
      </c>
      <c r="S45" s="18">
        <v>7.75</v>
      </c>
      <c r="T45" s="18">
        <v>6.76</v>
      </c>
      <c r="U45" s="18">
        <v>28.14</v>
      </c>
      <c r="V45" s="18">
        <v>76.39</v>
      </c>
      <c r="W45" s="18">
        <v>76.45</v>
      </c>
      <c r="X45" s="29">
        <f t="shared" si="2"/>
        <v>90.073099999999997</v>
      </c>
      <c r="Y45" s="16">
        <v>90.073099999999997</v>
      </c>
      <c r="Z45" s="17">
        <v>13</v>
      </c>
      <c r="AA45" s="17">
        <v>25</v>
      </c>
      <c r="AB45" s="17">
        <f t="shared" si="4"/>
        <v>0.19882480513112349</v>
      </c>
      <c r="AC45" s="18">
        <v>5</v>
      </c>
      <c r="AD45" s="19">
        <v>75</v>
      </c>
    </row>
    <row r="46" spans="6:35" ht="34.5">
      <c r="F46" s="20">
        <v>41</v>
      </c>
      <c r="G46" s="21" t="s">
        <v>133</v>
      </c>
      <c r="H46" s="21" t="s">
        <v>56</v>
      </c>
      <c r="I46" s="23" t="s">
        <v>134</v>
      </c>
      <c r="J46" s="24">
        <v>6983.45</v>
      </c>
      <c r="K46" s="24">
        <v>9953.9025320000001</v>
      </c>
      <c r="L46" s="24" t="s">
        <v>135</v>
      </c>
      <c r="M46" s="26">
        <v>20.9</v>
      </c>
      <c r="N46" s="13">
        <f t="shared" si="0"/>
        <v>20.9</v>
      </c>
      <c r="O46" s="25">
        <v>627</v>
      </c>
      <c r="P46" s="27">
        <v>5026</v>
      </c>
      <c r="Q46" s="27">
        <v>1379585</v>
      </c>
      <c r="R46" s="27">
        <v>1980482</v>
      </c>
      <c r="S46" s="28">
        <v>2.62</v>
      </c>
      <c r="T46" s="28">
        <v>1.51</v>
      </c>
      <c r="U46" s="28">
        <v>22.939999999999998</v>
      </c>
      <c r="V46" s="28">
        <v>43.57</v>
      </c>
      <c r="W46" s="28">
        <v>43.57</v>
      </c>
      <c r="X46" s="29">
        <f t="shared" si="2"/>
        <v>98.048199999999994</v>
      </c>
      <c r="Y46" s="29">
        <v>98.048199999999994</v>
      </c>
      <c r="Z46" s="30">
        <v>54</v>
      </c>
      <c r="AA46" s="30">
        <v>15</v>
      </c>
      <c r="AB46" s="30">
        <f t="shared" si="4"/>
        <v>0.10115497935560439</v>
      </c>
      <c r="AC46" s="28">
        <v>1</v>
      </c>
      <c r="AD46" s="31">
        <v>85</v>
      </c>
    </row>
    <row r="47" spans="6:35" ht="34.5">
      <c r="F47" s="8">
        <v>42</v>
      </c>
      <c r="G47" s="33" t="s">
        <v>136</v>
      </c>
      <c r="H47" s="50" t="s">
        <v>56</v>
      </c>
      <c r="I47" s="32" t="s">
        <v>137</v>
      </c>
      <c r="J47" s="12" t="s">
        <v>34</v>
      </c>
      <c r="K47" s="12">
        <v>9543.5717540000005</v>
      </c>
      <c r="L47" s="13" t="s">
        <v>138</v>
      </c>
      <c r="M47" s="14">
        <v>8.5333333333333332</v>
      </c>
      <c r="N47" s="13">
        <f t="shared" si="0"/>
        <v>8.5333333333333332</v>
      </c>
      <c r="O47" s="14">
        <v>256</v>
      </c>
      <c r="P47" s="15">
        <v>7078</v>
      </c>
      <c r="Q47" s="15" t="s">
        <v>34</v>
      </c>
      <c r="R47" s="15">
        <v>1348343</v>
      </c>
      <c r="S47" s="18">
        <v>6.09</v>
      </c>
      <c r="T47" s="18">
        <v>6.21</v>
      </c>
      <c r="U47" s="18">
        <v>33.29</v>
      </c>
      <c r="V47" s="18" t="s">
        <v>34</v>
      </c>
      <c r="W47" s="18" t="s">
        <v>34</v>
      </c>
      <c r="X47" s="29">
        <f t="shared" si="2"/>
        <v>34.834299999999999</v>
      </c>
      <c r="Y47" s="16">
        <v>34.834299999999999</v>
      </c>
      <c r="Z47" s="36">
        <v>30</v>
      </c>
      <c r="AA47" s="36">
        <v>31</v>
      </c>
      <c r="AB47" s="17">
        <f t="shared" si="4"/>
        <v>0.20043578432468007</v>
      </c>
      <c r="AC47" s="36">
        <v>1</v>
      </c>
      <c r="AD47" s="69">
        <v>69</v>
      </c>
      <c r="AE47" s="38"/>
      <c r="AF47" s="38"/>
      <c r="AG47" s="38"/>
      <c r="AH47" s="38"/>
      <c r="AI47" s="38"/>
    </row>
    <row r="48" spans="6:35" ht="34.5">
      <c r="F48" s="20">
        <v>43</v>
      </c>
      <c r="G48" s="21" t="s">
        <v>139</v>
      </c>
      <c r="H48" s="21" t="s">
        <v>56</v>
      </c>
      <c r="I48" s="23" t="s">
        <v>140</v>
      </c>
      <c r="J48" s="24" t="s">
        <v>34</v>
      </c>
      <c r="K48" s="24">
        <v>9119.273733</v>
      </c>
      <c r="L48" s="24" t="s">
        <v>141</v>
      </c>
      <c r="M48" s="26">
        <v>1.5666666666666667</v>
      </c>
      <c r="N48" s="13">
        <f t="shared" si="0"/>
        <v>1.5666666666666667</v>
      </c>
      <c r="O48" s="25">
        <v>47</v>
      </c>
      <c r="P48" s="27">
        <v>8444</v>
      </c>
      <c r="Q48" s="27" t="s">
        <v>34</v>
      </c>
      <c r="R48" s="27">
        <v>1079970</v>
      </c>
      <c r="S48" s="28">
        <v>6.41</v>
      </c>
      <c r="T48" s="28">
        <v>7.21</v>
      </c>
      <c r="U48" s="28" t="s">
        <v>34</v>
      </c>
      <c r="V48" s="28" t="s">
        <v>34</v>
      </c>
      <c r="W48" s="28" t="s">
        <v>34</v>
      </c>
      <c r="X48" s="29">
        <f t="shared" si="2"/>
        <v>7.9969999999999999</v>
      </c>
      <c r="Y48" s="29">
        <v>7.9969999999999999</v>
      </c>
      <c r="Z48" s="30">
        <v>66</v>
      </c>
      <c r="AA48" s="30">
        <v>32</v>
      </c>
      <c r="AB48" s="30">
        <f t="shared" si="4"/>
        <v>0.19770281510857143</v>
      </c>
      <c r="AC48" s="28">
        <v>8</v>
      </c>
      <c r="AD48" s="31">
        <v>68</v>
      </c>
      <c r="AE48" s="49"/>
      <c r="AF48" s="49"/>
      <c r="AG48" s="49"/>
      <c r="AH48" s="49"/>
      <c r="AI48" s="49"/>
    </row>
    <row r="49" spans="6:35" ht="34.5">
      <c r="F49" s="8">
        <v>44</v>
      </c>
      <c r="G49" s="9" t="s">
        <v>142</v>
      </c>
      <c r="H49" s="50" t="s">
        <v>56</v>
      </c>
      <c r="I49" s="32" t="s">
        <v>143</v>
      </c>
      <c r="J49" s="12">
        <v>6745.7190799999998</v>
      </c>
      <c r="K49" s="12">
        <v>8332.4965969999994</v>
      </c>
      <c r="L49" s="13" t="s">
        <v>144</v>
      </c>
      <c r="M49" s="14">
        <v>17.933333333333334</v>
      </c>
      <c r="N49" s="13">
        <f t="shared" si="0"/>
        <v>17.933333333333334</v>
      </c>
      <c r="O49" s="14">
        <v>538</v>
      </c>
      <c r="P49" s="15">
        <v>4707</v>
      </c>
      <c r="Q49" s="15">
        <v>1043260</v>
      </c>
      <c r="R49" s="15">
        <v>1770235</v>
      </c>
      <c r="S49" s="18">
        <v>4.79</v>
      </c>
      <c r="T49" s="18">
        <v>3.12</v>
      </c>
      <c r="U49" s="18">
        <v>26.91</v>
      </c>
      <c r="V49" s="18">
        <v>69.73</v>
      </c>
      <c r="W49" s="18">
        <v>69.72</v>
      </c>
      <c r="X49" s="29">
        <f t="shared" si="2"/>
        <v>77.023499999999999</v>
      </c>
      <c r="Y49" s="16">
        <v>77.023499999999999</v>
      </c>
      <c r="Z49" s="17">
        <v>38</v>
      </c>
      <c r="AA49" s="17">
        <v>33</v>
      </c>
      <c r="AB49" s="17">
        <f t="shared" si="4"/>
        <v>0.18629092868742522</v>
      </c>
      <c r="AC49" s="18">
        <v>20</v>
      </c>
      <c r="AD49" s="19">
        <v>67</v>
      </c>
      <c r="AE49" s="51"/>
      <c r="AF49" s="51"/>
      <c r="AG49" s="51"/>
      <c r="AH49" s="51"/>
      <c r="AI49" s="51"/>
    </row>
    <row r="50" spans="6:35" ht="34.5">
      <c r="F50" s="20">
        <v>45</v>
      </c>
      <c r="G50" s="21" t="s">
        <v>145</v>
      </c>
      <c r="H50" s="21" t="s">
        <v>56</v>
      </c>
      <c r="I50" s="23" t="s">
        <v>146</v>
      </c>
      <c r="J50" s="24">
        <v>5221</v>
      </c>
      <c r="K50" s="24">
        <v>8001.6701400000002</v>
      </c>
      <c r="L50" s="24" t="s">
        <v>147</v>
      </c>
      <c r="M50" s="26">
        <v>12.566666666666666</v>
      </c>
      <c r="N50" s="13">
        <f t="shared" si="0"/>
        <v>12.566666666666666</v>
      </c>
      <c r="O50" s="25">
        <v>377</v>
      </c>
      <c r="P50" s="27">
        <v>5220</v>
      </c>
      <c r="Q50" s="27">
        <v>1002742</v>
      </c>
      <c r="R50" s="27">
        <v>1532887</v>
      </c>
      <c r="S50" s="28">
        <v>7.6499999999999995</v>
      </c>
      <c r="T50" s="28">
        <v>3.64</v>
      </c>
      <c r="U50" s="28">
        <v>23.53</v>
      </c>
      <c r="V50" s="28">
        <v>52.88</v>
      </c>
      <c r="W50" s="28">
        <v>52.88</v>
      </c>
      <c r="X50" s="29">
        <f t="shared" si="2"/>
        <v>53.288699999999999</v>
      </c>
      <c r="Y50" s="29">
        <v>53.288699999999999</v>
      </c>
      <c r="Z50" s="30">
        <v>10</v>
      </c>
      <c r="AA50" s="30">
        <v>4</v>
      </c>
      <c r="AB50" s="30">
        <f t="shared" si="4"/>
        <v>2.1684192713225203E-2</v>
      </c>
      <c r="AC50" s="28">
        <v>3</v>
      </c>
      <c r="AD50" s="31">
        <v>96</v>
      </c>
      <c r="AE50" s="51"/>
      <c r="AF50" s="51"/>
      <c r="AG50" s="51"/>
      <c r="AH50" s="51"/>
      <c r="AI50" s="51"/>
    </row>
    <row r="51" spans="6:35" ht="34.5">
      <c r="F51" s="8">
        <v>46</v>
      </c>
      <c r="G51" s="9" t="s">
        <v>148</v>
      </c>
      <c r="H51" s="50" t="s">
        <v>56</v>
      </c>
      <c r="I51" s="72" t="s">
        <v>149</v>
      </c>
      <c r="J51" s="12">
        <v>5079.9141410000002</v>
      </c>
      <c r="K51" s="12">
        <v>7616.0645160000004</v>
      </c>
      <c r="L51" s="13" t="s">
        <v>150</v>
      </c>
      <c r="M51" s="14">
        <v>20.266666666666666</v>
      </c>
      <c r="N51" s="13">
        <f t="shared" si="0"/>
        <v>20.266666666666666</v>
      </c>
      <c r="O51" s="14">
        <v>608</v>
      </c>
      <c r="P51" s="15">
        <v>5190</v>
      </c>
      <c r="Q51" s="15">
        <v>1019858</v>
      </c>
      <c r="R51" s="15">
        <v>1467450</v>
      </c>
      <c r="S51" s="18">
        <v>3.7</v>
      </c>
      <c r="T51" s="18">
        <v>2.57</v>
      </c>
      <c r="U51" s="18">
        <v>15.13</v>
      </c>
      <c r="V51" s="18">
        <v>43.95</v>
      </c>
      <c r="W51" s="18">
        <v>43.94</v>
      </c>
      <c r="X51" s="29">
        <f t="shared" si="2"/>
        <v>46.744999999999997</v>
      </c>
      <c r="Y51" s="16">
        <v>46.744999999999997</v>
      </c>
      <c r="Z51" s="17">
        <v>32</v>
      </c>
      <c r="AA51" s="17">
        <v>12</v>
      </c>
      <c r="AB51" s="17">
        <f t="shared" si="4"/>
        <v>6.1917652611945935E-2</v>
      </c>
      <c r="AC51" s="18">
        <v>3</v>
      </c>
      <c r="AD51" s="19">
        <v>88</v>
      </c>
      <c r="AE51" s="51"/>
      <c r="AF51" s="51"/>
      <c r="AG51" s="51"/>
      <c r="AH51" s="51"/>
      <c r="AI51" s="51"/>
    </row>
    <row r="52" spans="6:35" ht="34.5">
      <c r="F52" s="20">
        <v>47</v>
      </c>
      <c r="G52" s="21" t="s">
        <v>151</v>
      </c>
      <c r="H52" s="21" t="s">
        <v>56</v>
      </c>
      <c r="I52" s="23" t="s">
        <v>152</v>
      </c>
      <c r="J52" s="24">
        <v>5043.68</v>
      </c>
      <c r="K52" s="24">
        <v>7524.8162220000004</v>
      </c>
      <c r="L52" s="24" t="s">
        <v>88</v>
      </c>
      <c r="M52" s="26">
        <v>12.3</v>
      </c>
      <c r="N52" s="13">
        <f t="shared" si="0"/>
        <v>12.3</v>
      </c>
      <c r="O52" s="25">
        <v>369</v>
      </c>
      <c r="P52" s="27">
        <v>5537</v>
      </c>
      <c r="Q52" s="27">
        <v>1006724</v>
      </c>
      <c r="R52" s="27">
        <v>1359006</v>
      </c>
      <c r="S52" s="28">
        <v>7.64</v>
      </c>
      <c r="T52" s="28">
        <v>6.22</v>
      </c>
      <c r="U52" s="28">
        <v>22.509999999999998</v>
      </c>
      <c r="V52" s="28">
        <v>34.950000000000003</v>
      </c>
      <c r="W52" s="28">
        <v>34.949999999999996</v>
      </c>
      <c r="X52" s="29">
        <f t="shared" si="2"/>
        <v>35.900599999999997</v>
      </c>
      <c r="Y52" s="29">
        <v>35.900599999999997</v>
      </c>
      <c r="Z52" s="30">
        <v>4</v>
      </c>
      <c r="AA52" s="30">
        <v>3</v>
      </c>
      <c r="AB52" s="30">
        <f t="shared" si="4"/>
        <v>1.5293953846626376E-2</v>
      </c>
      <c r="AC52" s="28">
        <v>4</v>
      </c>
      <c r="AD52" s="31">
        <v>97</v>
      </c>
      <c r="AE52" s="51"/>
      <c r="AF52" s="51"/>
      <c r="AG52" s="51"/>
      <c r="AH52" s="51"/>
      <c r="AI52" s="51"/>
    </row>
    <row r="53" spans="6:35" ht="34.5">
      <c r="F53" s="8">
        <v>48</v>
      </c>
      <c r="G53" s="33" t="s">
        <v>153</v>
      </c>
      <c r="H53" s="50" t="s">
        <v>56</v>
      </c>
      <c r="I53" s="68" t="s">
        <v>154</v>
      </c>
      <c r="J53" s="12">
        <v>6962</v>
      </c>
      <c r="K53" s="12">
        <v>7137.3462929999996</v>
      </c>
      <c r="L53" s="71" t="s">
        <v>155</v>
      </c>
      <c r="M53" s="14">
        <v>13.166666666666666</v>
      </c>
      <c r="N53" s="13">
        <f t="shared" si="0"/>
        <v>13.166666666666666</v>
      </c>
      <c r="O53" s="13">
        <v>395</v>
      </c>
      <c r="P53" s="15">
        <v>4149</v>
      </c>
      <c r="Q53" s="15">
        <v>1028560</v>
      </c>
      <c r="R53" s="15">
        <v>1720257</v>
      </c>
      <c r="S53" s="18">
        <v>9.84</v>
      </c>
      <c r="T53" s="18">
        <v>9.83</v>
      </c>
      <c r="U53" s="18">
        <v>39.68</v>
      </c>
      <c r="V53" s="18">
        <v>67.290000000000006</v>
      </c>
      <c r="W53" s="18">
        <v>67.27</v>
      </c>
      <c r="X53" s="29">
        <f t="shared" si="2"/>
        <v>72.025700000000001</v>
      </c>
      <c r="Y53" s="16">
        <v>72.025700000000001</v>
      </c>
      <c r="Z53" s="36">
        <v>34</v>
      </c>
      <c r="AA53" s="36">
        <v>56</v>
      </c>
      <c r="AB53" s="17">
        <f t="shared" si="4"/>
        <v>0.27078675536331182</v>
      </c>
      <c r="AC53" s="36">
        <v>6</v>
      </c>
      <c r="AD53" s="73">
        <v>44</v>
      </c>
      <c r="AE53" s="51"/>
      <c r="AF53" s="51"/>
      <c r="AG53" s="51"/>
      <c r="AH53" s="51"/>
      <c r="AI53" s="51"/>
    </row>
    <row r="54" spans="6:35" ht="34.5">
      <c r="F54" s="20">
        <v>49</v>
      </c>
      <c r="G54" s="21" t="s">
        <v>156</v>
      </c>
      <c r="H54" s="21" t="s">
        <v>56</v>
      </c>
      <c r="I54" s="23" t="s">
        <v>157</v>
      </c>
      <c r="J54" s="24" t="s">
        <v>34</v>
      </c>
      <c r="K54" s="24">
        <v>6940.0175090000002</v>
      </c>
      <c r="L54" s="24" t="s">
        <v>158</v>
      </c>
      <c r="M54" s="26" t="s">
        <v>34</v>
      </c>
      <c r="N54" s="13">
        <f t="shared" si="0"/>
        <v>0.4</v>
      </c>
      <c r="O54" s="25">
        <v>12</v>
      </c>
      <c r="P54" s="27">
        <v>6940</v>
      </c>
      <c r="Q54" s="24" t="s">
        <v>34</v>
      </c>
      <c r="R54" s="27">
        <v>1000002</v>
      </c>
      <c r="S54" s="28">
        <v>-0.47</v>
      </c>
      <c r="T54" s="28">
        <v>-0.17</v>
      </c>
      <c r="U54" s="28" t="s">
        <v>34</v>
      </c>
      <c r="V54" s="28" t="s">
        <v>34</v>
      </c>
      <c r="W54" s="28" t="s">
        <v>34</v>
      </c>
      <c r="X54" s="29">
        <f t="shared" si="2"/>
        <v>1.9999999999999998E-4</v>
      </c>
      <c r="Y54" s="29">
        <v>1.9999999999999998E-4</v>
      </c>
      <c r="Z54" s="30">
        <v>39</v>
      </c>
      <c r="AA54" s="30">
        <v>44</v>
      </c>
      <c r="AB54" s="30">
        <f t="shared" si="4"/>
        <v>0.20687874145252436</v>
      </c>
      <c r="AC54" s="28">
        <v>3</v>
      </c>
      <c r="AD54" s="31">
        <v>56</v>
      </c>
      <c r="AE54" s="51"/>
      <c r="AF54" s="51"/>
      <c r="AG54" s="51"/>
      <c r="AH54" s="51"/>
      <c r="AI54" s="51"/>
    </row>
    <row r="55" spans="6:35" ht="34.5">
      <c r="F55" s="8">
        <v>50</v>
      </c>
      <c r="G55" s="9" t="s">
        <v>159</v>
      </c>
      <c r="H55" s="50" t="s">
        <v>56</v>
      </c>
      <c r="I55" s="68" t="s">
        <v>160</v>
      </c>
      <c r="J55" s="12" t="s">
        <v>34</v>
      </c>
      <c r="K55" s="12">
        <v>6418.670768</v>
      </c>
      <c r="L55" s="12" t="s">
        <v>161</v>
      </c>
      <c r="M55" s="70" t="s">
        <v>34</v>
      </c>
      <c r="N55" s="13">
        <f t="shared" si="0"/>
        <v>0.16666666666666666</v>
      </c>
      <c r="O55" s="12">
        <v>5</v>
      </c>
      <c r="P55" s="15">
        <v>6399</v>
      </c>
      <c r="Q55" s="12" t="s">
        <v>34</v>
      </c>
      <c r="R55" s="15">
        <v>1003075</v>
      </c>
      <c r="S55" s="18">
        <v>0.31</v>
      </c>
      <c r="T55" s="18" t="s">
        <v>34</v>
      </c>
      <c r="U55" s="18" t="s">
        <v>34</v>
      </c>
      <c r="V55" s="18" t="s">
        <v>34</v>
      </c>
      <c r="W55" s="18" t="s">
        <v>34</v>
      </c>
      <c r="X55" s="29">
        <f t="shared" si="2"/>
        <v>0.3075</v>
      </c>
      <c r="Y55" s="16">
        <v>0.3075</v>
      </c>
      <c r="Z55" s="17">
        <v>17</v>
      </c>
      <c r="AA55" s="17">
        <v>40</v>
      </c>
      <c r="AB55" s="17">
        <f t="shared" si="4"/>
        <v>0.17394330366142438</v>
      </c>
      <c r="AC55" s="18">
        <v>3</v>
      </c>
      <c r="AD55" s="19">
        <v>60</v>
      </c>
      <c r="AE55" s="51"/>
      <c r="AF55" s="51"/>
      <c r="AG55" s="51"/>
      <c r="AH55" s="51"/>
      <c r="AI55" s="51"/>
    </row>
    <row r="56" spans="6:35" ht="34.5">
      <c r="F56" s="20">
        <v>51</v>
      </c>
      <c r="G56" s="21" t="s">
        <v>162</v>
      </c>
      <c r="H56" s="21" t="s">
        <v>56</v>
      </c>
      <c r="I56" s="23" t="s">
        <v>163</v>
      </c>
      <c r="J56" s="24">
        <v>4158.2551119999998</v>
      </c>
      <c r="K56" s="24">
        <v>6397.0199169999996</v>
      </c>
      <c r="L56" s="24" t="s">
        <v>164</v>
      </c>
      <c r="M56" s="26">
        <v>33.833333333333336</v>
      </c>
      <c r="N56" s="13">
        <f t="shared" si="0"/>
        <v>33.833333333333336</v>
      </c>
      <c r="O56" s="25">
        <v>1015</v>
      </c>
      <c r="P56" s="27">
        <v>3961</v>
      </c>
      <c r="Q56" s="27">
        <v>983504</v>
      </c>
      <c r="R56" s="27">
        <v>1615001</v>
      </c>
      <c r="S56" s="28">
        <v>5.39</v>
      </c>
      <c r="T56" s="28">
        <v>-1.89</v>
      </c>
      <c r="U56" s="28">
        <v>26.27</v>
      </c>
      <c r="V56" s="28">
        <v>64.239999999999995</v>
      </c>
      <c r="W56" s="28">
        <v>64.23</v>
      </c>
      <c r="X56" s="29">
        <f t="shared" si="2"/>
        <v>61.500100000000003</v>
      </c>
      <c r="Y56" s="29">
        <v>61.500100000000003</v>
      </c>
      <c r="Z56" s="30">
        <v>24</v>
      </c>
      <c r="AA56" s="30">
        <v>75</v>
      </c>
      <c r="AB56" s="30">
        <f t="shared" si="4"/>
        <v>0.32504357741159623</v>
      </c>
      <c r="AC56" s="28">
        <v>1</v>
      </c>
      <c r="AD56" s="31">
        <v>25</v>
      </c>
      <c r="AE56" s="51"/>
      <c r="AF56" s="51"/>
      <c r="AG56" s="51"/>
      <c r="AH56" s="51"/>
      <c r="AI56" s="51"/>
    </row>
    <row r="57" spans="6:35" ht="34.5">
      <c r="F57" s="8">
        <v>52</v>
      </c>
      <c r="G57" s="9" t="s">
        <v>165</v>
      </c>
      <c r="H57" s="50" t="s">
        <v>56</v>
      </c>
      <c r="I57" s="74" t="s">
        <v>166</v>
      </c>
      <c r="J57" s="12">
        <v>4590.9218000000001</v>
      </c>
      <c r="K57" s="12">
        <v>5734.7961079999995</v>
      </c>
      <c r="L57" s="13" t="s">
        <v>167</v>
      </c>
      <c r="M57" s="14">
        <v>32.200000000000003</v>
      </c>
      <c r="N57" s="13">
        <f t="shared" si="0"/>
        <v>32.200000000000003</v>
      </c>
      <c r="O57" s="14">
        <v>966</v>
      </c>
      <c r="P57" s="15">
        <v>3750</v>
      </c>
      <c r="Q57" s="15">
        <v>1274548</v>
      </c>
      <c r="R57" s="15">
        <v>1529279</v>
      </c>
      <c r="S57" s="18">
        <v>3.75</v>
      </c>
      <c r="T57" s="18">
        <v>2.52</v>
      </c>
      <c r="U57" s="18">
        <v>11.5</v>
      </c>
      <c r="V57" s="18">
        <v>19.95</v>
      </c>
      <c r="W57" s="18">
        <v>19.97</v>
      </c>
      <c r="X57" s="29">
        <f t="shared" si="2"/>
        <v>52.927900000000008</v>
      </c>
      <c r="Y57" s="16">
        <v>52.927900000000008</v>
      </c>
      <c r="Z57" s="17">
        <v>28</v>
      </c>
      <c r="AA57" s="17">
        <v>15</v>
      </c>
      <c r="AB57" s="17">
        <f t="shared" si="4"/>
        <v>5.8278969484422155E-2</v>
      </c>
      <c r="AC57" s="18">
        <v>4</v>
      </c>
      <c r="AD57" s="19">
        <v>85</v>
      </c>
      <c r="AE57" s="51"/>
      <c r="AF57" s="51"/>
      <c r="AG57" s="51"/>
      <c r="AH57" s="51"/>
      <c r="AI57" s="51"/>
    </row>
    <row r="58" spans="6:35" ht="34.5">
      <c r="F58" s="20">
        <v>53</v>
      </c>
      <c r="G58" s="21" t="s">
        <v>168</v>
      </c>
      <c r="H58" s="21" t="s">
        <v>56</v>
      </c>
      <c r="I58" s="23" t="s">
        <v>169</v>
      </c>
      <c r="J58" s="24">
        <v>4578.8900000000003</v>
      </c>
      <c r="K58" s="24">
        <v>5388.4715500000002</v>
      </c>
      <c r="L58" s="24" t="s">
        <v>170</v>
      </c>
      <c r="M58" s="26">
        <v>31.233333333333334</v>
      </c>
      <c r="N58" s="13">
        <f t="shared" si="0"/>
        <v>31.233333333333334</v>
      </c>
      <c r="O58" s="25">
        <v>937</v>
      </c>
      <c r="P58" s="27">
        <v>3850</v>
      </c>
      <c r="Q58" s="27">
        <v>1234203</v>
      </c>
      <c r="R58" s="27">
        <v>1399603</v>
      </c>
      <c r="S58" s="28">
        <v>8.07</v>
      </c>
      <c r="T58" s="28">
        <v>-10.31</v>
      </c>
      <c r="U58" s="28">
        <v>6.660000000000001</v>
      </c>
      <c r="V58" s="28">
        <v>13.47</v>
      </c>
      <c r="W58" s="28">
        <v>13.43</v>
      </c>
      <c r="X58" s="29">
        <f t="shared" si="2"/>
        <v>39.960299999999997</v>
      </c>
      <c r="Y58" s="29">
        <v>39.960299999999997</v>
      </c>
      <c r="Z58" s="30">
        <v>42</v>
      </c>
      <c r="AA58" s="30">
        <v>19</v>
      </c>
      <c r="AB58" s="30">
        <f t="shared" si="4"/>
        <v>6.9362033676593646E-2</v>
      </c>
      <c r="AC58" s="28">
        <v>1</v>
      </c>
      <c r="AD58" s="31">
        <v>81</v>
      </c>
      <c r="AE58" s="51"/>
      <c r="AF58" s="51"/>
      <c r="AG58" s="51"/>
      <c r="AH58" s="51"/>
      <c r="AI58" s="51"/>
    </row>
    <row r="59" spans="6:35" ht="34.5" customHeight="1">
      <c r="F59" s="88" t="s">
        <v>171</v>
      </c>
      <c r="G59" s="89"/>
      <c r="H59" s="43" t="s">
        <v>34</v>
      </c>
      <c r="I59" s="40" t="s">
        <v>34</v>
      </c>
      <c r="J59" s="42">
        <f>SUM(J16:J58)</f>
        <v>265786.313203</v>
      </c>
      <c r="K59" s="42">
        <f>SUM(K16:K58)</f>
        <v>1476037.4519489999</v>
      </c>
      <c r="L59" s="42" t="s">
        <v>34</v>
      </c>
      <c r="M59" s="44">
        <v>36.333333333333336</v>
      </c>
      <c r="N59" s="13">
        <f t="shared" si="0"/>
        <v>36.333333333333336</v>
      </c>
      <c r="O59" s="43">
        <v>1090</v>
      </c>
      <c r="P59" s="42">
        <f>SUM(P16:P58)</f>
        <v>697776</v>
      </c>
      <c r="Q59" s="45">
        <f t="shared" ref="Q59:W59" si="5">AVERAGE(Q16:Q58)</f>
        <v>1355655.1923076923</v>
      </c>
      <c r="R59" s="45">
        <f t="shared" si="5"/>
        <v>1887388.465116279</v>
      </c>
      <c r="S59" s="52">
        <f t="shared" si="5"/>
        <v>6.0151162790697672</v>
      </c>
      <c r="T59" s="52">
        <f t="shared" si="5"/>
        <v>4.878571428571429</v>
      </c>
      <c r="U59" s="52">
        <f t="shared" si="5"/>
        <v>26.229999999999993</v>
      </c>
      <c r="V59" s="46">
        <f t="shared" si="5"/>
        <v>66.707777777777778</v>
      </c>
      <c r="W59" s="46">
        <f t="shared" si="5"/>
        <v>66.717407407407421</v>
      </c>
      <c r="X59" s="29">
        <f t="shared" si="2"/>
        <v>88.738846511627898</v>
      </c>
      <c r="Y59" s="46">
        <f>AVERAGE(Y16:Y58)</f>
        <v>88.738846511627926</v>
      </c>
      <c r="Z59" s="47">
        <f>SUM(Z16:Z58)</f>
        <v>5584</v>
      </c>
      <c r="AA59" s="47">
        <f>AB59</f>
        <v>70.287798606887009</v>
      </c>
      <c r="AB59" s="47">
        <f>SUM(AB16:AB58)</f>
        <v>70.287798606887009</v>
      </c>
      <c r="AC59" s="54">
        <f>SUM(AC16:AC58)</f>
        <v>233</v>
      </c>
      <c r="AD59" s="55">
        <f>100-AA59</f>
        <v>29.712201393112991</v>
      </c>
      <c r="AE59" s="51"/>
      <c r="AF59" s="51"/>
      <c r="AG59" s="51"/>
      <c r="AH59" s="51"/>
      <c r="AI59" s="51"/>
    </row>
    <row r="60" spans="6:35" ht="35.25" thickBot="1">
      <c r="F60" s="90" t="s">
        <v>172</v>
      </c>
      <c r="G60" s="91"/>
      <c r="H60" s="75" t="s">
        <v>34</v>
      </c>
      <c r="I60" s="76" t="s">
        <v>34</v>
      </c>
      <c r="J60" s="77">
        <f>J8+J13+J59</f>
        <v>3037626.0372929997</v>
      </c>
      <c r="K60" s="77">
        <f>K8+K13+K59+K14</f>
        <v>8388510.7253510002</v>
      </c>
      <c r="L60" s="77" t="s">
        <v>34</v>
      </c>
      <c r="M60" s="78">
        <v>43.333333333333336</v>
      </c>
      <c r="N60" s="79">
        <f t="shared" si="0"/>
        <v>43.333333333333336</v>
      </c>
      <c r="O60" s="75">
        <v>1300</v>
      </c>
      <c r="P60" s="77">
        <f>P8+P13+P59+P15</f>
        <v>6578160</v>
      </c>
      <c r="Q60" s="77" t="s">
        <v>34</v>
      </c>
      <c r="R60" s="80" t="s">
        <v>34</v>
      </c>
      <c r="S60" s="80" t="s">
        <v>34</v>
      </c>
      <c r="T60" s="80" t="s">
        <v>34</v>
      </c>
      <c r="U60" s="80" t="s">
        <v>34</v>
      </c>
      <c r="V60" s="80" t="s">
        <v>34</v>
      </c>
      <c r="W60" s="80" t="s">
        <v>34</v>
      </c>
      <c r="X60" s="29" t="e">
        <f t="shared" si="2"/>
        <v>#VALUE!</v>
      </c>
      <c r="Y60" s="81" t="s">
        <v>34</v>
      </c>
      <c r="Z60" s="82">
        <f>Z59+Z13+Z8+Z14</f>
        <v>16256</v>
      </c>
      <c r="AA60" s="82">
        <f>AB60</f>
        <v>67.496725693657211</v>
      </c>
      <c r="AB60" s="82">
        <f>((AB8*K8)+(AB13*K13)+(AB59*K59))/K60</f>
        <v>67.496725693657211</v>
      </c>
      <c r="AC60" s="82">
        <f>AC59+AC13+AC8+AC14</f>
        <v>455</v>
      </c>
      <c r="AD60" s="83">
        <f>100-AA60</f>
        <v>32.503274306342789</v>
      </c>
      <c r="AE60" s="51"/>
      <c r="AF60" s="51"/>
      <c r="AG60" s="51"/>
      <c r="AH60" s="51"/>
      <c r="AI60" s="51"/>
    </row>
  </sheetData>
  <mergeCells count="8">
    <mergeCell ref="F59:G59"/>
    <mergeCell ref="F60:G60"/>
    <mergeCell ref="G1:AC1"/>
    <mergeCell ref="AF7:AG7"/>
    <mergeCell ref="AH7:AI7"/>
    <mergeCell ref="F8:G8"/>
    <mergeCell ref="F13:G13"/>
    <mergeCell ref="F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B19" sqref="B19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B19" sqref="B19"/>
    </sheetView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>
      <selection activeCell="B24" sqref="B24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پیوست1</vt:lpstr>
      <vt:lpstr>پیوست2</vt:lpstr>
      <vt:lpstr>پیوست3</vt:lpstr>
      <vt:lpstr>پیوست4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2012-04-17T14:42:47Z</dcterms:modified>
</cp:coreProperties>
</file>