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oys\Desktop\3 сем\исит\"/>
    </mc:Choice>
  </mc:AlternateContent>
  <xr:revisionPtr revIDLastSave="0" documentId="13_ncr:1_{2469C015-9A36-49FD-A290-4E2B3CFAEB67}" xr6:coauthVersionLast="47" xr6:coauthVersionMax="47" xr10:uidLastSave="{00000000-0000-0000-0000-000000000000}"/>
  <bookViews>
    <workbookView xWindow="22932" yWindow="-108" windowWidth="23256" windowHeight="12456" activeTab="2" xr2:uid="{2FA80857-47CF-4416-A284-77B71B162917}"/>
  </bookViews>
  <sheets>
    <sheet name="преподаватели (2)" sheetId="9" r:id="rId1"/>
    <sheet name="Лист2" sheetId="10" r:id="rId2"/>
    <sheet name="журнал нагрузки" sheetId="1" r:id="rId3"/>
    <sheet name="преподаватели" sheetId="3" r:id="rId4"/>
    <sheet name="группы" sheetId="2" r:id="rId5"/>
    <sheet name="диапазоны" sheetId="4" r:id="rId6"/>
    <sheet name="связный список" sheetId="5" r:id="rId7"/>
    <sheet name="зарплаты" sheetId="8" r:id="rId8"/>
    <sheet name="для печати отчета" sheetId="7" r:id="rId9"/>
  </sheets>
  <definedNames>
    <definedName name="_FilterDatabase" localSheetId="2" hidden="1">'журнал нагрузки'!$A$1:$J$21</definedName>
    <definedName name="Код">'связный список'!$A$2:$A$8</definedName>
    <definedName name="Номер_группы">группы!$A$2:$A$5</definedName>
    <definedName name="отделение">диапазоны!$D$1:$D$4</definedName>
    <definedName name="пол">диапазоны!$B$1:$B$2</definedName>
    <definedName name="предмет">диапазоны!$A$1:$A$3</definedName>
    <definedName name="Слияние" localSheetId="1">Лист2!$A$1:$E$10</definedName>
    <definedName name="специальность">диапазоны!$C$1:$C$4</definedName>
    <definedName name="у11">'связный список'!$C$2:$C$6</definedName>
    <definedName name="у18">'связный список'!$E$2:$E$6</definedName>
    <definedName name="у3">'связный список'!$D$2:$D$6</definedName>
    <definedName name="у39">'связный список'!$G$2:$G$6</definedName>
    <definedName name="у46">'связный список'!$B$2:$B$6</definedName>
    <definedName name="у51">'связный список'!$F$2:$F$6</definedName>
    <definedName name="у77">'связный список'!$H$2:$H$6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7" l="1"/>
  <c r="A12" i="7"/>
  <c r="B9" i="7"/>
  <c r="B5" i="7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H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I2" i="1"/>
  <c r="J2" i="1" s="1"/>
  <c r="D3" i="1"/>
  <c r="D4" i="1"/>
  <c r="D5" i="1"/>
  <c r="D6" i="1"/>
  <c r="D7" i="1"/>
  <c r="D8" i="1"/>
  <c r="D2" i="1"/>
  <c r="I3" i="1"/>
  <c r="J3" i="1" s="1"/>
  <c r="B24" i="1" s="1"/>
  <c r="I4" i="1"/>
  <c r="J4" i="1" s="1"/>
  <c r="I5" i="1"/>
  <c r="J5" i="1" s="1"/>
  <c r="I6" i="1"/>
  <c r="J6" i="1" s="1"/>
  <c r="I7" i="1"/>
  <c r="J7" i="1" s="1"/>
  <c r="I8" i="1"/>
  <c r="J8" i="1" s="1"/>
  <c r="H8" i="1"/>
  <c r="H7" i="1"/>
  <c r="H6" i="1"/>
  <c r="H5" i="1"/>
  <c r="H4" i="1"/>
  <c r="H3" i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2" i="1" a="1"/>
  <c r="G2" i="1" s="1"/>
  <c r="B29" i="1" l="1"/>
  <c r="B28" i="1"/>
  <c r="B27" i="1"/>
  <c r="B26" i="1"/>
  <c r="B25" i="1"/>
  <c r="B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<sst xmlns="http://schemas.openxmlformats.org/spreadsheetml/2006/main" count="275" uniqueCount="97">
  <si>
    <t>ФИО</t>
  </si>
  <si>
    <t>Номер группы</t>
  </si>
  <si>
    <t>Специальность</t>
  </si>
  <si>
    <t>Предмет</t>
  </si>
  <si>
    <t>Тип занятия</t>
  </si>
  <si>
    <t>Дата начала курса</t>
  </si>
  <si>
    <t>Сумма оплаты</t>
  </si>
  <si>
    <t>Код</t>
  </si>
  <si>
    <t>Отделение</t>
  </si>
  <si>
    <t>Количество студентов</t>
  </si>
  <si>
    <t>Пол</t>
  </si>
  <si>
    <t>Телефон</t>
  </si>
  <si>
    <t>Стаж</t>
  </si>
  <si>
    <t>Фотография</t>
  </si>
  <si>
    <t>мужской</t>
  </si>
  <si>
    <t>женский</t>
  </si>
  <si>
    <t>+7(921)595-90-56</t>
  </si>
  <si>
    <t>+7(921)794-99-09</t>
  </si>
  <si>
    <t>+7(921)800-03-24</t>
  </si>
  <si>
    <t>+7(921)497-22-34</t>
  </si>
  <si>
    <t>+7(921)307-36-35</t>
  </si>
  <si>
    <t>+7(921)303-31-26</t>
  </si>
  <si>
    <t>+7(921)270-50-46</t>
  </si>
  <si>
    <t>Информационные системы и технологии</t>
  </si>
  <si>
    <t>Прикладная информатика</t>
  </si>
  <si>
    <t>Информатика и вычислительная техника</t>
  </si>
  <si>
    <t>Программная инженерия</t>
  </si>
  <si>
    <t>очное</t>
  </si>
  <si>
    <t>очно-заочное</t>
  </si>
  <si>
    <t>заочное</t>
  </si>
  <si>
    <t>вечернее</t>
  </si>
  <si>
    <t>у46</t>
  </si>
  <si>
    <t>у11</t>
  </si>
  <si>
    <t>у3</t>
  </si>
  <si>
    <t>у18</t>
  </si>
  <si>
    <t>у51</t>
  </si>
  <si>
    <t>у39</t>
  </si>
  <si>
    <t>у77</t>
  </si>
  <si>
    <t>Дворникова Роза Виталиевна</t>
  </si>
  <si>
    <t>Автухова Татьяна Игоревна</t>
  </si>
  <si>
    <t>Лукашенко Леонид Макарович</t>
  </si>
  <si>
    <t>Эскин Демид Мирославович</t>
  </si>
  <si>
    <t>Друганина Марта Давидовна</t>
  </si>
  <si>
    <t>Мещеряков Дарий Епифанович</t>
  </si>
  <si>
    <t>Реутов Клавдий Платонович</t>
  </si>
  <si>
    <t>математика</t>
  </si>
  <si>
    <t>информатика</t>
  </si>
  <si>
    <t>физика</t>
  </si>
  <si>
    <t>Количество академ. часов/нед</t>
  </si>
  <si>
    <t>Оплата за академ. час</t>
  </si>
  <si>
    <t>Оплата за академ.час</t>
  </si>
  <si>
    <t>Код преподавателя</t>
  </si>
  <si>
    <t>Карточка преподавателя</t>
  </si>
  <si>
    <t>Персональная информация</t>
  </si>
  <si>
    <t>Номер телефона</t>
  </si>
  <si>
    <t>Зарплата</t>
  </si>
  <si>
    <t>Заработная плата</t>
  </si>
  <si>
    <t>Фамилия</t>
  </si>
  <si>
    <t>Имя</t>
  </si>
  <si>
    <t>Отчество</t>
  </si>
  <si>
    <t>Год рождения</t>
  </si>
  <si>
    <t>Айвазовский</t>
  </si>
  <si>
    <t>Брюллов</t>
  </si>
  <si>
    <t>Васецов</t>
  </si>
  <si>
    <t>Дейнека</t>
  </si>
  <si>
    <t>Куинджи</t>
  </si>
  <si>
    <t>Левитан</t>
  </si>
  <si>
    <t>Нестеров</t>
  </si>
  <si>
    <t>Поленов</t>
  </si>
  <si>
    <t>Репин</t>
  </si>
  <si>
    <t>Иван</t>
  </si>
  <si>
    <t>Александр</t>
  </si>
  <si>
    <t>Виктор</t>
  </si>
  <si>
    <t>Архип</t>
  </si>
  <si>
    <t>Исаак</t>
  </si>
  <si>
    <t>Михаил</t>
  </si>
  <si>
    <t>Василий</t>
  </si>
  <si>
    <t>Илья</t>
  </si>
  <si>
    <t>Константинович</t>
  </si>
  <si>
    <t>Павлович</t>
  </si>
  <si>
    <t>Михайлович</t>
  </si>
  <si>
    <t>Александрович</t>
  </si>
  <si>
    <t>Иванович</t>
  </si>
  <si>
    <t>Ильич</t>
  </si>
  <si>
    <t>Васильевич</t>
  </si>
  <si>
    <t>Дмитриевич</t>
  </si>
  <si>
    <t>Ефимович</t>
  </si>
  <si>
    <t>м</t>
  </si>
  <si>
    <t>29.01.1817</t>
  </si>
  <si>
    <t>29.11.1798</t>
  </si>
  <si>
    <t>05.05.1848</t>
  </si>
  <si>
    <t>20.05.1899</t>
  </si>
  <si>
    <t>27.01.1842</t>
  </si>
  <si>
    <t>30.08.1860</t>
  </si>
  <si>
    <t>31.05.1862</t>
  </si>
  <si>
    <t>01.06.1844</t>
  </si>
  <si>
    <t>05.08.1844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</si>
</sst>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#,##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165" fontId="0" fillId="0" borderId="5" xfId="0" applyNumberFormat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165" fontId="0" fillId="0" borderId="5" xfId="0" applyNumberForma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0" fillId="0" borderId="7" xfId="0" applyBorder="1"/>
    <xf numFmtId="0" fontId="1" fillId="2" borderId="5" xfId="0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90054</xdr:colOff>
      <xdr:row>1</xdr:row>
      <xdr:rowOff>65620</xdr:rowOff>
    </xdr:from>
    <xdr:to>
      <xdr:col>6</xdr:col>
      <xdr:colOff>1309254</xdr:colOff>
      <xdr:row>1</xdr:row>
      <xdr:rowOff>842240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C40172F-2487-48A5-8FFC-43C453E7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8479" y="265645"/>
          <a:ext cx="1219200" cy="776620"/>
        </a:xfrm>
        <a:prstGeom prst="rect">
          <a:avLst/>
        </a:prstGeom>
      </xdr:spPr>
    </xdr:pic>
    <xdr:clientData/>
  </xdr:twoCellAnchor>
  <xdr:twoCellAnchor>
    <xdr:from>
      <xdr:col>6</xdr:col>
      <xdr:colOff>229089</xdr:colOff>
      <xdr:row>2</xdr:row>
      <xdr:rowOff>55418</xdr:rowOff>
    </xdr:from>
    <xdr:to>
      <xdr:col>6</xdr:col>
      <xdr:colOff>1220798</xdr:colOff>
      <xdr:row>2</xdr:row>
      <xdr:rowOff>1239900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05786E5-2D0C-43E6-A79F-B1713654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14" y="1160318"/>
          <a:ext cx="991709" cy="1184482"/>
        </a:xfrm>
        <a:prstGeom prst="rect">
          <a:avLst/>
        </a:prstGeom>
      </xdr:spPr>
    </xdr:pic>
    <xdr:clientData/>
  </xdr:twoCellAnchor>
  <xdr:twoCellAnchor>
    <xdr:from>
      <xdr:col>6</xdr:col>
      <xdr:colOff>136406</xdr:colOff>
      <xdr:row>3</xdr:row>
      <xdr:rowOff>96981</xdr:rowOff>
    </xdr:from>
    <xdr:to>
      <xdr:col>6</xdr:col>
      <xdr:colOff>1294866</xdr:colOff>
      <xdr:row>3</xdr:row>
      <xdr:rowOff>854736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0D33D40-6AF5-4350-840E-68633C21B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831" y="2506806"/>
          <a:ext cx="1158460" cy="757755"/>
        </a:xfrm>
        <a:prstGeom prst="rect">
          <a:avLst/>
        </a:prstGeom>
      </xdr:spPr>
    </xdr:pic>
    <xdr:clientData/>
  </xdr:twoCellAnchor>
  <xdr:twoCellAnchor editAs="oneCell">
    <xdr:from>
      <xdr:col>6</xdr:col>
      <xdr:colOff>159651</xdr:colOff>
      <xdr:row>4</xdr:row>
      <xdr:rowOff>76200</xdr:rowOff>
    </xdr:from>
    <xdr:to>
      <xdr:col>6</xdr:col>
      <xdr:colOff>1302327</xdr:colOff>
      <xdr:row>4</xdr:row>
      <xdr:rowOff>789538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BE824D4-F53A-4701-9082-7220EF716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8076" y="3400425"/>
          <a:ext cx="1142676" cy="713338"/>
        </a:xfrm>
        <a:prstGeom prst="rect">
          <a:avLst/>
        </a:prstGeom>
      </xdr:spPr>
    </xdr:pic>
    <xdr:clientData/>
  </xdr:twoCellAnchor>
  <xdr:twoCellAnchor>
    <xdr:from>
      <xdr:col>6</xdr:col>
      <xdr:colOff>110836</xdr:colOff>
      <xdr:row>5</xdr:row>
      <xdr:rowOff>79921</xdr:rowOff>
    </xdr:from>
    <xdr:to>
      <xdr:col>6</xdr:col>
      <xdr:colOff>1328439</xdr:colOff>
      <xdr:row>5</xdr:row>
      <xdr:rowOff>914752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2556EC9-9555-4466-A895-F456628F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9261" y="4270921"/>
          <a:ext cx="1217603" cy="834831"/>
        </a:xfrm>
        <a:prstGeom prst="rect">
          <a:avLst/>
        </a:prstGeom>
      </xdr:spPr>
    </xdr:pic>
    <xdr:clientData/>
  </xdr:twoCellAnchor>
  <xdr:twoCellAnchor>
    <xdr:from>
      <xdr:col>6</xdr:col>
      <xdr:colOff>106955</xdr:colOff>
      <xdr:row>6</xdr:row>
      <xdr:rowOff>69273</xdr:rowOff>
    </xdr:from>
    <xdr:to>
      <xdr:col>6</xdr:col>
      <xdr:colOff>1319753</xdr:colOff>
      <xdr:row>6</xdr:row>
      <xdr:rowOff>810806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4A69BF0-8208-4565-82CB-1B86D80C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380" y="5222298"/>
          <a:ext cx="1212798" cy="741533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7</xdr:row>
      <xdr:rowOff>62631</xdr:rowOff>
    </xdr:from>
    <xdr:to>
      <xdr:col>6</xdr:col>
      <xdr:colOff>1349434</xdr:colOff>
      <xdr:row>7</xdr:row>
      <xdr:rowOff>853332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4CC383B-1892-4367-B63F-306BB301D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6082431"/>
          <a:ext cx="1273234" cy="790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90054</xdr:colOff>
      <xdr:row>1</xdr:row>
      <xdr:rowOff>65620</xdr:rowOff>
    </xdr:from>
    <xdr:to>
      <xdr:col>6</xdr:col>
      <xdr:colOff>1309254</xdr:colOff>
      <xdr:row>1</xdr:row>
      <xdr:rowOff>842240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5C5BF5B-3A21-D91A-9953-8E4F7267A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799" y="259584"/>
          <a:ext cx="1219200" cy="776620"/>
        </a:xfrm>
        <a:prstGeom prst="rect">
          <a:avLst/>
        </a:prstGeom>
      </xdr:spPr>
    </xdr:pic>
    <xdr:clientData/>
  </xdr:twoCellAnchor>
  <xdr:twoCellAnchor>
    <xdr:from>
      <xdr:col>6</xdr:col>
      <xdr:colOff>229089</xdr:colOff>
      <xdr:row>2</xdr:row>
      <xdr:rowOff>55418</xdr:rowOff>
    </xdr:from>
    <xdr:to>
      <xdr:col>6</xdr:col>
      <xdr:colOff>1220798</xdr:colOff>
      <xdr:row>2</xdr:row>
      <xdr:rowOff>1239900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76B9772-F7D5-F462-6746-8EFBA2B47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2834" y="1156854"/>
          <a:ext cx="991709" cy="1184482"/>
        </a:xfrm>
        <a:prstGeom prst="rect">
          <a:avLst/>
        </a:prstGeom>
      </xdr:spPr>
    </xdr:pic>
    <xdr:clientData/>
  </xdr:twoCellAnchor>
  <xdr:twoCellAnchor>
    <xdr:from>
      <xdr:col>6</xdr:col>
      <xdr:colOff>136406</xdr:colOff>
      <xdr:row>3</xdr:row>
      <xdr:rowOff>96981</xdr:rowOff>
    </xdr:from>
    <xdr:to>
      <xdr:col>6</xdr:col>
      <xdr:colOff>1294866</xdr:colOff>
      <xdr:row>3</xdr:row>
      <xdr:rowOff>854736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E32C4C7-34A1-8A74-4E18-F145DB0BB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0151" y="2507672"/>
          <a:ext cx="1158460" cy="757755"/>
        </a:xfrm>
        <a:prstGeom prst="rect">
          <a:avLst/>
        </a:prstGeom>
      </xdr:spPr>
    </xdr:pic>
    <xdr:clientData/>
  </xdr:twoCellAnchor>
  <xdr:twoCellAnchor editAs="oneCell">
    <xdr:from>
      <xdr:col>6</xdr:col>
      <xdr:colOff>159651</xdr:colOff>
      <xdr:row>4</xdr:row>
      <xdr:rowOff>76200</xdr:rowOff>
    </xdr:from>
    <xdr:to>
      <xdr:col>6</xdr:col>
      <xdr:colOff>1302327</xdr:colOff>
      <xdr:row>4</xdr:row>
      <xdr:rowOff>789538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41198D3-9CAB-FC92-BC94-B9EEDDB8A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3396" y="3408218"/>
          <a:ext cx="1142676" cy="713338"/>
        </a:xfrm>
        <a:prstGeom prst="rect">
          <a:avLst/>
        </a:prstGeom>
      </xdr:spPr>
    </xdr:pic>
    <xdr:clientData/>
  </xdr:twoCellAnchor>
  <xdr:twoCellAnchor>
    <xdr:from>
      <xdr:col>6</xdr:col>
      <xdr:colOff>110836</xdr:colOff>
      <xdr:row>5</xdr:row>
      <xdr:rowOff>79921</xdr:rowOff>
    </xdr:from>
    <xdr:to>
      <xdr:col>6</xdr:col>
      <xdr:colOff>1328439</xdr:colOff>
      <xdr:row>5</xdr:row>
      <xdr:rowOff>914752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AE51E22-C2DD-3E92-7BFC-3FEC9817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4581" y="4277848"/>
          <a:ext cx="1217603" cy="834831"/>
        </a:xfrm>
        <a:prstGeom prst="rect">
          <a:avLst/>
        </a:prstGeom>
      </xdr:spPr>
    </xdr:pic>
    <xdr:clientData/>
  </xdr:twoCellAnchor>
  <xdr:twoCellAnchor>
    <xdr:from>
      <xdr:col>6</xdr:col>
      <xdr:colOff>106955</xdr:colOff>
      <xdr:row>6</xdr:row>
      <xdr:rowOff>69273</xdr:rowOff>
    </xdr:from>
    <xdr:to>
      <xdr:col>6</xdr:col>
      <xdr:colOff>1319753</xdr:colOff>
      <xdr:row>6</xdr:row>
      <xdr:rowOff>810806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0138C8E-54D5-7AB9-E09F-8F7DEA7D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0700" y="5237018"/>
          <a:ext cx="1212798" cy="741533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7</xdr:row>
      <xdr:rowOff>62631</xdr:rowOff>
    </xdr:from>
    <xdr:to>
      <xdr:col>6</xdr:col>
      <xdr:colOff>1349434</xdr:colOff>
      <xdr:row>7</xdr:row>
      <xdr:rowOff>853332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4DB5BF32-B132-7B8B-F2B7-1BCC429C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9945" y="6096286"/>
          <a:ext cx="1273234" cy="790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7E2F-85F8-4BB5-B53A-88781AA80A25}">
  <dimension ref="A1:G8"/>
  <sheetViews>
    <sheetView zoomScale="110" zoomScaleNormal="110" workbookViewId="0">
      <selection activeCell="B4" sqref="B4"/>
    </sheetView>
  </sheetViews>
  <sheetFormatPr defaultRowHeight="15" x14ac:dyDescent="0.25"/>
  <cols>
    <col min="1" max="1" width="8.42578125" customWidth="1"/>
    <col min="2" max="2" width="28.28515625" customWidth="1"/>
    <col min="3" max="3" width="10.7109375" customWidth="1"/>
    <col min="4" max="4" width="17.28515625" customWidth="1"/>
    <col min="5" max="5" width="10.28515625" customWidth="1"/>
    <col min="6" max="6" width="21.7109375" customWidth="1"/>
    <col min="7" max="7" width="20.7109375" customWidth="1"/>
    <col min="8" max="8" width="13.85546875" customWidth="1"/>
  </cols>
  <sheetData>
    <row r="1" spans="1:7" ht="15.75" thickBot="1" x14ac:dyDescent="0.3">
      <c r="A1" s="27" t="s">
        <v>7</v>
      </c>
      <c r="B1" s="28" t="s">
        <v>0</v>
      </c>
      <c r="C1" s="28" t="s">
        <v>10</v>
      </c>
      <c r="D1" s="28" t="s">
        <v>11</v>
      </c>
      <c r="E1" s="28" t="s">
        <v>12</v>
      </c>
      <c r="F1" s="28" t="s">
        <v>50</v>
      </c>
      <c r="G1" s="29" t="s">
        <v>13</v>
      </c>
    </row>
    <row r="2" spans="1:7" ht="71.45" customHeight="1" thickBot="1" x14ac:dyDescent="0.3">
      <c r="A2" s="15" t="s">
        <v>31</v>
      </c>
      <c r="B2" s="10" t="s">
        <v>38</v>
      </c>
      <c r="C2" s="3" t="s">
        <v>15</v>
      </c>
      <c r="D2" s="4" t="s">
        <v>16</v>
      </c>
      <c r="E2" s="11">
        <v>1</v>
      </c>
      <c r="F2" s="14">
        <v>200</v>
      </c>
      <c r="G2" s="5"/>
    </row>
    <row r="3" spans="1:7" ht="103.15" customHeight="1" thickBot="1" x14ac:dyDescent="0.3">
      <c r="A3" s="15" t="s">
        <v>32</v>
      </c>
      <c r="B3" s="10" t="s">
        <v>39</v>
      </c>
      <c r="C3" s="3" t="s">
        <v>15</v>
      </c>
      <c r="D3" s="4" t="s">
        <v>17</v>
      </c>
      <c r="E3" s="11">
        <v>8</v>
      </c>
      <c r="F3" s="14">
        <v>1000</v>
      </c>
      <c r="G3" s="5"/>
    </row>
    <row r="4" spans="1:7" ht="72.599999999999994" customHeight="1" thickBot="1" x14ac:dyDescent="0.3">
      <c r="A4" s="15" t="s">
        <v>33</v>
      </c>
      <c r="B4" s="10" t="s">
        <v>40</v>
      </c>
      <c r="C4" s="3" t="s">
        <v>15</v>
      </c>
      <c r="D4" s="4" t="s">
        <v>18</v>
      </c>
      <c r="E4" s="11">
        <v>15</v>
      </c>
      <c r="F4" s="14">
        <v>1500</v>
      </c>
      <c r="G4" s="5"/>
    </row>
    <row r="5" spans="1:7" ht="68.45" customHeight="1" thickBot="1" x14ac:dyDescent="0.3">
      <c r="A5" s="15" t="s">
        <v>34</v>
      </c>
      <c r="B5" s="10" t="s">
        <v>41</v>
      </c>
      <c r="C5" s="3" t="s">
        <v>14</v>
      </c>
      <c r="D5" s="4" t="s">
        <v>19</v>
      </c>
      <c r="E5" s="11">
        <v>28</v>
      </c>
      <c r="F5" s="14">
        <v>3000</v>
      </c>
      <c r="G5" s="5"/>
    </row>
    <row r="6" spans="1:7" ht="76.150000000000006" customHeight="1" thickBot="1" x14ac:dyDescent="0.3">
      <c r="A6" s="15" t="s">
        <v>35</v>
      </c>
      <c r="B6" s="10" t="s">
        <v>42</v>
      </c>
      <c r="C6" s="3" t="s">
        <v>15</v>
      </c>
      <c r="D6" s="4" t="s">
        <v>20</v>
      </c>
      <c r="E6" s="11">
        <v>4</v>
      </c>
      <c r="F6" s="14">
        <v>800</v>
      </c>
      <c r="G6" s="5"/>
    </row>
    <row r="7" spans="1:7" ht="68.45" customHeight="1" thickBot="1" x14ac:dyDescent="0.3">
      <c r="A7" s="15" t="s">
        <v>36</v>
      </c>
      <c r="B7" s="10" t="s">
        <v>43</v>
      </c>
      <c r="C7" s="3" t="s">
        <v>14</v>
      </c>
      <c r="D7" s="4" t="s">
        <v>21</v>
      </c>
      <c r="E7" s="11">
        <v>9</v>
      </c>
      <c r="F7" s="14">
        <v>1100</v>
      </c>
      <c r="G7" s="5"/>
    </row>
    <row r="8" spans="1:7" ht="69.599999999999994" customHeight="1" thickBot="1" x14ac:dyDescent="0.3">
      <c r="A8" s="15" t="s">
        <v>37</v>
      </c>
      <c r="B8" s="10" t="s">
        <v>44</v>
      </c>
      <c r="C8" s="3" t="s">
        <v>14</v>
      </c>
      <c r="D8" s="4" t="s">
        <v>22</v>
      </c>
      <c r="E8" s="11">
        <v>21</v>
      </c>
      <c r="F8" s="14">
        <v>2500</v>
      </c>
      <c r="G8" s="5"/>
    </row>
  </sheetData>
  <dataValidations count="3">
    <dataValidation type="list" allowBlank="1" showInputMessage="1" showErrorMessage="1" sqref="B2:B8 D2:D8" xr:uid="{582956E7-02BB-493E-90DF-B4BF4E5CC580}">
      <formula1>INDIRECT($A2)</formula1>
    </dataValidation>
    <dataValidation type="list" allowBlank="1" showInputMessage="1" showErrorMessage="1" sqref="A2:A8" xr:uid="{65A9B062-AFAB-4A24-A17D-F86B72A58D1B}">
      <formula1>Код</formula1>
    </dataValidation>
    <dataValidation type="list" allowBlank="1" showInputMessage="1" showErrorMessage="1" sqref="C2:C8" xr:uid="{BBFFEFB0-D944-4DBF-B7DF-C931B545C46A}">
      <formula1>пол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410F-58F2-4274-98B1-E1AE32316877}">
  <dimension ref="A1:E10"/>
  <sheetViews>
    <sheetView workbookViewId="0">
      <selection sqref="A1:E10"/>
    </sheetView>
  </sheetViews>
  <sheetFormatPr defaultRowHeight="15" x14ac:dyDescent="0.25"/>
  <cols>
    <col min="1" max="2" width="13.140625" customWidth="1"/>
    <col min="3" max="3" width="16.140625" customWidth="1"/>
    <col min="4" max="4" width="15.85546875" customWidth="1"/>
    <col min="5" max="5" width="13.140625" customWidth="1"/>
  </cols>
  <sheetData>
    <row r="1" spans="1:5" x14ac:dyDescent="0.25">
      <c r="A1" s="30" t="s">
        <v>57</v>
      </c>
      <c r="B1" s="30" t="s">
        <v>58</v>
      </c>
      <c r="C1" s="30" t="s">
        <v>59</v>
      </c>
      <c r="D1" s="30" t="s">
        <v>60</v>
      </c>
      <c r="E1" s="30" t="s">
        <v>10</v>
      </c>
    </row>
    <row r="2" spans="1:5" x14ac:dyDescent="0.25">
      <c r="A2" s="33" t="s">
        <v>61</v>
      </c>
      <c r="B2" s="33" t="s">
        <v>70</v>
      </c>
      <c r="C2" s="33" t="s">
        <v>78</v>
      </c>
      <c r="D2" s="17" t="s">
        <v>88</v>
      </c>
      <c r="E2" s="17" t="s">
        <v>87</v>
      </c>
    </row>
    <row r="3" spans="1:5" x14ac:dyDescent="0.25">
      <c r="A3" s="33" t="s">
        <v>62</v>
      </c>
      <c r="B3" s="33" t="s">
        <v>71</v>
      </c>
      <c r="C3" s="33" t="s">
        <v>79</v>
      </c>
      <c r="D3" s="17" t="s">
        <v>89</v>
      </c>
      <c r="E3" s="17" t="s">
        <v>87</v>
      </c>
    </row>
    <row r="4" spans="1:5" x14ac:dyDescent="0.25">
      <c r="A4" s="33" t="s">
        <v>63</v>
      </c>
      <c r="B4" s="33" t="s">
        <v>72</v>
      </c>
      <c r="C4" s="33" t="s">
        <v>80</v>
      </c>
      <c r="D4" s="17" t="s">
        <v>90</v>
      </c>
      <c r="E4" s="17" t="s">
        <v>87</v>
      </c>
    </row>
    <row r="5" spans="1:5" x14ac:dyDescent="0.25">
      <c r="A5" s="33" t="s">
        <v>64</v>
      </c>
      <c r="B5" s="33" t="s">
        <v>71</v>
      </c>
      <c r="C5" s="33" t="s">
        <v>81</v>
      </c>
      <c r="D5" s="17" t="s">
        <v>91</v>
      </c>
      <c r="E5" s="17" t="s">
        <v>87</v>
      </c>
    </row>
    <row r="6" spans="1:5" x14ac:dyDescent="0.25">
      <c r="A6" s="33" t="s">
        <v>65</v>
      </c>
      <c r="B6" s="33" t="s">
        <v>73</v>
      </c>
      <c r="C6" s="33" t="s">
        <v>82</v>
      </c>
      <c r="D6" s="17" t="s">
        <v>92</v>
      </c>
      <c r="E6" s="17" t="s">
        <v>87</v>
      </c>
    </row>
    <row r="7" spans="1:5" x14ac:dyDescent="0.25">
      <c r="A7" s="33" t="s">
        <v>66</v>
      </c>
      <c r="B7" s="33" t="s">
        <v>74</v>
      </c>
      <c r="C7" s="33" t="s">
        <v>83</v>
      </c>
      <c r="D7" s="17" t="s">
        <v>93</v>
      </c>
      <c r="E7" s="17" t="s">
        <v>87</v>
      </c>
    </row>
    <row r="8" spans="1:5" x14ac:dyDescent="0.25">
      <c r="A8" s="33" t="s">
        <v>67</v>
      </c>
      <c r="B8" s="33" t="s">
        <v>75</v>
      </c>
      <c r="C8" s="33" t="s">
        <v>84</v>
      </c>
      <c r="D8" s="17" t="s">
        <v>94</v>
      </c>
      <c r="E8" s="17" t="s">
        <v>87</v>
      </c>
    </row>
    <row r="9" spans="1:5" x14ac:dyDescent="0.25">
      <c r="A9" s="33" t="s">
        <v>68</v>
      </c>
      <c r="B9" s="33" t="s">
        <v>76</v>
      </c>
      <c r="C9" s="33" t="s">
        <v>85</v>
      </c>
      <c r="D9" s="17" t="s">
        <v>95</v>
      </c>
      <c r="E9" s="17" t="s">
        <v>87</v>
      </c>
    </row>
    <row r="10" spans="1:5" x14ac:dyDescent="0.25">
      <c r="A10" s="33" t="s">
        <v>69</v>
      </c>
      <c r="B10" s="33" t="s">
        <v>77</v>
      </c>
      <c r="C10" s="33" t="s">
        <v>86</v>
      </c>
      <c r="D10" s="17" t="s">
        <v>96</v>
      </c>
      <c r="E10" s="1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BC63-72F8-4C94-AE6E-BCC0EA38E8DF}">
  <dimension ref="A1:J29"/>
  <sheetViews>
    <sheetView tabSelected="1" zoomScale="115" zoomScaleNormal="115" workbookViewId="0">
      <selection activeCell="G6" sqref="G6"/>
    </sheetView>
  </sheetViews>
  <sheetFormatPr defaultRowHeight="15" x14ac:dyDescent="0.25"/>
  <cols>
    <col min="2" max="2" width="30.7109375" customWidth="1"/>
    <col min="3" max="3" width="9.42578125" customWidth="1"/>
    <col min="4" max="4" width="30.42578125" customWidth="1"/>
    <col min="5" max="5" width="12.28515625" customWidth="1"/>
    <col min="6" max="6" width="13.7109375" customWidth="1"/>
    <col min="7" max="7" width="14.85546875" customWidth="1"/>
    <col min="8" max="8" width="11.7109375" style="1" customWidth="1"/>
    <col min="9" max="9" width="11.42578125" customWidth="1"/>
    <col min="10" max="10" width="12.5703125" customWidth="1"/>
  </cols>
  <sheetData>
    <row r="1" spans="1:10" ht="42.6" customHeight="1" x14ac:dyDescent="0.25">
      <c r="A1" s="18" t="s">
        <v>7</v>
      </c>
      <c r="B1" s="23" t="s">
        <v>0</v>
      </c>
      <c r="C1" s="23" t="s">
        <v>1</v>
      </c>
      <c r="D1" s="23" t="s">
        <v>2</v>
      </c>
      <c r="E1" s="24" t="s">
        <v>48</v>
      </c>
      <c r="F1" s="23" t="s">
        <v>3</v>
      </c>
      <c r="G1" s="23" t="s">
        <v>4</v>
      </c>
      <c r="H1" s="23" t="s">
        <v>5</v>
      </c>
      <c r="I1" s="23" t="s">
        <v>49</v>
      </c>
      <c r="J1" s="23" t="s">
        <v>6</v>
      </c>
    </row>
    <row r="2" spans="1:10" ht="30" x14ac:dyDescent="0.25">
      <c r="A2" s="15" t="s">
        <v>31</v>
      </c>
      <c r="B2" s="19" t="s">
        <v>38</v>
      </c>
      <c r="C2" s="11">
        <v>553</v>
      </c>
      <c r="D2" s="20" t="str">
        <f>VLOOKUP(C2,группы!$A$2:$D$5,2,FALSE)</f>
        <v>Информационные системы и технологии</v>
      </c>
      <c r="E2" s="11">
        <v>4</v>
      </c>
      <c r="F2" s="19" t="s">
        <v>45</v>
      </c>
      <c r="G2" s="19" t="str" cm="1">
        <f t="array" ref="G2">_xlfn.IFS(F2="математика","лекция", F2="информатика", "практика",F2="физика","лабораторная")</f>
        <v>лекция</v>
      </c>
      <c r="H2" s="21">
        <f>DATEVALUE("22.09.2022")</f>
        <v>44826</v>
      </c>
      <c r="I2" s="22">
        <f>VLOOKUP(A2,преподаватели!$A$2:$G$8,6,FALSE)</f>
        <v>200</v>
      </c>
      <c r="J2" s="22">
        <f ca="1">(DATEDIF(H2, TODAY(),"d")/7)*E2*I2</f>
        <v>91085.71428571429</v>
      </c>
    </row>
    <row r="3" spans="1:10" x14ac:dyDescent="0.25">
      <c r="A3" s="15" t="s">
        <v>32</v>
      </c>
      <c r="B3" s="19" t="s">
        <v>39</v>
      </c>
      <c r="C3" s="11">
        <v>681</v>
      </c>
      <c r="D3" s="20" t="str">
        <f>VLOOKUP(C3,группы!$A$2:$D$5,2,FALSE)</f>
        <v>Прикладная информатика</v>
      </c>
      <c r="E3" s="11">
        <v>3</v>
      </c>
      <c r="F3" s="19" t="s">
        <v>46</v>
      </c>
      <c r="G3" s="19" t="str" cm="1">
        <f t="array" ref="G3">_xlfn.IFS(F3="математика","лекция", F3="информатика", "практика",F3="физика","лабораторная")</f>
        <v>практика</v>
      </c>
      <c r="H3" s="21">
        <f>DATEVALUE("16.11.2020")</f>
        <v>44151</v>
      </c>
      <c r="I3" s="22">
        <f>VLOOKUP(A3,преподаватели!$A$2:$G$8,6,FALSE)</f>
        <v>1000</v>
      </c>
      <c r="J3" s="22">
        <f t="shared" ref="J3:J21" ca="1" si="0">(DATEDIF(H3, TODAY(),"d")/7)*E3*I3</f>
        <v>630857.14285714284</v>
      </c>
    </row>
    <row r="4" spans="1:10" x14ac:dyDescent="0.25">
      <c r="A4" s="15" t="s">
        <v>33</v>
      </c>
      <c r="B4" s="19" t="s">
        <v>40</v>
      </c>
      <c r="C4" s="11">
        <v>681</v>
      </c>
      <c r="D4" s="20" t="str">
        <f>VLOOKUP(C4,группы!$A$2:$D$5,2,FALSE)</f>
        <v>Прикладная информатика</v>
      </c>
      <c r="E4" s="11">
        <v>5</v>
      </c>
      <c r="F4" s="19" t="s">
        <v>47</v>
      </c>
      <c r="G4" s="19" t="str" cm="1">
        <f t="array" ref="G4">_xlfn.IFS(F4="математика","лекция", F4="информатика", "практика",F4="физика","лабораторная")</f>
        <v>лабораторная</v>
      </c>
      <c r="H4" s="21">
        <f>DATEVALUE("15.08.2018")</f>
        <v>43327</v>
      </c>
      <c r="I4" s="22">
        <f>VLOOKUP(A4,преподаватели!$A$2:$G$8,6,FALSE)</f>
        <v>1500</v>
      </c>
      <c r="J4" s="22">
        <f t="shared" ca="1" si="0"/>
        <v>2460000</v>
      </c>
    </row>
    <row r="5" spans="1:10" x14ac:dyDescent="0.25">
      <c r="A5" s="15" t="s">
        <v>34</v>
      </c>
      <c r="B5" s="19" t="s">
        <v>41</v>
      </c>
      <c r="C5" s="11">
        <v>644</v>
      </c>
      <c r="D5" s="20" t="str">
        <f>VLOOKUP(C5,группы!$A$2:$D$5,2,FALSE)</f>
        <v>Программная инженерия</v>
      </c>
      <c r="E5" s="11">
        <v>2</v>
      </c>
      <c r="F5" s="19" t="s">
        <v>46</v>
      </c>
      <c r="G5" s="19" t="str" cm="1">
        <f t="array" ref="G5">_xlfn.IFS(F5="математика","лекция", F5="информатика", "практика",F5="физика","лабораторная")</f>
        <v>практика</v>
      </c>
      <c r="H5" s="21">
        <f>DATEVALUE("09.02.2024")</f>
        <v>45331</v>
      </c>
      <c r="I5" s="22">
        <f>VLOOKUP(A5,преподаватели!$A$2:$G$8,6,FALSE)</f>
        <v>3000</v>
      </c>
      <c r="J5" s="22">
        <f t="shared" ca="1" si="0"/>
        <v>250285.71428571429</v>
      </c>
    </row>
    <row r="6" spans="1:10" ht="30" x14ac:dyDescent="0.25">
      <c r="A6" s="15" t="s">
        <v>35</v>
      </c>
      <c r="B6" s="19" t="s">
        <v>42</v>
      </c>
      <c r="C6" s="11">
        <v>981</v>
      </c>
      <c r="D6" s="20" t="str">
        <f>VLOOKUP(C6,группы!$A$2:$D$5,2,FALSE)</f>
        <v>Информатика и вычислительная техника</v>
      </c>
      <c r="E6" s="11">
        <v>6</v>
      </c>
      <c r="F6" s="19" t="s">
        <v>47</v>
      </c>
      <c r="G6" s="19" t="str" cm="1">
        <f t="array" ref="G6">_xlfn.IFS(F6="математика","лекция", F6="информатика", "практика",F6="физика","лабораторная")</f>
        <v>лабораторная</v>
      </c>
      <c r="H6" s="21">
        <f>DATEVALUE("14.05.2019")</f>
        <v>43599</v>
      </c>
      <c r="I6" s="22">
        <f>VLOOKUP(A6,преподаватели!$A$2:$G$8,6,FALSE)</f>
        <v>800</v>
      </c>
      <c r="J6" s="22">
        <f t="shared" ca="1" si="0"/>
        <v>1387885.7142857146</v>
      </c>
    </row>
    <row r="7" spans="1:10" ht="30" x14ac:dyDescent="0.25">
      <c r="A7" s="15" t="s">
        <v>36</v>
      </c>
      <c r="B7" s="19" t="s">
        <v>43</v>
      </c>
      <c r="C7" s="11">
        <v>553</v>
      </c>
      <c r="D7" s="20" t="str">
        <f>VLOOKUP(C7,группы!$A$2:$D$5,2,FALSE)</f>
        <v>Информационные системы и технологии</v>
      </c>
      <c r="E7" s="11">
        <v>4</v>
      </c>
      <c r="F7" s="19" t="s">
        <v>45</v>
      </c>
      <c r="G7" s="19" t="str" cm="1">
        <f t="array" ref="G7">_xlfn.IFS(F7="математика","лекция", F7="информатика", "практика",F7="физика","лабораторная")</f>
        <v>лекция</v>
      </c>
      <c r="H7" s="21">
        <f>DATEVALUE("12.12.2023")</f>
        <v>45272</v>
      </c>
      <c r="I7" s="22">
        <f>VLOOKUP(A7,преподаватели!$A$2:$G$8,6,FALSE)</f>
        <v>1100</v>
      </c>
      <c r="J7" s="22">
        <f t="shared" ca="1" si="0"/>
        <v>220628.57142857145</v>
      </c>
    </row>
    <row r="8" spans="1:10" ht="30" x14ac:dyDescent="0.25">
      <c r="A8" s="15" t="s">
        <v>37</v>
      </c>
      <c r="B8" s="19" t="s">
        <v>44</v>
      </c>
      <c r="C8" s="11">
        <v>981</v>
      </c>
      <c r="D8" s="20" t="str">
        <f>VLOOKUP(C8,группы!$A$2:$D$5,2,FALSE)</f>
        <v>Информатика и вычислительная техника</v>
      </c>
      <c r="E8" s="11">
        <v>3</v>
      </c>
      <c r="F8" s="19" t="s">
        <v>45</v>
      </c>
      <c r="G8" s="19" t="str" cm="1">
        <f t="array" ref="G8">_xlfn.IFS(F8="математика","лекция", F8="информатика", "практика",F8="физика","лабораторная")</f>
        <v>лекция</v>
      </c>
      <c r="H8" s="21">
        <f>DATEVALUE("01.07.2018")</f>
        <v>43282</v>
      </c>
      <c r="I8" s="22">
        <f>VLOOKUP(A8,преподаватели!$A$2:$G$8,6,FALSE)</f>
        <v>2500</v>
      </c>
      <c r="J8" s="22">
        <f t="shared" ca="1" si="0"/>
        <v>2508214.2857142859</v>
      </c>
    </row>
    <row r="9" spans="1:10" ht="30" x14ac:dyDescent="0.25">
      <c r="A9" s="15" t="s">
        <v>31</v>
      </c>
      <c r="B9" s="19" t="s">
        <v>38</v>
      </c>
      <c r="C9" s="11">
        <v>981</v>
      </c>
      <c r="D9" s="20" t="str">
        <f>VLOOKUP(C9,группы!$A$2:$D$5,2,FALSE)</f>
        <v>Информатика и вычислительная техника</v>
      </c>
      <c r="E9" s="11">
        <v>1</v>
      </c>
      <c r="F9" s="19" t="s">
        <v>46</v>
      </c>
      <c r="G9" s="19" t="str" cm="1">
        <f t="array" ref="G9">_xlfn.IFS(F9="математика","лекция", F9="информатика", "практика",F9="физика","лабораторная")</f>
        <v>практика</v>
      </c>
      <c r="H9" s="21">
        <f>DATEVALUE("09.02.2021")</f>
        <v>44236</v>
      </c>
      <c r="I9" s="22">
        <f>VLOOKUP(A9,преподаватели!$A$2:$G$8,6,FALSE)</f>
        <v>200</v>
      </c>
      <c r="J9" s="22">
        <f t="shared" ca="1" si="0"/>
        <v>39628.571428571428</v>
      </c>
    </row>
    <row r="10" spans="1:10" ht="21.6" customHeight="1" x14ac:dyDescent="0.25">
      <c r="A10" s="15" t="s">
        <v>34</v>
      </c>
      <c r="B10" s="19" t="s">
        <v>41</v>
      </c>
      <c r="C10" s="11">
        <v>681</v>
      </c>
      <c r="D10" s="20" t="str">
        <f>VLOOKUP(C10,группы!$A$2:$D$5,2,FALSE)</f>
        <v>Прикладная информатика</v>
      </c>
      <c r="E10" s="11">
        <v>6</v>
      </c>
      <c r="F10" s="19" t="s">
        <v>45</v>
      </c>
      <c r="G10" s="19" t="str" cm="1">
        <f t="array" ref="G10">_xlfn.IFS(F10="математика","лекция", F10="информатика", "практика",F10="физика","лабораторная")</f>
        <v>лекция</v>
      </c>
      <c r="H10" s="21">
        <f>DATEVALUE("01.01.2024")</f>
        <v>45292</v>
      </c>
      <c r="I10" s="22">
        <f>VLOOKUP(A10,преподаватели!$A$2:$G$8,6,FALSE)</f>
        <v>3000</v>
      </c>
      <c r="J10" s="22">
        <f t="shared" ca="1" si="0"/>
        <v>851142.85714285716</v>
      </c>
    </row>
    <row r="11" spans="1:10" ht="30" x14ac:dyDescent="0.25">
      <c r="A11" s="15" t="s">
        <v>35</v>
      </c>
      <c r="B11" s="19" t="s">
        <v>42</v>
      </c>
      <c r="C11" s="11">
        <v>553</v>
      </c>
      <c r="D11" s="20" t="str">
        <f>VLOOKUP(C11,группы!$A$2:$D$5,2,FALSE)</f>
        <v>Информационные системы и технологии</v>
      </c>
      <c r="E11" s="11">
        <v>8</v>
      </c>
      <c r="F11" s="19" t="s">
        <v>47</v>
      </c>
      <c r="G11" s="19" t="str" cm="1">
        <f t="array" ref="G11">_xlfn.IFS(F11="математика","лекция", F11="информатика", "практика",F11="физика","лабораторная")</f>
        <v>лабораторная</v>
      </c>
      <c r="H11" s="21">
        <f>DATEVALUE("18.04.2021")</f>
        <v>44304</v>
      </c>
      <c r="I11" s="22">
        <f>VLOOKUP(A11,преподаватели!$A$2:$G$8,6,FALSE)</f>
        <v>800</v>
      </c>
      <c r="J11" s="22">
        <f t="shared" ca="1" si="0"/>
        <v>1205942.857142857</v>
      </c>
    </row>
    <row r="12" spans="1:10" ht="30" x14ac:dyDescent="0.25">
      <c r="A12" s="15" t="s">
        <v>37</v>
      </c>
      <c r="B12" s="19" t="s">
        <v>44</v>
      </c>
      <c r="C12" s="11">
        <v>981</v>
      </c>
      <c r="D12" s="20" t="str">
        <f>VLOOKUP(C12,группы!$A$2:$D$5,2,FALSE)</f>
        <v>Информатика и вычислительная техника</v>
      </c>
      <c r="E12" s="11">
        <v>7</v>
      </c>
      <c r="F12" s="19" t="s">
        <v>47</v>
      </c>
      <c r="G12" s="19" t="str" cm="1">
        <f t="array" ref="G12">_xlfn.IFS(F12="математика","лекция", F12="информатика", "практика",F12="физика","лабораторная")</f>
        <v>лабораторная</v>
      </c>
      <c r="H12" s="21">
        <f>DATEVALUE("10.11.2022")</f>
        <v>44875</v>
      </c>
      <c r="I12" s="22">
        <f>VLOOKUP(A12,преподаватели!$A$2:$G$8,6,FALSE)</f>
        <v>2500</v>
      </c>
      <c r="J12" s="22">
        <f t="shared" ca="1" si="0"/>
        <v>1870000</v>
      </c>
    </row>
    <row r="13" spans="1:10" ht="24" customHeight="1" x14ac:dyDescent="0.25">
      <c r="A13" s="15" t="s">
        <v>33</v>
      </c>
      <c r="B13" s="19" t="s">
        <v>40</v>
      </c>
      <c r="C13" s="11">
        <v>644</v>
      </c>
      <c r="D13" s="20" t="str">
        <f>VLOOKUP(C13,группы!$A$2:$D$5,2,FALSE)</f>
        <v>Программная инженерия</v>
      </c>
      <c r="E13" s="11">
        <v>2</v>
      </c>
      <c r="F13" s="19" t="s">
        <v>47</v>
      </c>
      <c r="G13" s="19" t="str" cm="1">
        <f t="array" ref="G13">_xlfn.IFS(F13="математика","лекция", F13="информатика", "практика",F13="физика","лабораторная")</f>
        <v>лабораторная</v>
      </c>
      <c r="H13" s="21">
        <f>DATEVALUE("14.12.2022")</f>
        <v>44909</v>
      </c>
      <c r="I13" s="22">
        <f>VLOOKUP(A13,преподаватели!$A$2:$G$8,6,FALSE)</f>
        <v>1500</v>
      </c>
      <c r="J13" s="22">
        <f t="shared" ca="1" si="0"/>
        <v>306000</v>
      </c>
    </row>
    <row r="14" spans="1:10" ht="30" x14ac:dyDescent="0.25">
      <c r="A14" s="15" t="s">
        <v>36</v>
      </c>
      <c r="B14" s="19" t="s">
        <v>43</v>
      </c>
      <c r="C14" s="11">
        <v>553</v>
      </c>
      <c r="D14" s="20" t="str">
        <f>VLOOKUP(C14,группы!$A$2:$D$5,2,FALSE)</f>
        <v>Информационные системы и технологии</v>
      </c>
      <c r="E14" s="11">
        <v>2</v>
      </c>
      <c r="F14" s="19" t="s">
        <v>45</v>
      </c>
      <c r="G14" s="19" t="str" cm="1">
        <f t="array" ref="G14">_xlfn.IFS(F14="математика","лекция", F14="информатика", "практика",F14="физика","лабораторная")</f>
        <v>лекция</v>
      </c>
      <c r="H14" s="21">
        <f>DATEVALUE("11.09.2021")</f>
        <v>44450</v>
      </c>
      <c r="I14" s="22">
        <f>VLOOKUP(A14,преподаватели!$A$2:$G$8,6,FALSE)</f>
        <v>1100</v>
      </c>
      <c r="J14" s="22">
        <f t="shared" ca="1" si="0"/>
        <v>368657.1428571429</v>
      </c>
    </row>
    <row r="15" spans="1:10" ht="21.6" customHeight="1" x14ac:dyDescent="0.25">
      <c r="A15" s="15" t="s">
        <v>37</v>
      </c>
      <c r="B15" s="19" t="s">
        <v>44</v>
      </c>
      <c r="C15" s="11">
        <v>681</v>
      </c>
      <c r="D15" s="20" t="str">
        <f>VLOOKUP(C15,группы!$A$2:$D$5,2,FALSE)</f>
        <v>Прикладная информатика</v>
      </c>
      <c r="E15" s="11">
        <v>6</v>
      </c>
      <c r="F15" s="19" t="s">
        <v>46</v>
      </c>
      <c r="G15" s="19" t="str" cm="1">
        <f t="array" ref="G15">_xlfn.IFS(F15="математика","лекция", F15="информатика", "практика",F15="физика","лабораторная")</f>
        <v>практика</v>
      </c>
      <c r="H15" s="21">
        <f>DATEVALUE("23.08.2022")</f>
        <v>44796</v>
      </c>
      <c r="I15" s="22">
        <f>VLOOKUP(A15,преподаватели!$A$2:$G$8,6,FALSE)</f>
        <v>2500</v>
      </c>
      <c r="J15" s="22">
        <f t="shared" ca="1" si="0"/>
        <v>1772142.8571428573</v>
      </c>
    </row>
    <row r="16" spans="1:10" ht="22.15" customHeight="1" x14ac:dyDescent="0.25">
      <c r="A16" s="15" t="s">
        <v>35</v>
      </c>
      <c r="B16" s="19" t="s">
        <v>42</v>
      </c>
      <c r="C16" s="11">
        <v>681</v>
      </c>
      <c r="D16" s="20" t="str">
        <f>VLOOKUP(C16,группы!$A$2:$D$5,2,FALSE)</f>
        <v>Прикладная информатика</v>
      </c>
      <c r="E16" s="11">
        <v>2</v>
      </c>
      <c r="F16" s="19" t="s">
        <v>47</v>
      </c>
      <c r="G16" s="19" t="str" cm="1">
        <f t="array" ref="G16">_xlfn.IFS(F16="математика","лекция", F16="информатика", "практика",F16="физика","лабораторная")</f>
        <v>лабораторная</v>
      </c>
      <c r="H16" s="21">
        <f>DATEVALUE("10.02.2024")</f>
        <v>45332</v>
      </c>
      <c r="I16" s="22">
        <f>VLOOKUP(A16,преподаватели!$A$2:$G$8,6,FALSE)</f>
        <v>800</v>
      </c>
      <c r="J16" s="22">
        <f t="shared" ca="1" si="0"/>
        <v>66514.28571428571</v>
      </c>
    </row>
    <row r="17" spans="1:10" ht="21" customHeight="1" x14ac:dyDescent="0.25">
      <c r="A17" s="15" t="s">
        <v>34</v>
      </c>
      <c r="B17" s="19" t="s">
        <v>41</v>
      </c>
      <c r="C17" s="11">
        <v>644</v>
      </c>
      <c r="D17" s="20" t="str">
        <f>VLOOKUP(C17,группы!$A$2:$D$5,2,FALSE)</f>
        <v>Программная инженерия</v>
      </c>
      <c r="E17" s="11">
        <v>1</v>
      </c>
      <c r="F17" s="19" t="s">
        <v>45</v>
      </c>
      <c r="G17" s="19" t="str" cm="1">
        <f t="array" ref="G17">_xlfn.IFS(F17="математика","лекция", F17="информатика", "практика",F17="физика","лабораторная")</f>
        <v>лекция</v>
      </c>
      <c r="H17" s="21">
        <f>DATEVALUE("01.05.2022")</f>
        <v>44682</v>
      </c>
      <c r="I17" s="22">
        <f>VLOOKUP(A17,преподаватели!$A$2:$G$8,6,FALSE)</f>
        <v>3000</v>
      </c>
      <c r="J17" s="22">
        <f t="shared" ca="1" si="0"/>
        <v>403285.71428571426</v>
      </c>
    </row>
    <row r="18" spans="1:10" ht="30" x14ac:dyDescent="0.25">
      <c r="A18" s="15" t="s">
        <v>31</v>
      </c>
      <c r="B18" s="19" t="s">
        <v>38</v>
      </c>
      <c r="C18" s="11">
        <v>553</v>
      </c>
      <c r="D18" s="20" t="str">
        <f>VLOOKUP(C18,группы!$A$2:$D$5,2,FALSE)</f>
        <v>Информационные системы и технологии</v>
      </c>
      <c r="E18" s="11">
        <v>8</v>
      </c>
      <c r="F18" s="19" t="s">
        <v>46</v>
      </c>
      <c r="G18" s="19" t="str" cm="1">
        <f t="array" ref="G18">_xlfn.IFS(F18="математика","лекция", F18="информатика", "практика",F18="физика","лабораторная")</f>
        <v>практика</v>
      </c>
      <c r="H18" s="21">
        <f>DATEVALUE("11.01.2024")</f>
        <v>45302</v>
      </c>
      <c r="I18" s="22">
        <f>VLOOKUP(A18,преподаватели!$A$2:$G$8,6,FALSE)</f>
        <v>200</v>
      </c>
      <c r="J18" s="22">
        <f t="shared" ca="1" si="0"/>
        <v>73371.428571428565</v>
      </c>
    </row>
    <row r="19" spans="1:10" ht="22.15" customHeight="1" x14ac:dyDescent="0.25">
      <c r="A19" s="15" t="s">
        <v>33</v>
      </c>
      <c r="B19" s="19" t="s">
        <v>40</v>
      </c>
      <c r="C19" s="11">
        <v>681</v>
      </c>
      <c r="D19" s="20" t="str">
        <f>VLOOKUP(C19,группы!$A$2:$D$5,2,FALSE)</f>
        <v>Прикладная информатика</v>
      </c>
      <c r="E19" s="11">
        <v>1</v>
      </c>
      <c r="F19" s="19" t="s">
        <v>46</v>
      </c>
      <c r="G19" s="19" t="str" cm="1">
        <f t="array" ref="G19">_xlfn.IFS(F19="математика","лекция", F19="информатика", "практика",F19="физика","лабораторная")</f>
        <v>практика</v>
      </c>
      <c r="H19" s="21">
        <f>DATEVALUE("29.08.2023")</f>
        <v>45167</v>
      </c>
      <c r="I19" s="22">
        <f>VLOOKUP(A19,преподаватели!$A$2:$G$8,6,FALSE)</f>
        <v>1500</v>
      </c>
      <c r="J19" s="22">
        <f t="shared" ca="1" si="0"/>
        <v>97714.28571428571</v>
      </c>
    </row>
    <row r="20" spans="1:10" ht="30" x14ac:dyDescent="0.25">
      <c r="A20" s="15" t="s">
        <v>37</v>
      </c>
      <c r="B20" s="19" t="s">
        <v>44</v>
      </c>
      <c r="C20" s="11">
        <v>553</v>
      </c>
      <c r="D20" s="20" t="str">
        <f>VLOOKUP(C20,группы!$A$2:$D$5,2,FALSE)</f>
        <v>Информационные системы и технологии</v>
      </c>
      <c r="E20" s="11">
        <v>5</v>
      </c>
      <c r="F20" s="19" t="s">
        <v>45</v>
      </c>
      <c r="G20" s="19" t="str" cm="1">
        <f t="array" ref="G20">_xlfn.IFS(F20="математика","лекция", F20="информатика", "практика",F20="физика","лабораторная")</f>
        <v>лекция</v>
      </c>
      <c r="H20" s="21">
        <f>DATEVALUE("23.11.2023")</f>
        <v>45253</v>
      </c>
      <c r="I20" s="22">
        <f>VLOOKUP(A20,преподаватели!$A$2:$G$8,6,FALSE)</f>
        <v>2500</v>
      </c>
      <c r="J20" s="22">
        <f t="shared" ca="1" si="0"/>
        <v>660714.28571428568</v>
      </c>
    </row>
    <row r="21" spans="1:10" ht="30" x14ac:dyDescent="0.25">
      <c r="A21" s="15" t="s">
        <v>33</v>
      </c>
      <c r="B21" s="19" t="s">
        <v>40</v>
      </c>
      <c r="C21" s="11">
        <v>553</v>
      </c>
      <c r="D21" s="20" t="str">
        <f>VLOOKUP(C21,группы!$A$2:$D$5,2,FALSE)</f>
        <v>Информационные системы и технологии</v>
      </c>
      <c r="E21" s="11">
        <v>7</v>
      </c>
      <c r="F21" s="19" t="s">
        <v>45</v>
      </c>
      <c r="G21" s="19" t="str" cm="1">
        <f t="array" ref="G21">_xlfn.IFS(F21="математика","лекция", F21="информатика", "практика",F21="физика","лабораторная")</f>
        <v>лекция</v>
      </c>
      <c r="H21" s="21">
        <f>DATEVALUE("18.06.2021")</f>
        <v>44365</v>
      </c>
      <c r="I21" s="22">
        <f>VLOOKUP(A21,преподаватели!$A$2:$G$8,6,FALSE)</f>
        <v>1500</v>
      </c>
      <c r="J21" s="22">
        <f t="shared" ca="1" si="0"/>
        <v>1887000</v>
      </c>
    </row>
    <row r="23" spans="1:10" x14ac:dyDescent="0.25">
      <c r="A23" s="15" t="s">
        <v>31</v>
      </c>
      <c r="B23" s="31">
        <f ca="1">SUM(J2:J18)</f>
        <v>14505642.857142858</v>
      </c>
    </row>
    <row r="24" spans="1:10" x14ac:dyDescent="0.25">
      <c r="A24" s="15" t="s">
        <v>32</v>
      </c>
      <c r="B24" s="31">
        <f ca="1">SUM(J3)</f>
        <v>630857.14285714284</v>
      </c>
    </row>
    <row r="25" spans="1:10" x14ac:dyDescent="0.25">
      <c r="A25" s="15" t="s">
        <v>33</v>
      </c>
      <c r="B25" s="31">
        <f ca="1">SUM(J4:J21)</f>
        <v>16429128.571428571</v>
      </c>
    </row>
    <row r="26" spans="1:10" x14ac:dyDescent="0.25">
      <c r="A26" s="15" t="s">
        <v>34</v>
      </c>
      <c r="B26" s="31">
        <f ca="1">SUM(J5:J17)</f>
        <v>11250328.571428575</v>
      </c>
    </row>
    <row r="27" spans="1:10" x14ac:dyDescent="0.25">
      <c r="A27" s="15" t="s">
        <v>35</v>
      </c>
      <c r="B27" s="31">
        <f ca="1">SUM(J6:J16)</f>
        <v>10596757.142857144</v>
      </c>
    </row>
    <row r="28" spans="1:10" x14ac:dyDescent="0.25">
      <c r="A28" s="15" t="s">
        <v>36</v>
      </c>
      <c r="B28" s="31">
        <f ca="1">SUM(J7:J14)</f>
        <v>7370214.2857142854</v>
      </c>
    </row>
    <row r="29" spans="1:10" x14ac:dyDescent="0.25">
      <c r="A29" s="15" t="s">
        <v>37</v>
      </c>
      <c r="B29" s="31">
        <f ca="1">SUM(J8:J20)</f>
        <v>10223328.571428571</v>
      </c>
    </row>
  </sheetData>
  <autoFilter ref="A1:J21" xr:uid="{2BD5BC63-72F8-4C94-AE6E-BCC0EA38E8DF}"/>
  <phoneticPr fontId="2" type="noConversion"/>
  <dataValidations count="5">
    <dataValidation type="list" allowBlank="1" showInputMessage="1" showErrorMessage="1" promptTitle="!" prompt="Введите уникальный код преподавателя" sqref="A2:A21 A23:A29" xr:uid="{78D03C1A-0918-450E-8FDE-3A233F3DA128}">
      <formula1>Код</formula1>
    </dataValidation>
    <dataValidation type="list" allowBlank="1" showInputMessage="1" showErrorMessage="1" sqref="B2:B21" xr:uid="{46244712-D8C7-4621-9627-5A2D709AD522}">
      <formula1>INDIRECT($A2)</formula1>
    </dataValidation>
    <dataValidation type="list" allowBlank="1" showInputMessage="1" showErrorMessage="1" promptTitle="!" prompt="Выберите номер группы_x000a_" sqref="C2:C21" xr:uid="{C9A3C8D0-780D-465C-BBB4-8F0B2406EC43}">
      <formula1>Номер_группы</formula1>
    </dataValidation>
    <dataValidation type="list" allowBlank="1" showInputMessage="1" showErrorMessage="1" sqref="F2:F21" xr:uid="{1E63B273-0F1B-4742-90FC-BFD623619DE6}">
      <formula1>предмет</formula1>
    </dataValidation>
    <dataValidation type="date" operator="lessThan" allowBlank="1" showInputMessage="1" showErrorMessage="1" errorTitle="!" error="Введена ненаступившая  дата!_x000a_" promptTitle="!" prompt="Введите дату_x000a_" sqref="H2:H21" xr:uid="{2F5F4B25-5FFE-4D8D-8D37-F9BB1E4855FB}">
      <formula1>45343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F889-FBEA-4205-BE41-565F4DF85682}">
  <dimension ref="A1:G8"/>
  <sheetViews>
    <sheetView zoomScale="110" zoomScaleNormal="110" workbookViewId="0">
      <selection activeCell="B2" sqref="B2"/>
    </sheetView>
  </sheetViews>
  <sheetFormatPr defaultRowHeight="15" x14ac:dyDescent="0.25"/>
  <cols>
    <col min="1" max="1" width="8.42578125" customWidth="1"/>
    <col min="2" max="2" width="28.28515625" customWidth="1"/>
    <col min="3" max="3" width="10.7109375" customWidth="1"/>
    <col min="4" max="4" width="17.28515625" customWidth="1"/>
    <col min="5" max="5" width="10.28515625" customWidth="1"/>
    <col min="6" max="6" width="21.7109375" customWidth="1"/>
    <col min="7" max="7" width="20.7109375" customWidth="1"/>
    <col min="8" max="8" width="13.85546875" customWidth="1"/>
  </cols>
  <sheetData>
    <row r="1" spans="1:7" ht="15.75" thickBot="1" x14ac:dyDescent="0.3">
      <c r="A1" s="27" t="s">
        <v>7</v>
      </c>
      <c r="B1" s="28" t="s">
        <v>0</v>
      </c>
      <c r="C1" s="28" t="s">
        <v>10</v>
      </c>
      <c r="D1" s="28" t="s">
        <v>11</v>
      </c>
      <c r="E1" s="28" t="s">
        <v>12</v>
      </c>
      <c r="F1" s="28" t="s">
        <v>50</v>
      </c>
      <c r="G1" s="29" t="s">
        <v>13</v>
      </c>
    </row>
    <row r="2" spans="1:7" ht="71.45" customHeight="1" thickBot="1" x14ac:dyDescent="0.3">
      <c r="A2" s="15" t="s">
        <v>31</v>
      </c>
      <c r="B2" s="10" t="s">
        <v>38</v>
      </c>
      <c r="C2" s="3" t="s">
        <v>15</v>
      </c>
      <c r="D2" s="4" t="s">
        <v>16</v>
      </c>
      <c r="E2" s="11">
        <v>1</v>
      </c>
      <c r="F2" s="14">
        <v>200</v>
      </c>
      <c r="G2" s="5"/>
    </row>
    <row r="3" spans="1:7" ht="103.15" customHeight="1" thickBot="1" x14ac:dyDescent="0.3">
      <c r="A3" s="15" t="s">
        <v>32</v>
      </c>
      <c r="B3" s="10" t="s">
        <v>39</v>
      </c>
      <c r="C3" s="3" t="s">
        <v>15</v>
      </c>
      <c r="D3" s="4" t="s">
        <v>17</v>
      </c>
      <c r="E3" s="11">
        <v>8</v>
      </c>
      <c r="F3" s="14">
        <v>1000</v>
      </c>
      <c r="G3" s="5"/>
    </row>
    <row r="4" spans="1:7" ht="72.599999999999994" customHeight="1" thickBot="1" x14ac:dyDescent="0.3">
      <c r="A4" s="15" t="s">
        <v>33</v>
      </c>
      <c r="B4" s="10" t="s">
        <v>40</v>
      </c>
      <c r="C4" s="3" t="s">
        <v>15</v>
      </c>
      <c r="D4" s="4" t="s">
        <v>18</v>
      </c>
      <c r="E4" s="11">
        <v>15</v>
      </c>
      <c r="F4" s="14">
        <v>1500</v>
      </c>
      <c r="G4" s="5"/>
    </row>
    <row r="5" spans="1:7" ht="68.45" customHeight="1" thickBot="1" x14ac:dyDescent="0.3">
      <c r="A5" s="15" t="s">
        <v>34</v>
      </c>
      <c r="B5" s="10" t="s">
        <v>41</v>
      </c>
      <c r="C5" s="3" t="s">
        <v>14</v>
      </c>
      <c r="D5" s="4" t="s">
        <v>19</v>
      </c>
      <c r="E5" s="11">
        <v>28</v>
      </c>
      <c r="F5" s="14">
        <v>3000</v>
      </c>
      <c r="G5" s="5"/>
    </row>
    <row r="6" spans="1:7" ht="76.150000000000006" customHeight="1" thickBot="1" x14ac:dyDescent="0.3">
      <c r="A6" s="15" t="s">
        <v>35</v>
      </c>
      <c r="B6" s="10" t="s">
        <v>42</v>
      </c>
      <c r="C6" s="3" t="s">
        <v>15</v>
      </c>
      <c r="D6" s="4" t="s">
        <v>20</v>
      </c>
      <c r="E6" s="11">
        <v>4</v>
      </c>
      <c r="F6" s="14">
        <v>800</v>
      </c>
      <c r="G6" s="5"/>
    </row>
    <row r="7" spans="1:7" ht="68.45" customHeight="1" thickBot="1" x14ac:dyDescent="0.3">
      <c r="A7" s="15" t="s">
        <v>36</v>
      </c>
      <c r="B7" s="10" t="s">
        <v>43</v>
      </c>
      <c r="C7" s="3" t="s">
        <v>14</v>
      </c>
      <c r="D7" s="4" t="s">
        <v>21</v>
      </c>
      <c r="E7" s="11">
        <v>9</v>
      </c>
      <c r="F7" s="14">
        <v>1100</v>
      </c>
      <c r="G7" s="5"/>
    </row>
    <row r="8" spans="1:7" ht="69.599999999999994" customHeight="1" thickBot="1" x14ac:dyDescent="0.3">
      <c r="A8" s="15" t="s">
        <v>37</v>
      </c>
      <c r="B8" s="10" t="s">
        <v>44</v>
      </c>
      <c r="C8" s="3" t="s">
        <v>14</v>
      </c>
      <c r="D8" s="4" t="s">
        <v>22</v>
      </c>
      <c r="E8" s="11">
        <v>21</v>
      </c>
      <c r="F8" s="14">
        <v>2500</v>
      </c>
      <c r="G8" s="5"/>
    </row>
  </sheetData>
  <dataValidations count="3">
    <dataValidation type="list" allowBlank="1" showInputMessage="1" showErrorMessage="1" sqref="C2:C8" xr:uid="{6AFBF127-5865-4DCA-8E0D-8A543CB3EB7A}">
      <formula1>пол</formula1>
    </dataValidation>
    <dataValidation type="list" allowBlank="1" showInputMessage="1" showErrorMessage="1" sqref="A2:A8" xr:uid="{F7A89301-87B6-44C4-AEC8-B2C64CB4DDD5}">
      <formula1>Код</formula1>
    </dataValidation>
    <dataValidation type="list" allowBlank="1" showInputMessage="1" showErrorMessage="1" sqref="B2:B8 D2:D8" xr:uid="{6DD49C07-3673-4C16-AC99-EF94826DD841}">
      <formula1>INDIRECT($A2)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D512-CFC9-45F7-A04A-371D56C9AD86}">
  <dimension ref="A1:D6"/>
  <sheetViews>
    <sheetView zoomScale="130" zoomScaleNormal="130" workbookViewId="0">
      <selection activeCell="D10" sqref="D10"/>
    </sheetView>
  </sheetViews>
  <sheetFormatPr defaultRowHeight="15" x14ac:dyDescent="0.25"/>
  <cols>
    <col min="1" max="1" width="14.28515625" customWidth="1"/>
    <col min="2" max="2" width="26.28515625" customWidth="1"/>
    <col min="3" max="3" width="13.85546875" customWidth="1"/>
    <col min="4" max="4" width="22" customWidth="1"/>
  </cols>
  <sheetData>
    <row r="1" spans="1:4" ht="15.75" thickBot="1" x14ac:dyDescent="0.3">
      <c r="A1" s="25" t="s">
        <v>1</v>
      </c>
      <c r="B1" s="25" t="s">
        <v>2</v>
      </c>
      <c r="C1" s="25" t="s">
        <v>8</v>
      </c>
      <c r="D1" s="25" t="s">
        <v>9</v>
      </c>
    </row>
    <row r="2" spans="1:4" ht="35.450000000000003" customHeight="1" thickBot="1" x14ac:dyDescent="0.3">
      <c r="A2" s="26">
        <v>553</v>
      </c>
      <c r="B2" s="6" t="s">
        <v>23</v>
      </c>
      <c r="C2" s="7" t="s">
        <v>27</v>
      </c>
      <c r="D2" s="8">
        <v>346</v>
      </c>
    </row>
    <row r="3" spans="1:4" ht="19.149999999999999" customHeight="1" thickBot="1" x14ac:dyDescent="0.3">
      <c r="A3" s="26">
        <v>681</v>
      </c>
      <c r="B3" s="6" t="s">
        <v>24</v>
      </c>
      <c r="C3" s="7" t="s">
        <v>29</v>
      </c>
      <c r="D3" s="8">
        <v>439</v>
      </c>
    </row>
    <row r="4" spans="1:4" ht="34.9" customHeight="1" thickBot="1" x14ac:dyDescent="0.3">
      <c r="A4" s="26">
        <v>981</v>
      </c>
      <c r="B4" s="6" t="s">
        <v>25</v>
      </c>
      <c r="C4" s="7" t="s">
        <v>28</v>
      </c>
      <c r="D4" s="8">
        <v>101</v>
      </c>
    </row>
    <row r="5" spans="1:4" ht="19.149999999999999" customHeight="1" thickBot="1" x14ac:dyDescent="0.3">
      <c r="A5" s="26">
        <v>644</v>
      </c>
      <c r="B5" s="6" t="s">
        <v>26</v>
      </c>
      <c r="C5" s="7" t="s">
        <v>30</v>
      </c>
      <c r="D5" s="8">
        <v>49</v>
      </c>
    </row>
    <row r="6" spans="1:4" x14ac:dyDescent="0.25">
      <c r="B6" s="2"/>
    </row>
  </sheetData>
  <dataValidations count="2">
    <dataValidation type="list" allowBlank="1" showInputMessage="1" showErrorMessage="1" sqref="B2:B5" xr:uid="{BFA108C1-8CFA-4AC0-A1B2-BC12E8ADCCD2}">
      <formula1>специальность</formula1>
    </dataValidation>
    <dataValidation type="list" allowBlank="1" showInputMessage="1" showErrorMessage="1" sqref="C2:C5" xr:uid="{137C7A37-D9FA-4F30-B94A-BE8B67841C62}">
      <formula1>отделение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A128-6166-47F8-BE26-2DDDB7DC75BB}">
  <dimension ref="A1:D4"/>
  <sheetViews>
    <sheetView zoomScale="120" zoomScaleNormal="120" workbookViewId="0">
      <selection activeCell="D1" sqref="D1:D4"/>
    </sheetView>
  </sheetViews>
  <sheetFormatPr defaultRowHeight="15" x14ac:dyDescent="0.25"/>
  <cols>
    <col min="1" max="1" width="15.7109375" customWidth="1"/>
    <col min="2" max="2" width="8.85546875" customWidth="1"/>
    <col min="3" max="3" width="37.28515625" customWidth="1"/>
    <col min="4" max="4" width="17.5703125" customWidth="1"/>
  </cols>
  <sheetData>
    <row r="1" spans="1:4" x14ac:dyDescent="0.25">
      <c r="A1" s="33" t="s">
        <v>45</v>
      </c>
      <c r="B1" s="36" t="s">
        <v>14</v>
      </c>
      <c r="C1" s="33" t="s">
        <v>23</v>
      </c>
      <c r="D1" s="33" t="s">
        <v>27</v>
      </c>
    </row>
    <row r="2" spans="1:4" x14ac:dyDescent="0.25">
      <c r="A2" s="33" t="s">
        <v>46</v>
      </c>
      <c r="B2" s="36" t="s">
        <v>15</v>
      </c>
      <c r="C2" s="33" t="s">
        <v>24</v>
      </c>
      <c r="D2" s="33" t="s">
        <v>28</v>
      </c>
    </row>
    <row r="3" spans="1:4" x14ac:dyDescent="0.25">
      <c r="A3" s="33" t="s">
        <v>47</v>
      </c>
      <c r="C3" s="33" t="s">
        <v>25</v>
      </c>
      <c r="D3" s="33" t="s">
        <v>29</v>
      </c>
    </row>
    <row r="4" spans="1:4" x14ac:dyDescent="0.25">
      <c r="C4" s="33" t="s">
        <v>26</v>
      </c>
      <c r="D4" s="3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9D71-8FED-44EC-AC11-1853B2090731}">
  <dimension ref="A1:I10"/>
  <sheetViews>
    <sheetView zoomScale="130" zoomScaleNormal="130" workbookViewId="0">
      <selection activeCell="B12" sqref="B12"/>
    </sheetView>
  </sheetViews>
  <sheetFormatPr defaultRowHeight="15" x14ac:dyDescent="0.25"/>
  <cols>
    <col min="1" max="1" width="16.42578125" customWidth="1"/>
    <col min="2" max="2" width="29.140625" customWidth="1"/>
    <col min="3" max="3" width="25.5703125" customWidth="1"/>
    <col min="4" max="4" width="30.5703125" customWidth="1"/>
    <col min="5" max="5" width="28.140625" customWidth="1"/>
    <col min="6" max="6" width="27.42578125" customWidth="1"/>
    <col min="7" max="7" width="31.5703125" customWidth="1"/>
    <col min="8" max="8" width="26.85546875" customWidth="1"/>
  </cols>
  <sheetData>
    <row r="1" spans="1:9" x14ac:dyDescent="0.25">
      <c r="A1" s="30" t="s">
        <v>7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</row>
    <row r="2" spans="1:9" x14ac:dyDescent="0.25">
      <c r="A2" s="16" t="s">
        <v>31</v>
      </c>
      <c r="B2" s="12" t="s">
        <v>38</v>
      </c>
      <c r="C2" s="12" t="s">
        <v>39</v>
      </c>
      <c r="D2" s="12" t="s">
        <v>40</v>
      </c>
      <c r="E2" s="12" t="s">
        <v>41</v>
      </c>
      <c r="F2" s="12" t="s">
        <v>42</v>
      </c>
      <c r="G2" s="12" t="s">
        <v>43</v>
      </c>
      <c r="H2" s="12" t="s">
        <v>44</v>
      </c>
      <c r="I2" s="9"/>
    </row>
    <row r="3" spans="1:9" x14ac:dyDescent="0.25">
      <c r="A3" s="16" t="s">
        <v>32</v>
      </c>
      <c r="B3" s="11" t="s">
        <v>15</v>
      </c>
      <c r="C3" s="11" t="s">
        <v>15</v>
      </c>
      <c r="D3" s="11" t="s">
        <v>14</v>
      </c>
      <c r="E3" s="11" t="s">
        <v>14</v>
      </c>
      <c r="F3" s="11" t="s">
        <v>15</v>
      </c>
      <c r="G3" s="11" t="s">
        <v>14</v>
      </c>
      <c r="H3" s="11" t="s">
        <v>14</v>
      </c>
      <c r="I3" s="9"/>
    </row>
    <row r="4" spans="1:9" x14ac:dyDescent="0.25">
      <c r="A4" s="16" t="s">
        <v>33</v>
      </c>
      <c r="B4" s="13" t="s">
        <v>16</v>
      </c>
      <c r="C4" s="13" t="s">
        <v>17</v>
      </c>
      <c r="D4" s="13" t="s">
        <v>18</v>
      </c>
      <c r="E4" s="13" t="s">
        <v>19</v>
      </c>
      <c r="F4" s="13" t="s">
        <v>20</v>
      </c>
      <c r="G4" s="13" t="s">
        <v>21</v>
      </c>
      <c r="H4" s="13" t="s">
        <v>22</v>
      </c>
      <c r="I4" s="9"/>
    </row>
    <row r="5" spans="1:9" x14ac:dyDescent="0.25">
      <c r="A5" s="16" t="s">
        <v>34</v>
      </c>
      <c r="B5" s="11">
        <v>1</v>
      </c>
      <c r="C5" s="11">
        <v>8</v>
      </c>
      <c r="D5" s="11">
        <v>15</v>
      </c>
      <c r="E5" s="11">
        <v>28</v>
      </c>
      <c r="F5" s="11">
        <v>4</v>
      </c>
      <c r="G5" s="11">
        <v>9</v>
      </c>
      <c r="H5" s="11">
        <v>21</v>
      </c>
      <c r="I5" s="9"/>
    </row>
    <row r="6" spans="1:9" x14ac:dyDescent="0.25">
      <c r="A6" s="16" t="s">
        <v>35</v>
      </c>
      <c r="B6" s="14">
        <v>200</v>
      </c>
      <c r="C6" s="14">
        <v>1000</v>
      </c>
      <c r="D6" s="14">
        <v>1500</v>
      </c>
      <c r="E6" s="14">
        <v>3000</v>
      </c>
      <c r="F6" s="14">
        <v>800</v>
      </c>
      <c r="G6" s="14">
        <v>1100</v>
      </c>
      <c r="H6" s="14">
        <v>2500</v>
      </c>
      <c r="I6" s="9"/>
    </row>
    <row r="7" spans="1:9" x14ac:dyDescent="0.25">
      <c r="A7" s="16" t="s">
        <v>36</v>
      </c>
      <c r="B7" s="11"/>
      <c r="C7" s="11"/>
      <c r="D7" s="11"/>
      <c r="E7" s="11"/>
      <c r="F7" s="11"/>
      <c r="G7" s="11"/>
      <c r="H7" s="11"/>
      <c r="I7" s="9"/>
    </row>
    <row r="8" spans="1:9" x14ac:dyDescent="0.25">
      <c r="A8" s="16" t="s">
        <v>37</v>
      </c>
      <c r="B8" s="14"/>
      <c r="C8" s="14"/>
      <c r="D8" s="14"/>
      <c r="E8" s="14"/>
      <c r="F8" s="14"/>
      <c r="G8" s="14"/>
      <c r="H8" s="14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</sheetData>
  <dataValidations count="2">
    <dataValidation errorStyle="information" allowBlank="1" showInputMessage="1" showErrorMessage="1" sqref="A2:A8 B1:H1" xr:uid="{9D627600-9D7E-439B-9B2D-3C807D083B2C}"/>
    <dataValidation type="list" allowBlank="1" showInputMessage="1" showErrorMessage="1" sqref="B3:H3" xr:uid="{23FF05BA-1290-4A7A-8A4A-AD5E759404AF}">
      <formula1>пол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7695-FE1C-4572-B910-8EEC959410F0}">
  <dimension ref="A1:B8"/>
  <sheetViews>
    <sheetView zoomScale="130" zoomScaleNormal="130" workbookViewId="0">
      <selection activeCell="B2" sqref="B2"/>
    </sheetView>
  </sheetViews>
  <sheetFormatPr defaultRowHeight="15" x14ac:dyDescent="0.25"/>
  <cols>
    <col min="2" max="2" width="15.28515625" customWidth="1"/>
  </cols>
  <sheetData>
    <row r="1" spans="1:2" x14ac:dyDescent="0.25">
      <c r="A1" s="32" t="s">
        <v>7</v>
      </c>
      <c r="B1" s="32" t="s">
        <v>55</v>
      </c>
    </row>
    <row r="2" spans="1:2" x14ac:dyDescent="0.25">
      <c r="A2" s="17" t="s">
        <v>31</v>
      </c>
      <c r="B2" s="34">
        <v>10391000</v>
      </c>
    </row>
    <row r="3" spans="1:2" x14ac:dyDescent="0.25">
      <c r="A3" s="17" t="s">
        <v>32</v>
      </c>
      <c r="B3" s="34">
        <v>510428.57142857142</v>
      </c>
    </row>
    <row r="4" spans="1:2" x14ac:dyDescent="0.25">
      <c r="A4" s="17" t="s">
        <v>33</v>
      </c>
      <c r="B4" s="34">
        <v>11483528.571428571</v>
      </c>
    </row>
    <row r="5" spans="1:2" x14ac:dyDescent="0.25">
      <c r="A5" s="17" t="s">
        <v>34</v>
      </c>
      <c r="B5" s="34">
        <v>7653528.5714285718</v>
      </c>
    </row>
    <row r="6" spans="1:2" x14ac:dyDescent="0.25">
      <c r="A6" s="17" t="s">
        <v>35</v>
      </c>
      <c r="B6" s="34">
        <v>7361242.8571428573</v>
      </c>
    </row>
    <row r="7" spans="1:2" x14ac:dyDescent="0.25">
      <c r="A7" s="17" t="s">
        <v>36</v>
      </c>
      <c r="B7" s="34">
        <v>4993757.1428571427</v>
      </c>
    </row>
    <row r="8" spans="1:2" x14ac:dyDescent="0.25">
      <c r="A8" s="17" t="s">
        <v>37</v>
      </c>
      <c r="B8" s="34">
        <v>6610471.4285714291</v>
      </c>
    </row>
  </sheetData>
  <phoneticPr fontId="2" type="noConversion"/>
  <dataValidations count="1">
    <dataValidation type="list" allowBlank="1" showInputMessage="1" showErrorMessage="1" sqref="A3:A8" xr:uid="{127986DE-6951-450C-8FB9-DC4E3E2A9855}">
      <formula1>Код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84AA-C161-4EF3-BFB4-0E552FD7D917}">
  <dimension ref="A1:B12"/>
  <sheetViews>
    <sheetView zoomScale="130" zoomScaleNormal="130" workbookViewId="0">
      <selection activeCell="D16" sqref="D16"/>
    </sheetView>
  </sheetViews>
  <sheetFormatPr defaultRowHeight="15" x14ac:dyDescent="0.25"/>
  <cols>
    <col min="1" max="1" width="26.28515625" customWidth="1"/>
    <col min="2" max="2" width="31.140625" customWidth="1"/>
  </cols>
  <sheetData>
    <row r="1" spans="1:2" x14ac:dyDescent="0.25">
      <c r="A1" s="37" t="s">
        <v>51</v>
      </c>
      <c r="B1" s="37"/>
    </row>
    <row r="2" spans="1:2" x14ac:dyDescent="0.25">
      <c r="A2" s="39" t="s">
        <v>36</v>
      </c>
      <c r="B2" s="39"/>
    </row>
    <row r="4" spans="1:2" x14ac:dyDescent="0.25">
      <c r="A4" s="37" t="s">
        <v>52</v>
      </c>
      <c r="B4" s="37"/>
    </row>
    <row r="5" spans="1:2" x14ac:dyDescent="0.25">
      <c r="A5" s="35" t="s">
        <v>0</v>
      </c>
      <c r="B5" s="33" t="str">
        <f>VLOOKUP(A2,преподаватели!A2:G8,2,FALSE)</f>
        <v>Мещеряков Дарий Епифанович</v>
      </c>
    </row>
    <row r="7" spans="1:2" x14ac:dyDescent="0.25">
      <c r="A7" s="37" t="s">
        <v>53</v>
      </c>
      <c r="B7" s="37"/>
    </row>
    <row r="8" spans="1:2" x14ac:dyDescent="0.25">
      <c r="A8" s="35" t="s">
        <v>10</v>
      </c>
      <c r="B8" s="33" t="str">
        <f>VLOOKUP(A2,преподаватели!A2:G8,3,FALSE)</f>
        <v>мужской</v>
      </c>
    </row>
    <row r="9" spans="1:2" x14ac:dyDescent="0.25">
      <c r="A9" s="35" t="s">
        <v>54</v>
      </c>
      <c r="B9" s="33" t="str">
        <f>VLOOKUP(A2,преподаватели!A2:G8,4,FALSE)</f>
        <v>+7(921)303-31-26</v>
      </c>
    </row>
    <row r="11" spans="1:2" x14ac:dyDescent="0.25">
      <c r="A11" s="37" t="s">
        <v>56</v>
      </c>
      <c r="B11" s="37"/>
    </row>
    <row r="12" spans="1:2" x14ac:dyDescent="0.25">
      <c r="A12" s="38">
        <f>VLOOKUP(A2,зарплаты!A2:B8,2,FALSE)</f>
        <v>4993757.1428571427</v>
      </c>
      <c r="B12" s="38"/>
    </row>
  </sheetData>
  <mergeCells count="6">
    <mergeCell ref="A7:B7"/>
    <mergeCell ref="A4:B4"/>
    <mergeCell ref="A11:B11"/>
    <mergeCell ref="A12:B12"/>
    <mergeCell ref="A1:B1"/>
    <mergeCell ref="A2:B2"/>
  </mergeCells>
  <dataValidations count="1">
    <dataValidation type="list" allowBlank="1" showInputMessage="1" showErrorMessage="1" sqref="A2" xr:uid="{13F7035B-E4DD-48D2-9B0A-E38DABAA2A73}">
      <formula1>Код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14</vt:i4>
      </vt:variant>
    </vt:vector>
  </HeadingPairs>
  <TitlesOfParts>
    <vt:vector size="23" baseType="lpstr">
      <vt:lpstr>преподаватели (2)</vt:lpstr>
      <vt:lpstr>Лист2</vt:lpstr>
      <vt:lpstr>журнал нагрузки</vt:lpstr>
      <vt:lpstr>преподаватели</vt:lpstr>
      <vt:lpstr>группы</vt:lpstr>
      <vt:lpstr>диапазоны</vt:lpstr>
      <vt:lpstr>связный список</vt:lpstr>
      <vt:lpstr>зарплаты</vt:lpstr>
      <vt:lpstr>для печати отчета</vt:lpstr>
      <vt:lpstr>Код</vt:lpstr>
      <vt:lpstr>Номер_группы</vt:lpstr>
      <vt:lpstr>отделение</vt:lpstr>
      <vt:lpstr>пол</vt:lpstr>
      <vt:lpstr>предмет</vt:lpstr>
      <vt:lpstr>Лист2!Слияние</vt:lpstr>
      <vt:lpstr>специальность</vt:lpstr>
      <vt:lpstr>у11</vt:lpstr>
      <vt:lpstr>у18</vt:lpstr>
      <vt:lpstr>у3</vt:lpstr>
      <vt:lpstr>у39</vt:lpstr>
      <vt:lpstr>у46</vt:lpstr>
      <vt:lpstr>у51</vt:lpstr>
      <vt:lpstr>у77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Краюшкина</dc:creator>
  <cp:lastModifiedBy>Краюшкина Анна</cp:lastModifiedBy>
  <cp:lastPrinted>2024-02-20T18:18:15Z</cp:lastPrinted>
  <dcterms:created xsi:type="dcterms:W3CDTF">2024-02-14T18:51:21Z</dcterms:created>
  <dcterms:modified xsi:type="dcterms:W3CDTF">2024-11-27T08:16:43Z</dcterms:modified>
</cp:coreProperties>
</file>