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3425" yWindow="-240" windowWidth="10200" windowHeight="9795" firstSheet="8" activeTab="11"/>
  </bookViews>
  <sheets>
    <sheet name="Analysis" sheetId="5" r:id="rId1"/>
    <sheet name="Benchmarked Analysis" sheetId="8" r:id="rId2"/>
    <sheet name="Base Supplier Data" sheetId="3" r:id="rId3"/>
    <sheet name="Chemicals Analysis" sheetId="14" r:id="rId4"/>
    <sheet name="Chemicals Benchmarked Analysis" sheetId="15" r:id="rId5"/>
    <sheet name="Chemicals Data" sheetId="13" r:id="rId6"/>
    <sheet name="Similiar Utilities Analysis" sheetId="21" r:id="rId7"/>
    <sheet name="APS - Similiar Capacity MW" sheetId="24" r:id="rId8"/>
    <sheet name="APS - Similar Spend" sheetId="23" r:id="rId9"/>
    <sheet name="SNL Data - Incomplete" sheetId="19" r:id="rId10"/>
    <sheet name="Regressions" sheetId="25" r:id="rId11"/>
    <sheet name="Base Spend Data" sheetId="1" r:id="rId12"/>
  </sheets>
  <calcPr calcId="125725"/>
</workbook>
</file>

<file path=xl/calcChain.xml><?xml version="1.0" encoding="utf-8"?>
<calcChain xmlns="http://schemas.openxmlformats.org/spreadsheetml/2006/main">
  <c r="H13" i="25"/>
  <c r="H5"/>
  <c r="C4" i="5"/>
  <c r="K4"/>
  <c r="B4"/>
  <c r="C37" i="21"/>
  <c r="D37"/>
  <c r="E37"/>
  <c r="F37"/>
  <c r="G37"/>
  <c r="H37"/>
  <c r="I37"/>
  <c r="J37"/>
  <c r="K37"/>
  <c r="L37"/>
  <c r="M37"/>
  <c r="N37"/>
  <c r="O37"/>
  <c r="P37"/>
  <c r="Q37"/>
  <c r="R37"/>
  <c r="H39"/>
  <c r="N8"/>
  <c r="N35" s="1"/>
  <c r="C7"/>
  <c r="D7"/>
  <c r="E7"/>
  <c r="F7"/>
  <c r="G7"/>
  <c r="H7"/>
  <c r="I7"/>
  <c r="J7"/>
  <c r="K7"/>
  <c r="L7"/>
  <c r="M7"/>
  <c r="N7"/>
  <c r="O7"/>
  <c r="P7"/>
  <c r="Q7"/>
  <c r="R7"/>
  <c r="C8"/>
  <c r="C5" s="1"/>
  <c r="D8"/>
  <c r="D5" s="1"/>
  <c r="E8"/>
  <c r="F8"/>
  <c r="F5" s="1"/>
  <c r="G8"/>
  <c r="G35" s="1"/>
  <c r="H8"/>
  <c r="H5" s="1"/>
  <c r="I8"/>
  <c r="I35" s="1"/>
  <c r="J8"/>
  <c r="J35" s="1"/>
  <c r="K8"/>
  <c r="K35" s="1"/>
  <c r="L8"/>
  <c r="L35" s="1"/>
  <c r="M8"/>
  <c r="M5" s="1"/>
  <c r="O8"/>
  <c r="O35" s="1"/>
  <c r="P8"/>
  <c r="P35" s="1"/>
  <c r="Q8"/>
  <c r="R8"/>
  <c r="R35" s="1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Q11" s="1"/>
  <c r="R10"/>
  <c r="B10"/>
  <c r="B9"/>
  <c r="B8"/>
  <c r="B35" s="1"/>
  <c r="H25"/>
  <c r="H32" s="1"/>
  <c r="H26"/>
  <c r="H27"/>
  <c r="H33" s="1"/>
  <c r="H28"/>
  <c r="H29"/>
  <c r="H30"/>
  <c r="C15"/>
  <c r="D15"/>
  <c r="E15"/>
  <c r="F15"/>
  <c r="G15"/>
  <c r="H15"/>
  <c r="I15"/>
  <c r="J15"/>
  <c r="K15"/>
  <c r="L15"/>
  <c r="M15"/>
  <c r="N15"/>
  <c r="O15"/>
  <c r="P15"/>
  <c r="Q15"/>
  <c r="R15"/>
  <c r="C16"/>
  <c r="D16"/>
  <c r="E16"/>
  <c r="F16"/>
  <c r="G16"/>
  <c r="H16"/>
  <c r="I16"/>
  <c r="J16"/>
  <c r="K16"/>
  <c r="L16"/>
  <c r="M16"/>
  <c r="N16"/>
  <c r="O16"/>
  <c r="P16"/>
  <c r="Q16"/>
  <c r="R16"/>
  <c r="C17"/>
  <c r="D17"/>
  <c r="E17"/>
  <c r="F17"/>
  <c r="G17"/>
  <c r="H17"/>
  <c r="I17"/>
  <c r="J17"/>
  <c r="K17"/>
  <c r="L17"/>
  <c r="M17"/>
  <c r="N17"/>
  <c r="O17"/>
  <c r="P17"/>
  <c r="Q17"/>
  <c r="R17"/>
  <c r="C18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C48" s="1"/>
  <c r="D20"/>
  <c r="D48" s="1"/>
  <c r="E20"/>
  <c r="E48" s="1"/>
  <c r="F20"/>
  <c r="F48" s="1"/>
  <c r="G20"/>
  <c r="G48" s="1"/>
  <c r="H20"/>
  <c r="H48" s="1"/>
  <c r="I20"/>
  <c r="I48" s="1"/>
  <c r="J20"/>
  <c r="J48" s="1"/>
  <c r="K20"/>
  <c r="K48" s="1"/>
  <c r="L20"/>
  <c r="L48" s="1"/>
  <c r="M20"/>
  <c r="M48" s="1"/>
  <c r="N20"/>
  <c r="N48" s="1"/>
  <c r="O20"/>
  <c r="O48" s="1"/>
  <c r="P20"/>
  <c r="P48" s="1"/>
  <c r="Q20"/>
  <c r="Q48" s="1"/>
  <c r="R20"/>
  <c r="R48" s="1"/>
  <c r="C21"/>
  <c r="D21"/>
  <c r="E21"/>
  <c r="F21"/>
  <c r="G21"/>
  <c r="H21"/>
  <c r="I21"/>
  <c r="J21"/>
  <c r="K21"/>
  <c r="L21"/>
  <c r="M21"/>
  <c r="N21"/>
  <c r="O21"/>
  <c r="P21"/>
  <c r="Q21"/>
  <c r="R21"/>
  <c r="C22"/>
  <c r="C34" s="1"/>
  <c r="D22"/>
  <c r="D34" s="1"/>
  <c r="E22"/>
  <c r="E34" s="1"/>
  <c r="F22"/>
  <c r="F34" s="1"/>
  <c r="G22"/>
  <c r="G34" s="1"/>
  <c r="H22"/>
  <c r="H34" s="1"/>
  <c r="I22"/>
  <c r="I34" s="1"/>
  <c r="J22"/>
  <c r="J34" s="1"/>
  <c r="K22"/>
  <c r="K34" s="1"/>
  <c r="L22"/>
  <c r="L34" s="1"/>
  <c r="M22"/>
  <c r="M34" s="1"/>
  <c r="N22"/>
  <c r="N34" s="1"/>
  <c r="O22"/>
  <c r="O34" s="1"/>
  <c r="P22"/>
  <c r="P34" s="1"/>
  <c r="Q22"/>
  <c r="Q34" s="1"/>
  <c r="R22"/>
  <c r="R34" s="1"/>
  <c r="C23"/>
  <c r="C50" s="1"/>
  <c r="D23"/>
  <c r="D50" s="1"/>
  <c r="E23"/>
  <c r="E50" s="1"/>
  <c r="F23"/>
  <c r="F50" s="1"/>
  <c r="G23"/>
  <c r="G50" s="1"/>
  <c r="H23"/>
  <c r="H50" s="1"/>
  <c r="I23"/>
  <c r="I50" s="1"/>
  <c r="J23"/>
  <c r="J50" s="1"/>
  <c r="K23"/>
  <c r="K50" s="1"/>
  <c r="L23"/>
  <c r="L50" s="1"/>
  <c r="M23"/>
  <c r="M50" s="1"/>
  <c r="N23"/>
  <c r="N50" s="1"/>
  <c r="O23"/>
  <c r="O50" s="1"/>
  <c r="P23"/>
  <c r="P50" s="1"/>
  <c r="Q23"/>
  <c r="Q50" s="1"/>
  <c r="R23"/>
  <c r="R50" s="1"/>
  <c r="C14"/>
  <c r="C47" s="1"/>
  <c r="D14"/>
  <c r="D47" s="1"/>
  <c r="E14"/>
  <c r="E47" s="1"/>
  <c r="F14"/>
  <c r="F47" s="1"/>
  <c r="G14"/>
  <c r="G47" s="1"/>
  <c r="H14"/>
  <c r="H47" s="1"/>
  <c r="I14"/>
  <c r="I47" s="1"/>
  <c r="J14"/>
  <c r="J47" s="1"/>
  <c r="K14"/>
  <c r="K47" s="1"/>
  <c r="L14"/>
  <c r="L47" s="1"/>
  <c r="M14"/>
  <c r="M47" s="1"/>
  <c r="N14"/>
  <c r="N47" s="1"/>
  <c r="O14"/>
  <c r="O47" s="1"/>
  <c r="P14"/>
  <c r="P47" s="1"/>
  <c r="Q14"/>
  <c r="Q47" s="1"/>
  <c r="R14"/>
  <c r="R47" s="1"/>
  <c r="C3"/>
  <c r="D3"/>
  <c r="E3"/>
  <c r="F3"/>
  <c r="G3"/>
  <c r="H3"/>
  <c r="I3"/>
  <c r="J3"/>
  <c r="K3"/>
  <c r="L3"/>
  <c r="M3"/>
  <c r="N3"/>
  <c r="O3"/>
  <c r="P3"/>
  <c r="Q3"/>
  <c r="R3"/>
  <c r="U3" i="19"/>
  <c r="S3"/>
  <c r="C61" i="1"/>
  <c r="C3" i="5" s="1"/>
  <c r="D61" i="1"/>
  <c r="D3" i="5" s="1"/>
  <c r="E61" i="1"/>
  <c r="E3" i="5" s="1"/>
  <c r="F61" i="1"/>
  <c r="F4" i="5" s="1"/>
  <c r="G61" i="1"/>
  <c r="G3" i="5" s="1"/>
  <c r="H61" i="1"/>
  <c r="H3" i="5" s="1"/>
  <c r="I61" i="1"/>
  <c r="I3" i="5" s="1"/>
  <c r="J61" i="1"/>
  <c r="J4" i="5" s="1"/>
  <c r="K61" i="1"/>
  <c r="K3" i="5" s="1"/>
  <c r="L61" i="1"/>
  <c r="L3" i="5" s="1"/>
  <c r="M61" i="1"/>
  <c r="M3" i="5" s="1"/>
  <c r="N61" i="1"/>
  <c r="N4" i="5" s="1"/>
  <c r="O61" i="1"/>
  <c r="O3" i="5" s="1"/>
  <c r="P61" i="1"/>
  <c r="P3" i="5" s="1"/>
  <c r="Q61" i="1"/>
  <c r="Q3" i="5" s="1"/>
  <c r="R61" i="1"/>
  <c r="R4" i="5" s="1"/>
  <c r="B61" i="1"/>
  <c r="I43" i="5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42"/>
  <c r="C13" i="14"/>
  <c r="D13"/>
  <c r="E13"/>
  <c r="F13"/>
  <c r="G13"/>
  <c r="H13"/>
  <c r="I13"/>
  <c r="J13"/>
  <c r="K13"/>
  <c r="L13"/>
  <c r="M13"/>
  <c r="N13"/>
  <c r="O13"/>
  <c r="P13"/>
  <c r="Q13"/>
  <c r="R13"/>
  <c r="B13"/>
  <c r="T13" s="1"/>
  <c r="F22" i="15"/>
  <c r="R22"/>
  <c r="C13"/>
  <c r="D13"/>
  <c r="E13"/>
  <c r="F13"/>
  <c r="G13"/>
  <c r="H13"/>
  <c r="I13"/>
  <c r="J13"/>
  <c r="K13"/>
  <c r="L13"/>
  <c r="M13"/>
  <c r="N13"/>
  <c r="O13"/>
  <c r="P13"/>
  <c r="Q13"/>
  <c r="R13"/>
  <c r="C14"/>
  <c r="D14"/>
  <c r="E14"/>
  <c r="F14"/>
  <c r="G14"/>
  <c r="H14"/>
  <c r="I14"/>
  <c r="J14"/>
  <c r="K14"/>
  <c r="L14"/>
  <c r="M14"/>
  <c r="N14"/>
  <c r="O14"/>
  <c r="P14"/>
  <c r="Q14"/>
  <c r="R14"/>
  <c r="R37"/>
  <c r="Q37"/>
  <c r="P37"/>
  <c r="O37"/>
  <c r="N37"/>
  <c r="M37"/>
  <c r="L37"/>
  <c r="K37"/>
  <c r="J37"/>
  <c r="I37"/>
  <c r="H37"/>
  <c r="G37"/>
  <c r="F37"/>
  <c r="E37"/>
  <c r="D37"/>
  <c r="C37"/>
  <c r="B37"/>
  <c r="R36"/>
  <c r="Q36"/>
  <c r="P36"/>
  <c r="O36"/>
  <c r="N36"/>
  <c r="M36"/>
  <c r="L36"/>
  <c r="K36"/>
  <c r="J36"/>
  <c r="I36"/>
  <c r="H36"/>
  <c r="G36"/>
  <c r="F36"/>
  <c r="E36"/>
  <c r="D36"/>
  <c r="C36"/>
  <c r="B36"/>
  <c r="R35"/>
  <c r="Q35"/>
  <c r="P35"/>
  <c r="O35"/>
  <c r="N35"/>
  <c r="M35"/>
  <c r="L35"/>
  <c r="K35"/>
  <c r="J35"/>
  <c r="I35"/>
  <c r="H35"/>
  <c r="G35"/>
  <c r="F35"/>
  <c r="E35"/>
  <c r="D35"/>
  <c r="C35"/>
  <c r="B35"/>
  <c r="R34"/>
  <c r="Q34"/>
  <c r="P34"/>
  <c r="O34"/>
  <c r="N34"/>
  <c r="M34"/>
  <c r="L34"/>
  <c r="K34"/>
  <c r="J34"/>
  <c r="I34"/>
  <c r="H34"/>
  <c r="G34"/>
  <c r="F34"/>
  <c r="E34"/>
  <c r="D34"/>
  <c r="C34"/>
  <c r="B34"/>
  <c r="R33"/>
  <c r="Q33"/>
  <c r="P33"/>
  <c r="O33"/>
  <c r="N33"/>
  <c r="M33"/>
  <c r="L33"/>
  <c r="K33"/>
  <c r="J33"/>
  <c r="I33"/>
  <c r="H33"/>
  <c r="G33"/>
  <c r="F33"/>
  <c r="E33"/>
  <c r="D33"/>
  <c r="C33"/>
  <c r="B33"/>
  <c r="R32"/>
  <c r="Q32"/>
  <c r="P32"/>
  <c r="O32"/>
  <c r="N32"/>
  <c r="M32"/>
  <c r="L32"/>
  <c r="K32"/>
  <c r="J32"/>
  <c r="I32"/>
  <c r="H32"/>
  <c r="G32"/>
  <c r="F32"/>
  <c r="E32"/>
  <c r="D32"/>
  <c r="C32"/>
  <c r="B32"/>
  <c r="R31"/>
  <c r="Q31"/>
  <c r="P31"/>
  <c r="O31"/>
  <c r="N31"/>
  <c r="M31"/>
  <c r="L31"/>
  <c r="K31"/>
  <c r="J31"/>
  <c r="I31"/>
  <c r="H31"/>
  <c r="G31"/>
  <c r="F31"/>
  <c r="E31"/>
  <c r="D31"/>
  <c r="C31"/>
  <c r="B31"/>
  <c r="R30"/>
  <c r="Q30"/>
  <c r="P30"/>
  <c r="O30"/>
  <c r="N30"/>
  <c r="M30"/>
  <c r="L30"/>
  <c r="K30"/>
  <c r="J30"/>
  <c r="I30"/>
  <c r="H30"/>
  <c r="G30"/>
  <c r="F30"/>
  <c r="E30"/>
  <c r="D30"/>
  <c r="C30"/>
  <c r="B30"/>
  <c r="R29"/>
  <c r="Q29"/>
  <c r="P29"/>
  <c r="O29"/>
  <c r="N29"/>
  <c r="M29"/>
  <c r="L29"/>
  <c r="K29"/>
  <c r="J29"/>
  <c r="I29"/>
  <c r="H29"/>
  <c r="G29"/>
  <c r="F29"/>
  <c r="E29"/>
  <c r="D29"/>
  <c r="C29"/>
  <c r="B29"/>
  <c r="R28"/>
  <c r="Q28"/>
  <c r="P28"/>
  <c r="O28"/>
  <c r="N28"/>
  <c r="M28"/>
  <c r="L28"/>
  <c r="K28"/>
  <c r="J28"/>
  <c r="I28"/>
  <c r="H28"/>
  <c r="G28"/>
  <c r="F28"/>
  <c r="E28"/>
  <c r="D28"/>
  <c r="C28"/>
  <c r="B28"/>
  <c r="R27"/>
  <c r="Q27"/>
  <c r="P27"/>
  <c r="O27"/>
  <c r="N27"/>
  <c r="M27"/>
  <c r="L27"/>
  <c r="K27"/>
  <c r="J27"/>
  <c r="I27"/>
  <c r="H27"/>
  <c r="G27"/>
  <c r="F27"/>
  <c r="E27"/>
  <c r="D27"/>
  <c r="C27"/>
  <c r="B27"/>
  <c r="R26"/>
  <c r="Q26"/>
  <c r="P26"/>
  <c r="O26"/>
  <c r="N26"/>
  <c r="M26"/>
  <c r="L26"/>
  <c r="K26"/>
  <c r="J26"/>
  <c r="I26"/>
  <c r="H26"/>
  <c r="G26"/>
  <c r="F26"/>
  <c r="E26"/>
  <c r="D26"/>
  <c r="C26"/>
  <c r="B26"/>
  <c r="C45" i="14"/>
  <c r="D45"/>
  <c r="E45"/>
  <c r="F45"/>
  <c r="G45"/>
  <c r="H45"/>
  <c r="I45"/>
  <c r="J45"/>
  <c r="K45"/>
  <c r="L45"/>
  <c r="M45"/>
  <c r="N45"/>
  <c r="O45"/>
  <c r="P45"/>
  <c r="Q45"/>
  <c r="R45"/>
  <c r="C46"/>
  <c r="D46"/>
  <c r="T46" s="1"/>
  <c r="E46"/>
  <c r="F46"/>
  <c r="G46"/>
  <c r="H46"/>
  <c r="I46"/>
  <c r="J46"/>
  <c r="K46"/>
  <c r="L46"/>
  <c r="M46"/>
  <c r="N46"/>
  <c r="O46"/>
  <c r="P46"/>
  <c r="Q46"/>
  <c r="R46"/>
  <c r="C47"/>
  <c r="D47"/>
  <c r="E47"/>
  <c r="F47"/>
  <c r="G47"/>
  <c r="H47"/>
  <c r="I47"/>
  <c r="J47"/>
  <c r="K47"/>
  <c r="L47"/>
  <c r="M47"/>
  <c r="N47"/>
  <c r="O47"/>
  <c r="P47"/>
  <c r="Q47"/>
  <c r="R47"/>
  <c r="C48"/>
  <c r="D48"/>
  <c r="T48" s="1"/>
  <c r="E48"/>
  <c r="F48"/>
  <c r="G48"/>
  <c r="H48"/>
  <c r="I48"/>
  <c r="J48"/>
  <c r="K48"/>
  <c r="L48"/>
  <c r="M48"/>
  <c r="N48"/>
  <c r="O48"/>
  <c r="P48"/>
  <c r="Q48"/>
  <c r="R48"/>
  <c r="C49"/>
  <c r="D49"/>
  <c r="T49" s="1"/>
  <c r="E49"/>
  <c r="F49"/>
  <c r="G49"/>
  <c r="H49"/>
  <c r="I49"/>
  <c r="J49"/>
  <c r="K49"/>
  <c r="L49"/>
  <c r="M49"/>
  <c r="N49"/>
  <c r="O49"/>
  <c r="P49"/>
  <c r="Q49"/>
  <c r="R49"/>
  <c r="C50"/>
  <c r="D50"/>
  <c r="E50"/>
  <c r="F50"/>
  <c r="G50"/>
  <c r="H50"/>
  <c r="I50"/>
  <c r="J50"/>
  <c r="K50"/>
  <c r="L50"/>
  <c r="M50"/>
  <c r="N50"/>
  <c r="O50"/>
  <c r="P50"/>
  <c r="Q50"/>
  <c r="R50"/>
  <c r="C51"/>
  <c r="D51"/>
  <c r="E51"/>
  <c r="F51"/>
  <c r="G51"/>
  <c r="H51"/>
  <c r="I51"/>
  <c r="J51"/>
  <c r="K51"/>
  <c r="L51"/>
  <c r="M51"/>
  <c r="N51"/>
  <c r="O51"/>
  <c r="P51"/>
  <c r="Q51"/>
  <c r="R51"/>
  <c r="C52"/>
  <c r="D52"/>
  <c r="E52"/>
  <c r="F52"/>
  <c r="G52"/>
  <c r="H52"/>
  <c r="I52"/>
  <c r="J52"/>
  <c r="K52"/>
  <c r="L52"/>
  <c r="M52"/>
  <c r="N52"/>
  <c r="O52"/>
  <c r="P52"/>
  <c r="Q52"/>
  <c r="R52"/>
  <c r="C53"/>
  <c r="D53"/>
  <c r="S53" s="1"/>
  <c r="E53"/>
  <c r="F53"/>
  <c r="G53"/>
  <c r="H53"/>
  <c r="I53"/>
  <c r="J53"/>
  <c r="K53"/>
  <c r="L53"/>
  <c r="M53"/>
  <c r="N53"/>
  <c r="O53"/>
  <c r="P53"/>
  <c r="Q53"/>
  <c r="R53"/>
  <c r="C54"/>
  <c r="D54"/>
  <c r="T54" s="1"/>
  <c r="E54"/>
  <c r="F54"/>
  <c r="G54"/>
  <c r="H54"/>
  <c r="I54"/>
  <c r="J54"/>
  <c r="K54"/>
  <c r="L54"/>
  <c r="M54"/>
  <c r="N54"/>
  <c r="O54"/>
  <c r="P54"/>
  <c r="Q54"/>
  <c r="R54"/>
  <c r="C55"/>
  <c r="D55"/>
  <c r="E55"/>
  <c r="F55"/>
  <c r="G55"/>
  <c r="H55"/>
  <c r="I55"/>
  <c r="J55"/>
  <c r="K55"/>
  <c r="L55"/>
  <c r="M55"/>
  <c r="N55"/>
  <c r="O55"/>
  <c r="P55"/>
  <c r="Q55"/>
  <c r="R55"/>
  <c r="C56"/>
  <c r="D56"/>
  <c r="T56" s="1"/>
  <c r="E56"/>
  <c r="F56"/>
  <c r="G56"/>
  <c r="H56"/>
  <c r="I56"/>
  <c r="J56"/>
  <c r="K56"/>
  <c r="L56"/>
  <c r="M56"/>
  <c r="N56"/>
  <c r="O56"/>
  <c r="P56"/>
  <c r="Q56"/>
  <c r="R56"/>
  <c r="B46"/>
  <c r="B47"/>
  <c r="B48"/>
  <c r="B49"/>
  <c r="B50"/>
  <c r="B51"/>
  <c r="B52"/>
  <c r="B53"/>
  <c r="B54"/>
  <c r="B55"/>
  <c r="B56"/>
  <c r="B45"/>
  <c r="C31"/>
  <c r="D31"/>
  <c r="T31" s="1"/>
  <c r="E31"/>
  <c r="F31"/>
  <c r="G31"/>
  <c r="H31"/>
  <c r="I31"/>
  <c r="J31"/>
  <c r="K31"/>
  <c r="L31"/>
  <c r="M31"/>
  <c r="N31"/>
  <c r="O31"/>
  <c r="P31"/>
  <c r="Q31"/>
  <c r="R31"/>
  <c r="C32"/>
  <c r="D32"/>
  <c r="E32"/>
  <c r="F32"/>
  <c r="G32"/>
  <c r="H32"/>
  <c r="I32"/>
  <c r="J32"/>
  <c r="K32"/>
  <c r="L32"/>
  <c r="M32"/>
  <c r="N32"/>
  <c r="O32"/>
  <c r="P32"/>
  <c r="Q32"/>
  <c r="R32"/>
  <c r="C33"/>
  <c r="D33"/>
  <c r="E33"/>
  <c r="F33"/>
  <c r="G33"/>
  <c r="H33"/>
  <c r="I33"/>
  <c r="J33"/>
  <c r="K33"/>
  <c r="L33"/>
  <c r="M33"/>
  <c r="N33"/>
  <c r="O33"/>
  <c r="P33"/>
  <c r="Q33"/>
  <c r="R33"/>
  <c r="C34"/>
  <c r="D34"/>
  <c r="E34"/>
  <c r="F34"/>
  <c r="G34"/>
  <c r="H34"/>
  <c r="I34"/>
  <c r="J34"/>
  <c r="K34"/>
  <c r="L34"/>
  <c r="M34"/>
  <c r="N34"/>
  <c r="O34"/>
  <c r="P34"/>
  <c r="Q34"/>
  <c r="R34"/>
  <c r="C35"/>
  <c r="D35"/>
  <c r="E35"/>
  <c r="F35"/>
  <c r="G35"/>
  <c r="H35"/>
  <c r="I35"/>
  <c r="J35"/>
  <c r="K35"/>
  <c r="L35"/>
  <c r="L18" i="15" s="1"/>
  <c r="M35" i="14"/>
  <c r="N35"/>
  <c r="O35"/>
  <c r="O18" i="15" s="1"/>
  <c r="P35" i="14"/>
  <c r="Q35"/>
  <c r="R35"/>
  <c r="C36"/>
  <c r="D36"/>
  <c r="E36"/>
  <c r="F36"/>
  <c r="G36"/>
  <c r="H36"/>
  <c r="I36"/>
  <c r="J36"/>
  <c r="K36"/>
  <c r="L36"/>
  <c r="M36"/>
  <c r="N36"/>
  <c r="O36"/>
  <c r="P36"/>
  <c r="Q36"/>
  <c r="R36"/>
  <c r="C37"/>
  <c r="D37"/>
  <c r="E37"/>
  <c r="F37"/>
  <c r="G37"/>
  <c r="H37"/>
  <c r="I37"/>
  <c r="J37"/>
  <c r="K37"/>
  <c r="L37"/>
  <c r="M37"/>
  <c r="N37"/>
  <c r="O37"/>
  <c r="P37"/>
  <c r="Q37"/>
  <c r="R37"/>
  <c r="C38"/>
  <c r="C20" i="15" s="1"/>
  <c r="D38" i="14"/>
  <c r="V38" s="1"/>
  <c r="F20" i="15" s="1"/>
  <c r="E38" i="14"/>
  <c r="E20" i="15" s="1"/>
  <c r="F38" i="14"/>
  <c r="G38"/>
  <c r="G20" i="15" s="1"/>
  <c r="H38" i="14"/>
  <c r="H20" i="15" s="1"/>
  <c r="I38" i="14"/>
  <c r="I20" i="15" s="1"/>
  <c r="J38" i="14"/>
  <c r="K38"/>
  <c r="K20" i="15" s="1"/>
  <c r="L38" i="14"/>
  <c r="L20" i="15" s="1"/>
  <c r="M38" i="14"/>
  <c r="M20" i="15" s="1"/>
  <c r="N38" i="14"/>
  <c r="O38"/>
  <c r="O20" i="15" s="1"/>
  <c r="P38" i="14"/>
  <c r="P20" i="15" s="1"/>
  <c r="Q38" i="14"/>
  <c r="Q20" i="15" s="1"/>
  <c r="R38" i="14"/>
  <c r="C39"/>
  <c r="C21" i="15" s="1"/>
  <c r="D39" i="14"/>
  <c r="V39" s="1"/>
  <c r="N21" i="15" s="1"/>
  <c r="E39" i="14"/>
  <c r="E21" i="15" s="1"/>
  <c r="F39" i="14"/>
  <c r="G39"/>
  <c r="G21" i="15" s="1"/>
  <c r="H39" i="14"/>
  <c r="H21" i="15" s="1"/>
  <c r="I39" i="14"/>
  <c r="I21" i="15" s="1"/>
  <c r="J39" i="14"/>
  <c r="K39"/>
  <c r="K21" i="15" s="1"/>
  <c r="L39" i="14"/>
  <c r="L21" i="15" s="1"/>
  <c r="M39" i="14"/>
  <c r="M21" i="15" s="1"/>
  <c r="N39" i="14"/>
  <c r="O39"/>
  <c r="O21" i="15" s="1"/>
  <c r="P39" i="14"/>
  <c r="P21" i="15" s="1"/>
  <c r="Q39" i="14"/>
  <c r="Q21" i="15" s="1"/>
  <c r="R39" i="14"/>
  <c r="C40"/>
  <c r="D40"/>
  <c r="E40"/>
  <c r="F40"/>
  <c r="G40"/>
  <c r="H40"/>
  <c r="I40"/>
  <c r="J40"/>
  <c r="K40"/>
  <c r="L40"/>
  <c r="M40"/>
  <c r="N40"/>
  <c r="O40"/>
  <c r="P40"/>
  <c r="Q40"/>
  <c r="R40"/>
  <c r="C41"/>
  <c r="C22" i="15" s="1"/>
  <c r="D41" i="14"/>
  <c r="D22" i="15" s="1"/>
  <c r="E41" i="14"/>
  <c r="E22" i="15" s="1"/>
  <c r="F41" i="14"/>
  <c r="G41"/>
  <c r="H41"/>
  <c r="I41"/>
  <c r="I22" i="15" s="1"/>
  <c r="J41" i="14"/>
  <c r="K41"/>
  <c r="K22" i="15" s="1"/>
  <c r="L41" i="14"/>
  <c r="L22" i="15" s="1"/>
  <c r="M41" i="14"/>
  <c r="N41"/>
  <c r="O41"/>
  <c r="O22" i="15" s="1"/>
  <c r="P41" i="14"/>
  <c r="Q41"/>
  <c r="Q22" i="15" s="1"/>
  <c r="R41" i="14"/>
  <c r="C42"/>
  <c r="D42"/>
  <c r="E42"/>
  <c r="F42"/>
  <c r="G42"/>
  <c r="H42"/>
  <c r="I42"/>
  <c r="J42"/>
  <c r="K42"/>
  <c r="L42"/>
  <c r="M42"/>
  <c r="N42"/>
  <c r="O42"/>
  <c r="P42"/>
  <c r="Q42"/>
  <c r="R42"/>
  <c r="B32"/>
  <c r="W32" s="1"/>
  <c r="B33"/>
  <c r="B34"/>
  <c r="W34" s="1"/>
  <c r="B35"/>
  <c r="B36"/>
  <c r="W36" s="1"/>
  <c r="B37"/>
  <c r="V37" s="1"/>
  <c r="B38"/>
  <c r="B20" i="15" s="1"/>
  <c r="B39" i="14"/>
  <c r="B21" i="15" s="1"/>
  <c r="B40" i="14"/>
  <c r="W40" s="1"/>
  <c r="B41"/>
  <c r="B22" i="15" s="1"/>
  <c r="B42" i="14"/>
  <c r="W42" s="1"/>
  <c r="B31"/>
  <c r="W31" s="1"/>
  <c r="T40"/>
  <c r="C12"/>
  <c r="D12"/>
  <c r="E12"/>
  <c r="F12"/>
  <c r="G12"/>
  <c r="H12"/>
  <c r="I12"/>
  <c r="J12"/>
  <c r="K12"/>
  <c r="L12"/>
  <c r="M12"/>
  <c r="N12"/>
  <c r="O12"/>
  <c r="P12"/>
  <c r="Q12"/>
  <c r="R12"/>
  <c r="B12"/>
  <c r="C8"/>
  <c r="D8"/>
  <c r="E8"/>
  <c r="F8"/>
  <c r="G8"/>
  <c r="H8"/>
  <c r="I8"/>
  <c r="J8"/>
  <c r="K8"/>
  <c r="L8"/>
  <c r="M8"/>
  <c r="N8"/>
  <c r="O8"/>
  <c r="P8"/>
  <c r="Q8"/>
  <c r="R8"/>
  <c r="C9"/>
  <c r="D9"/>
  <c r="E9"/>
  <c r="F9"/>
  <c r="G9"/>
  <c r="H9"/>
  <c r="I9"/>
  <c r="J9"/>
  <c r="K9"/>
  <c r="L9"/>
  <c r="M9"/>
  <c r="N9"/>
  <c r="O9"/>
  <c r="P9"/>
  <c r="Q9"/>
  <c r="R9"/>
  <c r="C10"/>
  <c r="D10"/>
  <c r="E10"/>
  <c r="F10"/>
  <c r="G10"/>
  <c r="H10"/>
  <c r="I10"/>
  <c r="J10"/>
  <c r="K10"/>
  <c r="L10"/>
  <c r="M10"/>
  <c r="N10"/>
  <c r="O10"/>
  <c r="P10"/>
  <c r="Q10"/>
  <c r="R10"/>
  <c r="C11"/>
  <c r="D11"/>
  <c r="E11"/>
  <c r="F11"/>
  <c r="G11"/>
  <c r="H11"/>
  <c r="I11"/>
  <c r="J11"/>
  <c r="K11"/>
  <c r="L11"/>
  <c r="M11"/>
  <c r="N11"/>
  <c r="O11"/>
  <c r="P11"/>
  <c r="Q11"/>
  <c r="R11"/>
  <c r="B9"/>
  <c r="B10"/>
  <c r="U10" s="1"/>
  <c r="B11"/>
  <c r="B8"/>
  <c r="C7"/>
  <c r="D7"/>
  <c r="E7"/>
  <c r="F7"/>
  <c r="G7"/>
  <c r="H7"/>
  <c r="I7"/>
  <c r="J7"/>
  <c r="K7"/>
  <c r="L7"/>
  <c r="M7"/>
  <c r="N7"/>
  <c r="O7"/>
  <c r="P7"/>
  <c r="Q7"/>
  <c r="R7"/>
  <c r="B7"/>
  <c r="C3"/>
  <c r="D3"/>
  <c r="E3"/>
  <c r="F3"/>
  <c r="G3"/>
  <c r="H3"/>
  <c r="I3"/>
  <c r="J3"/>
  <c r="K3"/>
  <c r="L3"/>
  <c r="M3"/>
  <c r="N3"/>
  <c r="O3"/>
  <c r="P3"/>
  <c r="Q3"/>
  <c r="R3"/>
  <c r="C4"/>
  <c r="C4" i="15" s="1"/>
  <c r="D4" i="14"/>
  <c r="V4" s="1"/>
  <c r="E4"/>
  <c r="F4"/>
  <c r="S4" s="1"/>
  <c r="G4"/>
  <c r="G4" i="15" s="1"/>
  <c r="H4" i="14"/>
  <c r="I4"/>
  <c r="J4"/>
  <c r="K4"/>
  <c r="K4" i="15" s="1"/>
  <c r="L4" i="14"/>
  <c r="M4"/>
  <c r="N4"/>
  <c r="O4"/>
  <c r="O4" i="15" s="1"/>
  <c r="P4" i="14"/>
  <c r="Q4"/>
  <c r="R4"/>
  <c r="C5"/>
  <c r="D5"/>
  <c r="E5"/>
  <c r="T5" s="1"/>
  <c r="F5"/>
  <c r="G5"/>
  <c r="H5"/>
  <c r="I5"/>
  <c r="J5"/>
  <c r="K5"/>
  <c r="L5"/>
  <c r="M5"/>
  <c r="N5"/>
  <c r="O5"/>
  <c r="P5"/>
  <c r="Q5"/>
  <c r="R5"/>
  <c r="C6"/>
  <c r="D6"/>
  <c r="E6"/>
  <c r="F6"/>
  <c r="V6" s="1"/>
  <c r="G6"/>
  <c r="G6" i="15" s="1"/>
  <c r="H6" i="14"/>
  <c r="I6"/>
  <c r="J6"/>
  <c r="J6" i="15" s="1"/>
  <c r="K6" i="14"/>
  <c r="K6" i="15" s="1"/>
  <c r="L6" i="14"/>
  <c r="M6"/>
  <c r="N6"/>
  <c r="N6" i="15" s="1"/>
  <c r="O6" i="14"/>
  <c r="O6" i="15" s="1"/>
  <c r="P6" i="14"/>
  <c r="Q6"/>
  <c r="R6"/>
  <c r="R6" i="15" s="1"/>
  <c r="B4" i="14"/>
  <c r="U4" s="1"/>
  <c r="B5"/>
  <c r="B6"/>
  <c r="U6" s="1"/>
  <c r="B3"/>
  <c r="C2"/>
  <c r="D2"/>
  <c r="E2"/>
  <c r="F2"/>
  <c r="G2"/>
  <c r="H2"/>
  <c r="I2"/>
  <c r="J2"/>
  <c r="K2"/>
  <c r="L2"/>
  <c r="M2"/>
  <c r="N2"/>
  <c r="O2"/>
  <c r="P2"/>
  <c r="Q2"/>
  <c r="R2"/>
  <c r="S52"/>
  <c r="T35"/>
  <c r="V20"/>
  <c r="B14" i="15" s="1"/>
  <c r="U20" i="14"/>
  <c r="T20"/>
  <c r="S20"/>
  <c r="V19"/>
  <c r="U19"/>
  <c r="T19"/>
  <c r="S19"/>
  <c r="V18"/>
  <c r="B13" i="15" s="1"/>
  <c r="U18" i="14"/>
  <c r="T18"/>
  <c r="S18"/>
  <c r="V17"/>
  <c r="U17"/>
  <c r="T17"/>
  <c r="S17"/>
  <c r="S3" i="13"/>
  <c r="T3"/>
  <c r="U3"/>
  <c r="V3"/>
  <c r="S4"/>
  <c r="T4"/>
  <c r="U4"/>
  <c r="V4"/>
  <c r="S5"/>
  <c r="T5"/>
  <c r="U5"/>
  <c r="V5"/>
  <c r="S6"/>
  <c r="T6"/>
  <c r="U6"/>
  <c r="V6"/>
  <c r="S7"/>
  <c r="T7"/>
  <c r="U7"/>
  <c r="V7"/>
  <c r="S8"/>
  <c r="T8"/>
  <c r="U8"/>
  <c r="V8"/>
  <c r="S9"/>
  <c r="T9"/>
  <c r="U9"/>
  <c r="V9"/>
  <c r="S10"/>
  <c r="T10"/>
  <c r="U10"/>
  <c r="V10"/>
  <c r="S11"/>
  <c r="T11"/>
  <c r="U11"/>
  <c r="V11"/>
  <c r="S12"/>
  <c r="T12"/>
  <c r="U12"/>
  <c r="V12"/>
  <c r="S17"/>
  <c r="T17"/>
  <c r="U17"/>
  <c r="V17"/>
  <c r="S18"/>
  <c r="T18"/>
  <c r="U18"/>
  <c r="V18"/>
  <c r="S19"/>
  <c r="T19"/>
  <c r="U19"/>
  <c r="V19"/>
  <c r="S20"/>
  <c r="T20"/>
  <c r="U20"/>
  <c r="V20"/>
  <c r="S31"/>
  <c r="T31"/>
  <c r="U31"/>
  <c r="V31"/>
  <c r="S32"/>
  <c r="T32"/>
  <c r="U32"/>
  <c r="V3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8"/>
  <c r="T38"/>
  <c r="U38"/>
  <c r="V38"/>
  <c r="S39"/>
  <c r="T39"/>
  <c r="U39"/>
  <c r="V39"/>
  <c r="S40"/>
  <c r="T40"/>
  <c r="U40"/>
  <c r="V40"/>
  <c r="S41"/>
  <c r="T41"/>
  <c r="U41"/>
  <c r="V41"/>
  <c r="S42"/>
  <c r="T42"/>
  <c r="U42"/>
  <c r="V42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3"/>
  <c r="T53"/>
  <c r="U53"/>
  <c r="V53"/>
  <c r="S54"/>
  <c r="T54"/>
  <c r="U54"/>
  <c r="V54"/>
  <c r="S55"/>
  <c r="T55"/>
  <c r="U55"/>
  <c r="V55"/>
  <c r="S56"/>
  <c r="T56"/>
  <c r="U56"/>
  <c r="V56"/>
  <c r="V2"/>
  <c r="U2"/>
  <c r="T2"/>
  <c r="S2"/>
  <c r="C18" i="5"/>
  <c r="D18"/>
  <c r="E18"/>
  <c r="F18"/>
  <c r="G18"/>
  <c r="H18"/>
  <c r="I18"/>
  <c r="J18"/>
  <c r="K18"/>
  <c r="L18"/>
  <c r="M18"/>
  <c r="N18"/>
  <c r="O18"/>
  <c r="P18"/>
  <c r="Q18"/>
  <c r="R18"/>
  <c r="C19"/>
  <c r="D19"/>
  <c r="E19"/>
  <c r="F19"/>
  <c r="G19"/>
  <c r="H19"/>
  <c r="I19"/>
  <c r="J19"/>
  <c r="K19"/>
  <c r="L19"/>
  <c r="M19"/>
  <c r="N19"/>
  <c r="O19"/>
  <c r="P19"/>
  <c r="Q19"/>
  <c r="R19"/>
  <c r="C20"/>
  <c r="D20"/>
  <c r="E20"/>
  <c r="F20"/>
  <c r="G20"/>
  <c r="H20"/>
  <c r="I20"/>
  <c r="J20"/>
  <c r="K20"/>
  <c r="L20"/>
  <c r="M20"/>
  <c r="N20"/>
  <c r="O20"/>
  <c r="P20"/>
  <c r="Q20"/>
  <c r="R20"/>
  <c r="C21"/>
  <c r="D21"/>
  <c r="E21"/>
  <c r="F21"/>
  <c r="G21"/>
  <c r="H21"/>
  <c r="I21"/>
  <c r="J21"/>
  <c r="K21"/>
  <c r="L21"/>
  <c r="M21"/>
  <c r="N21"/>
  <c r="O21"/>
  <c r="P21"/>
  <c r="Q21"/>
  <c r="R21"/>
  <c r="B19"/>
  <c r="B20"/>
  <c r="B21"/>
  <c r="B18"/>
  <c r="F7"/>
  <c r="G7"/>
  <c r="J7"/>
  <c r="K7"/>
  <c r="N7"/>
  <c r="T70" i="8"/>
  <c r="U70"/>
  <c r="V70"/>
  <c r="S70"/>
  <c r="C27" i="5"/>
  <c r="D27"/>
  <c r="E27"/>
  <c r="F27"/>
  <c r="G27"/>
  <c r="H27"/>
  <c r="I27"/>
  <c r="J27"/>
  <c r="K27"/>
  <c r="L27"/>
  <c r="M27"/>
  <c r="N27"/>
  <c r="O27"/>
  <c r="P27"/>
  <c r="Q27"/>
  <c r="R27"/>
  <c r="B27"/>
  <c r="D26"/>
  <c r="S21" i="1"/>
  <c r="T21"/>
  <c r="U21"/>
  <c r="V21"/>
  <c r="S25"/>
  <c r="T25"/>
  <c r="U25"/>
  <c r="V25"/>
  <c r="S28"/>
  <c r="T28"/>
  <c r="U28"/>
  <c r="V28"/>
  <c r="Q22"/>
  <c r="Q26" i="5" s="1"/>
  <c r="P22" i="1"/>
  <c r="P26" i="5" s="1"/>
  <c r="N22" i="1"/>
  <c r="N26" i="5" s="1"/>
  <c r="M22" i="1"/>
  <c r="M26" i="5" s="1"/>
  <c r="L22" i="1"/>
  <c r="L26" i="5" s="1"/>
  <c r="K22" i="1"/>
  <c r="K26" i="5" s="1"/>
  <c r="I22" i="1"/>
  <c r="I26" i="5" s="1"/>
  <c r="J22" i="1"/>
  <c r="J26" i="5" s="1"/>
  <c r="H22" i="1"/>
  <c r="H26" i="5" s="1"/>
  <c r="F22" i="1"/>
  <c r="F26" i="5" s="1"/>
  <c r="E22" i="1"/>
  <c r="E26" i="5" s="1"/>
  <c r="C22" i="1"/>
  <c r="B34" i="5"/>
  <c r="B35"/>
  <c r="F11"/>
  <c r="G11"/>
  <c r="H11"/>
  <c r="I11"/>
  <c r="J11"/>
  <c r="K11"/>
  <c r="L11"/>
  <c r="M11"/>
  <c r="N11"/>
  <c r="O11"/>
  <c r="P11"/>
  <c r="Q11"/>
  <c r="R11"/>
  <c r="D11"/>
  <c r="C11"/>
  <c r="C42"/>
  <c r="D42"/>
  <c r="E42"/>
  <c r="F42"/>
  <c r="G42"/>
  <c r="H42"/>
  <c r="J42"/>
  <c r="K42"/>
  <c r="L42"/>
  <c r="M42"/>
  <c r="N42"/>
  <c r="O42"/>
  <c r="P42"/>
  <c r="Q42"/>
  <c r="R42"/>
  <c r="C43"/>
  <c r="D43"/>
  <c r="E43"/>
  <c r="F43"/>
  <c r="G43"/>
  <c r="H43"/>
  <c r="J43"/>
  <c r="K43"/>
  <c r="L43"/>
  <c r="M43"/>
  <c r="N43"/>
  <c r="O43"/>
  <c r="P43"/>
  <c r="Q43"/>
  <c r="R43"/>
  <c r="C44"/>
  <c r="D44"/>
  <c r="E44"/>
  <c r="F44"/>
  <c r="G44"/>
  <c r="H44"/>
  <c r="J44"/>
  <c r="K44"/>
  <c r="L44"/>
  <c r="M44"/>
  <c r="N44"/>
  <c r="O44"/>
  <c r="P44"/>
  <c r="Q44"/>
  <c r="R44"/>
  <c r="C45"/>
  <c r="D45"/>
  <c r="E45"/>
  <c r="F45"/>
  <c r="G45"/>
  <c r="H45"/>
  <c r="J45"/>
  <c r="K45"/>
  <c r="L45"/>
  <c r="M45"/>
  <c r="N45"/>
  <c r="O45"/>
  <c r="P45"/>
  <c r="Q45"/>
  <c r="R45"/>
  <c r="C46"/>
  <c r="D46"/>
  <c r="E46"/>
  <c r="F46"/>
  <c r="G46"/>
  <c r="H46"/>
  <c r="J46"/>
  <c r="K46"/>
  <c r="L46"/>
  <c r="M46"/>
  <c r="N46"/>
  <c r="O46"/>
  <c r="P46"/>
  <c r="Q46"/>
  <c r="R46"/>
  <c r="C47"/>
  <c r="D47"/>
  <c r="E47"/>
  <c r="F47"/>
  <c r="G47"/>
  <c r="H47"/>
  <c r="J47"/>
  <c r="K47"/>
  <c r="L47"/>
  <c r="M47"/>
  <c r="N47"/>
  <c r="O47"/>
  <c r="P47"/>
  <c r="Q47"/>
  <c r="R47"/>
  <c r="C48"/>
  <c r="D48"/>
  <c r="E48"/>
  <c r="F48"/>
  <c r="G48"/>
  <c r="H48"/>
  <c r="J48"/>
  <c r="K48"/>
  <c r="L48"/>
  <c r="M48"/>
  <c r="N48"/>
  <c r="O48"/>
  <c r="P48"/>
  <c r="Q48"/>
  <c r="R48"/>
  <c r="C49"/>
  <c r="D49"/>
  <c r="E49"/>
  <c r="F49"/>
  <c r="G49"/>
  <c r="H49"/>
  <c r="J49"/>
  <c r="K49"/>
  <c r="L49"/>
  <c r="M49"/>
  <c r="N49"/>
  <c r="O49"/>
  <c r="P49"/>
  <c r="Q49"/>
  <c r="R49"/>
  <c r="C50"/>
  <c r="D50"/>
  <c r="E50"/>
  <c r="F50"/>
  <c r="G50"/>
  <c r="H50"/>
  <c r="J50"/>
  <c r="K50"/>
  <c r="L50"/>
  <c r="M50"/>
  <c r="N50"/>
  <c r="O50"/>
  <c r="P50"/>
  <c r="Q50"/>
  <c r="R50"/>
  <c r="C51"/>
  <c r="D51"/>
  <c r="E51"/>
  <c r="F51"/>
  <c r="G51"/>
  <c r="H51"/>
  <c r="J51"/>
  <c r="K51"/>
  <c r="L51"/>
  <c r="M51"/>
  <c r="N51"/>
  <c r="O51"/>
  <c r="P51"/>
  <c r="Q51"/>
  <c r="R51"/>
  <c r="C52"/>
  <c r="D52"/>
  <c r="E52"/>
  <c r="F52"/>
  <c r="G52"/>
  <c r="H52"/>
  <c r="J52"/>
  <c r="K52"/>
  <c r="L52"/>
  <c r="M52"/>
  <c r="N52"/>
  <c r="O52"/>
  <c r="P52"/>
  <c r="Q52"/>
  <c r="R52"/>
  <c r="C53"/>
  <c r="D53"/>
  <c r="E53"/>
  <c r="F53"/>
  <c r="G53"/>
  <c r="H53"/>
  <c r="J53"/>
  <c r="K53"/>
  <c r="L53"/>
  <c r="M53"/>
  <c r="N53"/>
  <c r="O53"/>
  <c r="P53"/>
  <c r="Q53"/>
  <c r="R53"/>
  <c r="C54"/>
  <c r="D54"/>
  <c r="E54"/>
  <c r="F54"/>
  <c r="G54"/>
  <c r="H54"/>
  <c r="J54"/>
  <c r="K54"/>
  <c r="L54"/>
  <c r="M54"/>
  <c r="N54"/>
  <c r="O54"/>
  <c r="P54"/>
  <c r="Q54"/>
  <c r="R54"/>
  <c r="C55"/>
  <c r="D55"/>
  <c r="E55"/>
  <c r="F55"/>
  <c r="G55"/>
  <c r="H55"/>
  <c r="J55"/>
  <c r="K55"/>
  <c r="L55"/>
  <c r="M55"/>
  <c r="N55"/>
  <c r="O55"/>
  <c r="P55"/>
  <c r="Q55"/>
  <c r="R55"/>
  <c r="C56"/>
  <c r="D56"/>
  <c r="E56"/>
  <c r="F56"/>
  <c r="G56"/>
  <c r="H56"/>
  <c r="J56"/>
  <c r="K56"/>
  <c r="L56"/>
  <c r="M56"/>
  <c r="N56"/>
  <c r="O56"/>
  <c r="P56"/>
  <c r="Q56"/>
  <c r="R56"/>
  <c r="C57"/>
  <c r="D57"/>
  <c r="E57"/>
  <c r="F57"/>
  <c r="G57"/>
  <c r="H57"/>
  <c r="J57"/>
  <c r="K57"/>
  <c r="L57"/>
  <c r="M57"/>
  <c r="N57"/>
  <c r="O57"/>
  <c r="P57"/>
  <c r="Q57"/>
  <c r="R57"/>
  <c r="C58"/>
  <c r="D58"/>
  <c r="E58"/>
  <c r="F58"/>
  <c r="G58"/>
  <c r="H58"/>
  <c r="J58"/>
  <c r="K58"/>
  <c r="L58"/>
  <c r="M58"/>
  <c r="N58"/>
  <c r="O58"/>
  <c r="P58"/>
  <c r="Q58"/>
  <c r="R58"/>
  <c r="C59"/>
  <c r="D59"/>
  <c r="E59"/>
  <c r="F59"/>
  <c r="G59"/>
  <c r="H59"/>
  <c r="J59"/>
  <c r="K59"/>
  <c r="L59"/>
  <c r="M59"/>
  <c r="N59"/>
  <c r="O59"/>
  <c r="P59"/>
  <c r="Q59"/>
  <c r="R59"/>
  <c r="C60"/>
  <c r="D60"/>
  <c r="E60"/>
  <c r="F60"/>
  <c r="G60"/>
  <c r="H60"/>
  <c r="J60"/>
  <c r="K60"/>
  <c r="L60"/>
  <c r="M60"/>
  <c r="N60"/>
  <c r="O60"/>
  <c r="P60"/>
  <c r="Q60"/>
  <c r="R60"/>
  <c r="C61"/>
  <c r="D61"/>
  <c r="E61"/>
  <c r="F61"/>
  <c r="G61"/>
  <c r="H61"/>
  <c r="J61"/>
  <c r="K61"/>
  <c r="L61"/>
  <c r="M61"/>
  <c r="N61"/>
  <c r="O61"/>
  <c r="P61"/>
  <c r="Q61"/>
  <c r="R61"/>
  <c r="C62"/>
  <c r="D62"/>
  <c r="E62"/>
  <c r="F62"/>
  <c r="G62"/>
  <c r="H62"/>
  <c r="J62"/>
  <c r="K62"/>
  <c r="L62"/>
  <c r="M62"/>
  <c r="N62"/>
  <c r="O62"/>
  <c r="P62"/>
  <c r="Q62"/>
  <c r="R62"/>
  <c r="C63"/>
  <c r="D63"/>
  <c r="E63"/>
  <c r="F63"/>
  <c r="G63"/>
  <c r="H63"/>
  <c r="J63"/>
  <c r="K63"/>
  <c r="L63"/>
  <c r="M63"/>
  <c r="N63"/>
  <c r="O63"/>
  <c r="P63"/>
  <c r="Q63"/>
  <c r="R63"/>
  <c r="C64"/>
  <c r="D64"/>
  <c r="E64"/>
  <c r="F64"/>
  <c r="G64"/>
  <c r="H64"/>
  <c r="J64"/>
  <c r="K64"/>
  <c r="L64"/>
  <c r="M64"/>
  <c r="N64"/>
  <c r="O64"/>
  <c r="P64"/>
  <c r="Q64"/>
  <c r="R64"/>
  <c r="C65"/>
  <c r="D65"/>
  <c r="E65"/>
  <c r="F65"/>
  <c r="G65"/>
  <c r="H65"/>
  <c r="J65"/>
  <c r="K65"/>
  <c r="L65"/>
  <c r="M65"/>
  <c r="N65"/>
  <c r="O65"/>
  <c r="P65"/>
  <c r="Q65"/>
  <c r="R65"/>
  <c r="C66"/>
  <c r="D66"/>
  <c r="E66"/>
  <c r="F66"/>
  <c r="G66"/>
  <c r="H66"/>
  <c r="J66"/>
  <c r="K66"/>
  <c r="L66"/>
  <c r="M66"/>
  <c r="N66"/>
  <c r="O66"/>
  <c r="P66"/>
  <c r="Q66"/>
  <c r="R66"/>
  <c r="C67"/>
  <c r="D67"/>
  <c r="E67"/>
  <c r="F67"/>
  <c r="G67"/>
  <c r="H67"/>
  <c r="J67"/>
  <c r="K67"/>
  <c r="L67"/>
  <c r="M67"/>
  <c r="N67"/>
  <c r="O67"/>
  <c r="P67"/>
  <c r="Q67"/>
  <c r="R67"/>
  <c r="D5"/>
  <c r="D6"/>
  <c r="L24"/>
  <c r="K6"/>
  <c r="K5"/>
  <c r="L5"/>
  <c r="L6"/>
  <c r="K8"/>
  <c r="L8"/>
  <c r="L9"/>
  <c r="K10"/>
  <c r="L10"/>
  <c r="L42" i="21" s="1"/>
  <c r="K13" i="5"/>
  <c r="L13"/>
  <c r="K14"/>
  <c r="L14"/>
  <c r="K15"/>
  <c r="L15"/>
  <c r="K16"/>
  <c r="L16"/>
  <c r="K23"/>
  <c r="L23"/>
  <c r="K24"/>
  <c r="K31"/>
  <c r="L31"/>
  <c r="K32"/>
  <c r="L32"/>
  <c r="K33"/>
  <c r="L33"/>
  <c r="K34"/>
  <c r="L34"/>
  <c r="K35"/>
  <c r="L35"/>
  <c r="K36"/>
  <c r="L36"/>
  <c r="R95"/>
  <c r="Q95"/>
  <c r="P95"/>
  <c r="O95"/>
  <c r="N95"/>
  <c r="M95"/>
  <c r="L95"/>
  <c r="K95"/>
  <c r="J95"/>
  <c r="I95"/>
  <c r="H95"/>
  <c r="G95"/>
  <c r="F95"/>
  <c r="E95"/>
  <c r="R94"/>
  <c r="Q94"/>
  <c r="P94"/>
  <c r="O94"/>
  <c r="N94"/>
  <c r="M94"/>
  <c r="L94"/>
  <c r="K94"/>
  <c r="J94"/>
  <c r="I94"/>
  <c r="H94"/>
  <c r="G94"/>
  <c r="F94"/>
  <c r="E94"/>
  <c r="R93"/>
  <c r="Q93"/>
  <c r="P93"/>
  <c r="O93"/>
  <c r="N93"/>
  <c r="M93"/>
  <c r="L93"/>
  <c r="K93"/>
  <c r="J93"/>
  <c r="I93"/>
  <c r="H93"/>
  <c r="G93"/>
  <c r="F93"/>
  <c r="E93"/>
  <c r="R92"/>
  <c r="Q92"/>
  <c r="P92"/>
  <c r="O92"/>
  <c r="N92"/>
  <c r="M92"/>
  <c r="L92"/>
  <c r="K92"/>
  <c r="J92"/>
  <c r="I92"/>
  <c r="H92"/>
  <c r="G92"/>
  <c r="F92"/>
  <c r="E92"/>
  <c r="R91"/>
  <c r="Q91"/>
  <c r="P91"/>
  <c r="O91"/>
  <c r="N91"/>
  <c r="M91"/>
  <c r="L91"/>
  <c r="K91"/>
  <c r="J91"/>
  <c r="I91"/>
  <c r="H91"/>
  <c r="G91"/>
  <c r="F91"/>
  <c r="E91"/>
  <c r="R90"/>
  <c r="Q90"/>
  <c r="P90"/>
  <c r="O90"/>
  <c r="N90"/>
  <c r="M90"/>
  <c r="L90"/>
  <c r="K90"/>
  <c r="J90"/>
  <c r="I90"/>
  <c r="H90"/>
  <c r="G90"/>
  <c r="F90"/>
  <c r="E90"/>
  <c r="R89"/>
  <c r="Q89"/>
  <c r="P89"/>
  <c r="O89"/>
  <c r="N89"/>
  <c r="M89"/>
  <c r="L89"/>
  <c r="K89"/>
  <c r="J89"/>
  <c r="I89"/>
  <c r="H89"/>
  <c r="G89"/>
  <c r="F89"/>
  <c r="E89"/>
  <c r="R88"/>
  <c r="Q88"/>
  <c r="P88"/>
  <c r="O88"/>
  <c r="N88"/>
  <c r="M88"/>
  <c r="L88"/>
  <c r="K88"/>
  <c r="J88"/>
  <c r="I88"/>
  <c r="H88"/>
  <c r="G88"/>
  <c r="F88"/>
  <c r="E88"/>
  <c r="R87"/>
  <c r="Q87"/>
  <c r="P87"/>
  <c r="O87"/>
  <c r="N87"/>
  <c r="M87"/>
  <c r="L87"/>
  <c r="K87"/>
  <c r="J87"/>
  <c r="I87"/>
  <c r="H87"/>
  <c r="G87"/>
  <c r="F87"/>
  <c r="E87"/>
  <c r="R86"/>
  <c r="Q86"/>
  <c r="P86"/>
  <c r="O86"/>
  <c r="N86"/>
  <c r="M86"/>
  <c r="L86"/>
  <c r="K86"/>
  <c r="J86"/>
  <c r="I86"/>
  <c r="H86"/>
  <c r="G86"/>
  <c r="F86"/>
  <c r="E86"/>
  <c r="R85"/>
  <c r="Q85"/>
  <c r="P85"/>
  <c r="O85"/>
  <c r="N85"/>
  <c r="M85"/>
  <c r="L85"/>
  <c r="K85"/>
  <c r="J85"/>
  <c r="I85"/>
  <c r="H85"/>
  <c r="G85"/>
  <c r="F85"/>
  <c r="E85"/>
  <c r="R84"/>
  <c r="Q84"/>
  <c r="P84"/>
  <c r="O84"/>
  <c r="N84"/>
  <c r="M84"/>
  <c r="L84"/>
  <c r="K84"/>
  <c r="J84"/>
  <c r="I84"/>
  <c r="H84"/>
  <c r="G84"/>
  <c r="F84"/>
  <c r="E84"/>
  <c r="R83"/>
  <c r="Q83"/>
  <c r="P83"/>
  <c r="O83"/>
  <c r="N83"/>
  <c r="M83"/>
  <c r="L83"/>
  <c r="K83"/>
  <c r="J83"/>
  <c r="I83"/>
  <c r="H83"/>
  <c r="G83"/>
  <c r="F83"/>
  <c r="E83"/>
  <c r="R82"/>
  <c r="Q82"/>
  <c r="P82"/>
  <c r="O82"/>
  <c r="N82"/>
  <c r="M82"/>
  <c r="L82"/>
  <c r="K82"/>
  <c r="J82"/>
  <c r="I82"/>
  <c r="H82"/>
  <c r="G82"/>
  <c r="F82"/>
  <c r="E82"/>
  <c r="R81"/>
  <c r="Q81"/>
  <c r="P81"/>
  <c r="O81"/>
  <c r="N81"/>
  <c r="M81"/>
  <c r="L81"/>
  <c r="K81"/>
  <c r="J81"/>
  <c r="I81"/>
  <c r="H81"/>
  <c r="G81"/>
  <c r="F81"/>
  <c r="E81"/>
  <c r="R80"/>
  <c r="Q80"/>
  <c r="P80"/>
  <c r="O80"/>
  <c r="N80"/>
  <c r="M80"/>
  <c r="L80"/>
  <c r="K80"/>
  <c r="J80"/>
  <c r="I80"/>
  <c r="H80"/>
  <c r="G80"/>
  <c r="F80"/>
  <c r="E80"/>
  <c r="R79"/>
  <c r="Q79"/>
  <c r="P79"/>
  <c r="O79"/>
  <c r="N79"/>
  <c r="M79"/>
  <c r="L79"/>
  <c r="K79"/>
  <c r="J79"/>
  <c r="I79"/>
  <c r="H79"/>
  <c r="G79"/>
  <c r="F79"/>
  <c r="E79"/>
  <c r="R78"/>
  <c r="Q78"/>
  <c r="P78"/>
  <c r="O78"/>
  <c r="N78"/>
  <c r="M78"/>
  <c r="L78"/>
  <c r="K78"/>
  <c r="J78"/>
  <c r="I78"/>
  <c r="H78"/>
  <c r="G78"/>
  <c r="F78"/>
  <c r="E78"/>
  <c r="R77"/>
  <c r="Q77"/>
  <c r="P77"/>
  <c r="O77"/>
  <c r="N77"/>
  <c r="M77"/>
  <c r="L77"/>
  <c r="K77"/>
  <c r="J77"/>
  <c r="I77"/>
  <c r="H77"/>
  <c r="G77"/>
  <c r="F77"/>
  <c r="E77"/>
  <c r="R76"/>
  <c r="Q76"/>
  <c r="P76"/>
  <c r="O76"/>
  <c r="N76"/>
  <c r="M76"/>
  <c r="L76"/>
  <c r="K76"/>
  <c r="J76"/>
  <c r="I76"/>
  <c r="H76"/>
  <c r="G76"/>
  <c r="F76"/>
  <c r="E76"/>
  <c r="R75"/>
  <c r="Q75"/>
  <c r="P75"/>
  <c r="O75"/>
  <c r="N75"/>
  <c r="M75"/>
  <c r="L75"/>
  <c r="K75"/>
  <c r="J75"/>
  <c r="I75"/>
  <c r="H75"/>
  <c r="G75"/>
  <c r="F75"/>
  <c r="E75"/>
  <c r="R74"/>
  <c r="Q74"/>
  <c r="P74"/>
  <c r="O74"/>
  <c r="N74"/>
  <c r="M74"/>
  <c r="L74"/>
  <c r="K74"/>
  <c r="J74"/>
  <c r="I74"/>
  <c r="H74"/>
  <c r="G74"/>
  <c r="F74"/>
  <c r="E74"/>
  <c r="R73"/>
  <c r="Q73"/>
  <c r="P73"/>
  <c r="O73"/>
  <c r="N73"/>
  <c r="M73"/>
  <c r="L73"/>
  <c r="K73"/>
  <c r="J73"/>
  <c r="I73"/>
  <c r="H73"/>
  <c r="G73"/>
  <c r="F73"/>
  <c r="E73"/>
  <c r="R72"/>
  <c r="Q72"/>
  <c r="P72"/>
  <c r="O72"/>
  <c r="N72"/>
  <c r="M72"/>
  <c r="L72"/>
  <c r="K72"/>
  <c r="J72"/>
  <c r="I72"/>
  <c r="H72"/>
  <c r="G72"/>
  <c r="F72"/>
  <c r="E72"/>
  <c r="R71"/>
  <c r="Q71"/>
  <c r="P71"/>
  <c r="O71"/>
  <c r="N71"/>
  <c r="M71"/>
  <c r="L71"/>
  <c r="K71"/>
  <c r="J71"/>
  <c r="I71"/>
  <c r="H71"/>
  <c r="G71"/>
  <c r="F71"/>
  <c r="E71"/>
  <c r="R70"/>
  <c r="Q70"/>
  <c r="P70"/>
  <c r="O70"/>
  <c r="N70"/>
  <c r="M70"/>
  <c r="L70"/>
  <c r="K70"/>
  <c r="J70"/>
  <c r="I70"/>
  <c r="H70"/>
  <c r="G70"/>
  <c r="F70"/>
  <c r="E70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B90"/>
  <c r="B79"/>
  <c r="B80"/>
  <c r="B75"/>
  <c r="D36"/>
  <c r="D35"/>
  <c r="D34"/>
  <c r="D33"/>
  <c r="D32"/>
  <c r="D31"/>
  <c r="D24"/>
  <c r="D23"/>
  <c r="D13"/>
  <c r="D14"/>
  <c r="D15"/>
  <c r="D16"/>
  <c r="D10"/>
  <c r="D42" i="21" s="1"/>
  <c r="D9" i="5"/>
  <c r="D8"/>
  <c r="D76" i="1"/>
  <c r="D39" i="21" s="1"/>
  <c r="K85" i="1"/>
  <c r="K76"/>
  <c r="K39" i="21" s="1"/>
  <c r="L76" i="1"/>
  <c r="L39" i="21" s="1"/>
  <c r="D38" i="5"/>
  <c r="F38"/>
  <c r="G38"/>
  <c r="J38"/>
  <c r="K38"/>
  <c r="N38"/>
  <c r="F39"/>
  <c r="G39"/>
  <c r="J39"/>
  <c r="K39"/>
  <c r="N39"/>
  <c r="C25"/>
  <c r="D25"/>
  <c r="E25"/>
  <c r="F25"/>
  <c r="G25"/>
  <c r="H25"/>
  <c r="I25"/>
  <c r="J25"/>
  <c r="K25"/>
  <c r="L25"/>
  <c r="M25"/>
  <c r="O25"/>
  <c r="P25"/>
  <c r="C28"/>
  <c r="D28"/>
  <c r="E28"/>
  <c r="F28"/>
  <c r="H28"/>
  <c r="I28"/>
  <c r="J28"/>
  <c r="K28"/>
  <c r="L28"/>
  <c r="M28"/>
  <c r="N28"/>
  <c r="O28"/>
  <c r="P28"/>
  <c r="N24" i="1"/>
  <c r="V24" s="1"/>
  <c r="N20"/>
  <c r="V20" s="1"/>
  <c r="G23"/>
  <c r="V23" s="1"/>
  <c r="F30"/>
  <c r="D30"/>
  <c r="D29"/>
  <c r="V29" s="1"/>
  <c r="S13"/>
  <c r="U13"/>
  <c r="V13"/>
  <c r="Q34" i="5"/>
  <c r="Q35"/>
  <c r="N35"/>
  <c r="C35"/>
  <c r="E35"/>
  <c r="F35"/>
  <c r="G35"/>
  <c r="H35"/>
  <c r="I35"/>
  <c r="J35"/>
  <c r="M35"/>
  <c r="O35"/>
  <c r="P35"/>
  <c r="R35"/>
  <c r="C34"/>
  <c r="E34"/>
  <c r="F34"/>
  <c r="G34"/>
  <c r="H34"/>
  <c r="I34"/>
  <c r="J34"/>
  <c r="M34"/>
  <c r="N34"/>
  <c r="O34"/>
  <c r="P34"/>
  <c r="R34"/>
  <c r="L4" i="15" l="1"/>
  <c r="B4"/>
  <c r="D4"/>
  <c r="H4"/>
  <c r="P4"/>
  <c r="B5"/>
  <c r="I11"/>
  <c r="I10"/>
  <c r="I8"/>
  <c r="G18"/>
  <c r="G17"/>
  <c r="G16"/>
  <c r="G3"/>
  <c r="Q6"/>
  <c r="M6"/>
  <c r="I6"/>
  <c r="E6"/>
  <c r="M5"/>
  <c r="Q4"/>
  <c r="M4"/>
  <c r="I4"/>
  <c r="E4"/>
  <c r="I3"/>
  <c r="N11"/>
  <c r="N10"/>
  <c r="N8"/>
  <c r="P22"/>
  <c r="L17"/>
  <c r="L16"/>
  <c r="H6"/>
  <c r="P6"/>
  <c r="D6"/>
  <c r="T6" s="1"/>
  <c r="L6"/>
  <c r="R5"/>
  <c r="R4"/>
  <c r="N4"/>
  <c r="J4"/>
  <c r="N3"/>
  <c r="K11"/>
  <c r="K10"/>
  <c r="K8"/>
  <c r="Q18"/>
  <c r="Q17"/>
  <c r="Q16"/>
  <c r="U5" i="14"/>
  <c r="S40"/>
  <c r="T36"/>
  <c r="T34"/>
  <c r="T32"/>
  <c r="W33"/>
  <c r="R21" i="15"/>
  <c r="J21"/>
  <c r="F21"/>
  <c r="T21" s="1"/>
  <c r="N20"/>
  <c r="J20"/>
  <c r="S11" i="14"/>
  <c r="S6"/>
  <c r="V5"/>
  <c r="W38"/>
  <c r="E5" i="15"/>
  <c r="T4" i="14"/>
  <c r="U35"/>
  <c r="W41"/>
  <c r="R20" i="15"/>
  <c r="S5" i="14"/>
  <c r="T6"/>
  <c r="W39"/>
  <c r="W35"/>
  <c r="B6" i="15"/>
  <c r="F6"/>
  <c r="F4"/>
  <c r="S4" s="1"/>
  <c r="D21"/>
  <c r="D20"/>
  <c r="D18"/>
  <c r="U13" i="14"/>
  <c r="S13"/>
  <c r="W37"/>
  <c r="T10"/>
  <c r="U11"/>
  <c r="T9"/>
  <c r="T8"/>
  <c r="S39"/>
  <c r="U54"/>
  <c r="U50"/>
  <c r="U46"/>
  <c r="U56"/>
  <c r="S55"/>
  <c r="T53"/>
  <c r="T52"/>
  <c r="T51"/>
  <c r="U49"/>
  <c r="U48"/>
  <c r="S47"/>
  <c r="U45"/>
  <c r="C6" i="15"/>
  <c r="R3" i="5"/>
  <c r="F3"/>
  <c r="G4"/>
  <c r="J3"/>
  <c r="N3"/>
  <c r="O4"/>
  <c r="P4"/>
  <c r="L4"/>
  <c r="H4"/>
  <c r="D4"/>
  <c r="Q4"/>
  <c r="M4"/>
  <c r="I4"/>
  <c r="E4"/>
  <c r="N41" i="21"/>
  <c r="C41"/>
  <c r="E5"/>
  <c r="T7" i="14"/>
  <c r="U7"/>
  <c r="V7"/>
  <c r="O7" i="15" s="1"/>
  <c r="Q5" i="21"/>
  <c r="S24" i="1"/>
  <c r="P41" i="21"/>
  <c r="H41"/>
  <c r="F41"/>
  <c r="K30"/>
  <c r="K28"/>
  <c r="K26"/>
  <c r="J41"/>
  <c r="V30" i="1"/>
  <c r="K29" i="21"/>
  <c r="K27"/>
  <c r="K33" s="1"/>
  <c r="K25"/>
  <c r="K32" s="1"/>
  <c r="R41"/>
  <c r="O41"/>
  <c r="G41"/>
  <c r="S20" i="1"/>
  <c r="D7" i="5"/>
  <c r="V7" s="1"/>
  <c r="K8" i="8" s="1"/>
  <c r="K41" i="21"/>
  <c r="T23" i="1"/>
  <c r="T61"/>
  <c r="G28" i="5"/>
  <c r="S29" i="1"/>
  <c r="T20"/>
  <c r="S30"/>
  <c r="D39" i="5"/>
  <c r="S39" s="1"/>
  <c r="V22" i="1"/>
  <c r="T29"/>
  <c r="S23"/>
  <c r="S61"/>
  <c r="L30" i="21"/>
  <c r="D30"/>
  <c r="L29"/>
  <c r="D29"/>
  <c r="L28"/>
  <c r="D28"/>
  <c r="L27"/>
  <c r="L33" s="1"/>
  <c r="D27"/>
  <c r="D33" s="1"/>
  <c r="L26"/>
  <c r="D26"/>
  <c r="L25"/>
  <c r="L32" s="1"/>
  <c r="D25"/>
  <c r="D32" s="1"/>
  <c r="K42"/>
  <c r="F35"/>
  <c r="P5"/>
  <c r="C35"/>
  <c r="N5"/>
  <c r="H35"/>
  <c r="D35"/>
  <c r="Q35"/>
  <c r="M35"/>
  <c r="E35"/>
  <c r="R5"/>
  <c r="L49"/>
  <c r="D49"/>
  <c r="M49"/>
  <c r="E49"/>
  <c r="R49"/>
  <c r="N49"/>
  <c r="J49"/>
  <c r="F49"/>
  <c r="P49"/>
  <c r="H49"/>
  <c r="Q49"/>
  <c r="I49"/>
  <c r="O49"/>
  <c r="K49"/>
  <c r="G49"/>
  <c r="C49"/>
  <c r="S9"/>
  <c r="U10"/>
  <c r="U9"/>
  <c r="V10"/>
  <c r="T10"/>
  <c r="V9"/>
  <c r="S8"/>
  <c r="W10"/>
  <c r="S10"/>
  <c r="T9"/>
  <c r="U8"/>
  <c r="V8"/>
  <c r="W8"/>
  <c r="W9"/>
  <c r="T8"/>
  <c r="G11"/>
  <c r="I11"/>
  <c r="H11"/>
  <c r="I5"/>
  <c r="P11"/>
  <c r="M11"/>
  <c r="J5"/>
  <c r="G5"/>
  <c r="L11"/>
  <c r="O11"/>
  <c r="K11"/>
  <c r="K5"/>
  <c r="L5"/>
  <c r="O5"/>
  <c r="N11"/>
  <c r="F11"/>
  <c r="D11"/>
  <c r="R11"/>
  <c r="J11"/>
  <c r="C11"/>
  <c r="E11"/>
  <c r="B11"/>
  <c r="V3" i="19"/>
  <c r="T3"/>
  <c r="S22" i="1"/>
  <c r="U61"/>
  <c r="T24"/>
  <c r="T22"/>
  <c r="V61"/>
  <c r="N25" i="5"/>
  <c r="U30" i="1"/>
  <c r="U29"/>
  <c r="U24"/>
  <c r="U23"/>
  <c r="U22"/>
  <c r="U20"/>
  <c r="C26" i="5"/>
  <c r="T30" i="1"/>
  <c r="T18" i="5"/>
  <c r="T19"/>
  <c r="T20"/>
  <c r="T21"/>
  <c r="S19"/>
  <c r="S21"/>
  <c r="S20"/>
  <c r="S18"/>
  <c r="U27"/>
  <c r="V27"/>
  <c r="V21"/>
  <c r="J23" i="8" s="1"/>
  <c r="V20" i="5"/>
  <c r="J22" i="8" s="1"/>
  <c r="V19" i="5"/>
  <c r="R21" i="8" s="1"/>
  <c r="V18" i="5"/>
  <c r="J20" i="8" s="1"/>
  <c r="T12" i="14"/>
  <c r="S12"/>
  <c r="C7" i="15"/>
  <c r="U21" i="5"/>
  <c r="U20"/>
  <c r="U19"/>
  <c r="U18"/>
  <c r="V12" i="14"/>
  <c r="E12" i="15" s="1"/>
  <c r="V13" i="14"/>
  <c r="U12"/>
  <c r="T14" i="15"/>
  <c r="V13"/>
  <c r="S14"/>
  <c r="S13"/>
  <c r="U14"/>
  <c r="V14"/>
  <c r="U13"/>
  <c r="T13"/>
  <c r="U27"/>
  <c r="U31"/>
  <c r="U35"/>
  <c r="V21"/>
  <c r="V26"/>
  <c r="V30"/>
  <c r="T26"/>
  <c r="S27"/>
  <c r="T28"/>
  <c r="T30"/>
  <c r="S31"/>
  <c r="T32"/>
  <c r="T34"/>
  <c r="S35"/>
  <c r="T36"/>
  <c r="V34"/>
  <c r="S20"/>
  <c r="U21"/>
  <c r="U26"/>
  <c r="T27"/>
  <c r="S28"/>
  <c r="S29"/>
  <c r="U30"/>
  <c r="T31"/>
  <c r="S32"/>
  <c r="S33"/>
  <c r="U34"/>
  <c r="T35"/>
  <c r="S36"/>
  <c r="S37"/>
  <c r="T20"/>
  <c r="S26"/>
  <c r="V27"/>
  <c r="U28"/>
  <c r="T29"/>
  <c r="S30"/>
  <c r="V31"/>
  <c r="U32"/>
  <c r="T33"/>
  <c r="S34"/>
  <c r="V35"/>
  <c r="U36"/>
  <c r="T37"/>
  <c r="V20"/>
  <c r="V29"/>
  <c r="V33"/>
  <c r="V37"/>
  <c r="U20"/>
  <c r="V28"/>
  <c r="U29"/>
  <c r="V32"/>
  <c r="U33"/>
  <c r="V36"/>
  <c r="U37"/>
  <c r="U55" i="14"/>
  <c r="U51"/>
  <c r="U47"/>
  <c r="S45"/>
  <c r="T47"/>
  <c r="V48"/>
  <c r="V49"/>
  <c r="U52"/>
  <c r="U53"/>
  <c r="T55"/>
  <c r="V56"/>
  <c r="S48"/>
  <c r="S49"/>
  <c r="V52"/>
  <c r="V53"/>
  <c r="S56"/>
  <c r="V45"/>
  <c r="T50"/>
  <c r="S46"/>
  <c r="S50"/>
  <c r="S51"/>
  <c r="S54"/>
  <c r="V46"/>
  <c r="V47"/>
  <c r="V50"/>
  <c r="V51"/>
  <c r="V54"/>
  <c r="V55"/>
  <c r="T45"/>
  <c r="S32"/>
  <c r="S42"/>
  <c r="T42"/>
  <c r="S41"/>
  <c r="S38"/>
  <c r="S37"/>
  <c r="U34"/>
  <c r="S33"/>
  <c r="S31"/>
  <c r="U31"/>
  <c r="S35"/>
  <c r="U38"/>
  <c r="U39"/>
  <c r="V41"/>
  <c r="H22" i="15" s="1"/>
  <c r="T41" i="14"/>
  <c r="T33"/>
  <c r="V33"/>
  <c r="V34"/>
  <c r="V35"/>
  <c r="B18" i="15" s="1"/>
  <c r="T38" i="14"/>
  <c r="T39"/>
  <c r="U42"/>
  <c r="S34"/>
  <c r="V42"/>
  <c r="O23" i="15" s="1"/>
  <c r="T37" i="14"/>
  <c r="S36"/>
  <c r="V32"/>
  <c r="O16" i="15" s="1"/>
  <c r="V36" i="14"/>
  <c r="G19" i="15" s="1"/>
  <c r="V40" i="14"/>
  <c r="U32"/>
  <c r="U33"/>
  <c r="U36"/>
  <c r="U37"/>
  <c r="U40"/>
  <c r="U41"/>
  <c r="V31"/>
  <c r="V11"/>
  <c r="S9"/>
  <c r="T11"/>
  <c r="S8"/>
  <c r="V10"/>
  <c r="U9"/>
  <c r="S10"/>
  <c r="V9"/>
  <c r="V8"/>
  <c r="U8"/>
  <c r="S7"/>
  <c r="U3"/>
  <c r="V3"/>
  <c r="T3"/>
  <c r="S3"/>
  <c r="S27" i="5"/>
  <c r="U80"/>
  <c r="T27"/>
  <c r="U90"/>
  <c r="S90"/>
  <c r="S79"/>
  <c r="T80"/>
  <c r="T90"/>
  <c r="T75"/>
  <c r="S75"/>
  <c r="V75"/>
  <c r="D76" i="8" s="1"/>
  <c r="T79" i="5"/>
  <c r="U79"/>
  <c r="U75"/>
  <c r="L91" i="8"/>
  <c r="V90" i="5"/>
  <c r="F91" i="8" s="1"/>
  <c r="V80" i="5"/>
  <c r="E81" i="8" s="1"/>
  <c r="V79" i="5"/>
  <c r="S80"/>
  <c r="T38"/>
  <c r="S38"/>
  <c r="V38"/>
  <c r="K39" i="8" s="1"/>
  <c r="U38" i="5"/>
  <c r="U15" i="1"/>
  <c r="T15"/>
  <c r="T13"/>
  <c r="S15"/>
  <c r="S14"/>
  <c r="T14"/>
  <c r="V14"/>
  <c r="U14"/>
  <c r="V16"/>
  <c r="V15"/>
  <c r="V34" i="5"/>
  <c r="T34"/>
  <c r="U34"/>
  <c r="S34"/>
  <c r="S35"/>
  <c r="U35"/>
  <c r="T35"/>
  <c r="V35"/>
  <c r="C5"/>
  <c r="E5"/>
  <c r="F5"/>
  <c r="G5"/>
  <c r="H5"/>
  <c r="I5"/>
  <c r="J5"/>
  <c r="M5"/>
  <c r="N5"/>
  <c r="O5"/>
  <c r="P5"/>
  <c r="Q5"/>
  <c r="R5"/>
  <c r="C6"/>
  <c r="E6"/>
  <c r="F6"/>
  <c r="G6"/>
  <c r="H6"/>
  <c r="I6"/>
  <c r="J6"/>
  <c r="M6"/>
  <c r="N6"/>
  <c r="O6"/>
  <c r="P6"/>
  <c r="Q6"/>
  <c r="R6"/>
  <c r="C8"/>
  <c r="E8"/>
  <c r="F8"/>
  <c r="G8"/>
  <c r="H8"/>
  <c r="I8"/>
  <c r="J8"/>
  <c r="M8"/>
  <c r="N8"/>
  <c r="O8"/>
  <c r="P8"/>
  <c r="Q8"/>
  <c r="R8"/>
  <c r="C9"/>
  <c r="F9"/>
  <c r="G9"/>
  <c r="H9"/>
  <c r="I9"/>
  <c r="J9"/>
  <c r="N9"/>
  <c r="O9"/>
  <c r="P9"/>
  <c r="Q9"/>
  <c r="R9"/>
  <c r="C10"/>
  <c r="E10"/>
  <c r="E42" i="21" s="1"/>
  <c r="F10" i="5"/>
  <c r="G10"/>
  <c r="H10"/>
  <c r="H42" i="21" s="1"/>
  <c r="I10" i="5"/>
  <c r="I42" i="21" s="1"/>
  <c r="J10" i="5"/>
  <c r="O10"/>
  <c r="O42" i="21" s="1"/>
  <c r="P10" i="5"/>
  <c r="P42" i="21" s="1"/>
  <c r="Q10" i="5"/>
  <c r="Q42" i="21" s="1"/>
  <c r="R10" i="5"/>
  <c r="C13"/>
  <c r="E13"/>
  <c r="F13"/>
  <c r="G13"/>
  <c r="H13"/>
  <c r="I13"/>
  <c r="J13"/>
  <c r="M13"/>
  <c r="N13"/>
  <c r="O13"/>
  <c r="P13"/>
  <c r="Q13"/>
  <c r="R13"/>
  <c r="C14"/>
  <c r="E14"/>
  <c r="F14"/>
  <c r="G14"/>
  <c r="H14"/>
  <c r="I14"/>
  <c r="J14"/>
  <c r="M14"/>
  <c r="N14"/>
  <c r="O14"/>
  <c r="P14"/>
  <c r="Q14"/>
  <c r="R14"/>
  <c r="C15"/>
  <c r="E15"/>
  <c r="F15"/>
  <c r="G15"/>
  <c r="H15"/>
  <c r="I15"/>
  <c r="J15"/>
  <c r="M15"/>
  <c r="N15"/>
  <c r="O15"/>
  <c r="P15"/>
  <c r="Q15"/>
  <c r="R15"/>
  <c r="C16"/>
  <c r="E16"/>
  <c r="F16"/>
  <c r="G16"/>
  <c r="H16"/>
  <c r="I16"/>
  <c r="J16"/>
  <c r="M16"/>
  <c r="N16"/>
  <c r="O16"/>
  <c r="P16"/>
  <c r="Q16"/>
  <c r="R16"/>
  <c r="C23"/>
  <c r="E23"/>
  <c r="F23"/>
  <c r="G23"/>
  <c r="H23"/>
  <c r="I23"/>
  <c r="J23"/>
  <c r="M23"/>
  <c r="N23"/>
  <c r="O23"/>
  <c r="P23"/>
  <c r="Q23"/>
  <c r="R23"/>
  <c r="B24"/>
  <c r="C24"/>
  <c r="E24"/>
  <c r="F24"/>
  <c r="G24"/>
  <c r="H24"/>
  <c r="I24"/>
  <c r="J24"/>
  <c r="M24"/>
  <c r="N24"/>
  <c r="O24"/>
  <c r="P24"/>
  <c r="Q24"/>
  <c r="R24"/>
  <c r="C36"/>
  <c r="E36"/>
  <c r="F36"/>
  <c r="G36"/>
  <c r="H36"/>
  <c r="I36"/>
  <c r="J36"/>
  <c r="M36"/>
  <c r="N36"/>
  <c r="O36"/>
  <c r="P36"/>
  <c r="Q36"/>
  <c r="R36"/>
  <c r="E30"/>
  <c r="F30"/>
  <c r="G30"/>
  <c r="H30"/>
  <c r="I30"/>
  <c r="J30"/>
  <c r="M30"/>
  <c r="N30"/>
  <c r="O30"/>
  <c r="P30"/>
  <c r="Q30"/>
  <c r="R30"/>
  <c r="C31"/>
  <c r="E31"/>
  <c r="F31"/>
  <c r="G31"/>
  <c r="H31"/>
  <c r="I31"/>
  <c r="J31"/>
  <c r="M31"/>
  <c r="N31"/>
  <c r="O31"/>
  <c r="P31"/>
  <c r="Q31"/>
  <c r="R31"/>
  <c r="C32"/>
  <c r="E32"/>
  <c r="F32"/>
  <c r="G32"/>
  <c r="H32"/>
  <c r="I32"/>
  <c r="J32"/>
  <c r="M32"/>
  <c r="N32"/>
  <c r="O32"/>
  <c r="P32"/>
  <c r="Q32"/>
  <c r="R32"/>
  <c r="C33"/>
  <c r="E33"/>
  <c r="F33"/>
  <c r="G33"/>
  <c r="H33"/>
  <c r="I33"/>
  <c r="J33"/>
  <c r="M33"/>
  <c r="N33"/>
  <c r="O33"/>
  <c r="P33"/>
  <c r="Q33"/>
  <c r="R33"/>
  <c r="B70"/>
  <c r="B71"/>
  <c r="B72"/>
  <c r="B73"/>
  <c r="B74"/>
  <c r="B76"/>
  <c r="B77"/>
  <c r="B78"/>
  <c r="B81"/>
  <c r="B82"/>
  <c r="B83"/>
  <c r="B84"/>
  <c r="B85"/>
  <c r="B86"/>
  <c r="B87"/>
  <c r="B88"/>
  <c r="B89"/>
  <c r="B91"/>
  <c r="B92"/>
  <c r="B93"/>
  <c r="B94"/>
  <c r="B95"/>
  <c r="N65" i="1"/>
  <c r="N10" i="5" s="1"/>
  <c r="M65" i="1"/>
  <c r="M10" i="5" s="1"/>
  <c r="M42" i="21" s="1"/>
  <c r="M66" i="1"/>
  <c r="M9" i="5" s="1"/>
  <c r="E66" i="1"/>
  <c r="E67"/>
  <c r="D9" i="15" l="1"/>
  <c r="P9"/>
  <c r="H9"/>
  <c r="L9"/>
  <c r="B9"/>
  <c r="H3"/>
  <c r="D3"/>
  <c r="P3"/>
  <c r="L3"/>
  <c r="D8"/>
  <c r="L8"/>
  <c r="H8"/>
  <c r="P8"/>
  <c r="P10"/>
  <c r="D10"/>
  <c r="H10"/>
  <c r="L10"/>
  <c r="P11"/>
  <c r="D11"/>
  <c r="H11"/>
  <c r="L11"/>
  <c r="J17"/>
  <c r="R17"/>
  <c r="F17"/>
  <c r="N17"/>
  <c r="H5"/>
  <c r="D5"/>
  <c r="P5"/>
  <c r="L5"/>
  <c r="Q19"/>
  <c r="M23"/>
  <c r="K9"/>
  <c r="H19"/>
  <c r="P23"/>
  <c r="N9"/>
  <c r="K19"/>
  <c r="G23"/>
  <c r="I9"/>
  <c r="S21"/>
  <c r="T4"/>
  <c r="S6"/>
  <c r="U6"/>
  <c r="D16"/>
  <c r="B16"/>
  <c r="M16"/>
  <c r="M17"/>
  <c r="M18"/>
  <c r="M19"/>
  <c r="I23"/>
  <c r="G8"/>
  <c r="G9"/>
  <c r="G10"/>
  <c r="G11"/>
  <c r="J3"/>
  <c r="N5"/>
  <c r="H16"/>
  <c r="H17"/>
  <c r="P18"/>
  <c r="L23"/>
  <c r="J8"/>
  <c r="J9"/>
  <c r="J10"/>
  <c r="J11"/>
  <c r="E3"/>
  <c r="I5"/>
  <c r="C3"/>
  <c r="C16"/>
  <c r="C17"/>
  <c r="C18"/>
  <c r="U18" s="1"/>
  <c r="C23"/>
  <c r="E8"/>
  <c r="E9"/>
  <c r="E10"/>
  <c r="E11"/>
  <c r="B11"/>
  <c r="K5"/>
  <c r="T5" s="1"/>
  <c r="J19"/>
  <c r="F19"/>
  <c r="N19"/>
  <c r="R19"/>
  <c r="B19"/>
  <c r="J22"/>
  <c r="N22"/>
  <c r="S5"/>
  <c r="I16"/>
  <c r="I17"/>
  <c r="I18"/>
  <c r="I19"/>
  <c r="E23"/>
  <c r="C8"/>
  <c r="C9"/>
  <c r="C10"/>
  <c r="C11"/>
  <c r="F3"/>
  <c r="J5"/>
  <c r="O5"/>
  <c r="D17"/>
  <c r="H18"/>
  <c r="P19"/>
  <c r="H23"/>
  <c r="F8"/>
  <c r="F9"/>
  <c r="F10"/>
  <c r="F11"/>
  <c r="B8"/>
  <c r="Q3"/>
  <c r="G5"/>
  <c r="O17"/>
  <c r="C19"/>
  <c r="G22"/>
  <c r="Q8"/>
  <c r="Q9"/>
  <c r="Q10"/>
  <c r="Q11"/>
  <c r="C5"/>
  <c r="V5" s="1"/>
  <c r="F23"/>
  <c r="R23"/>
  <c r="J23"/>
  <c r="N23"/>
  <c r="B23"/>
  <c r="J16"/>
  <c r="F16"/>
  <c r="N16"/>
  <c r="R16"/>
  <c r="N18"/>
  <c r="F18"/>
  <c r="S18" s="1"/>
  <c r="J18"/>
  <c r="R18"/>
  <c r="U4"/>
  <c r="V6"/>
  <c r="V4"/>
  <c r="D19"/>
  <c r="B10"/>
  <c r="E16"/>
  <c r="E17"/>
  <c r="E18"/>
  <c r="E19"/>
  <c r="M22"/>
  <c r="Q23"/>
  <c r="O8"/>
  <c r="O9"/>
  <c r="O10"/>
  <c r="O11"/>
  <c r="R3"/>
  <c r="F5"/>
  <c r="U5" s="1"/>
  <c r="B3"/>
  <c r="P16"/>
  <c r="P17"/>
  <c r="L19"/>
  <c r="D23"/>
  <c r="B17"/>
  <c r="R8"/>
  <c r="R9"/>
  <c r="R10"/>
  <c r="R11"/>
  <c r="M3"/>
  <c r="Q5"/>
  <c r="O3"/>
  <c r="K16"/>
  <c r="K17"/>
  <c r="K18"/>
  <c r="O19"/>
  <c r="K23"/>
  <c r="M8"/>
  <c r="M9"/>
  <c r="M10"/>
  <c r="M11"/>
  <c r="K3"/>
  <c r="I7"/>
  <c r="F7"/>
  <c r="P7"/>
  <c r="B7"/>
  <c r="Q7"/>
  <c r="J7"/>
  <c r="E7"/>
  <c r="G7"/>
  <c r="B81" i="8"/>
  <c r="D7" i="15"/>
  <c r="N7"/>
  <c r="M7"/>
  <c r="K7"/>
  <c r="L7"/>
  <c r="R7"/>
  <c r="H7"/>
  <c r="V66" i="1"/>
  <c r="U7" i="5"/>
  <c r="V39"/>
  <c r="N40" i="8" s="1"/>
  <c r="S7" i="5"/>
  <c r="T7"/>
  <c r="U39"/>
  <c r="D39" i="8"/>
  <c r="N42" i="21"/>
  <c r="C42"/>
  <c r="L41"/>
  <c r="D41"/>
  <c r="R42"/>
  <c r="J42"/>
  <c r="F42"/>
  <c r="M41"/>
  <c r="T39" i="5"/>
  <c r="E41" i="21"/>
  <c r="Q41"/>
  <c r="G42"/>
  <c r="I41"/>
  <c r="U11"/>
  <c r="T11"/>
  <c r="S11"/>
  <c r="V11"/>
  <c r="W11"/>
  <c r="E9" i="5"/>
  <c r="U67" i="1"/>
  <c r="E11" i="5"/>
  <c r="K13" i="8"/>
  <c r="O13"/>
  <c r="N13"/>
  <c r="R20"/>
  <c r="J39"/>
  <c r="G39"/>
  <c r="N39"/>
  <c r="C13"/>
  <c r="F39"/>
  <c r="P13"/>
  <c r="R13"/>
  <c r="D13"/>
  <c r="C20"/>
  <c r="L20"/>
  <c r="I20"/>
  <c r="L22"/>
  <c r="L13"/>
  <c r="J13"/>
  <c r="I13"/>
  <c r="P20"/>
  <c r="F20"/>
  <c r="H13"/>
  <c r="B13"/>
  <c r="Q13"/>
  <c r="E13"/>
  <c r="G13"/>
  <c r="E20"/>
  <c r="N20"/>
  <c r="F13"/>
  <c r="M13"/>
  <c r="M20"/>
  <c r="H20"/>
  <c r="G22"/>
  <c r="M22"/>
  <c r="R22"/>
  <c r="O23"/>
  <c r="M23"/>
  <c r="P23"/>
  <c r="R23"/>
  <c r="O20"/>
  <c r="K20"/>
  <c r="B20"/>
  <c r="O22"/>
  <c r="P22"/>
  <c r="Q23"/>
  <c r="C23"/>
  <c r="D23"/>
  <c r="F23"/>
  <c r="G23"/>
  <c r="E23"/>
  <c r="L23"/>
  <c r="N23"/>
  <c r="I23"/>
  <c r="E22"/>
  <c r="N22"/>
  <c r="B23"/>
  <c r="K23"/>
  <c r="H23"/>
  <c r="Q22"/>
  <c r="C22"/>
  <c r="D22"/>
  <c r="F22"/>
  <c r="L21"/>
  <c r="B21"/>
  <c r="H21"/>
  <c r="J21"/>
  <c r="Q21"/>
  <c r="K21"/>
  <c r="D21"/>
  <c r="F21"/>
  <c r="I22"/>
  <c r="Q20"/>
  <c r="G20"/>
  <c r="D20"/>
  <c r="B22"/>
  <c r="K22"/>
  <c r="H22"/>
  <c r="G21"/>
  <c r="E21"/>
  <c r="P21"/>
  <c r="N21"/>
  <c r="I21"/>
  <c r="O21"/>
  <c r="M21"/>
  <c r="C21"/>
  <c r="G76"/>
  <c r="I12" i="15"/>
  <c r="M12"/>
  <c r="Q12"/>
  <c r="C12"/>
  <c r="G12"/>
  <c r="K12"/>
  <c r="O12"/>
  <c r="F12"/>
  <c r="J12"/>
  <c r="N12"/>
  <c r="R12"/>
  <c r="D12"/>
  <c r="H12"/>
  <c r="L12"/>
  <c r="P12"/>
  <c r="B12"/>
  <c r="Q91" i="8"/>
  <c r="J81"/>
  <c r="O81"/>
  <c r="D81"/>
  <c r="K81"/>
  <c r="F8"/>
  <c r="G8"/>
  <c r="N91"/>
  <c r="L76"/>
  <c r="O76"/>
  <c r="R91"/>
  <c r="P76"/>
  <c r="K76"/>
  <c r="H91"/>
  <c r="E91"/>
  <c r="C76"/>
  <c r="F81"/>
  <c r="T88" i="5"/>
  <c r="S88"/>
  <c r="V88"/>
  <c r="B89" i="8" s="1"/>
  <c r="U88" i="5"/>
  <c r="T73"/>
  <c r="S73"/>
  <c r="V73"/>
  <c r="B74" i="8" s="1"/>
  <c r="U73" i="5"/>
  <c r="E80" i="8"/>
  <c r="I80"/>
  <c r="M80"/>
  <c r="Q80"/>
  <c r="N80"/>
  <c r="J80"/>
  <c r="F80"/>
  <c r="B80"/>
  <c r="R80"/>
  <c r="T94" i="5"/>
  <c r="S94"/>
  <c r="V94"/>
  <c r="U94"/>
  <c r="T89"/>
  <c r="S89"/>
  <c r="V89"/>
  <c r="U89"/>
  <c r="T85"/>
  <c r="S85"/>
  <c r="V85"/>
  <c r="B86" i="8" s="1"/>
  <c r="U85" i="5"/>
  <c r="T81"/>
  <c r="S81"/>
  <c r="V81"/>
  <c r="B82" i="8" s="1"/>
  <c r="U81" i="5"/>
  <c r="T74"/>
  <c r="S74"/>
  <c r="V74"/>
  <c r="U74"/>
  <c r="T70"/>
  <c r="S70"/>
  <c r="V70"/>
  <c r="B71" i="8" s="1"/>
  <c r="U70" i="5"/>
  <c r="K80" i="8"/>
  <c r="O80"/>
  <c r="H80"/>
  <c r="E76"/>
  <c r="I76"/>
  <c r="M76"/>
  <c r="Q76"/>
  <c r="B76"/>
  <c r="R76"/>
  <c r="N76"/>
  <c r="J76"/>
  <c r="F76"/>
  <c r="N81"/>
  <c r="L80"/>
  <c r="H76"/>
  <c r="D80"/>
  <c r="T93" i="5"/>
  <c r="S93"/>
  <c r="V93"/>
  <c r="U93"/>
  <c r="T84"/>
  <c r="S84"/>
  <c r="V84"/>
  <c r="B85" i="8" s="1"/>
  <c r="U84" i="5"/>
  <c r="T78"/>
  <c r="S78"/>
  <c r="V78"/>
  <c r="B79" i="8" s="1"/>
  <c r="U78" i="5"/>
  <c r="T95"/>
  <c r="S95"/>
  <c r="V95"/>
  <c r="B96" i="8" s="1"/>
  <c r="U95" i="5"/>
  <c r="T91"/>
  <c r="S91"/>
  <c r="V91"/>
  <c r="U91"/>
  <c r="T86"/>
  <c r="S86"/>
  <c r="V86"/>
  <c r="U86"/>
  <c r="T82"/>
  <c r="S82"/>
  <c r="V82"/>
  <c r="B83" i="8" s="1"/>
  <c r="U82" i="5"/>
  <c r="T76"/>
  <c r="S76"/>
  <c r="V76"/>
  <c r="U76"/>
  <c r="T71"/>
  <c r="S71"/>
  <c r="V71"/>
  <c r="U71"/>
  <c r="B91" i="8"/>
  <c r="C91"/>
  <c r="O91"/>
  <c r="K91"/>
  <c r="G91"/>
  <c r="T92" i="5"/>
  <c r="S92"/>
  <c r="V92"/>
  <c r="B93" i="8" s="1"/>
  <c r="U92" i="5"/>
  <c r="T87"/>
  <c r="S87"/>
  <c r="V87"/>
  <c r="B88" i="8" s="1"/>
  <c r="U87" i="5"/>
  <c r="T83"/>
  <c r="S83"/>
  <c r="V83"/>
  <c r="B84" i="8" s="1"/>
  <c r="U83" i="5"/>
  <c r="T77"/>
  <c r="S77"/>
  <c r="V77"/>
  <c r="U77"/>
  <c r="T72"/>
  <c r="S72"/>
  <c r="V72"/>
  <c r="B73" i="8" s="1"/>
  <c r="U72" i="5"/>
  <c r="H81" i="8"/>
  <c r="L81"/>
  <c r="P81"/>
  <c r="M81"/>
  <c r="Q81"/>
  <c r="C80"/>
  <c r="P91"/>
  <c r="I91"/>
  <c r="D91"/>
  <c r="C81"/>
  <c r="M91"/>
  <c r="G80"/>
  <c r="J91"/>
  <c r="R81"/>
  <c r="P80"/>
  <c r="G81"/>
  <c r="I81"/>
  <c r="N8"/>
  <c r="D8"/>
  <c r="J8"/>
  <c r="F31"/>
  <c r="J31"/>
  <c r="N31"/>
  <c r="R31"/>
  <c r="E31"/>
  <c r="I31"/>
  <c r="M31"/>
  <c r="Q31"/>
  <c r="D31"/>
  <c r="H31"/>
  <c r="L31"/>
  <c r="P31"/>
  <c r="C31"/>
  <c r="G31"/>
  <c r="K31"/>
  <c r="O31"/>
  <c r="C30"/>
  <c r="G30"/>
  <c r="K30"/>
  <c r="O30"/>
  <c r="F30"/>
  <c r="J30"/>
  <c r="N30"/>
  <c r="R30"/>
  <c r="E30"/>
  <c r="I30"/>
  <c r="M30"/>
  <c r="Q30"/>
  <c r="D30"/>
  <c r="H30"/>
  <c r="L30"/>
  <c r="P30"/>
  <c r="B31"/>
  <c r="B30"/>
  <c r="S16" i="1"/>
  <c r="T16"/>
  <c r="U16"/>
  <c r="U24" i="5"/>
  <c r="V24"/>
  <c r="T24"/>
  <c r="S24"/>
  <c r="T66" i="1"/>
  <c r="T67"/>
  <c r="S66"/>
  <c r="V67"/>
  <c r="U66"/>
  <c r="T65"/>
  <c r="S65"/>
  <c r="U65"/>
  <c r="V65"/>
  <c r="S67"/>
  <c r="T22" i="15" l="1"/>
  <c r="U22"/>
  <c r="V22"/>
  <c r="S22"/>
  <c r="T17"/>
  <c r="S17"/>
  <c r="V17"/>
  <c r="U17"/>
  <c r="V19"/>
  <c r="U19"/>
  <c r="S19"/>
  <c r="T19"/>
  <c r="U9"/>
  <c r="V9"/>
  <c r="S9"/>
  <c r="T9"/>
  <c r="T18"/>
  <c r="S16"/>
  <c r="T16"/>
  <c r="V16"/>
  <c r="U16"/>
  <c r="T23"/>
  <c r="S23"/>
  <c r="V23"/>
  <c r="U23"/>
  <c r="V18"/>
  <c r="T3"/>
  <c r="V3"/>
  <c r="U3"/>
  <c r="S3"/>
  <c r="T10"/>
  <c r="S10"/>
  <c r="U10"/>
  <c r="V10"/>
  <c r="U8"/>
  <c r="S8"/>
  <c r="V8"/>
  <c r="T8"/>
  <c r="T11"/>
  <c r="U11"/>
  <c r="S11"/>
  <c r="V11"/>
  <c r="S7"/>
  <c r="U7"/>
  <c r="V7"/>
  <c r="T7"/>
  <c r="J40" i="8"/>
  <c r="F40"/>
  <c r="K40"/>
  <c r="G40"/>
  <c r="D40"/>
  <c r="S12" i="15"/>
  <c r="V12"/>
  <c r="T12"/>
  <c r="U12"/>
  <c r="C25" i="8"/>
  <c r="C78"/>
  <c r="P78"/>
  <c r="L78"/>
  <c r="H78"/>
  <c r="D78"/>
  <c r="E78"/>
  <c r="F78"/>
  <c r="O78"/>
  <c r="R78"/>
  <c r="Q78"/>
  <c r="M78"/>
  <c r="K78"/>
  <c r="N78"/>
  <c r="I78"/>
  <c r="G78"/>
  <c r="J78"/>
  <c r="E84"/>
  <c r="I84"/>
  <c r="M84"/>
  <c r="Q84"/>
  <c r="J84"/>
  <c r="F84"/>
  <c r="R84"/>
  <c r="N84"/>
  <c r="O84"/>
  <c r="K84"/>
  <c r="C84"/>
  <c r="P84"/>
  <c r="D84"/>
  <c r="L84"/>
  <c r="G84"/>
  <c r="H84"/>
  <c r="E72"/>
  <c r="I72"/>
  <c r="M72"/>
  <c r="Q72"/>
  <c r="F72"/>
  <c r="R72"/>
  <c r="N72"/>
  <c r="J72"/>
  <c r="H72"/>
  <c r="G72"/>
  <c r="D72"/>
  <c r="C72"/>
  <c r="P72"/>
  <c r="O72"/>
  <c r="L72"/>
  <c r="K72"/>
  <c r="H77"/>
  <c r="L77"/>
  <c r="P77"/>
  <c r="Q77"/>
  <c r="E77"/>
  <c r="N77"/>
  <c r="I77"/>
  <c r="G77"/>
  <c r="R77"/>
  <c r="O77"/>
  <c r="J77"/>
  <c r="M77"/>
  <c r="K77"/>
  <c r="D77"/>
  <c r="F77"/>
  <c r="C77"/>
  <c r="E92"/>
  <c r="I92"/>
  <c r="M92"/>
  <c r="Q92"/>
  <c r="R92"/>
  <c r="N92"/>
  <c r="J92"/>
  <c r="F92"/>
  <c r="D92"/>
  <c r="L92"/>
  <c r="O92"/>
  <c r="K92"/>
  <c r="H92"/>
  <c r="C92"/>
  <c r="G92"/>
  <c r="P92"/>
  <c r="C75"/>
  <c r="O75"/>
  <c r="K75"/>
  <c r="G75"/>
  <c r="J75"/>
  <c r="M75"/>
  <c r="D75"/>
  <c r="I75"/>
  <c r="P75"/>
  <c r="N75"/>
  <c r="Q75"/>
  <c r="F75"/>
  <c r="R75"/>
  <c r="E75"/>
  <c r="L75"/>
  <c r="H75"/>
  <c r="O95"/>
  <c r="K95"/>
  <c r="G95"/>
  <c r="C95"/>
  <c r="N95"/>
  <c r="E95"/>
  <c r="H95"/>
  <c r="Q95"/>
  <c r="D95"/>
  <c r="L95"/>
  <c r="J95"/>
  <c r="F95"/>
  <c r="M95"/>
  <c r="P95"/>
  <c r="R95"/>
  <c r="I95"/>
  <c r="C94"/>
  <c r="P94"/>
  <c r="L94"/>
  <c r="H94"/>
  <c r="D94"/>
  <c r="E94"/>
  <c r="F94"/>
  <c r="O94"/>
  <c r="R94"/>
  <c r="G94"/>
  <c r="J94"/>
  <c r="Q94"/>
  <c r="M94"/>
  <c r="K94"/>
  <c r="N94"/>
  <c r="I94"/>
  <c r="G71"/>
  <c r="C71"/>
  <c r="O71"/>
  <c r="K71"/>
  <c r="F71"/>
  <c r="E71"/>
  <c r="P71"/>
  <c r="Q71"/>
  <c r="L71"/>
  <c r="R71"/>
  <c r="N71"/>
  <c r="M71"/>
  <c r="H71"/>
  <c r="J71"/>
  <c r="I71"/>
  <c r="D71"/>
  <c r="C90"/>
  <c r="D90"/>
  <c r="P90"/>
  <c r="L90"/>
  <c r="H90"/>
  <c r="Q90"/>
  <c r="K90"/>
  <c r="R90"/>
  <c r="G90"/>
  <c r="N90"/>
  <c r="O90"/>
  <c r="M90"/>
  <c r="I90"/>
  <c r="J90"/>
  <c r="E90"/>
  <c r="F90"/>
  <c r="H89"/>
  <c r="L89"/>
  <c r="P89"/>
  <c r="E89"/>
  <c r="I89"/>
  <c r="Q89"/>
  <c r="O89"/>
  <c r="J89"/>
  <c r="M89"/>
  <c r="K89"/>
  <c r="D89"/>
  <c r="F89"/>
  <c r="G89"/>
  <c r="R89"/>
  <c r="C89"/>
  <c r="N89"/>
  <c r="B78"/>
  <c r="B72"/>
  <c r="B92"/>
  <c r="B75"/>
  <c r="B95"/>
  <c r="G87"/>
  <c r="C87"/>
  <c r="O87"/>
  <c r="K87"/>
  <c r="F87"/>
  <c r="E87"/>
  <c r="P87"/>
  <c r="Q87"/>
  <c r="L87"/>
  <c r="D87"/>
  <c r="R87"/>
  <c r="N87"/>
  <c r="M87"/>
  <c r="H87"/>
  <c r="J87"/>
  <c r="I87"/>
  <c r="H85"/>
  <c r="L85"/>
  <c r="P85"/>
  <c r="I85"/>
  <c r="M85"/>
  <c r="K85"/>
  <c r="D85"/>
  <c r="F85"/>
  <c r="C85"/>
  <c r="G85"/>
  <c r="R85"/>
  <c r="Q85"/>
  <c r="N85"/>
  <c r="E85"/>
  <c r="O85"/>
  <c r="J85"/>
  <c r="C86"/>
  <c r="H86"/>
  <c r="P86"/>
  <c r="L86"/>
  <c r="M86"/>
  <c r="N86"/>
  <c r="O86"/>
  <c r="J86"/>
  <c r="G86"/>
  <c r="R86"/>
  <c r="I86"/>
  <c r="E86"/>
  <c r="K86"/>
  <c r="F86"/>
  <c r="D86"/>
  <c r="Q86"/>
  <c r="C74"/>
  <c r="D74"/>
  <c r="P74"/>
  <c r="L74"/>
  <c r="H74"/>
  <c r="Q74"/>
  <c r="K74"/>
  <c r="R74"/>
  <c r="G74"/>
  <c r="N74"/>
  <c r="F74"/>
  <c r="M74"/>
  <c r="I74"/>
  <c r="J74"/>
  <c r="E74"/>
  <c r="O74"/>
  <c r="H73"/>
  <c r="L73"/>
  <c r="P73"/>
  <c r="E73"/>
  <c r="I73"/>
  <c r="Q73"/>
  <c r="O73"/>
  <c r="J73"/>
  <c r="M73"/>
  <c r="K73"/>
  <c r="D73"/>
  <c r="F73"/>
  <c r="G73"/>
  <c r="R73"/>
  <c r="C73"/>
  <c r="N73"/>
  <c r="E88"/>
  <c r="I88"/>
  <c r="M88"/>
  <c r="Q88"/>
  <c r="F88"/>
  <c r="R88"/>
  <c r="N88"/>
  <c r="J88"/>
  <c r="H88"/>
  <c r="C88"/>
  <c r="G88"/>
  <c r="L88"/>
  <c r="P88"/>
  <c r="O88"/>
  <c r="D88"/>
  <c r="K88"/>
  <c r="H93"/>
  <c r="L93"/>
  <c r="P93"/>
  <c r="Q93"/>
  <c r="E93"/>
  <c r="N93"/>
  <c r="I93"/>
  <c r="C93"/>
  <c r="O93"/>
  <c r="J93"/>
  <c r="M93"/>
  <c r="K93"/>
  <c r="D93"/>
  <c r="F93"/>
  <c r="G93"/>
  <c r="R93"/>
  <c r="K83"/>
  <c r="G83"/>
  <c r="C83"/>
  <c r="O83"/>
  <c r="R83"/>
  <c r="M83"/>
  <c r="L83"/>
  <c r="I83"/>
  <c r="H83"/>
  <c r="N83"/>
  <c r="J83"/>
  <c r="E83"/>
  <c r="D83"/>
  <c r="F83"/>
  <c r="Q83"/>
  <c r="P83"/>
  <c r="E96"/>
  <c r="I96"/>
  <c r="M96"/>
  <c r="Q96"/>
  <c r="N96"/>
  <c r="J96"/>
  <c r="F96"/>
  <c r="R96"/>
  <c r="P96"/>
  <c r="G96"/>
  <c r="D96"/>
  <c r="L96"/>
  <c r="H96"/>
  <c r="C96"/>
  <c r="O96"/>
  <c r="K96"/>
  <c r="O79"/>
  <c r="K79"/>
  <c r="G79"/>
  <c r="C79"/>
  <c r="N79"/>
  <c r="E79"/>
  <c r="H79"/>
  <c r="Q79"/>
  <c r="D79"/>
  <c r="I79"/>
  <c r="J79"/>
  <c r="F79"/>
  <c r="M79"/>
  <c r="P79"/>
  <c r="R79"/>
  <c r="L79"/>
  <c r="C82"/>
  <c r="L82"/>
  <c r="H82"/>
  <c r="P82"/>
  <c r="I82"/>
  <c r="K82"/>
  <c r="J82"/>
  <c r="G82"/>
  <c r="F82"/>
  <c r="O82"/>
  <c r="E82"/>
  <c r="D82"/>
  <c r="Q82"/>
  <c r="R82"/>
  <c r="M82"/>
  <c r="N82"/>
  <c r="B77"/>
  <c r="B87"/>
  <c r="B94"/>
  <c r="B90"/>
  <c r="P25"/>
  <c r="R25"/>
  <c r="H25"/>
  <c r="G25"/>
  <c r="B25"/>
  <c r="F25"/>
  <c r="O25"/>
  <c r="N25"/>
  <c r="Q25"/>
  <c r="I25"/>
  <c r="L25"/>
  <c r="D25"/>
  <c r="K25"/>
  <c r="M25"/>
  <c r="E25"/>
  <c r="J25"/>
  <c r="S3" i="1"/>
  <c r="T3"/>
  <c r="U3"/>
  <c r="V3"/>
  <c r="S4"/>
  <c r="T4"/>
  <c r="U4"/>
  <c r="V4"/>
  <c r="S5"/>
  <c r="T5"/>
  <c r="U5"/>
  <c r="V5"/>
  <c r="S6"/>
  <c r="T6"/>
  <c r="U6"/>
  <c r="V6"/>
  <c r="S7"/>
  <c r="T7"/>
  <c r="U7"/>
  <c r="V7"/>
  <c r="S10"/>
  <c r="T10"/>
  <c r="U10"/>
  <c r="V10"/>
  <c r="S11"/>
  <c r="T11"/>
  <c r="U11"/>
  <c r="V11"/>
  <c r="S12"/>
  <c r="T12"/>
  <c r="U12"/>
  <c r="V12"/>
  <c r="S33"/>
  <c r="T33"/>
  <c r="U33"/>
  <c r="V33"/>
  <c r="S34"/>
  <c r="T34"/>
  <c r="U34"/>
  <c r="V34"/>
  <c r="S35"/>
  <c r="T35"/>
  <c r="U35"/>
  <c r="V35"/>
  <c r="S36"/>
  <c r="T36"/>
  <c r="U36"/>
  <c r="V36"/>
  <c r="S37"/>
  <c r="T37"/>
  <c r="U37"/>
  <c r="V37"/>
  <c r="S39"/>
  <c r="T39"/>
  <c r="U39"/>
  <c r="V39"/>
  <c r="S40"/>
  <c r="T40"/>
  <c r="U40"/>
  <c r="V40"/>
  <c r="S41"/>
  <c r="T41"/>
  <c r="U41"/>
  <c r="V41"/>
  <c r="S44"/>
  <c r="T44"/>
  <c r="U44"/>
  <c r="V44"/>
  <c r="S45"/>
  <c r="T45"/>
  <c r="U45"/>
  <c r="V45"/>
  <c r="S46"/>
  <c r="T46"/>
  <c r="U46"/>
  <c r="V46"/>
  <c r="S47"/>
  <c r="T47"/>
  <c r="U47"/>
  <c r="V47"/>
  <c r="S48"/>
  <c r="T48"/>
  <c r="U48"/>
  <c r="V48"/>
  <c r="S49"/>
  <c r="T49"/>
  <c r="U49"/>
  <c r="V49"/>
  <c r="S50"/>
  <c r="T50"/>
  <c r="U50"/>
  <c r="V50"/>
  <c r="S51"/>
  <c r="T51"/>
  <c r="U51"/>
  <c r="V51"/>
  <c r="S52"/>
  <c r="T52"/>
  <c r="U52"/>
  <c r="V52"/>
  <c r="S54"/>
  <c r="T54"/>
  <c r="U54"/>
  <c r="V54"/>
  <c r="S55"/>
  <c r="T55"/>
  <c r="U55"/>
  <c r="V55"/>
  <c r="S56"/>
  <c r="T56"/>
  <c r="U56"/>
  <c r="V56"/>
  <c r="S57"/>
  <c r="T57"/>
  <c r="U57"/>
  <c r="V57"/>
  <c r="S58"/>
  <c r="T58"/>
  <c r="U58"/>
  <c r="V58"/>
  <c r="S62"/>
  <c r="T62"/>
  <c r="U62"/>
  <c r="V62"/>
  <c r="S63"/>
  <c r="T63"/>
  <c r="U63"/>
  <c r="V63"/>
  <c r="S64"/>
  <c r="T64"/>
  <c r="U64"/>
  <c r="V64"/>
  <c r="S70"/>
  <c r="T70"/>
  <c r="U70"/>
  <c r="V70"/>
  <c r="S71"/>
  <c r="T71"/>
  <c r="U71"/>
  <c r="V71"/>
  <c r="S72"/>
  <c r="T72"/>
  <c r="U72"/>
  <c r="V72"/>
  <c r="S73"/>
  <c r="T73"/>
  <c r="U73"/>
  <c r="V73"/>
  <c r="S74"/>
  <c r="T74"/>
  <c r="U74"/>
  <c r="V74"/>
  <c r="S75"/>
  <c r="T75"/>
  <c r="U75"/>
  <c r="V75"/>
  <c r="S79"/>
  <c r="T79"/>
  <c r="U79"/>
  <c r="V79"/>
  <c r="S80"/>
  <c r="T80"/>
  <c r="U80"/>
  <c r="V80"/>
  <c r="S81"/>
  <c r="T81"/>
  <c r="U81"/>
  <c r="V81"/>
  <c r="S82"/>
  <c r="T82"/>
  <c r="U82"/>
  <c r="V82"/>
  <c r="S83"/>
  <c r="T83"/>
  <c r="U83"/>
  <c r="V83"/>
  <c r="S84"/>
  <c r="T84"/>
  <c r="U84"/>
  <c r="V84"/>
  <c r="V20" i="3"/>
  <c r="R85" i="1"/>
  <c r="Q85"/>
  <c r="P85"/>
  <c r="O85"/>
  <c r="N85"/>
  <c r="M85"/>
  <c r="J85"/>
  <c r="I85"/>
  <c r="G85"/>
  <c r="F85"/>
  <c r="E85"/>
  <c r="C85"/>
  <c r="B85"/>
  <c r="T3" i="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4"/>
  <c r="U14"/>
  <c r="V14"/>
  <c r="T15"/>
  <c r="U15"/>
  <c r="V15"/>
  <c r="T16"/>
  <c r="U16"/>
  <c r="V16"/>
  <c r="T19"/>
  <c r="U19"/>
  <c r="V19"/>
  <c r="T20"/>
  <c r="U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9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T36"/>
  <c r="U36"/>
  <c r="V36"/>
  <c r="T37"/>
  <c r="U37"/>
  <c r="V37"/>
  <c r="T38"/>
  <c r="U38"/>
  <c r="V38"/>
  <c r="T39"/>
  <c r="U39"/>
  <c r="V39"/>
  <c r="V2"/>
  <c r="U2"/>
  <c r="T2"/>
  <c r="S3"/>
  <c r="S4"/>
  <c r="S5"/>
  <c r="S6"/>
  <c r="S7"/>
  <c r="S8"/>
  <c r="S9"/>
  <c r="S10"/>
  <c r="S11"/>
  <c r="S12"/>
  <c r="S14"/>
  <c r="S15"/>
  <c r="S16"/>
  <c r="S19"/>
  <c r="S20"/>
  <c r="S21"/>
  <c r="S22"/>
  <c r="S23"/>
  <c r="S24"/>
  <c r="S25"/>
  <c r="S26"/>
  <c r="S27"/>
  <c r="S29"/>
  <c r="S30"/>
  <c r="S31"/>
  <c r="S32"/>
  <c r="S33"/>
  <c r="S34"/>
  <c r="S35"/>
  <c r="S36"/>
  <c r="S37"/>
  <c r="S38"/>
  <c r="S39"/>
  <c r="S2"/>
  <c r="R40"/>
  <c r="Q40"/>
  <c r="P40"/>
  <c r="O40"/>
  <c r="N40"/>
  <c r="M40"/>
  <c r="J40"/>
  <c r="I40"/>
  <c r="G40"/>
  <c r="F40"/>
  <c r="E40"/>
  <c r="C40"/>
  <c r="B40"/>
  <c r="R76" i="1"/>
  <c r="Q76"/>
  <c r="O76"/>
  <c r="P76"/>
  <c r="N76"/>
  <c r="M76"/>
  <c r="J76"/>
  <c r="I76"/>
  <c r="B2"/>
  <c r="B3" i="5" s="1"/>
  <c r="B76" i="1"/>
  <c r="C76"/>
  <c r="E76"/>
  <c r="F76"/>
  <c r="G76"/>
  <c r="G39" i="21" l="1"/>
  <c r="G25"/>
  <c r="G32" s="1"/>
  <c r="G26"/>
  <c r="G27"/>
  <c r="G33" s="1"/>
  <c r="G28"/>
  <c r="G29"/>
  <c r="G30"/>
  <c r="B27"/>
  <c r="B25"/>
  <c r="B39"/>
  <c r="B28"/>
  <c r="B26"/>
  <c r="B30"/>
  <c r="B29"/>
  <c r="Q39"/>
  <c r="Q25"/>
  <c r="Q32" s="1"/>
  <c r="Q26"/>
  <c r="Q27"/>
  <c r="Q33" s="1"/>
  <c r="Q28"/>
  <c r="Q29"/>
  <c r="Q30"/>
  <c r="C39"/>
  <c r="C25"/>
  <c r="C32" s="1"/>
  <c r="C26"/>
  <c r="C27"/>
  <c r="C33" s="1"/>
  <c r="C28"/>
  <c r="C29"/>
  <c r="C30"/>
  <c r="J39"/>
  <c r="J25"/>
  <c r="J32" s="1"/>
  <c r="J26"/>
  <c r="J27"/>
  <c r="J33" s="1"/>
  <c r="J28"/>
  <c r="J29"/>
  <c r="J30"/>
  <c r="O39"/>
  <c r="O25"/>
  <c r="O32" s="1"/>
  <c r="O26"/>
  <c r="O27"/>
  <c r="O33" s="1"/>
  <c r="O28"/>
  <c r="O29"/>
  <c r="O30"/>
  <c r="C57"/>
  <c r="G57"/>
  <c r="K57"/>
  <c r="O57"/>
  <c r="B57"/>
  <c r="F57"/>
  <c r="J57"/>
  <c r="N57"/>
  <c r="R57"/>
  <c r="D57"/>
  <c r="H57"/>
  <c r="L57"/>
  <c r="P57"/>
  <c r="E57"/>
  <c r="I57"/>
  <c r="M57"/>
  <c r="Q57"/>
  <c r="D56"/>
  <c r="H56"/>
  <c r="L56"/>
  <c r="P56"/>
  <c r="C56"/>
  <c r="G56"/>
  <c r="K56"/>
  <c r="O56"/>
  <c r="E56"/>
  <c r="I56"/>
  <c r="M56"/>
  <c r="Q56"/>
  <c r="B56"/>
  <c r="F56"/>
  <c r="J56"/>
  <c r="N56"/>
  <c r="R56"/>
  <c r="E55"/>
  <c r="I55"/>
  <c r="M55"/>
  <c r="Q55"/>
  <c r="D55"/>
  <c r="H55"/>
  <c r="L55"/>
  <c r="P55"/>
  <c r="B55"/>
  <c r="F55"/>
  <c r="J55"/>
  <c r="N55"/>
  <c r="R55"/>
  <c r="C55"/>
  <c r="G55"/>
  <c r="K55"/>
  <c r="O55"/>
  <c r="B54"/>
  <c r="F54"/>
  <c r="J54"/>
  <c r="N54"/>
  <c r="R54"/>
  <c r="E54"/>
  <c r="I54"/>
  <c r="M54"/>
  <c r="Q54"/>
  <c r="C54"/>
  <c r="G54"/>
  <c r="K54"/>
  <c r="O54"/>
  <c r="D54"/>
  <c r="H54"/>
  <c r="L54"/>
  <c r="P54"/>
  <c r="C53"/>
  <c r="G53"/>
  <c r="K53"/>
  <c r="O53"/>
  <c r="B53"/>
  <c r="F53"/>
  <c r="J53"/>
  <c r="N53"/>
  <c r="R53"/>
  <c r="D53"/>
  <c r="H53"/>
  <c r="L53"/>
  <c r="P53"/>
  <c r="E53"/>
  <c r="I53"/>
  <c r="M53"/>
  <c r="Q53"/>
  <c r="C52"/>
  <c r="G52"/>
  <c r="K52"/>
  <c r="O52"/>
  <c r="B52"/>
  <c r="F52"/>
  <c r="J52"/>
  <c r="N52"/>
  <c r="R52"/>
  <c r="D52"/>
  <c r="H52"/>
  <c r="L52"/>
  <c r="P52"/>
  <c r="E52"/>
  <c r="I52"/>
  <c r="M52"/>
  <c r="Q52"/>
  <c r="E39"/>
  <c r="E25"/>
  <c r="E32" s="1"/>
  <c r="E26"/>
  <c r="E27"/>
  <c r="E33" s="1"/>
  <c r="E28"/>
  <c r="E29"/>
  <c r="E30"/>
  <c r="I39"/>
  <c r="I25"/>
  <c r="I32" s="1"/>
  <c r="I26"/>
  <c r="I27"/>
  <c r="I33" s="1"/>
  <c r="I28"/>
  <c r="I29"/>
  <c r="I30"/>
  <c r="P39"/>
  <c r="P25"/>
  <c r="P32" s="1"/>
  <c r="P26"/>
  <c r="P27"/>
  <c r="P33" s="1"/>
  <c r="P28"/>
  <c r="P29"/>
  <c r="P30"/>
  <c r="F39"/>
  <c r="F25"/>
  <c r="F32" s="1"/>
  <c r="F26"/>
  <c r="F27"/>
  <c r="F33" s="1"/>
  <c r="F28"/>
  <c r="F29"/>
  <c r="F30"/>
  <c r="B7"/>
  <c r="B18"/>
  <c r="B22"/>
  <c r="B37"/>
  <c r="B21"/>
  <c r="B14"/>
  <c r="B15"/>
  <c r="B19"/>
  <c r="B23"/>
  <c r="B17"/>
  <c r="B3"/>
  <c r="B16"/>
  <c r="B20"/>
  <c r="N39"/>
  <c r="N25"/>
  <c r="N32" s="1"/>
  <c r="N26"/>
  <c r="N27"/>
  <c r="N33" s="1"/>
  <c r="N28"/>
  <c r="N29"/>
  <c r="N30"/>
  <c r="R39"/>
  <c r="R25"/>
  <c r="R32" s="1"/>
  <c r="R26"/>
  <c r="R27"/>
  <c r="R33" s="1"/>
  <c r="R28"/>
  <c r="R29"/>
  <c r="R30"/>
  <c r="S4" i="5"/>
  <c r="V4"/>
  <c r="T4"/>
  <c r="U4"/>
  <c r="M39" i="21"/>
  <c r="M25"/>
  <c r="M32" s="1"/>
  <c r="M26"/>
  <c r="M27"/>
  <c r="M33" s="1"/>
  <c r="M28"/>
  <c r="M29"/>
  <c r="M30"/>
  <c r="B26" i="5"/>
  <c r="B11"/>
  <c r="B44"/>
  <c r="B48"/>
  <c r="B52"/>
  <c r="B56"/>
  <c r="B60"/>
  <c r="B64"/>
  <c r="B42"/>
  <c r="B28"/>
  <c r="B50"/>
  <c r="B58"/>
  <c r="B66"/>
  <c r="B49"/>
  <c r="B53"/>
  <c r="B61"/>
  <c r="T2" i="1"/>
  <c r="B43" i="5"/>
  <c r="B47"/>
  <c r="B51"/>
  <c r="B55"/>
  <c r="B59"/>
  <c r="B63"/>
  <c r="B67"/>
  <c r="B2" i="14"/>
  <c r="B46" i="5"/>
  <c r="B54"/>
  <c r="B62"/>
  <c r="B45"/>
  <c r="B57"/>
  <c r="B65"/>
  <c r="B25"/>
  <c r="B31"/>
  <c r="T31" s="1"/>
  <c r="B33"/>
  <c r="V33" s="1"/>
  <c r="B6"/>
  <c r="V6" s="1"/>
  <c r="B9"/>
  <c r="B15"/>
  <c r="U15" s="1"/>
  <c r="B5"/>
  <c r="U5" s="1"/>
  <c r="B8"/>
  <c r="S8" s="1"/>
  <c r="B10"/>
  <c r="B14"/>
  <c r="U14" s="1"/>
  <c r="B16"/>
  <c r="U16" s="1"/>
  <c r="B30"/>
  <c r="B32"/>
  <c r="U32" s="1"/>
  <c r="B13"/>
  <c r="S13" s="1"/>
  <c r="B23"/>
  <c r="S23" s="1"/>
  <c r="B36"/>
  <c r="S76" i="1"/>
  <c r="B58" i="21" s="1"/>
  <c r="B38" s="1"/>
  <c r="T85" i="1"/>
  <c r="V85"/>
  <c r="T76"/>
  <c r="S85"/>
  <c r="S2"/>
  <c r="B2" i="21" s="1"/>
  <c r="U85" i="1"/>
  <c r="U76"/>
  <c r="V76"/>
  <c r="V2"/>
  <c r="U2"/>
  <c r="U40" i="3"/>
  <c r="V40"/>
  <c r="S40"/>
  <c r="T40"/>
  <c r="H6" i="8" l="1"/>
  <c r="G6"/>
  <c r="D6"/>
  <c r="L6"/>
  <c r="P6"/>
  <c r="C6"/>
  <c r="K6"/>
  <c r="O6"/>
  <c r="B6"/>
  <c r="E6"/>
  <c r="F6"/>
  <c r="I6"/>
  <c r="J6"/>
  <c r="M6"/>
  <c r="N6"/>
  <c r="Q6"/>
  <c r="R6"/>
  <c r="F58" i="21"/>
  <c r="F38" s="1"/>
  <c r="U8" i="5"/>
  <c r="M2"/>
  <c r="J58" i="21"/>
  <c r="J38" s="1"/>
  <c r="V8" i="5"/>
  <c r="L9" i="8" s="1"/>
  <c r="Q58" i="21"/>
  <c r="Q38" s="1"/>
  <c r="U13" i="5"/>
  <c r="S31"/>
  <c r="U31"/>
  <c r="V31"/>
  <c r="O34" i="8" s="1"/>
  <c r="V23" i="5"/>
  <c r="J12" i="8" s="1"/>
  <c r="S5" i="5"/>
  <c r="S33"/>
  <c r="U23"/>
  <c r="V5"/>
  <c r="L3" i="8" s="1"/>
  <c r="T5" i="5"/>
  <c r="B36" i="21"/>
  <c r="D4" i="8"/>
  <c r="K4"/>
  <c r="L4"/>
  <c r="J4"/>
  <c r="G4"/>
  <c r="H4"/>
  <c r="E4"/>
  <c r="C4"/>
  <c r="M4"/>
  <c r="P4"/>
  <c r="Q4"/>
  <c r="N4"/>
  <c r="I4"/>
  <c r="R4"/>
  <c r="O4"/>
  <c r="F4"/>
  <c r="T19" i="21"/>
  <c r="W19"/>
  <c r="V19"/>
  <c r="U19"/>
  <c r="S19"/>
  <c r="S7"/>
  <c r="B5"/>
  <c r="T7"/>
  <c r="W7"/>
  <c r="V7"/>
  <c r="U7"/>
  <c r="W26"/>
  <c r="T26"/>
  <c r="V26"/>
  <c r="S26"/>
  <c r="U26"/>
  <c r="B33"/>
  <c r="S27"/>
  <c r="V27"/>
  <c r="W27"/>
  <c r="U27"/>
  <c r="T27"/>
  <c r="B50"/>
  <c r="W23"/>
  <c r="V23"/>
  <c r="S23"/>
  <c r="T23"/>
  <c r="U23"/>
  <c r="W30"/>
  <c r="V30"/>
  <c r="T30"/>
  <c r="U30"/>
  <c r="S30"/>
  <c r="B32"/>
  <c r="U25"/>
  <c r="T25"/>
  <c r="V25"/>
  <c r="S25"/>
  <c r="W25"/>
  <c r="S17"/>
  <c r="U17"/>
  <c r="W17"/>
  <c r="V17"/>
  <c r="T17"/>
  <c r="B34"/>
  <c r="U22"/>
  <c r="S22"/>
  <c r="T22"/>
  <c r="B49"/>
  <c r="W22"/>
  <c r="V22"/>
  <c r="T8" i="5"/>
  <c r="P58" i="21"/>
  <c r="P38" s="1"/>
  <c r="R58"/>
  <c r="R38" s="1"/>
  <c r="N58"/>
  <c r="N38" s="1"/>
  <c r="I58"/>
  <c r="I38" s="1"/>
  <c r="E58"/>
  <c r="E38" s="1"/>
  <c r="B2" i="5"/>
  <c r="F2" i="21"/>
  <c r="F36" s="1"/>
  <c r="J2"/>
  <c r="J36" s="1"/>
  <c r="N2"/>
  <c r="N36" s="1"/>
  <c r="R2"/>
  <c r="R36" s="1"/>
  <c r="E2"/>
  <c r="E36" s="1"/>
  <c r="M2"/>
  <c r="M36" s="1"/>
  <c r="C2"/>
  <c r="C36" s="1"/>
  <c r="G2"/>
  <c r="G36" s="1"/>
  <c r="K2"/>
  <c r="K36" s="1"/>
  <c r="O2"/>
  <c r="O36" s="1"/>
  <c r="I2"/>
  <c r="I36" s="1"/>
  <c r="Q2"/>
  <c r="Q36" s="1"/>
  <c r="D2"/>
  <c r="D36" s="1"/>
  <c r="H2"/>
  <c r="H36" s="1"/>
  <c r="L2"/>
  <c r="L36" s="1"/>
  <c r="P2"/>
  <c r="P36" s="1"/>
  <c r="V16"/>
  <c r="S16"/>
  <c r="W16"/>
  <c r="U16"/>
  <c r="T16"/>
  <c r="U21"/>
  <c r="V21"/>
  <c r="W21"/>
  <c r="T21"/>
  <c r="S21"/>
  <c r="H58"/>
  <c r="H38" s="1"/>
  <c r="L58"/>
  <c r="L38" s="1"/>
  <c r="K58"/>
  <c r="K38" s="1"/>
  <c r="D58"/>
  <c r="D38" s="1"/>
  <c r="B42"/>
  <c r="B48"/>
  <c r="V20"/>
  <c r="T20"/>
  <c r="W20"/>
  <c r="U20"/>
  <c r="S20"/>
  <c r="B47"/>
  <c r="S14"/>
  <c r="U14"/>
  <c r="T14"/>
  <c r="W14"/>
  <c r="V14"/>
  <c r="W18"/>
  <c r="V18"/>
  <c r="S18"/>
  <c r="T18"/>
  <c r="U18"/>
  <c r="B41"/>
  <c r="U3"/>
  <c r="T3"/>
  <c r="S3"/>
  <c r="V3"/>
  <c r="W3"/>
  <c r="U15"/>
  <c r="T15"/>
  <c r="S15"/>
  <c r="W15"/>
  <c r="V15"/>
  <c r="W29"/>
  <c r="S29"/>
  <c r="T29"/>
  <c r="V29"/>
  <c r="U29"/>
  <c r="S28"/>
  <c r="V28"/>
  <c r="U28"/>
  <c r="W28"/>
  <c r="T28"/>
  <c r="B4" i="8"/>
  <c r="P2" i="5"/>
  <c r="Q2"/>
  <c r="N2"/>
  <c r="M58" i="21"/>
  <c r="M38" s="1"/>
  <c r="O58"/>
  <c r="O38" s="1"/>
  <c r="C58"/>
  <c r="C38" s="1"/>
  <c r="G58"/>
  <c r="G38" s="1"/>
  <c r="V25" i="5"/>
  <c r="U25"/>
  <c r="S25"/>
  <c r="T25"/>
  <c r="T62"/>
  <c r="T91" i="8" s="1"/>
  <c r="U62" i="5"/>
  <c r="U91" i="8" s="1"/>
  <c r="S62" i="5"/>
  <c r="S91" i="8" s="1"/>
  <c r="V62" i="5"/>
  <c r="U51"/>
  <c r="U80" i="8" s="1"/>
  <c r="S51" i="5"/>
  <c r="S80" i="8" s="1"/>
  <c r="T51" i="5"/>
  <c r="T80" i="8" s="1"/>
  <c r="V51" i="5"/>
  <c r="T61"/>
  <c r="T90" i="8" s="1"/>
  <c r="V61" i="5"/>
  <c r="B62" i="8" s="1"/>
  <c r="U61" i="5"/>
  <c r="U90" i="8" s="1"/>
  <c r="S61" i="5"/>
  <c r="S90" i="8" s="1"/>
  <c r="V50" i="5"/>
  <c r="T50"/>
  <c r="T79" i="8" s="1"/>
  <c r="S50" i="5"/>
  <c r="S79" i="8" s="1"/>
  <c r="U50" i="5"/>
  <c r="U79" i="8" s="1"/>
  <c r="S28" i="5"/>
  <c r="U28"/>
  <c r="T28"/>
  <c r="V28"/>
  <c r="S56"/>
  <c r="S85" i="8" s="1"/>
  <c r="T56" i="5"/>
  <c r="T85" i="8" s="1"/>
  <c r="U56" i="5"/>
  <c r="U85" i="8" s="1"/>
  <c r="V56" i="5"/>
  <c r="B57" i="8" s="1"/>
  <c r="V44" i="5"/>
  <c r="T44"/>
  <c r="T73" i="8" s="1"/>
  <c r="U44" i="5"/>
  <c r="U73" i="8" s="1"/>
  <c r="S44" i="5"/>
  <c r="S73" i="8" s="1"/>
  <c r="S57" i="5"/>
  <c r="S86" i="8" s="1"/>
  <c r="U57" i="5"/>
  <c r="U86" i="8" s="1"/>
  <c r="T57" i="5"/>
  <c r="T86" i="8" s="1"/>
  <c r="V57" i="5"/>
  <c r="B58" i="8" s="1"/>
  <c r="U46" i="5"/>
  <c r="U75" i="8" s="1"/>
  <c r="T46" i="5"/>
  <c r="T75" i="8" s="1"/>
  <c r="V46" i="5"/>
  <c r="B47" i="8" s="1"/>
  <c r="S46" i="5"/>
  <c r="S75" i="8" s="1"/>
  <c r="S59" i="5"/>
  <c r="S88" i="8" s="1"/>
  <c r="U59" i="5"/>
  <c r="U88" i="8" s="1"/>
  <c r="T59" i="5"/>
  <c r="T88" i="8" s="1"/>
  <c r="V59" i="5"/>
  <c r="B60" i="8" s="1"/>
  <c r="V43" i="5"/>
  <c r="S43"/>
  <c r="S72" i="8" s="1"/>
  <c r="T43" i="5"/>
  <c r="T72" i="8" s="1"/>
  <c r="U43" i="5"/>
  <c r="U72" i="8" s="1"/>
  <c r="U49" i="5"/>
  <c r="U78" i="8" s="1"/>
  <c r="V49" i="5"/>
  <c r="T49"/>
  <c r="T78" i="8" s="1"/>
  <c r="S49" i="5"/>
  <c r="S78" i="8" s="1"/>
  <c r="V66" i="5"/>
  <c r="B67" i="8" s="1"/>
  <c r="S66" i="5"/>
  <c r="S95" i="8" s="1"/>
  <c r="U66" i="5"/>
  <c r="U95" i="8" s="1"/>
  <c r="T66" i="5"/>
  <c r="T95" i="8" s="1"/>
  <c r="V64" i="5"/>
  <c r="B65" i="8" s="1"/>
  <c r="S64" i="5"/>
  <c r="S93" i="8" s="1"/>
  <c r="T64" i="5"/>
  <c r="T93" i="8" s="1"/>
  <c r="U64" i="5"/>
  <c r="U93" i="8" s="1"/>
  <c r="U48" i="5"/>
  <c r="U77" i="8" s="1"/>
  <c r="S48" i="5"/>
  <c r="S77" i="8" s="1"/>
  <c r="T48" i="5"/>
  <c r="T77" i="8" s="1"/>
  <c r="V48" i="5"/>
  <c r="S32"/>
  <c r="T32"/>
  <c r="I2"/>
  <c r="C2"/>
  <c r="T13"/>
  <c r="U67"/>
  <c r="U96" i="8" s="1"/>
  <c r="S67" i="5"/>
  <c r="S96" i="8" s="1"/>
  <c r="V67" i="5"/>
  <c r="T67"/>
  <c r="T96" i="8" s="1"/>
  <c r="V45" i="5"/>
  <c r="B46" i="8" s="1"/>
  <c r="S45" i="5"/>
  <c r="S74" i="8" s="1"/>
  <c r="U45" i="5"/>
  <c r="U74" i="8" s="1"/>
  <c r="T45" i="5"/>
  <c r="T74" i="8" s="1"/>
  <c r="V55" i="5"/>
  <c r="B56" i="8" s="1"/>
  <c r="S55" i="5"/>
  <c r="S84" i="8" s="1"/>
  <c r="T55" i="5"/>
  <c r="T84" i="8" s="1"/>
  <c r="U55" i="5"/>
  <c r="U84" i="8" s="1"/>
  <c r="T58" i="5"/>
  <c r="T87" i="8" s="1"/>
  <c r="S58" i="5"/>
  <c r="S87" i="8" s="1"/>
  <c r="U58" i="5"/>
  <c r="U87" i="8" s="1"/>
  <c r="V58" i="5"/>
  <c r="T60"/>
  <c r="T89" i="8" s="1"/>
  <c r="V60" i="5"/>
  <c r="U60"/>
  <c r="U89" i="8" s="1"/>
  <c r="S60" i="5"/>
  <c r="S89" i="8" s="1"/>
  <c r="S65" i="5"/>
  <c r="S94" i="8" s="1"/>
  <c r="U65" i="5"/>
  <c r="U94" i="8" s="1"/>
  <c r="V65" i="5"/>
  <c r="B66" i="8" s="1"/>
  <c r="T65" i="5"/>
  <c r="T94" i="8" s="1"/>
  <c r="S54" i="5"/>
  <c r="S83" i="8" s="1"/>
  <c r="U54" i="5"/>
  <c r="U83" i="8" s="1"/>
  <c r="V54" i="5"/>
  <c r="B55" i="8" s="1"/>
  <c r="T54" i="5"/>
  <c r="T83" i="8" s="1"/>
  <c r="U2" i="14"/>
  <c r="T2"/>
  <c r="S2"/>
  <c r="V2"/>
  <c r="B2" i="15" s="1"/>
  <c r="V63" i="5"/>
  <c r="B64" i="8" s="1"/>
  <c r="T63" i="5"/>
  <c r="T92" i="8" s="1"/>
  <c r="S63" i="5"/>
  <c r="S92" i="8" s="1"/>
  <c r="U63" i="5"/>
  <c r="U92" i="8" s="1"/>
  <c r="T47" i="5"/>
  <c r="T76" i="8" s="1"/>
  <c r="S47" i="5"/>
  <c r="S76" i="8" s="1"/>
  <c r="U47" i="5"/>
  <c r="U76" i="8" s="1"/>
  <c r="V47" i="5"/>
  <c r="B48" i="8" s="1"/>
  <c r="T53" i="5"/>
  <c r="T82" i="8" s="1"/>
  <c r="V53" i="5"/>
  <c r="B54" i="8" s="1"/>
  <c r="U53" i="5"/>
  <c r="U82" i="8" s="1"/>
  <c r="S53" i="5"/>
  <c r="S82" i="8" s="1"/>
  <c r="S42" i="5"/>
  <c r="S71" i="8" s="1"/>
  <c r="U42" i="5"/>
  <c r="U71" i="8" s="1"/>
  <c r="T42" i="5"/>
  <c r="T71" i="8" s="1"/>
  <c r="V42" i="5"/>
  <c r="B43" i="8" s="1"/>
  <c r="V52" i="5"/>
  <c r="B53" i="8" s="1"/>
  <c r="U52" i="5"/>
  <c r="U81" i="8" s="1"/>
  <c r="S52" i="5"/>
  <c r="S81" i="8" s="1"/>
  <c r="T52" i="5"/>
  <c r="T81" i="8" s="1"/>
  <c r="U26" i="5"/>
  <c r="V26"/>
  <c r="B27" i="8" s="1"/>
  <c r="S26" i="5"/>
  <c r="T26"/>
  <c r="V13"/>
  <c r="B15" i="8" s="1"/>
  <c r="E2" i="5"/>
  <c r="L2"/>
  <c r="K2"/>
  <c r="D2"/>
  <c r="L36" i="8"/>
  <c r="D36"/>
  <c r="K36"/>
  <c r="G36"/>
  <c r="R36"/>
  <c r="F36"/>
  <c r="E36"/>
  <c r="I36"/>
  <c r="Q36"/>
  <c r="C36"/>
  <c r="J36"/>
  <c r="B36"/>
  <c r="O36"/>
  <c r="H36"/>
  <c r="P36"/>
  <c r="M36"/>
  <c r="N36"/>
  <c r="G2" i="5"/>
  <c r="H2"/>
  <c r="R2"/>
  <c r="O2"/>
  <c r="J2"/>
  <c r="F2"/>
  <c r="T16"/>
  <c r="U6"/>
  <c r="S15"/>
  <c r="S6"/>
  <c r="S16"/>
  <c r="U33"/>
  <c r="T33"/>
  <c r="T6"/>
  <c r="V16"/>
  <c r="V32"/>
  <c r="S30"/>
  <c r="V30"/>
  <c r="U30"/>
  <c r="T30"/>
  <c r="T10"/>
  <c r="V10"/>
  <c r="U10"/>
  <c r="S10"/>
  <c r="T36"/>
  <c r="V36"/>
  <c r="S36"/>
  <c r="U36"/>
  <c r="T23"/>
  <c r="V15"/>
  <c r="S14"/>
  <c r="V9"/>
  <c r="T9"/>
  <c r="S9"/>
  <c r="U9"/>
  <c r="U11"/>
  <c r="V11"/>
  <c r="T11"/>
  <c r="S11"/>
  <c r="T15"/>
  <c r="T14"/>
  <c r="V14"/>
  <c r="V17" i="1"/>
  <c r="T17"/>
  <c r="S17"/>
  <c r="U17"/>
  <c r="H34" i="8" l="1"/>
  <c r="C34"/>
  <c r="H3"/>
  <c r="Q12"/>
  <c r="G34"/>
  <c r="F9"/>
  <c r="I34"/>
  <c r="N9"/>
  <c r="C9"/>
  <c r="K9"/>
  <c r="P9"/>
  <c r="R9"/>
  <c r="I9"/>
  <c r="E9"/>
  <c r="F34"/>
  <c r="K34"/>
  <c r="B9"/>
  <c r="H9"/>
  <c r="M9"/>
  <c r="D9"/>
  <c r="M34"/>
  <c r="R34"/>
  <c r="L34"/>
  <c r="G9"/>
  <c r="O9"/>
  <c r="Q9"/>
  <c r="J9"/>
  <c r="Q15"/>
  <c r="F15"/>
  <c r="K15"/>
  <c r="J34"/>
  <c r="E34"/>
  <c r="N34"/>
  <c r="D34"/>
  <c r="B34"/>
  <c r="P34"/>
  <c r="Q34"/>
  <c r="I3"/>
  <c r="E12"/>
  <c r="L12"/>
  <c r="K3"/>
  <c r="C12"/>
  <c r="B12"/>
  <c r="R3"/>
  <c r="M12"/>
  <c r="I12"/>
  <c r="Q3"/>
  <c r="E3"/>
  <c r="N12"/>
  <c r="H12"/>
  <c r="R12"/>
  <c r="D12"/>
  <c r="N3"/>
  <c r="B3"/>
  <c r="J3"/>
  <c r="G3"/>
  <c r="G12"/>
  <c r="K12"/>
  <c r="P3"/>
  <c r="D3"/>
  <c r="P12"/>
  <c r="O12"/>
  <c r="F12"/>
  <c r="O3"/>
  <c r="F3"/>
  <c r="M3"/>
  <c r="C3"/>
  <c r="J4" i="23"/>
  <c r="H4"/>
  <c r="K4"/>
  <c r="G4"/>
  <c r="I4"/>
  <c r="V5" i="21"/>
  <c r="W5"/>
  <c r="T5"/>
  <c r="U5"/>
  <c r="S5"/>
  <c r="V42"/>
  <c r="B45" s="1"/>
  <c r="W42"/>
  <c r="U42"/>
  <c r="S42"/>
  <c r="T42"/>
  <c r="T2"/>
  <c r="V2"/>
  <c r="W2"/>
  <c r="U41"/>
  <c r="W41"/>
  <c r="V41"/>
  <c r="B44" s="1"/>
  <c r="T41"/>
  <c r="S41"/>
  <c r="I5" i="23"/>
  <c r="G5"/>
  <c r="H5"/>
  <c r="J5"/>
  <c r="K5"/>
  <c r="U2" i="21"/>
  <c r="S2"/>
  <c r="E50" i="8"/>
  <c r="K50"/>
  <c r="F50"/>
  <c r="P50"/>
  <c r="V78"/>
  <c r="H50"/>
  <c r="I50"/>
  <c r="R50"/>
  <c r="M50"/>
  <c r="J50"/>
  <c r="N50"/>
  <c r="G50"/>
  <c r="L50"/>
  <c r="Q50"/>
  <c r="O50"/>
  <c r="C50"/>
  <c r="D50"/>
  <c r="C27"/>
  <c r="G27"/>
  <c r="N27"/>
  <c r="J27"/>
  <c r="D27"/>
  <c r="M27"/>
  <c r="E27"/>
  <c r="P27"/>
  <c r="F27"/>
  <c r="Q27"/>
  <c r="L27"/>
  <c r="I27"/>
  <c r="K27"/>
  <c r="R27"/>
  <c r="H27"/>
  <c r="O27"/>
  <c r="J59"/>
  <c r="C59"/>
  <c r="Q59"/>
  <c r="V87"/>
  <c r="N59"/>
  <c r="L59"/>
  <c r="O59"/>
  <c r="G59"/>
  <c r="H59"/>
  <c r="I59"/>
  <c r="K59"/>
  <c r="M59"/>
  <c r="F59"/>
  <c r="P59"/>
  <c r="D59"/>
  <c r="E59"/>
  <c r="R59"/>
  <c r="Q49"/>
  <c r="L49"/>
  <c r="E49"/>
  <c r="K49"/>
  <c r="R49"/>
  <c r="F49"/>
  <c r="H49"/>
  <c r="D49"/>
  <c r="C49"/>
  <c r="P49"/>
  <c r="O49"/>
  <c r="N49"/>
  <c r="V77"/>
  <c r="M49"/>
  <c r="J49"/>
  <c r="I49"/>
  <c r="G49"/>
  <c r="O51"/>
  <c r="I51"/>
  <c r="D51"/>
  <c r="P51"/>
  <c r="H51"/>
  <c r="V79"/>
  <c r="Q51"/>
  <c r="F51"/>
  <c r="J51"/>
  <c r="E51"/>
  <c r="C51"/>
  <c r="N51"/>
  <c r="G51"/>
  <c r="K51"/>
  <c r="M51"/>
  <c r="R51"/>
  <c r="L51"/>
  <c r="O62"/>
  <c r="N62"/>
  <c r="R62"/>
  <c r="L62"/>
  <c r="E62"/>
  <c r="Q62"/>
  <c r="V90"/>
  <c r="F62"/>
  <c r="H62"/>
  <c r="P62"/>
  <c r="D62"/>
  <c r="C62"/>
  <c r="I62"/>
  <c r="G62"/>
  <c r="M62"/>
  <c r="K62"/>
  <c r="J62"/>
  <c r="F63"/>
  <c r="O63"/>
  <c r="J63"/>
  <c r="M63"/>
  <c r="R63"/>
  <c r="K63"/>
  <c r="I63"/>
  <c r="C63"/>
  <c r="L63"/>
  <c r="E63"/>
  <c r="G63"/>
  <c r="H63"/>
  <c r="D63"/>
  <c r="P63"/>
  <c r="Q63"/>
  <c r="V91"/>
  <c r="N63"/>
  <c r="V82"/>
  <c r="C54"/>
  <c r="I54"/>
  <c r="J54"/>
  <c r="M54"/>
  <c r="O54"/>
  <c r="R54"/>
  <c r="H54"/>
  <c r="E54"/>
  <c r="L54"/>
  <c r="F54"/>
  <c r="N54"/>
  <c r="K54"/>
  <c r="P54"/>
  <c r="G54"/>
  <c r="Q54"/>
  <c r="D54"/>
  <c r="V94"/>
  <c r="N66"/>
  <c r="K66"/>
  <c r="D66"/>
  <c r="H66"/>
  <c r="O66"/>
  <c r="G66"/>
  <c r="L66"/>
  <c r="M66"/>
  <c r="J66"/>
  <c r="R66"/>
  <c r="P66"/>
  <c r="I66"/>
  <c r="Q66"/>
  <c r="C66"/>
  <c r="F66"/>
  <c r="E66"/>
  <c r="L52"/>
  <c r="D52"/>
  <c r="F52"/>
  <c r="E52"/>
  <c r="H52"/>
  <c r="K52"/>
  <c r="R52"/>
  <c r="C52"/>
  <c r="N52"/>
  <c r="I52"/>
  <c r="P52"/>
  <c r="G52"/>
  <c r="M52"/>
  <c r="O52"/>
  <c r="J52"/>
  <c r="Q52"/>
  <c r="V80"/>
  <c r="B26"/>
  <c r="J15"/>
  <c r="O15"/>
  <c r="P15"/>
  <c r="G15"/>
  <c r="M15"/>
  <c r="L15"/>
  <c r="B59"/>
  <c r="B49"/>
  <c r="B63"/>
  <c r="P61"/>
  <c r="N61"/>
  <c r="H61"/>
  <c r="F61"/>
  <c r="O61"/>
  <c r="M61"/>
  <c r="K61"/>
  <c r="V89"/>
  <c r="E61"/>
  <c r="D61"/>
  <c r="G61"/>
  <c r="R61"/>
  <c r="L61"/>
  <c r="Q61"/>
  <c r="J61"/>
  <c r="I61"/>
  <c r="C61"/>
  <c r="K46"/>
  <c r="O46"/>
  <c r="J46"/>
  <c r="R46"/>
  <c r="P46"/>
  <c r="N46"/>
  <c r="G46"/>
  <c r="H46"/>
  <c r="C46"/>
  <c r="I46"/>
  <c r="F46"/>
  <c r="Q46"/>
  <c r="L46"/>
  <c r="M46"/>
  <c r="E46"/>
  <c r="V74"/>
  <c r="D46"/>
  <c r="H67"/>
  <c r="Q67"/>
  <c r="C67"/>
  <c r="F67"/>
  <c r="R67"/>
  <c r="L67"/>
  <c r="D67"/>
  <c r="M67"/>
  <c r="N67"/>
  <c r="E67"/>
  <c r="I67"/>
  <c r="J67"/>
  <c r="G67"/>
  <c r="P67"/>
  <c r="K67"/>
  <c r="V95"/>
  <c r="O67"/>
  <c r="B45"/>
  <c r="F45"/>
  <c r="E45"/>
  <c r="H45"/>
  <c r="O45"/>
  <c r="G45"/>
  <c r="C45"/>
  <c r="K45"/>
  <c r="M45"/>
  <c r="I45"/>
  <c r="L45"/>
  <c r="V73"/>
  <c r="R45"/>
  <c r="J45"/>
  <c r="Q45"/>
  <c r="P45"/>
  <c r="D45"/>
  <c r="N45"/>
  <c r="J26"/>
  <c r="N26"/>
  <c r="K26"/>
  <c r="F26"/>
  <c r="D26"/>
  <c r="L26"/>
  <c r="E26"/>
  <c r="I26"/>
  <c r="P26"/>
  <c r="C26"/>
  <c r="H26"/>
  <c r="O26"/>
  <c r="G26"/>
  <c r="M26"/>
  <c r="H43"/>
  <c r="O43"/>
  <c r="L43"/>
  <c r="E43"/>
  <c r="F43"/>
  <c r="N43"/>
  <c r="K43"/>
  <c r="P43"/>
  <c r="G43"/>
  <c r="Q43"/>
  <c r="D43"/>
  <c r="J43"/>
  <c r="R43"/>
  <c r="M43"/>
  <c r="C43"/>
  <c r="V71"/>
  <c r="I43"/>
  <c r="I2" i="15"/>
  <c r="J2"/>
  <c r="M2"/>
  <c r="K2"/>
  <c r="L2"/>
  <c r="C2"/>
  <c r="Q2"/>
  <c r="P2"/>
  <c r="F2"/>
  <c r="E2"/>
  <c r="G2"/>
  <c r="H2"/>
  <c r="R2"/>
  <c r="D2"/>
  <c r="N2"/>
  <c r="O2"/>
  <c r="L56" i="8"/>
  <c r="P56"/>
  <c r="R56"/>
  <c r="O56"/>
  <c r="C56"/>
  <c r="J56"/>
  <c r="H56"/>
  <c r="Q56"/>
  <c r="G56"/>
  <c r="D56"/>
  <c r="V84"/>
  <c r="K56"/>
  <c r="M56"/>
  <c r="E56"/>
  <c r="I56"/>
  <c r="F56"/>
  <c r="N56"/>
  <c r="N68"/>
  <c r="E68"/>
  <c r="D68"/>
  <c r="I68"/>
  <c r="V96"/>
  <c r="J68"/>
  <c r="C68"/>
  <c r="F68"/>
  <c r="R68"/>
  <c r="M68"/>
  <c r="H68"/>
  <c r="P68"/>
  <c r="K68"/>
  <c r="Q68"/>
  <c r="L68"/>
  <c r="O68"/>
  <c r="G68"/>
  <c r="P65"/>
  <c r="O65"/>
  <c r="I65"/>
  <c r="Q65"/>
  <c r="L65"/>
  <c r="J65"/>
  <c r="E65"/>
  <c r="R65"/>
  <c r="C65"/>
  <c r="V93"/>
  <c r="N65"/>
  <c r="M65"/>
  <c r="G65"/>
  <c r="F65"/>
  <c r="D65"/>
  <c r="K65"/>
  <c r="H65"/>
  <c r="V88"/>
  <c r="I60"/>
  <c r="L60"/>
  <c r="K60"/>
  <c r="H60"/>
  <c r="D60"/>
  <c r="G60"/>
  <c r="P60"/>
  <c r="O60"/>
  <c r="N60"/>
  <c r="F60"/>
  <c r="M60"/>
  <c r="R60"/>
  <c r="C60"/>
  <c r="E60"/>
  <c r="Q60"/>
  <c r="J60"/>
  <c r="O28"/>
  <c r="F28"/>
  <c r="D28"/>
  <c r="H28"/>
  <c r="G28"/>
  <c r="N28"/>
  <c r="K28"/>
  <c r="L28"/>
  <c r="I28"/>
  <c r="J28"/>
  <c r="E28"/>
  <c r="C28"/>
  <c r="M28"/>
  <c r="P28"/>
  <c r="E53"/>
  <c r="J53"/>
  <c r="D53"/>
  <c r="L53"/>
  <c r="G53"/>
  <c r="I53"/>
  <c r="R53"/>
  <c r="V81"/>
  <c r="F53"/>
  <c r="N53"/>
  <c r="K53"/>
  <c r="H53"/>
  <c r="P53"/>
  <c r="O53"/>
  <c r="Q53"/>
  <c r="M53"/>
  <c r="C53"/>
  <c r="V76"/>
  <c r="E48"/>
  <c r="C48"/>
  <c r="N48"/>
  <c r="I48"/>
  <c r="Q48"/>
  <c r="M48"/>
  <c r="L48"/>
  <c r="H48"/>
  <c r="J48"/>
  <c r="D48"/>
  <c r="K48"/>
  <c r="R48"/>
  <c r="P48"/>
  <c r="G48"/>
  <c r="O48"/>
  <c r="F48"/>
  <c r="G64"/>
  <c r="J64"/>
  <c r="C64"/>
  <c r="V92"/>
  <c r="O64"/>
  <c r="E64"/>
  <c r="L64"/>
  <c r="I64"/>
  <c r="K64"/>
  <c r="Q64"/>
  <c r="N64"/>
  <c r="D64"/>
  <c r="R64"/>
  <c r="P64"/>
  <c r="F64"/>
  <c r="H64"/>
  <c r="M64"/>
  <c r="N55"/>
  <c r="D55"/>
  <c r="K55"/>
  <c r="E55"/>
  <c r="G55"/>
  <c r="O55"/>
  <c r="F55"/>
  <c r="M55"/>
  <c r="R55"/>
  <c r="V83"/>
  <c r="P55"/>
  <c r="I55"/>
  <c r="H55"/>
  <c r="J55"/>
  <c r="Q55"/>
  <c r="C55"/>
  <c r="L55"/>
  <c r="B44"/>
  <c r="V72"/>
  <c r="O44"/>
  <c r="G44"/>
  <c r="L44"/>
  <c r="H44"/>
  <c r="I44"/>
  <c r="K44"/>
  <c r="E44"/>
  <c r="P44"/>
  <c r="R44"/>
  <c r="N44"/>
  <c r="J44"/>
  <c r="F44"/>
  <c r="M44"/>
  <c r="D44"/>
  <c r="C44"/>
  <c r="Q44"/>
  <c r="J47"/>
  <c r="F47"/>
  <c r="M47"/>
  <c r="E47"/>
  <c r="O47"/>
  <c r="C47"/>
  <c r="V75"/>
  <c r="N47"/>
  <c r="P47"/>
  <c r="K47"/>
  <c r="D47"/>
  <c r="R47"/>
  <c r="H47"/>
  <c r="L47"/>
  <c r="I47"/>
  <c r="Q47"/>
  <c r="G47"/>
  <c r="E58"/>
  <c r="P58"/>
  <c r="R58"/>
  <c r="Q58"/>
  <c r="V86"/>
  <c r="O58"/>
  <c r="C58"/>
  <c r="I58"/>
  <c r="J58"/>
  <c r="L58"/>
  <c r="K58"/>
  <c r="F58"/>
  <c r="M58"/>
  <c r="D58"/>
  <c r="N58"/>
  <c r="G58"/>
  <c r="H58"/>
  <c r="R57"/>
  <c r="D57"/>
  <c r="J57"/>
  <c r="G57"/>
  <c r="Q57"/>
  <c r="F57"/>
  <c r="M57"/>
  <c r="O57"/>
  <c r="I57"/>
  <c r="P57"/>
  <c r="N57"/>
  <c r="K57"/>
  <c r="V85"/>
  <c r="H57"/>
  <c r="L57"/>
  <c r="C57"/>
  <c r="E57"/>
  <c r="I15"/>
  <c r="E15"/>
  <c r="C15"/>
  <c r="B51"/>
  <c r="R15"/>
  <c r="N15"/>
  <c r="H15"/>
  <c r="D15"/>
  <c r="B61"/>
  <c r="B68"/>
  <c r="B50"/>
  <c r="B28"/>
  <c r="B52"/>
  <c r="M33"/>
  <c r="H11"/>
  <c r="P11"/>
  <c r="G11"/>
  <c r="D11"/>
  <c r="C11"/>
  <c r="B11"/>
  <c r="O11"/>
  <c r="L11"/>
  <c r="K11"/>
  <c r="M11"/>
  <c r="R11"/>
  <c r="J11"/>
  <c r="Q11"/>
  <c r="E11"/>
  <c r="N11"/>
  <c r="F11"/>
  <c r="I11"/>
  <c r="D18"/>
  <c r="L18"/>
  <c r="K18"/>
  <c r="P18"/>
  <c r="G18"/>
  <c r="C18"/>
  <c r="F18"/>
  <c r="H18"/>
  <c r="E18"/>
  <c r="M18"/>
  <c r="J18"/>
  <c r="R18"/>
  <c r="B18"/>
  <c r="N18"/>
  <c r="I18"/>
  <c r="Q18"/>
  <c r="O18"/>
  <c r="D35"/>
  <c r="K35"/>
  <c r="L35"/>
  <c r="P35"/>
  <c r="C35"/>
  <c r="I35"/>
  <c r="O35"/>
  <c r="J35"/>
  <c r="B35"/>
  <c r="H35"/>
  <c r="R35"/>
  <c r="Q35"/>
  <c r="E35"/>
  <c r="F35"/>
  <c r="G35"/>
  <c r="N35"/>
  <c r="M35"/>
  <c r="L16"/>
  <c r="D16"/>
  <c r="K16"/>
  <c r="C16"/>
  <c r="O16"/>
  <c r="B16"/>
  <c r="H16"/>
  <c r="F16"/>
  <c r="G16"/>
  <c r="P16"/>
  <c r="I16"/>
  <c r="Q16"/>
  <c r="J16"/>
  <c r="R16"/>
  <c r="E16"/>
  <c r="M16"/>
  <c r="N16"/>
  <c r="D17"/>
  <c r="K17"/>
  <c r="L17"/>
  <c r="N17"/>
  <c r="P17"/>
  <c r="Q17"/>
  <c r="E17"/>
  <c r="H17"/>
  <c r="M17"/>
  <c r="R17"/>
  <c r="B17"/>
  <c r="I17"/>
  <c r="J17"/>
  <c r="G17"/>
  <c r="C17"/>
  <c r="O17"/>
  <c r="F17"/>
  <c r="L37"/>
  <c r="K37"/>
  <c r="D37"/>
  <c r="J37"/>
  <c r="G37"/>
  <c r="O37"/>
  <c r="H37"/>
  <c r="F37"/>
  <c r="C37"/>
  <c r="P37"/>
  <c r="M37"/>
  <c r="B37"/>
  <c r="N37"/>
  <c r="I37"/>
  <c r="R37"/>
  <c r="Q37"/>
  <c r="E37"/>
  <c r="K10"/>
  <c r="L10"/>
  <c r="D10"/>
  <c r="C10"/>
  <c r="I10"/>
  <c r="Q10"/>
  <c r="J10"/>
  <c r="P10"/>
  <c r="M10"/>
  <c r="H10"/>
  <c r="N10"/>
  <c r="O10"/>
  <c r="B10"/>
  <c r="F10"/>
  <c r="R10"/>
  <c r="G10"/>
  <c r="E10"/>
  <c r="J33"/>
  <c r="R33"/>
  <c r="O33"/>
  <c r="N33"/>
  <c r="P33"/>
  <c r="B33"/>
  <c r="G33"/>
  <c r="E33"/>
  <c r="I33"/>
  <c r="H33"/>
  <c r="Q33"/>
  <c r="F33"/>
  <c r="L7"/>
  <c r="D7"/>
  <c r="C7"/>
  <c r="G7"/>
  <c r="O7"/>
  <c r="J7"/>
  <c r="B7"/>
  <c r="N7"/>
  <c r="M7"/>
  <c r="H7"/>
  <c r="F7"/>
  <c r="I7"/>
  <c r="Q7"/>
  <c r="R7"/>
  <c r="E7"/>
  <c r="P7"/>
  <c r="V2" i="5"/>
  <c r="O2" i="8" s="1"/>
  <c r="T2" i="5"/>
  <c r="U2"/>
  <c r="S2"/>
  <c r="T2" i="15" l="1"/>
  <c r="T3" i="5"/>
  <c r="S3"/>
  <c r="V3"/>
  <c r="U3"/>
  <c r="Q44" i="21"/>
  <c r="I44"/>
  <c r="G44"/>
  <c r="O44"/>
  <c r="H44"/>
  <c r="K44"/>
  <c r="N44"/>
  <c r="C44"/>
  <c r="D44"/>
  <c r="M44"/>
  <c r="P44"/>
  <c r="F44"/>
  <c r="R44"/>
  <c r="L44"/>
  <c r="J44"/>
  <c r="E44"/>
  <c r="B43"/>
  <c r="G45"/>
  <c r="O45"/>
  <c r="L45"/>
  <c r="P45"/>
  <c r="F45"/>
  <c r="Q45"/>
  <c r="M45"/>
  <c r="C45"/>
  <c r="I45"/>
  <c r="E45"/>
  <c r="N45"/>
  <c r="J45"/>
  <c r="D45"/>
  <c r="H45"/>
  <c r="K45"/>
  <c r="R45"/>
  <c r="U2" i="15"/>
  <c r="V2"/>
  <c r="S2"/>
  <c r="H2" i="8"/>
  <c r="G2"/>
  <c r="K2"/>
  <c r="D2"/>
  <c r="L2"/>
  <c r="I2"/>
  <c r="C2"/>
  <c r="P2"/>
  <c r="M2"/>
  <c r="N2"/>
  <c r="E2"/>
  <c r="B2"/>
  <c r="Q2"/>
  <c r="F2"/>
  <c r="J2"/>
  <c r="R2"/>
  <c r="B5" l="1"/>
  <c r="G5"/>
  <c r="K5"/>
  <c r="O5"/>
  <c r="C5"/>
  <c r="F5"/>
  <c r="D5"/>
  <c r="E5"/>
  <c r="J5"/>
  <c r="H5"/>
  <c r="I5"/>
  <c r="N5"/>
  <c r="L5"/>
  <c r="M5"/>
  <c r="R5"/>
  <c r="P5"/>
  <c r="Q5"/>
  <c r="R43" i="21"/>
  <c r="D43"/>
  <c r="I43"/>
  <c r="G43"/>
  <c r="Q43"/>
  <c r="L43"/>
  <c r="M43"/>
  <c r="K43"/>
  <c r="J43"/>
  <c r="P43"/>
  <c r="N43"/>
  <c r="H43"/>
  <c r="E43"/>
  <c r="F43"/>
  <c r="C43"/>
  <c r="O43"/>
  <c r="S43" l="1"/>
  <c r="V43"/>
  <c r="T43"/>
  <c r="U43"/>
</calcChain>
</file>

<file path=xl/sharedStrings.xml><?xml version="1.0" encoding="utf-8"?>
<sst xmlns="http://schemas.openxmlformats.org/spreadsheetml/2006/main" count="823" uniqueCount="221">
  <si>
    <t>Total Capacity</t>
  </si>
  <si>
    <t>Renewable</t>
  </si>
  <si>
    <t>Hydro</t>
  </si>
  <si>
    <t>Oil</t>
  </si>
  <si>
    <t>Natural Gas</t>
  </si>
  <si>
    <t>Nuclear</t>
  </si>
  <si>
    <t>Coal</t>
  </si>
  <si>
    <t>Total Assets</t>
  </si>
  <si>
    <t>Operating Expense</t>
  </si>
  <si>
    <t>Energy Operating Revenue</t>
  </si>
  <si>
    <t>Turbine</t>
  </si>
  <si>
    <t>T and D Services</t>
  </si>
  <si>
    <t>T and D Equipment</t>
  </si>
  <si>
    <t>Professional Services</t>
  </si>
  <si>
    <t>Other</t>
  </si>
  <si>
    <t>Nuclear Systems</t>
  </si>
  <si>
    <t>Mechanical Equipment</t>
  </si>
  <si>
    <t>Lubricants and Fuel (non-Gen)</t>
  </si>
  <si>
    <t>Instrumentation and Control</t>
  </si>
  <si>
    <t>Information Technology</t>
  </si>
  <si>
    <t>Industrial Parts and Supplies (MRO)</t>
  </si>
  <si>
    <t>Human Resources</t>
  </si>
  <si>
    <t>Fleet and Vehicles</t>
  </si>
  <si>
    <t>Facilities</t>
  </si>
  <si>
    <t>Environmental - Pollution Control</t>
  </si>
  <si>
    <t>Electrical Equipment</t>
  </si>
  <si>
    <t>Corporate</t>
  </si>
  <si>
    <t>Construction and Maintenance</t>
  </si>
  <si>
    <t>Chemicals</t>
  </si>
  <si>
    <t>Boilers</t>
  </si>
  <si>
    <t>Top 5</t>
  </si>
  <si>
    <t>Top 15</t>
  </si>
  <si>
    <t>Top 25</t>
  </si>
  <si>
    <t>Diversity</t>
  </si>
  <si>
    <t>Transactions</t>
  </si>
  <si>
    <t>Q1</t>
  </si>
  <si>
    <t>Q2</t>
  </si>
  <si>
    <t>Q3</t>
  </si>
  <si>
    <t>Q4</t>
  </si>
  <si>
    <t>Spend</t>
  </si>
  <si>
    <t>EFH</t>
  </si>
  <si>
    <t>Duke</t>
  </si>
  <si>
    <t>DTE</t>
  </si>
  <si>
    <t>ConEd</t>
  </si>
  <si>
    <t>APS</t>
  </si>
  <si>
    <t>Ameren</t>
  </si>
  <si>
    <t>Mining Equipment and Services</t>
  </si>
  <si>
    <t>FirstEnergy</t>
  </si>
  <si>
    <t>-</t>
  </si>
  <si>
    <t>KCP&amp;L</t>
  </si>
  <si>
    <t>NRG</t>
  </si>
  <si>
    <t>NV Energy</t>
  </si>
  <si>
    <t>PSEG</t>
  </si>
  <si>
    <t>PG&amp;E</t>
  </si>
  <si>
    <t>SCE</t>
  </si>
  <si>
    <t>TVA</t>
  </si>
  <si>
    <t>Government and Regulatory</t>
  </si>
  <si>
    <t>Total</t>
  </si>
  <si>
    <t>Min</t>
  </si>
  <si>
    <t>Max</t>
  </si>
  <si>
    <t>Median</t>
  </si>
  <si>
    <t>Coal MW</t>
  </si>
  <si>
    <t>Nuclear MW</t>
  </si>
  <si>
    <t>Natural Gas MW</t>
  </si>
  <si>
    <t>Oil MW</t>
  </si>
  <si>
    <t>Hydro MW</t>
  </si>
  <si>
    <t>Renewable MW</t>
  </si>
  <si>
    <t>Total Capacity MW</t>
  </si>
  <si>
    <t>Coal MWh</t>
  </si>
  <si>
    <t>Nuclear MWh</t>
  </si>
  <si>
    <t>Natural Gas MWh</t>
  </si>
  <si>
    <t>Oil MWh</t>
  </si>
  <si>
    <t>Hydro MWh</t>
  </si>
  <si>
    <t>Renewable MWh</t>
  </si>
  <si>
    <t>Total Production MWh</t>
  </si>
  <si>
    <t>Percentage of Total Spend</t>
  </si>
  <si>
    <t>Spend/Transaction</t>
  </si>
  <si>
    <t>Top 25 % of total</t>
  </si>
  <si>
    <t>Top 15 % of total</t>
  </si>
  <si>
    <t>Top 5 % of total</t>
  </si>
  <si>
    <t>Average</t>
  </si>
  <si>
    <t>Spend/Suppliers</t>
  </si>
  <si>
    <t>Spend per Customer</t>
  </si>
  <si>
    <t>Spend per Employee</t>
  </si>
  <si>
    <t>Spend per Sales (MWh)</t>
  </si>
  <si>
    <t>Percentage of Spend</t>
  </si>
  <si>
    <t>Percentage of Suppliers</t>
  </si>
  <si>
    <t>Transaction/Supplier</t>
  </si>
  <si>
    <t>20% Spend</t>
  </si>
  <si>
    <t>80% Spend</t>
  </si>
  <si>
    <t># suppliers 20% Spend</t>
  </si>
  <si>
    <t># suppliers 80% Spend</t>
  </si>
  <si>
    <t># Suppliers for 80%</t>
  </si>
  <si>
    <t># Suppliers for 20%</t>
  </si>
  <si>
    <t>BC Hydro</t>
  </si>
  <si>
    <t>LCRA</t>
  </si>
  <si>
    <t>NB Power</t>
  </si>
  <si>
    <t>Capital</t>
  </si>
  <si>
    <t>O&amp;M</t>
  </si>
  <si>
    <t>OTHER</t>
  </si>
  <si>
    <t>PO</t>
  </si>
  <si>
    <t>Pcard</t>
  </si>
  <si>
    <t>Contract</t>
  </si>
  <si>
    <t>PCARD</t>
  </si>
  <si>
    <t>O&amp;M Percent of Total</t>
  </si>
  <si>
    <t>Capital Percent of Total</t>
  </si>
  <si>
    <t>O&amp;M Percent of Operating Expense</t>
  </si>
  <si>
    <t>Freight and Logistics</t>
  </si>
  <si>
    <t>Gen Fuel Power and Utilities</t>
  </si>
  <si>
    <t>Engineering and Technical Services</t>
  </si>
  <si>
    <t>Oil and Gas Services</t>
  </si>
  <si>
    <t>PO Spend</t>
  </si>
  <si>
    <t>Number of Pos</t>
  </si>
  <si>
    <t>PO Line Spend</t>
  </si>
  <si>
    <t>PO from line</t>
  </si>
  <si>
    <t># PO/Transactions</t>
  </si>
  <si>
    <t>O&amp;M Percent of Total Assets</t>
  </si>
  <si>
    <t>Spend per Transaction</t>
  </si>
  <si>
    <t>Q4 % Spend</t>
  </si>
  <si>
    <t>Q3 % Spend</t>
  </si>
  <si>
    <t>Q2 % Spend</t>
  </si>
  <si>
    <t>Q1 % Spend</t>
  </si>
  <si>
    <t>Q4 % Suppliers</t>
  </si>
  <si>
    <t>Q3 % Suppliers</t>
  </si>
  <si>
    <t>Q2 % Suppliers</t>
  </si>
  <si>
    <t>Q1 % Suppliers</t>
  </si>
  <si>
    <t>Total Suppliers</t>
  </si>
  <si>
    <t>Total Spend</t>
  </si>
  <si>
    <t>Bulk Chemicals</t>
  </si>
  <si>
    <t>Lime (Hydrated Lime)</t>
  </si>
  <si>
    <t>Bulk Gases</t>
  </si>
  <si>
    <t>Water Treatment Chemicals</t>
  </si>
  <si>
    <t>Cylinder (Bottled) Gases</t>
  </si>
  <si>
    <t>Additives</t>
  </si>
  <si>
    <t>CEMS (Protocol) Gases</t>
  </si>
  <si>
    <t>Limestone</t>
  </si>
  <si>
    <t>Bulk Powders</t>
  </si>
  <si>
    <t>Wastewater Treatment</t>
  </si>
  <si>
    <t>Fuel</t>
  </si>
  <si>
    <t>Lubricants Oils and Greases</t>
  </si>
  <si>
    <t>ROA</t>
  </si>
  <si>
    <t>ROS</t>
  </si>
  <si>
    <t>ASSETS</t>
  </si>
  <si>
    <t xml:space="preserve">     Other</t>
  </si>
  <si>
    <t xml:space="preserve">     Total</t>
  </si>
  <si>
    <t xml:space="preserve">     In service</t>
  </si>
  <si>
    <t xml:space="preserve">     Less - Accumulated provision for depreciation</t>
  </si>
  <si>
    <t xml:space="preserve">     Total before construction work in progress</t>
  </si>
  <si>
    <t xml:space="preserve">     Construction work in progress</t>
  </si>
  <si>
    <t xml:space="preserve">   INVESTMENTS</t>
  </si>
  <si>
    <t xml:space="preserve">     Nuclear plant decommissioning trusts</t>
  </si>
  <si>
    <t xml:space="preserve">     Investments in lease obligation bonds</t>
  </si>
  <si>
    <t xml:space="preserve">   Total</t>
  </si>
  <si>
    <t>LIABILITIES AND CAPITALIZATION</t>
  </si>
  <si>
    <t xml:space="preserve">     Accounts payable</t>
  </si>
  <si>
    <t xml:space="preserve">     Accrued taxes</t>
  </si>
  <si>
    <t xml:space="preserve">     Accrued compensation and benefits</t>
  </si>
  <si>
    <t>REVENUES</t>
  </si>
  <si>
    <t>OPERATING EXPENSES</t>
  </si>
  <si>
    <t>OPERATING INCOME</t>
  </si>
  <si>
    <t>Gas</t>
  </si>
  <si>
    <t>Steam</t>
  </si>
  <si>
    <t>Taxes</t>
  </si>
  <si>
    <t>Depreciation</t>
  </si>
  <si>
    <t>Electric utilities</t>
  </si>
  <si>
    <t>Unregulated businesses</t>
  </si>
  <si>
    <t xml:space="preserve"> Total revenues</t>
  </si>
  <si>
    <t>Purchased power</t>
  </si>
  <si>
    <t>COMPREHENSIVE INCOME</t>
  </si>
  <si>
    <t xml:space="preserve">NET INCOME </t>
  </si>
  <si>
    <t xml:space="preserve">   PROPERTY</t>
  </si>
  <si>
    <t xml:space="preserve">     Electric</t>
  </si>
  <si>
    <t xml:space="preserve">     Gas</t>
  </si>
  <si>
    <t xml:space="preserve">     Steam</t>
  </si>
  <si>
    <t xml:space="preserve">     General</t>
  </si>
  <si>
    <t xml:space="preserve">     TOTAL</t>
  </si>
  <si>
    <t xml:space="preserve">     Less - Accumulated depreciation</t>
  </si>
  <si>
    <t xml:space="preserve">     Net</t>
  </si>
  <si>
    <t xml:space="preserve">     NET UTILITY PLANT</t>
  </si>
  <si>
    <t xml:space="preserve">     Accrued wages</t>
  </si>
  <si>
    <t>Accounts and Wages Payable</t>
  </si>
  <si>
    <t>O&amp;M/Operating Expense</t>
  </si>
  <si>
    <t>SC/O&amp;M</t>
  </si>
  <si>
    <t>Spend/Operating Expense</t>
  </si>
  <si>
    <t>Fuel/Operating Expense</t>
  </si>
  <si>
    <t>Purchased Power/Operating Expense</t>
  </si>
  <si>
    <t>TD</t>
  </si>
  <si>
    <t>OM</t>
  </si>
  <si>
    <t>Spend %</t>
  </si>
  <si>
    <t>Spend Size</t>
  </si>
  <si>
    <t>T&amp;D Services</t>
  </si>
  <si>
    <t>Capacity Size</t>
  </si>
  <si>
    <t xml:space="preserve">Total Capacity </t>
  </si>
  <si>
    <t>2012 Spend</t>
  </si>
  <si>
    <t>Spend with Top 25 Suppliers</t>
  </si>
  <si>
    <t>Spend with Top 15 Suppliers</t>
  </si>
  <si>
    <t>Spend with Top 5 Suppliers</t>
  </si>
  <si>
    <t># Suppliers for 80% Spend</t>
  </si>
  <si>
    <t># Suppliers for 20% Spend</t>
  </si>
  <si>
    <t>SUPPLIER DATA</t>
  </si>
  <si>
    <t>PURCHASING TYPE</t>
  </si>
  <si>
    <t>CATEGORIES</t>
  </si>
  <si>
    <t>Spend / Total Assets</t>
  </si>
  <si>
    <t>Spend / Operating Expense</t>
  </si>
  <si>
    <t>Spend / Energy Operating Revenue</t>
  </si>
  <si>
    <t>Net (Operating Rev - Operating Exp)</t>
  </si>
  <si>
    <t>Energy Operating Revenue (SNL)</t>
  </si>
  <si>
    <t>Operating Expense (SNL)</t>
  </si>
  <si>
    <t>Total Assets (SNL)</t>
  </si>
  <si>
    <t>Customers (Annual Report/Site)</t>
  </si>
  <si>
    <t>Electric Sales MWh  (Annual Report/Site)</t>
  </si>
  <si>
    <t>Employees  (Annual Report/Site)</t>
  </si>
  <si>
    <t>PLANT PROFILE - SNL DATA</t>
  </si>
  <si>
    <t>SPEND TYPE (INCOMPLETE)</t>
  </si>
  <si>
    <t>COMPANY DATA</t>
  </si>
  <si>
    <t>Percentage of Total Suppliers</t>
  </si>
  <si>
    <t>Assets</t>
  </si>
  <si>
    <t>Employees</t>
  </si>
  <si>
    <t>Customers</t>
  </si>
  <si>
    <t xml:space="preserve">Energy Operating Revenue </t>
  </si>
  <si>
    <t>Electric Sales MWh</t>
  </si>
</sst>
</file>

<file path=xl/styles.xml><?xml version="1.0" encoding="utf-8"?>
<styleSheet xmlns="http://schemas.openxmlformats.org/spreadsheetml/2006/main">
  <numFmts count="9">
    <numFmt numFmtId="8" formatCode="&quot;$&quot;#,##0.00_);[Red]\(&quot;$&quot;#,##0.00\)"/>
    <numFmt numFmtId="164" formatCode="#,##0;\(#,##0\)"/>
    <numFmt numFmtId="165" formatCode="#,##0.0;\(#,##0.0\)"/>
    <numFmt numFmtId="166" formatCode="&quot;$&quot;#,##0"/>
    <numFmt numFmtId="167" formatCode="&quot;$&quot;#,##0.00"/>
    <numFmt numFmtId="168" formatCode="0.0000"/>
    <numFmt numFmtId="169" formatCode="0.0"/>
    <numFmt numFmtId="170" formatCode="0.0%"/>
    <numFmt numFmtId="171" formatCode="_([$$-409]* #,##0.00_);_([$$-409]* \(#,##0.00\);_([$$-409]* &quot;-&quot;??_);_(@_)"/>
  </numFmts>
  <fonts count="24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555555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555555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62"/>
        <bgColor indexed="10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2" fillId="0" borderId="0" applyNumberFormat="0" applyFill="0" applyBorder="0" applyProtection="0">
      <alignment wrapText="1"/>
    </xf>
    <xf numFmtId="0" fontId="2" fillId="0" borderId="0" applyNumberFormat="0" applyFill="0" applyBorder="0" applyProtection="0">
      <alignment horizontal="justify" vertical="top" wrapText="1"/>
    </xf>
    <xf numFmtId="0" fontId="2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Protection="0">
      <alignment horizontal="center"/>
    </xf>
    <xf numFmtId="0" fontId="8" fillId="3" borderId="0" applyNumberFormat="0" applyBorder="0" applyAlignment="0" applyProtection="0"/>
    <xf numFmtId="0" fontId="2" fillId="0" borderId="0" applyNumberFormat="0" applyFont="0" applyFill="0" applyBorder="0" applyProtection="0">
      <alignment horizontal="right"/>
    </xf>
    <xf numFmtId="0" fontId="2" fillId="0" borderId="0" applyNumberFormat="0" applyFont="0" applyFill="0" applyBorder="0" applyProtection="0">
      <alignment horizontal="lef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4" borderId="0" applyNumberFormat="0" applyFont="0" applyBorder="0" applyAlignment="0" applyProtection="0"/>
    <xf numFmtId="168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1" applyNumberFormat="0" applyFont="0" applyFill="0" applyAlignment="0" applyProtection="0"/>
    <xf numFmtId="0" fontId="14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3" fontId="0" fillId="0" borderId="0" xfId="0" applyNumberFormat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Alignment="1">
      <alignment horizontal="right" wrapText="1"/>
    </xf>
    <xf numFmtId="165" fontId="1" fillId="0" borderId="0" xfId="0" applyNumberFormat="1" applyFont="1" applyAlignment="1">
      <alignment horizontal="right" wrapText="1"/>
    </xf>
    <xf numFmtId="166" fontId="0" fillId="0" borderId="0" xfId="0" applyNumberFormat="1"/>
    <xf numFmtId="0" fontId="0" fillId="0" borderId="0" xfId="0" applyAlignment="1">
      <alignment horizontal="left"/>
    </xf>
    <xf numFmtId="3" fontId="1" fillId="0" borderId="0" xfId="0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167" fontId="0" fillId="0" borderId="0" xfId="0" applyNumberFormat="1"/>
    <xf numFmtId="1" fontId="0" fillId="0" borderId="0" xfId="0" applyNumberFormat="1"/>
    <xf numFmtId="3" fontId="1" fillId="0" borderId="0" xfId="0" applyNumberFormat="1" applyFont="1" applyFill="1" applyBorder="1" applyAlignment="1">
      <alignment horizontal="right"/>
    </xf>
    <xf numFmtId="165" fontId="0" fillId="0" borderId="0" xfId="0" applyNumberFormat="1"/>
    <xf numFmtId="17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70" fontId="0" fillId="0" borderId="0" xfId="0" applyNumberFormat="1" applyFont="1"/>
    <xf numFmtId="9" fontId="0" fillId="0" borderId="0" xfId="0" applyNumberFormat="1" applyFont="1"/>
    <xf numFmtId="166" fontId="0" fillId="0" borderId="0" xfId="0" applyNumberFormat="1" applyFont="1"/>
    <xf numFmtId="170" fontId="2" fillId="0" borderId="0" xfId="0" applyNumberFormat="1" applyFont="1" applyBorder="1" applyAlignment="1">
      <alignment horizontal="right"/>
    </xf>
    <xf numFmtId="166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/>
    <xf numFmtId="2" fontId="0" fillId="0" borderId="0" xfId="0" applyNumberFormat="1"/>
    <xf numFmtId="169" fontId="0" fillId="0" borderId="0" xfId="0" applyNumberFormat="1" applyFont="1"/>
    <xf numFmtId="8" fontId="0" fillId="0" borderId="0" xfId="0" applyNumberFormat="1"/>
    <xf numFmtId="3" fontId="0" fillId="0" borderId="0" xfId="0" applyNumberFormat="1" applyAlignment="1">
      <alignment wrapText="1"/>
    </xf>
    <xf numFmtId="4" fontId="0" fillId="0" borderId="0" xfId="0" applyNumberFormat="1"/>
    <xf numFmtId="2" fontId="0" fillId="0" borderId="0" xfId="0" applyNumberFormat="1" applyAlignment="1">
      <alignment wrapText="1"/>
    </xf>
    <xf numFmtId="8" fontId="12" fillId="0" borderId="0" xfId="0" applyNumberFormat="1" applyFont="1" applyBorder="1"/>
    <xf numFmtId="170" fontId="2" fillId="0" borderId="0" xfId="0" applyNumberFormat="1" applyFont="1" applyFill="1" applyBorder="1" applyAlignment="1">
      <alignment horizontal="right"/>
    </xf>
    <xf numFmtId="167" fontId="1" fillId="0" borderId="0" xfId="0" applyNumberFormat="1" applyFont="1" applyBorder="1" applyAlignment="1">
      <alignment horizontal="left"/>
    </xf>
    <xf numFmtId="3" fontId="13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NumberFormat="1"/>
    <xf numFmtId="1" fontId="2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10" fontId="0" fillId="0" borderId="0" xfId="0" applyNumberFormat="1" applyFont="1"/>
    <xf numFmtId="0" fontId="1" fillId="0" borderId="0" xfId="0" applyFont="1"/>
    <xf numFmtId="37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3" fontId="14" fillId="0" borderId="0" xfId="21" applyNumberFormat="1" applyAlignment="1" applyProtection="1"/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166" fontId="1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70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167" fontId="0" fillId="0" borderId="0" xfId="0" applyNumberFormat="1" applyFont="1"/>
    <xf numFmtId="3" fontId="0" fillId="0" borderId="0" xfId="0" applyNumberFormat="1" applyFont="1"/>
    <xf numFmtId="2" fontId="0" fillId="0" borderId="0" xfId="0" applyNumberFormat="1" applyFont="1"/>
    <xf numFmtId="4" fontId="0" fillId="0" borderId="0" xfId="0" applyNumberFormat="1" applyFont="1"/>
    <xf numFmtId="8" fontId="0" fillId="0" borderId="0" xfId="0" applyNumberFormat="1" applyFont="1"/>
    <xf numFmtId="0" fontId="15" fillId="0" borderId="0" xfId="0" applyFont="1"/>
    <xf numFmtId="3" fontId="15" fillId="0" borderId="0" xfId="0" applyNumberFormat="1" applyFont="1"/>
    <xf numFmtId="166" fontId="15" fillId="0" borderId="0" xfId="0" applyNumberFormat="1" applyFont="1"/>
    <xf numFmtId="2" fontId="15" fillId="0" borderId="0" xfId="0" applyNumberFormat="1" applyFont="1"/>
    <xf numFmtId="4" fontId="15" fillId="0" borderId="0" xfId="0" applyNumberFormat="1" applyFont="1"/>
    <xf numFmtId="2" fontId="15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166" fontId="15" fillId="0" borderId="0" xfId="0" applyNumberFormat="1" applyFont="1" applyAlignment="1">
      <alignment wrapText="1"/>
    </xf>
    <xf numFmtId="167" fontId="15" fillId="0" borderId="0" xfId="0" applyNumberFormat="1" applyFont="1" applyAlignment="1"/>
    <xf numFmtId="0" fontId="15" fillId="0" borderId="0" xfId="0" applyFont="1" applyAlignment="1"/>
    <xf numFmtId="3" fontId="15" fillId="0" borderId="0" xfId="0" applyNumberFormat="1" applyFont="1" applyAlignment="1"/>
    <xf numFmtId="166" fontId="15" fillId="0" borderId="0" xfId="0" applyNumberFormat="1" applyFont="1" applyAlignment="1"/>
    <xf numFmtId="2" fontId="15" fillId="0" borderId="0" xfId="0" applyNumberFormat="1" applyFont="1" applyAlignment="1"/>
    <xf numFmtId="40" fontId="15" fillId="0" borderId="0" xfId="0" applyNumberFormat="1" applyFont="1" applyAlignment="1"/>
    <xf numFmtId="4" fontId="15" fillId="0" borderId="0" xfId="0" applyNumberFormat="1" applyFont="1" applyAlignment="1"/>
    <xf numFmtId="8" fontId="15" fillId="0" borderId="0" xfId="0" applyNumberFormat="1" applyFont="1" applyAlignment="1"/>
    <xf numFmtId="164" fontId="15" fillId="0" borderId="0" xfId="0" applyNumberFormat="1" applyFont="1" applyAlignment="1"/>
    <xf numFmtId="165" fontId="15" fillId="0" borderId="0" xfId="0" applyNumberFormat="1" applyFont="1" applyAlignment="1"/>
    <xf numFmtId="2" fontId="15" fillId="0" borderId="1" xfId="0" applyNumberFormat="1" applyFont="1" applyBorder="1" applyAlignment="1"/>
    <xf numFmtId="167" fontId="15" fillId="0" borderId="1" xfId="0" applyNumberFormat="1" applyFont="1" applyBorder="1" applyAlignment="1"/>
    <xf numFmtId="0" fontId="15" fillId="0" borderId="1" xfId="0" applyFont="1" applyBorder="1" applyAlignment="1"/>
    <xf numFmtId="166" fontId="15" fillId="0" borderId="1" xfId="0" applyNumberFormat="1" applyFont="1" applyBorder="1" applyAlignment="1"/>
    <xf numFmtId="166" fontId="15" fillId="0" borderId="1" xfId="0" applyNumberFormat="1" applyFont="1" applyBorder="1" applyAlignment="1">
      <alignment wrapText="1"/>
    </xf>
    <xf numFmtId="0" fontId="17" fillId="0" borderId="1" xfId="0" applyFont="1" applyBorder="1"/>
    <xf numFmtId="3" fontId="15" fillId="0" borderId="1" xfId="0" applyNumberFormat="1" applyFont="1" applyBorder="1" applyAlignment="1"/>
    <xf numFmtId="167" fontId="18" fillId="0" borderId="0" xfId="0" applyNumberFormat="1" applyFont="1" applyBorder="1" applyAlignment="1"/>
    <xf numFmtId="3" fontId="18" fillId="0" borderId="0" xfId="0" applyNumberFormat="1" applyFont="1" applyFill="1" applyBorder="1" applyAlignment="1"/>
    <xf numFmtId="3" fontId="18" fillId="0" borderId="0" xfId="0" applyNumberFormat="1" applyFont="1" applyBorder="1" applyAlignment="1"/>
    <xf numFmtId="3" fontId="0" fillId="0" borderId="1" xfId="0" applyNumberFormat="1" applyFont="1" applyBorder="1"/>
    <xf numFmtId="8" fontId="15" fillId="0" borderId="0" xfId="0" applyNumberFormat="1" applyFont="1" applyBorder="1" applyAlignment="1"/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64" fontId="18" fillId="0" borderId="0" xfId="0" applyNumberFormat="1" applyFont="1" applyAlignment="1">
      <alignment wrapText="1"/>
    </xf>
    <xf numFmtId="3" fontId="18" fillId="0" borderId="0" xfId="0" applyNumberFormat="1" applyFont="1" applyAlignment="1">
      <alignment wrapText="1"/>
    </xf>
    <xf numFmtId="0" fontId="20" fillId="0" borderId="0" xfId="0" applyFont="1" applyAlignment="1"/>
    <xf numFmtId="3" fontId="21" fillId="0" borderId="0" xfId="0" applyNumberFormat="1" applyFont="1" applyAlignment="1"/>
    <xf numFmtId="3" fontId="22" fillId="0" borderId="0" xfId="0" applyNumberFormat="1" applyFont="1" applyAlignment="1"/>
    <xf numFmtId="0" fontId="23" fillId="0" borderId="1" xfId="0" applyFont="1" applyFill="1" applyBorder="1" applyAlignment="1">
      <alignment horizontal="left"/>
    </xf>
    <xf numFmtId="164" fontId="18" fillId="0" borderId="1" xfId="0" applyNumberFormat="1" applyFont="1" applyBorder="1" applyAlignment="1">
      <alignment wrapText="1"/>
    </xf>
    <xf numFmtId="3" fontId="22" fillId="0" borderId="1" xfId="0" applyNumberFormat="1" applyFont="1" applyBorder="1" applyAlignment="1"/>
    <xf numFmtId="165" fontId="18" fillId="0" borderId="0" xfId="0" applyNumberFormat="1" applyFont="1" applyAlignment="1">
      <alignment wrapText="1"/>
    </xf>
    <xf numFmtId="0" fontId="15" fillId="0" borderId="0" xfId="0" applyFont="1" applyAlignment="1">
      <alignment horizontal="left"/>
    </xf>
    <xf numFmtId="170" fontId="18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170" fontId="18" fillId="0" borderId="0" xfId="0" applyNumberFormat="1" applyFont="1" applyBorder="1" applyAlignment="1">
      <alignment horizontal="right"/>
    </xf>
    <xf numFmtId="166" fontId="18" fillId="0" borderId="0" xfId="0" applyNumberFormat="1" applyFont="1" applyFill="1" applyBorder="1" applyAlignment="1">
      <alignment horizontal="right"/>
    </xf>
    <xf numFmtId="3" fontId="18" fillId="0" borderId="0" xfId="0" applyNumberFormat="1" applyFont="1" applyFill="1" applyBorder="1" applyAlignment="1">
      <alignment horizontal="right"/>
    </xf>
    <xf numFmtId="0" fontId="16" fillId="0" borderId="0" xfId="0" applyFont="1"/>
    <xf numFmtId="170" fontId="15" fillId="0" borderId="0" xfId="0" applyNumberFormat="1" applyFont="1"/>
    <xf numFmtId="0" fontId="16" fillId="0" borderId="0" xfId="0" applyFont="1" applyAlignment="1">
      <alignment horizontal="left"/>
    </xf>
    <xf numFmtId="9" fontId="15" fillId="0" borderId="0" xfId="0" applyNumberFormat="1" applyFont="1"/>
    <xf numFmtId="169" fontId="15" fillId="0" borderId="0" xfId="0" applyNumberFormat="1" applyFont="1"/>
    <xf numFmtId="10" fontId="15" fillId="0" borderId="0" xfId="0" applyNumberFormat="1" applyFont="1"/>
    <xf numFmtId="8" fontId="15" fillId="0" borderId="1" xfId="0" applyNumberFormat="1" applyFont="1" applyBorder="1" applyAlignment="1"/>
    <xf numFmtId="0" fontId="23" fillId="0" borderId="1" xfId="0" applyFont="1" applyBorder="1" applyAlignment="1">
      <alignment horizontal="left"/>
    </xf>
    <xf numFmtId="167" fontId="18" fillId="0" borderId="1" xfId="0" applyNumberFormat="1" applyFont="1" applyBorder="1" applyAlignment="1"/>
    <xf numFmtId="0" fontId="15" fillId="0" borderId="1" xfId="0" applyFont="1" applyBorder="1"/>
    <xf numFmtId="170" fontId="15" fillId="0" borderId="1" xfId="0" applyNumberFormat="1" applyFont="1" applyBorder="1"/>
    <xf numFmtId="166" fontId="15" fillId="0" borderId="1" xfId="0" applyNumberFormat="1" applyFont="1" applyBorder="1"/>
    <xf numFmtId="10" fontId="18" fillId="0" borderId="0" xfId="0" applyNumberFormat="1" applyFont="1" applyBorder="1" applyAlignment="1">
      <alignment horizontal="right"/>
    </xf>
    <xf numFmtId="38" fontId="0" fillId="0" borderId="0" xfId="0" applyNumberFormat="1" applyFont="1"/>
    <xf numFmtId="167" fontId="18" fillId="0" borderId="0" xfId="0" applyNumberFormat="1" applyFont="1" applyBorder="1" applyAlignment="1">
      <alignment horizontal="right"/>
    </xf>
    <xf numFmtId="3" fontId="18" fillId="0" borderId="0" xfId="0" applyNumberFormat="1" applyFont="1" applyBorder="1" applyAlignment="1">
      <alignment horizontal="right"/>
    </xf>
    <xf numFmtId="3" fontId="18" fillId="0" borderId="0" xfId="0" applyNumberFormat="1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71" fontId="0" fillId="0" borderId="0" xfId="0" applyNumberFormat="1"/>
  </cellXfs>
  <cellStyles count="22">
    <cellStyle name="HeadlineStyle" xfId="1"/>
    <cellStyle name="HeadlineStyleJustified" xfId="2"/>
    <cellStyle name="Hyperlink" xfId="21" builtinId="8"/>
    <cellStyle name="Normal" xfId="0" builtinId="0"/>
    <cellStyle name="Normal 2" xfId="3"/>
    <cellStyle name="Style 21" xfId="4"/>
    <cellStyle name="Style 22" xfId="5"/>
    <cellStyle name="Style 23" xfId="6"/>
    <cellStyle name="Style 24" xfId="7"/>
    <cellStyle name="Style 25" xfId="8"/>
    <cellStyle name="Style 26" xfId="9"/>
    <cellStyle name="Style 27" xfId="10"/>
    <cellStyle name="Style 28" xfId="11"/>
    <cellStyle name="Style 29" xfId="12"/>
    <cellStyle name="Style 30" xfId="13"/>
    <cellStyle name="Style 31" xfId="14"/>
    <cellStyle name="Style 32" xfId="15"/>
    <cellStyle name="Style 33" xfId="16"/>
    <cellStyle name="Style 34" xfId="17"/>
    <cellStyle name="Style 35" xfId="18"/>
    <cellStyle name="Style 36" xfId="19"/>
    <cellStyle name="Style 39" xfId="20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'Benchmarked Analysis'!$B$7:$R$7</c:f>
              <c:numCache>
                <c:formatCode>"$"#,##0</c:formatCode>
                <c:ptCount val="17"/>
                <c:pt idx="0">
                  <c:v>-21.334253334125872</c:v>
                </c:pt>
                <c:pt idx="1">
                  <c:v>-0.21677831781429546</c:v>
                </c:pt>
                <c:pt idx="2">
                  <c:v>-3.7383468199802437</c:v>
                </c:pt>
                <c:pt idx="3">
                  <c:v>11.277773932953387</c:v>
                </c:pt>
                <c:pt idx="4">
                  <c:v>11.756858791596642</c:v>
                </c:pt>
                <c:pt idx="5">
                  <c:v>-1.5597828815858392</c:v>
                </c:pt>
                <c:pt idx="6">
                  <c:v>-12.573720387786338</c:v>
                </c:pt>
                <c:pt idx="7">
                  <c:v>-3.1116435442330399</c:v>
                </c:pt>
                <c:pt idx="8">
                  <c:v>0.21677831781428836</c:v>
                </c:pt>
                <c:pt idx="10">
                  <c:v>30.324999465396118</c:v>
                </c:pt>
                <c:pt idx="11">
                  <c:v>58.140129381215871</c:v>
                </c:pt>
                <c:pt idx="12">
                  <c:v>-17.584937962008688</c:v>
                </c:pt>
                <c:pt idx="13">
                  <c:v>24.568711837389266</c:v>
                </c:pt>
                <c:pt idx="14">
                  <c:v>40.045998204715247</c:v>
                </c:pt>
                <c:pt idx="15">
                  <c:v>4.9827174657971511</c:v>
                </c:pt>
                <c:pt idx="16">
                  <c:v>-17.769644149239621</c:v>
                </c:pt>
              </c:numCache>
            </c:numRef>
          </c:xVal>
          <c:yVal>
            <c:numRef>
              <c:f>'Benchmarked Analysis'!$B$4:$R$4</c:f>
              <c:numCache>
                <c:formatCode>0%</c:formatCode>
                <c:ptCount val="17"/>
                <c:pt idx="0">
                  <c:v>-0.11460497613838655</c:v>
                </c:pt>
                <c:pt idx="1">
                  <c:v>8.6562204051147063E-2</c:v>
                </c:pt>
                <c:pt idx="2">
                  <c:v>0.11460812506660262</c:v>
                </c:pt>
                <c:pt idx="3">
                  <c:v>-0.10223069837368987</c:v>
                </c:pt>
                <c:pt idx="4">
                  <c:v>-9.4919640603232602E-2</c:v>
                </c:pt>
                <c:pt idx="5">
                  <c:v>0.12510779377750253</c:v>
                </c:pt>
                <c:pt idx="6">
                  <c:v>-8.8300034424712459E-2</c:v>
                </c:pt>
                <c:pt idx="7">
                  <c:v>-0.15222206497139473</c:v>
                </c:pt>
                <c:pt idx="8">
                  <c:v>0.2641813514987687</c:v>
                </c:pt>
                <c:pt idx="9">
                  <c:v>2.2475471271337533E-2</c:v>
                </c:pt>
                <c:pt idx="10">
                  <c:v>0.43859242528953651</c:v>
                </c:pt>
                <c:pt idx="11">
                  <c:v>0.29719549104964921</c:v>
                </c:pt>
                <c:pt idx="12">
                  <c:v>-0.14612366573917451</c:v>
                </c:pt>
                <c:pt idx="13">
                  <c:v>0</c:v>
                </c:pt>
                <c:pt idx="14">
                  <c:v>0.17273074013925577</c:v>
                </c:pt>
                <c:pt idx="15">
                  <c:v>-1.9882598309830357E-2</c:v>
                </c:pt>
                <c:pt idx="16">
                  <c:v>-8.0940714925174462E-2</c:v>
                </c:pt>
              </c:numCache>
            </c:numRef>
          </c:yVal>
        </c:ser>
        <c:axId val="97361920"/>
        <c:axId val="97363456"/>
      </c:scatterChart>
      <c:valAx>
        <c:axId val="97361920"/>
        <c:scaling>
          <c:orientation val="maxMin"/>
        </c:scaling>
        <c:axPos val="t"/>
        <c:numFmt formatCode="&quot;$&quot;#,##0" sourceLinked="1"/>
        <c:tickLblPos val="nextTo"/>
        <c:crossAx val="97363456"/>
        <c:crosses val="autoZero"/>
        <c:crossBetween val="midCat"/>
      </c:valAx>
      <c:valAx>
        <c:axId val="97363456"/>
        <c:scaling>
          <c:orientation val="maxMin"/>
        </c:scaling>
        <c:axPos val="r"/>
        <c:majorGridlines/>
        <c:numFmt formatCode="0%" sourceLinked="1"/>
        <c:tickLblPos val="nextTo"/>
        <c:crossAx val="97361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'Similiar Utilities Analysis'!$B$45:$R$45</c:f>
              <c:numCache>
                <c:formatCode>"$"#,##0</c:formatCode>
                <c:ptCount val="17"/>
                <c:pt idx="0">
                  <c:v>-309.25471489962115</c:v>
                </c:pt>
                <c:pt idx="1">
                  <c:v>256.54879765291537</c:v>
                </c:pt>
                <c:pt idx="2">
                  <c:v>215.23622764934214</c:v>
                </c:pt>
                <c:pt idx="3">
                  <c:v>-166.63011357291657</c:v>
                </c:pt>
                <c:pt idx="4">
                  <c:v>-79.422093899621245</c:v>
                </c:pt>
                <c:pt idx="5">
                  <c:v>303.2563125371754</c:v>
                </c:pt>
                <c:pt idx="6">
                  <c:v>209.20975537250013</c:v>
                </c:pt>
                <c:pt idx="7">
                  <c:v>523.03421602788455</c:v>
                </c:pt>
                <c:pt idx="8">
                  <c:v>826.01857115786936</c:v>
                </c:pt>
                <c:pt idx="9">
                  <c:v>-430.07627554204544</c:v>
                </c:pt>
                <c:pt idx="10">
                  <c:v>2428.4148168224774</c:v>
                </c:pt>
                <c:pt idx="11">
                  <c:v>1760.8460018541291</c:v>
                </c:pt>
                <c:pt idx="12">
                  <c:v>-364.4480921404766</c:v>
                </c:pt>
                <c:pt idx="13">
                  <c:v>-239.18521914920211</c:v>
                </c:pt>
                <c:pt idx="14">
                  <c:v>0</c:v>
                </c:pt>
                <c:pt idx="15">
                  <c:v>-54.735372649499936</c:v>
                </c:pt>
                <c:pt idx="16">
                  <c:v>-441.67613363527778</c:v>
                </c:pt>
              </c:numCache>
            </c:numRef>
          </c:xVal>
          <c:yVal>
            <c:numRef>
              <c:f>'Similiar Utilities Analysis'!$B$44:$R$44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</c:ser>
        <c:axId val="109234048"/>
        <c:axId val="109235584"/>
      </c:scatterChart>
      <c:valAx>
        <c:axId val="109234048"/>
        <c:scaling>
          <c:orientation val="maxMin"/>
        </c:scaling>
        <c:axPos val="b"/>
        <c:numFmt formatCode="&quot;$&quot;#,##0" sourceLinked="1"/>
        <c:tickLblPos val="nextTo"/>
        <c:crossAx val="109235584"/>
        <c:crosses val="autoZero"/>
        <c:crossBetween val="midCat"/>
      </c:valAx>
      <c:valAx>
        <c:axId val="109235584"/>
        <c:scaling>
          <c:orientation val="minMax"/>
        </c:scaling>
        <c:axPos val="r"/>
        <c:majorGridlines/>
        <c:numFmt formatCode="0%" sourceLinked="1"/>
        <c:tickLblPos val="nextTo"/>
        <c:crossAx val="1092340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'APS - Similiar Capacity MW'!$B$6:$F$6</c:f>
              <c:numCache>
                <c:formatCode>"$"#,##0</c:formatCode>
                <c:ptCount val="5"/>
                <c:pt idx="0">
                  <c:v>335.97089155253661</c:v>
                </c:pt>
                <c:pt idx="1">
                  <c:v>0</c:v>
                </c:pt>
                <c:pt idx="2">
                  <c:v>905.44066505749061</c:v>
                </c:pt>
                <c:pt idx="3">
                  <c:v>-350.65418164242419</c:v>
                </c:pt>
                <c:pt idx="4">
                  <c:v>-285.02599824085536</c:v>
                </c:pt>
              </c:numCache>
            </c:numRef>
          </c:xVal>
          <c:yVal>
            <c:numRef>
              <c:f>'APS - Similiar Capacity MW'!$B$5:$F$5</c:f>
              <c:numCache>
                <c:formatCode>0%</c:formatCode>
                <c:ptCount val="5"/>
                <c:pt idx="0">
                  <c:v>0.15690469617842495</c:v>
                </c:pt>
                <c:pt idx="1">
                  <c:v>-1.8519084194461577E-2</c:v>
                </c:pt>
                <c:pt idx="2">
                  <c:v>-0.13181567119298776</c:v>
                </c:pt>
                <c:pt idx="3">
                  <c:v>0</c:v>
                </c:pt>
                <c:pt idx="4">
                  <c:v>0.77516187087368982</c:v>
                </c:pt>
              </c:numCache>
            </c:numRef>
          </c:yVal>
        </c:ser>
        <c:axId val="104295424"/>
        <c:axId val="104305408"/>
      </c:scatterChart>
      <c:valAx>
        <c:axId val="104295424"/>
        <c:scaling>
          <c:orientation val="maxMin"/>
        </c:scaling>
        <c:axPos val="b"/>
        <c:numFmt formatCode="&quot;$&quot;#,##0" sourceLinked="1"/>
        <c:tickLblPos val="nextTo"/>
        <c:crossAx val="104305408"/>
        <c:crosses val="autoZero"/>
        <c:crossBetween val="midCat"/>
      </c:valAx>
      <c:valAx>
        <c:axId val="104305408"/>
        <c:scaling>
          <c:orientation val="minMax"/>
        </c:scaling>
        <c:axPos val="r"/>
        <c:majorGridlines/>
        <c:numFmt formatCode="0%" sourceLinked="1"/>
        <c:tickLblPos val="nextTo"/>
        <c:crossAx val="104295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'APS - Similar Spend'!$B$3:$F$3</c:f>
              <c:numCache>
                <c:formatCode>"$"#,##0</c:formatCode>
                <c:ptCount val="5"/>
                <c:pt idx="0">
                  <c:v>-229.8326209999999</c:v>
                </c:pt>
                <c:pt idx="1">
                  <c:v>335.97089155253661</c:v>
                </c:pt>
                <c:pt idx="2">
                  <c:v>0</c:v>
                </c:pt>
                <c:pt idx="3">
                  <c:v>905.44066505749061</c:v>
                </c:pt>
                <c:pt idx="4">
                  <c:v>-350.65418164242419</c:v>
                </c:pt>
              </c:numCache>
            </c:numRef>
          </c:xVal>
          <c:yVal>
            <c:numRef>
              <c:f>'APS - Similar Spend'!$B$2:$F$2</c:f>
              <c:numCache>
                <c:formatCode>0%</c:formatCode>
                <c:ptCount val="5"/>
                <c:pt idx="0">
                  <c:v>0.25924607359270291</c:v>
                </c:pt>
                <c:pt idx="1">
                  <c:v>0.15690469617842495</c:v>
                </c:pt>
                <c:pt idx="2">
                  <c:v>-1.8519084194461577E-2</c:v>
                </c:pt>
                <c:pt idx="3">
                  <c:v>-0.13181567119298776</c:v>
                </c:pt>
                <c:pt idx="4">
                  <c:v>0</c:v>
                </c:pt>
              </c:numCache>
            </c:numRef>
          </c:yVal>
        </c:ser>
        <c:axId val="109289856"/>
        <c:axId val="109291392"/>
      </c:scatterChart>
      <c:valAx>
        <c:axId val="109289856"/>
        <c:scaling>
          <c:orientation val="maxMin"/>
        </c:scaling>
        <c:axPos val="b"/>
        <c:numFmt formatCode="&quot;$&quot;#,##0" sourceLinked="1"/>
        <c:tickLblPos val="nextTo"/>
        <c:crossAx val="109291392"/>
        <c:crosses val="autoZero"/>
        <c:crossBetween val="midCat"/>
      </c:valAx>
      <c:valAx>
        <c:axId val="109291392"/>
        <c:scaling>
          <c:orientation val="minMax"/>
        </c:scaling>
        <c:axPos val="r"/>
        <c:majorGridlines/>
        <c:numFmt formatCode="0%" sourceLinked="1"/>
        <c:tickLblPos val="nextTo"/>
        <c:crossAx val="109289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17</xdr:row>
      <xdr:rowOff>161925</xdr:rowOff>
    </xdr:from>
    <xdr:to>
      <xdr:col>25</xdr:col>
      <xdr:colOff>533400</xdr:colOff>
      <xdr:row>31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60</xdr:row>
      <xdr:rowOff>59530</xdr:rowOff>
    </xdr:from>
    <xdr:to>
      <xdr:col>20</xdr:col>
      <xdr:colOff>440532</xdr:colOff>
      <xdr:row>74</xdr:row>
      <xdr:rowOff>130968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12</xdr:row>
      <xdr:rowOff>166688</xdr:rowOff>
    </xdr:from>
    <xdr:to>
      <xdr:col>13</xdr:col>
      <xdr:colOff>107156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154781</xdr:colOff>
      <xdr:row>9</xdr:row>
      <xdr:rowOff>71438</xdr:rowOff>
    </xdr:from>
    <xdr:to>
      <xdr:col>7</xdr:col>
      <xdr:colOff>369094</xdr:colOff>
      <xdr:row>25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javascript:ShowLocation(18389758,'62:441:483:374.44:365.44:406','PDF','ar',false)" TargetMode="External"/><Relationship Id="rId1" Type="http://schemas.openxmlformats.org/officeDocument/2006/relationships/hyperlink" Target="javascript:ShowLocation(18389758,'62:457.13:483:509.44:500.44:271','PDF','ar',false)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95"/>
  <sheetViews>
    <sheetView zoomScale="110" zoomScaleNormal="110" workbookViewId="0">
      <pane ySplit="1" topLeftCell="A41" activePane="bottomLeft" state="frozen"/>
      <selection pane="bottomLeft" activeCell="A8" sqref="A8"/>
    </sheetView>
  </sheetViews>
  <sheetFormatPr defaultRowHeight="15"/>
  <cols>
    <col min="1" max="1" width="33.7109375" style="15" customWidth="1"/>
    <col min="2" max="2" width="13.140625" style="15" customWidth="1"/>
    <col min="3" max="4" width="14.5703125" style="15" customWidth="1"/>
    <col min="5" max="5" width="11.85546875" style="15" customWidth="1"/>
    <col min="6" max="6" width="10" style="15" customWidth="1"/>
    <col min="7" max="7" width="12.42578125" style="15" customWidth="1"/>
    <col min="8" max="8" width="10" style="15" customWidth="1"/>
    <col min="9" max="9" width="10.85546875" style="15" customWidth="1"/>
    <col min="10" max="12" width="11.7109375" style="15" customWidth="1"/>
    <col min="13" max="13" width="10.5703125" style="15" customWidth="1"/>
    <col min="14" max="14" width="11.28515625" style="15" customWidth="1"/>
    <col min="15" max="15" width="10" style="15" customWidth="1"/>
    <col min="16" max="16" width="13" style="15" customWidth="1"/>
    <col min="17" max="17" width="13.140625" style="15" customWidth="1"/>
    <col min="18" max="18" width="12.42578125" style="15" customWidth="1"/>
    <col min="19" max="19" width="14" style="15" customWidth="1"/>
    <col min="20" max="20" width="13.7109375" style="15" customWidth="1"/>
    <col min="21" max="21" width="12.140625" style="15" customWidth="1"/>
    <col min="22" max="22" width="11" style="15" customWidth="1"/>
    <col min="23" max="23" width="9.140625" style="15"/>
    <col min="24" max="24" width="12" style="15" customWidth="1"/>
    <col min="25" max="25" width="10.140625" style="15" customWidth="1"/>
    <col min="26" max="16384" width="9.140625" style="15"/>
  </cols>
  <sheetData>
    <row r="1" spans="1:23"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  <c r="S1" s="34" t="s">
        <v>80</v>
      </c>
      <c r="T1" s="34" t="s">
        <v>58</v>
      </c>
      <c r="U1" s="34" t="s">
        <v>59</v>
      </c>
      <c r="V1" s="34" t="s">
        <v>60</v>
      </c>
    </row>
    <row r="2" spans="1:23">
      <c r="A2" s="113" t="s">
        <v>75</v>
      </c>
      <c r="B2" s="114">
        <f>'Base Spend Data'!B2/'Base Spend Data'!$S2</f>
        <v>3.401196010969041E-2</v>
      </c>
      <c r="C2" s="114">
        <f>'Base Spend Data'!C2/'Base Spend Data'!$S2</f>
        <v>2.5097738488373472E-2</v>
      </c>
      <c r="D2" s="114">
        <f>'Base Spend Data'!D2/'Base Spend Data'!$S2</f>
        <v>4.0028043049508716E-2</v>
      </c>
      <c r="E2" s="114">
        <f>'Base Spend Data'!E2/'Base Spend Data'!$S2</f>
        <v>6.3517522212171731E-2</v>
      </c>
      <c r="F2" s="114">
        <f>'Base Spend Data'!F2/'Base Spend Data'!$S2</f>
        <v>4.9572677447332153E-2</v>
      </c>
      <c r="G2" s="114">
        <f>'Base Spend Data'!G2/'Base Spend Data'!$S2</f>
        <v>0.17612408801683377</v>
      </c>
      <c r="H2" s="114">
        <f>'Base Spend Data'!H2/'Base Spend Data'!$S2</f>
        <v>3.6651560316895308E-2</v>
      </c>
      <c r="I2" s="114">
        <f>'Base Spend Data'!I2/'Base Spend Data'!$S2</f>
        <v>7.1194081701267162E-2</v>
      </c>
      <c r="J2" s="114">
        <f>'Base Spend Data'!J2/'Base Spend Data'!$S2</f>
        <v>1.7195726671652964E-2</v>
      </c>
      <c r="K2" s="114">
        <f>'Base Spend Data'!K2/'Base Spend Data'!$S2</f>
        <v>8.6105963520703328E-3</v>
      </c>
      <c r="L2" s="114">
        <f>'Base Spend Data'!L2/'Base Spend Data'!$S2</f>
        <v>2.6229700853333343E-2</v>
      </c>
      <c r="M2" s="114">
        <f>'Base Spend Data'!M2/'Base Spend Data'!$S2</f>
        <v>0.1166392634940943</v>
      </c>
      <c r="N2" s="114">
        <f>'Base Spend Data'!N2/'Base Spend Data'!$S2</f>
        <v>1.2174266577206905E-2</v>
      </c>
      <c r="O2" s="114">
        <f>'Base Spend Data'!O2/'Base Spend Data'!$S2</f>
        <v>0.11039583535086972</v>
      </c>
      <c r="P2" s="114">
        <f>'Base Spend Data'!P2/'Base Spend Data'!$S2</f>
        <v>6.6605958383018929E-2</v>
      </c>
      <c r="Q2" s="114">
        <f>'Base Spend Data'!Q2/'Base Spend Data'!$S2</f>
        <v>7.7642547181365679E-2</v>
      </c>
      <c r="R2" s="114">
        <f>'Base Spend Data'!R2/'Base Spend Data'!$S2</f>
        <v>6.8308433794315032E-2</v>
      </c>
      <c r="S2" s="114">
        <f>AVERAGE(B2:R2)</f>
        <v>5.8823529411764691E-2</v>
      </c>
      <c r="T2" s="114">
        <f>MIN(B2:R2)</f>
        <v>8.6105963520703328E-3</v>
      </c>
      <c r="U2" s="114">
        <f>MAX(B2:R2)</f>
        <v>0.17612408801683377</v>
      </c>
      <c r="V2" s="114">
        <f>MEDIAN(B2:R2)</f>
        <v>4.9572677447332153E-2</v>
      </c>
    </row>
    <row r="3" spans="1:23">
      <c r="A3" s="113" t="s">
        <v>141</v>
      </c>
      <c r="B3" s="114">
        <f>'Base Spend Data'!B61/'Base Spend Data'!B2</f>
        <v>0.80710206136874163</v>
      </c>
      <c r="C3" s="114">
        <f>'Base Spend Data'!C61/'Base Spend Data'!C2</f>
        <v>0.70476068395446367</v>
      </c>
      <c r="D3" s="114">
        <f>'Base Spend Data'!D61/'Base Spend Data'!D2</f>
        <v>0.54176960147437558</v>
      </c>
      <c r="E3" s="114">
        <f>'Base Spend Data'!E61/'Base Spend Data'!E2</f>
        <v>0.75551080150845651</v>
      </c>
      <c r="F3" s="114">
        <f>'Base Spend Data'!F61/'Base Spend Data'!F2</f>
        <v>0.52933690358157715</v>
      </c>
      <c r="G3" s="114">
        <f>'Base Spend Data'!G61/'Base Spend Data'!G2</f>
        <v>0.43986279796558503</v>
      </c>
      <c r="H3" s="114">
        <f>'Base Spend Data'!H61/'Base Spend Data'!H2</f>
        <v>0.10859585927642885</v>
      </c>
      <c r="I3" s="114">
        <f>'Base Spend Data'!I61/'Base Spend Data'!I2</f>
        <v>0.62707430072197012</v>
      </c>
      <c r="J3" s="114">
        <f>'Base Spend Data'!J61/'Base Spend Data'!J2</f>
        <v>0.41604031658305096</v>
      </c>
      <c r="K3" s="114">
        <f>'Base Spend Data'!K61/'Base Spend Data'!K2</f>
        <v>0.54785598777603872</v>
      </c>
      <c r="L3" s="114">
        <f>'Base Spend Data'!L61/'Base Spend Data'!L2</f>
        <v>0.11811025683110336</v>
      </c>
      <c r="M3" s="114">
        <f>'Base Spend Data'!M61/'Base Spend Data'!M2</f>
        <v>8.0385077633056287E-2</v>
      </c>
      <c r="N3" s="114">
        <f>'Base Spend Data'!N61/'Base Spend Data'!N2</f>
        <v>1.3230178586497285</v>
      </c>
      <c r="O3" s="114">
        <f>'Base Spend Data'!O61/'Base Spend Data'!O2</f>
        <v>0.39362010225492872</v>
      </c>
      <c r="P3" s="114">
        <f>'Base Spend Data'!P61/'Base Spend Data'!P2</f>
        <v>0.34406785151137087</v>
      </c>
      <c r="Q3" s="114">
        <f>'Base Spend Data'!Q61/'Base Spend Data'!Q2</f>
        <v>0.61066661093102204</v>
      </c>
      <c r="R3" s="114">
        <f>'Base Spend Data'!R61/'Base Spend Data'!R2</f>
        <v>0.39045683416369276</v>
      </c>
      <c r="S3" s="114">
        <f t="shared" ref="S3:S4" si="0">AVERAGE(B3:R3)</f>
        <v>0.51401375918738779</v>
      </c>
      <c r="T3" s="114">
        <f t="shared" ref="T3:T4" si="1">MIN(B3:R3)</f>
        <v>8.0385077633056287E-2</v>
      </c>
      <c r="U3" s="114">
        <f t="shared" ref="U3:U4" si="2">MAX(B3:R3)</f>
        <v>1.3230178586497285</v>
      </c>
      <c r="V3" s="114">
        <f t="shared" ref="V3:V4" si="3">MEDIAN(B3:R3)</f>
        <v>0.52933690358157715</v>
      </c>
    </row>
    <row r="4" spans="1:23">
      <c r="A4" s="113" t="s">
        <v>140</v>
      </c>
      <c r="B4" s="114">
        <f>'Base Spend Data'!B61/'Base Spend Data'!B64</f>
        <v>6.1277765056102586E-2</v>
      </c>
      <c r="C4" s="114">
        <f>'Base Spend Data'!C61/'Base Spend Data'!C64</f>
        <v>6.5102984004128506E-2</v>
      </c>
      <c r="D4" s="114">
        <f>'Base Spend Data'!D61/'Base Spend Data'!D64</f>
        <v>4.82648401826484E-2</v>
      </c>
      <c r="E4" s="114">
        <f>'Base Spend Data'!E61/'Base Spend Data'!E64</f>
        <v>5.6759445752141521E-2</v>
      </c>
      <c r="F4" s="114">
        <f>'Base Spend Data'!F61/'Base Spend Data'!F64</f>
        <v>4.8559170811344393E-2</v>
      </c>
      <c r="G4" s="114">
        <f>'Base Spend Data'!G61/'Base Spend Data'!G64</f>
        <v>3.316469926925239E-2</v>
      </c>
      <c r="H4" s="114">
        <f>'Base Spend Data'!H61/'Base Spend Data'!H64</f>
        <v>4.7351720771296067E-3</v>
      </c>
      <c r="I4" s="114">
        <f>'Base Spend Data'!I61/'Base Spend Data'!I64</f>
        <v>4.3169463952704046E-2</v>
      </c>
      <c r="J4" s="114">
        <f>'Base Spend Data'!J61/'Base Spend Data'!J64</f>
        <v>5.2015274918702822E-2</v>
      </c>
      <c r="K4" s="114">
        <f>'Base Spend Data'!K61/'Base Spend Data'!K64</f>
        <v>4.7685511634659256E-2</v>
      </c>
      <c r="L4" s="114">
        <f>'Base Spend Data'!L61/'Base Spend Data'!L64</f>
        <v>2.514152514152514E-2</v>
      </c>
      <c r="M4" s="114">
        <f>'Base Spend Data'!M61/'Base Spend Data'!M64</f>
        <v>1.3016234690971233E-2</v>
      </c>
      <c r="N4" s="114">
        <f>'Base Spend Data'!N61/'Base Spend Data'!N64</f>
        <v>6.550851892869039E-2</v>
      </c>
      <c r="O4" s="114">
        <f>'Base Spend Data'!O61/'Base Spend Data'!O64</f>
        <v>4.3012062873157064E-2</v>
      </c>
      <c r="P4" s="114">
        <f>'Base Spend Data'!P61/'Base Spend Data'!P64</f>
        <v>5.8107475420069707E-2</v>
      </c>
      <c r="Q4" s="114">
        <f>'Base Spend Data'!Q61/'Base Spend Data'!Q64</f>
        <v>5.24821728664214E-2</v>
      </c>
      <c r="R4" s="114">
        <f>'Base Spend Data'!R61/'Base Spend Data'!R64</f>
        <v>2.7464401909832258E-2</v>
      </c>
      <c r="S4" s="114">
        <f t="shared" si="0"/>
        <v>4.3850983499381213E-2</v>
      </c>
      <c r="T4" s="114">
        <f t="shared" si="1"/>
        <v>4.7351720771296067E-3</v>
      </c>
      <c r="U4" s="114">
        <f t="shared" si="2"/>
        <v>6.550851892869039E-2</v>
      </c>
      <c r="V4" s="114">
        <f t="shared" si="3"/>
        <v>4.82648401826484E-2</v>
      </c>
    </row>
    <row r="5" spans="1:23">
      <c r="A5" s="115" t="s">
        <v>204</v>
      </c>
      <c r="B5" s="116">
        <f>'Base Spend Data'!B2/'Base Spend Data'!B62</f>
        <v>0.24279187245020506</v>
      </c>
      <c r="C5" s="116">
        <f>'Base Spend Data'!C2/'Base Spend Data'!C62</f>
        <v>0.37142776783830161</v>
      </c>
      <c r="D5" s="116">
        <f>'Base Spend Data'!D2/'Base Spend Data'!D62</f>
        <v>0.41247650262367869</v>
      </c>
      <c r="E5" s="116">
        <f>'Base Spend Data'!E2/'Base Spend Data'!E62</f>
        <v>0.25401367538480474</v>
      </c>
      <c r="F5" s="116">
        <f>'Base Spend Data'!F2/'Base Spend Data'!F62</f>
        <v>0.27485275331475373</v>
      </c>
      <c r="G5" s="116">
        <f>'Base Spend Data'!G2/'Base Spend Data'!G62</f>
        <v>0.43744878837851614</v>
      </c>
      <c r="H5" s="116">
        <f>'Base Spend Data'!H2/'Base Spend Data'!H62</f>
        <v>0.31696950339425128</v>
      </c>
      <c r="I5" s="116">
        <f>'Base Spend Data'!I2/'Base Spend Data'!I62</f>
        <v>0.22675836151342874</v>
      </c>
      <c r="J5" s="116">
        <f>'Base Spend Data'!J2/'Base Spend Data'!J62</f>
        <v>0.53050188342933102</v>
      </c>
      <c r="K5" s="116">
        <f>'Base Spend Data'!K2/'Base Spend Data'!K62</f>
        <v>0.35391600356032138</v>
      </c>
      <c r="L5" s="116">
        <f>'Base Spend Data'!L2/'Base Spend Data'!L62</f>
        <v>0.77671108357837182</v>
      </c>
      <c r="M5" s="116">
        <f>'Base Spend Data'!M2/'Base Spend Data'!M62</f>
        <v>0.67503381286867725</v>
      </c>
      <c r="N5" s="116">
        <f>'Base Spend Data'!N2/'Base Spend Data'!N62</f>
        <v>0.19917851796989572</v>
      </c>
      <c r="O5" s="116">
        <f>'Base Spend Data'!O2/'Base Spend Data'!O62</f>
        <v>0.35788644810641834</v>
      </c>
      <c r="P5" s="116">
        <f>'Base Spend Data'!P2/'Base Spend Data'!P62</f>
        <v>0.48995663808481738</v>
      </c>
      <c r="Q5" s="116">
        <f>'Base Spend Data'!Q2/'Base Spend Data'!Q62</f>
        <v>0.31933077307315838</v>
      </c>
      <c r="R5" s="116">
        <f>'Base Spend Data'!R2/'Base Spend Data'!R62</f>
        <v>0.2967409390525847</v>
      </c>
      <c r="S5" s="114">
        <f t="shared" ref="S5:S8" si="4">AVERAGE(B5:R5)</f>
        <v>0.38447031321303038</v>
      </c>
      <c r="T5" s="114">
        <f>MIN(B5:R5)</f>
        <v>0.19917851796989572</v>
      </c>
      <c r="U5" s="114">
        <f>MAX(B5:R5)</f>
        <v>0.77671108357837182</v>
      </c>
      <c r="V5" s="114">
        <f>MEDIAN(B5:R5)</f>
        <v>0.35391600356032138</v>
      </c>
    </row>
    <row r="6" spans="1:23">
      <c r="A6" s="115" t="s">
        <v>203</v>
      </c>
      <c r="B6" s="116">
        <f>'Base Spend Data'!B2/'Base Spend Data'!B63</f>
        <v>0.301964099287796</v>
      </c>
      <c r="C6" s="116">
        <f>'Base Spend Data'!C2/'Base Spend Data'!C63</f>
        <v>0.50313127947732961</v>
      </c>
      <c r="D6" s="116">
        <f>'Base Spend Data'!D2/'Base Spend Data'!D63</f>
        <v>0.53117720049278516</v>
      </c>
      <c r="E6" s="116">
        <f>'Base Spend Data'!E2/'Base Spend Data'!E63</f>
        <v>0.31433837705249268</v>
      </c>
      <c r="F6" s="116">
        <f>'Base Spend Data'!F2/'Base Spend Data'!F63</f>
        <v>0.32164943482294994</v>
      </c>
      <c r="G6" s="116">
        <f>'Base Spend Data'!G2/'Base Spend Data'!G63</f>
        <v>0.54167686920368507</v>
      </c>
      <c r="H6" s="116">
        <f>'Base Spend Data'!H2/'Base Spend Data'!H63</f>
        <v>0.32826904100147009</v>
      </c>
      <c r="I6" s="116">
        <f>'Base Spend Data'!I2/'Base Spend Data'!I63</f>
        <v>0.26434701045478781</v>
      </c>
      <c r="J6" s="116">
        <f>'Base Spend Data'!J2/'Base Spend Data'!J63</f>
        <v>0.68075042692495125</v>
      </c>
      <c r="K6" s="116">
        <f>'Base Spend Data'!K2/'Base Spend Data'!K63</f>
        <v>0.43904454669752008</v>
      </c>
      <c r="L6" s="116">
        <f>'Base Spend Data'!L2/'Base Spend Data'!L63</f>
        <v>0.85516150071571906</v>
      </c>
      <c r="M6" s="116">
        <f>'Base Spend Data'!M2/'Base Spend Data'!M63</f>
        <v>0.71376456647583175</v>
      </c>
      <c r="N6" s="116">
        <f>'Base Spend Data'!N2/'Base Spend Data'!N63</f>
        <v>0.27044540968700803</v>
      </c>
      <c r="O6" s="116">
        <f>'Base Spend Data'!O2/'Base Spend Data'!O63</f>
        <v>0.41656907542618254</v>
      </c>
      <c r="P6" s="116">
        <f>'Base Spend Data'!P2/'Base Spend Data'!P63</f>
        <v>0.58929981556543831</v>
      </c>
      <c r="Q6" s="116">
        <f>'Base Spend Data'!Q2/'Base Spend Data'!Q63</f>
        <v>0.39668647711635219</v>
      </c>
      <c r="R6" s="116">
        <f>'Base Spend Data'!R2/'Base Spend Data'!R63</f>
        <v>0.33562836050100808</v>
      </c>
      <c r="S6" s="114">
        <f t="shared" si="4"/>
        <v>0.45905314652372409</v>
      </c>
      <c r="T6" s="114">
        <f>MIN(B6:R6)</f>
        <v>0.26434701045478781</v>
      </c>
      <c r="U6" s="114">
        <f>MAX(B6:R6)</f>
        <v>0.85516150071571906</v>
      </c>
      <c r="V6" s="114">
        <f>MEDIAN(B6:R6)</f>
        <v>0.41656907542618254</v>
      </c>
    </row>
    <row r="7" spans="1:23">
      <c r="A7" s="113" t="s">
        <v>116</v>
      </c>
      <c r="B7" s="108"/>
      <c r="C7" s="108"/>
      <c r="D7" s="108">
        <f>'Base Spend Data'!D29/'Base Spend Data'!D64</f>
        <v>2.3884851461187215E-2</v>
      </c>
      <c r="E7" s="108"/>
      <c r="F7" s="108">
        <f>'Base Spend Data'!F29/'Base Spend Data'!F64</f>
        <v>8.3101628497665059E-2</v>
      </c>
      <c r="G7" s="108">
        <f>'Base Spend Data'!G29/'Base Spend Data'!G64</f>
        <v>1.1682173385680157E-2</v>
      </c>
      <c r="H7" s="108"/>
      <c r="I7" s="108"/>
      <c r="J7" s="108">
        <f>'Base Spend Data'!J29/'Base Spend Data'!J64</f>
        <v>3.7134001312688326E-2</v>
      </c>
      <c r="K7" s="108">
        <f>'Base Spend Data'!K29/'Base Spend Data'!K64</f>
        <v>1.4954653863702351E-2</v>
      </c>
      <c r="L7" s="108"/>
      <c r="M7" s="108"/>
      <c r="N7" s="108">
        <f>'Base Spend Data'!N29/'Base Spend Data'!N64</f>
        <v>1.3695379875528782E-2</v>
      </c>
      <c r="O7" s="108"/>
      <c r="P7" s="108"/>
      <c r="Q7" s="108"/>
      <c r="R7" s="108"/>
      <c r="S7" s="114">
        <f t="shared" ref="S7" si="5">AVERAGE(B7:R7)</f>
        <v>3.0742114732741983E-2</v>
      </c>
      <c r="T7" s="114">
        <f>MIN(B7:R7)</f>
        <v>1.1682173385680157E-2</v>
      </c>
      <c r="U7" s="114">
        <f>MAX(B7:R7)</f>
        <v>8.3101628497665059E-2</v>
      </c>
      <c r="V7" s="114">
        <f>MEDIAN(B7:R7)</f>
        <v>1.9419752662444785E-2</v>
      </c>
    </row>
    <row r="8" spans="1:23">
      <c r="A8" s="109" t="s">
        <v>202</v>
      </c>
      <c r="B8" s="116">
        <f>'Base Spend Data'!B2/'Base Spend Data'!B64</f>
        <v>7.592319235585071E-2</v>
      </c>
      <c r="C8" s="116">
        <f>'Base Spend Data'!C2/'Base Spend Data'!C64</f>
        <v>9.2376015697741426E-2</v>
      </c>
      <c r="D8" s="116">
        <f>'Base Spend Data'!D2/'Base Spend Data'!D64</f>
        <v>8.9087390749315071E-2</v>
      </c>
      <c r="E8" s="116">
        <f>'Base Spend Data'!E2/'Base Spend Data'!E64</f>
        <v>7.512724588293819E-2</v>
      </c>
      <c r="F8" s="116">
        <f>'Base Spend Data'!F2/'Base Spend Data'!F64</f>
        <v>9.1735850047078474E-2</v>
      </c>
      <c r="G8" s="116">
        <f>'Base Spend Data'!G2/'Base Spend Data'!G64</f>
        <v>7.5397827283059313E-2</v>
      </c>
      <c r="H8" s="116">
        <f>'Base Spend Data'!H2/'Base Spend Data'!H64</f>
        <v>4.3603615355870151E-2</v>
      </c>
      <c r="I8" s="116">
        <f>'Base Spend Data'!I2/'Base Spend Data'!I64</f>
        <v>6.8842661711700989E-2</v>
      </c>
      <c r="J8" s="116">
        <f>'Base Spend Data'!J2/'Base Spend Data'!J64</f>
        <v>0.12502460181240491</v>
      </c>
      <c r="K8" s="116">
        <f>'Base Spend Data'!K2/'Base Spend Data'!K64</f>
        <v>8.7040230824588324E-2</v>
      </c>
      <c r="L8" s="116">
        <f>'Base Spend Data'!L2/'Base Spend Data'!L64</f>
        <v>0.2128648757192807</v>
      </c>
      <c r="M8" s="116">
        <f>'Base Spend Data'!M2/'Base Spend Data'!M64</f>
        <v>0.16192351956650525</v>
      </c>
      <c r="N8" s="116">
        <f>'Base Spend Data'!N2/'Base Spend Data'!N64</f>
        <v>4.9514463089370818E-2</v>
      </c>
      <c r="O8" s="116">
        <f>'Base Spend Data'!O2/'Base Spend Data'!O64</f>
        <v>0.10927303414321107</v>
      </c>
      <c r="P8" s="116">
        <f>'Base Spend Data'!P2/'Base Spend Data'!P64</f>
        <v>0.16888376860791759</v>
      </c>
      <c r="Q8" s="116">
        <f>'Base Spend Data'!Q2/'Base Spend Data'!Q64</f>
        <v>8.5942430660171681E-2</v>
      </c>
      <c r="R8" s="116">
        <f>'Base Spend Data'!R2/'Base Spend Data'!R64</f>
        <v>7.0339150212743479E-2</v>
      </c>
      <c r="S8" s="114">
        <f t="shared" si="4"/>
        <v>9.8994110218808731E-2</v>
      </c>
      <c r="T8" s="114">
        <f>MIN(B8:R8)</f>
        <v>4.3603615355870151E-2</v>
      </c>
      <c r="U8" s="114">
        <f>MAX(B8:R8)</f>
        <v>0.2128648757192807</v>
      </c>
      <c r="V8" s="114">
        <f>MEDIAN(B8:R8)</f>
        <v>8.7040230824588324E-2</v>
      </c>
    </row>
    <row r="9" spans="1:23">
      <c r="A9" s="109" t="s">
        <v>84</v>
      </c>
      <c r="B9" s="67">
        <f>'Base Spend Data'!B2/'Base Spend Data'!B66</f>
        <v>16.582638015924619</v>
      </c>
      <c r="C9" s="67">
        <f>'Base Spend Data'!C2/'Base Spend Data'!C66</f>
        <v>37.700113032236196</v>
      </c>
      <c r="D9" s="67">
        <f>'Base Spend Data'!D2/'Base Spend Data'!D66</f>
        <v>34.178544530070248</v>
      </c>
      <c r="E9" s="67">
        <f>'Base Spend Data'!E2/'Base Spend Data'!E66</f>
        <v>49.194665283003879</v>
      </c>
      <c r="F9" s="67">
        <f>'Base Spend Data'!F2/'Base Spend Data'!F66</f>
        <v>49.673750141647133</v>
      </c>
      <c r="G9" s="67">
        <f>'Base Spend Data'!G2/'Base Spend Data'!G66</f>
        <v>36.357108468464652</v>
      </c>
      <c r="H9" s="67">
        <f>'Base Spend Data'!H2/'Base Spend Data'!H66</f>
        <v>25.343170962264153</v>
      </c>
      <c r="I9" s="67">
        <f>'Base Spend Data'!I2/'Base Spend Data'!I66</f>
        <v>34.805247805817451</v>
      </c>
      <c r="J9" s="67">
        <f>'Base Spend Data'!J2/'Base Spend Data'!J66</f>
        <v>38.13366966786478</v>
      </c>
      <c r="K9" s="67"/>
      <c r="L9" s="67">
        <f>'Base Spend Data'!L2/'Base Spend Data'!L66</f>
        <v>68.24189081544661</v>
      </c>
      <c r="M9" s="67">
        <f>'Base Spend Data'!M2/'Base Spend Data'!M66</f>
        <v>96.057020731266363</v>
      </c>
      <c r="N9" s="67">
        <f>'Base Spend Data'!N2/'Base Spend Data'!N66</f>
        <v>20.331953388041804</v>
      </c>
      <c r="O9" s="67">
        <f>'Base Spend Data'!O2/'Base Spend Data'!O66</f>
        <v>62.485603187439757</v>
      </c>
      <c r="P9" s="67">
        <f>'Base Spend Data'!P2/'Base Spend Data'!P66</f>
        <v>77.962889554765738</v>
      </c>
      <c r="Q9" s="67">
        <f>'Base Spend Data'!Q2/'Base Spend Data'!Q66</f>
        <v>42.899608815847643</v>
      </c>
      <c r="R9" s="67">
        <f>'Base Spend Data'!R2/'Base Spend Data'!R66</f>
        <v>20.14724720081087</v>
      </c>
      <c r="S9" s="67">
        <f t="shared" ref="S9:S11" si="6">AVERAGE(B9:R9)</f>
        <v>44.380945100056991</v>
      </c>
      <c r="T9" s="67">
        <f t="shared" ref="T9:T11" si="7">MIN(B9:R9)</f>
        <v>16.582638015924619</v>
      </c>
      <c r="U9" s="67">
        <f t="shared" ref="U9:U11" si="8">MAX(B9:R9)</f>
        <v>96.057020731266363</v>
      </c>
      <c r="V9" s="67">
        <f t="shared" ref="V9:V11" si="9">MEDIAN(B9:R9)</f>
        <v>37.916891350050491</v>
      </c>
    </row>
    <row r="10" spans="1:23">
      <c r="A10" s="109" t="s">
        <v>82</v>
      </c>
      <c r="B10" s="67">
        <f>'Base Spend Data'!B2/'Base Spend Data'!B65</f>
        <v>502.35845608787884</v>
      </c>
      <c r="C10" s="67">
        <f>'Base Spend Data'!C2/'Base Spend Data'!C65</f>
        <v>1068.1619686404154</v>
      </c>
      <c r="D10" s="67">
        <f>'Base Spend Data'!D2/'Base Spend Data'!D65</f>
        <v>1026.8493986368421</v>
      </c>
      <c r="E10" s="67">
        <f>'Base Spend Data'!E2/'Base Spend Data'!E65</f>
        <v>644.98305741458341</v>
      </c>
      <c r="F10" s="67">
        <f>'Base Spend Data'!F2/'Base Spend Data'!F65</f>
        <v>732.19107708787874</v>
      </c>
      <c r="G10" s="67">
        <f>'Base Spend Data'!G2/'Base Spend Data'!G65</f>
        <v>1114.8694835246754</v>
      </c>
      <c r="H10" s="67">
        <f>'Base Spend Data'!H2/'Base Spend Data'!H65</f>
        <v>1020.8229263600001</v>
      </c>
      <c r="I10" s="67">
        <f>'Base Spend Data'!I2/'Base Spend Data'!I65</f>
        <v>1334.6473870153845</v>
      </c>
      <c r="J10" s="67">
        <f>'Base Spend Data'!J2/'Base Spend Data'!J65</f>
        <v>1637.6317421453693</v>
      </c>
      <c r="K10" s="67">
        <f>'Base Spend Data'!K2/'Base Spend Data'!K65</f>
        <v>381.53689544545455</v>
      </c>
      <c r="L10" s="67">
        <f>'Base Spend Data'!L2/'Base Spend Data'!L65</f>
        <v>3240.0279878099773</v>
      </c>
      <c r="M10" s="67">
        <f>'Base Spend Data'!M2/'Base Spend Data'!M65</f>
        <v>2572.459172841629</v>
      </c>
      <c r="N10" s="67">
        <f>'Base Spend Data'!N2/'Base Spend Data'!N65</f>
        <v>447.16507884702338</v>
      </c>
      <c r="O10" s="67">
        <f>'Base Spend Data'!O2/'Base Spend Data'!O65</f>
        <v>572.42795183829787</v>
      </c>
      <c r="P10" s="67">
        <f>'Base Spend Data'!P2/'Base Spend Data'!P65</f>
        <v>811.61317098749998</v>
      </c>
      <c r="Q10" s="67">
        <f>'Base Spend Data'!Q2/'Base Spend Data'!Q65</f>
        <v>756.87779833800005</v>
      </c>
      <c r="R10" s="67">
        <f>'Base Spend Data'!R2/'Base Spend Data'!R65</f>
        <v>369.93703735222221</v>
      </c>
      <c r="S10" s="67">
        <f t="shared" si="6"/>
        <v>1072.6212111984194</v>
      </c>
      <c r="T10" s="67">
        <f t="shared" si="7"/>
        <v>369.93703735222221</v>
      </c>
      <c r="U10" s="67">
        <f t="shared" si="8"/>
        <v>3240.0279878099773</v>
      </c>
      <c r="V10" s="67">
        <f t="shared" si="9"/>
        <v>811.61317098749998</v>
      </c>
    </row>
    <row r="11" spans="1:23">
      <c r="A11" s="109" t="s">
        <v>83</v>
      </c>
      <c r="B11" s="67">
        <f>'Base Spend Data'!B2/'Base Spend Data'!B67</f>
        <v>182234.0227646477</v>
      </c>
      <c r="C11" s="67">
        <f>'Base Spend Data'!C2/'Base Spend Data'!C67</f>
        <v>184983.10413881749</v>
      </c>
      <c r="D11" s="67">
        <f>'Base Spend Data'!D2/'Base Spend Data'!D67</f>
        <v>314984.47810946079</v>
      </c>
      <c r="E11" s="67">
        <f>'Base Spend Data'!E2/'Base Spend Data'!E67</f>
        <v>213085.46187555924</v>
      </c>
      <c r="F11" s="67">
        <f>'Base Spend Data'!F2/'Base Spend Data'!F67</f>
        <v>242277.20388950163</v>
      </c>
      <c r="G11" s="67">
        <f>'Base Spend Data'!G2/'Base Spend Data'!G67</f>
        <v>309017.09946508281</v>
      </c>
      <c r="H11" s="67">
        <f>'Base Spend Data'!H2/'Base Spend Data'!H67</f>
        <v>196312.10122307693</v>
      </c>
      <c r="I11" s="67">
        <f>'Base Spend Data'!I2/'Base Spend Data'!I67</f>
        <v>210371.8221424674</v>
      </c>
      <c r="J11" s="67">
        <f>'Base Spend Data'!J2/'Base Spend Data'!J67</f>
        <v>271242.69437864079</v>
      </c>
      <c r="K11" s="67">
        <f>'Base Spend Data'!K2/'Base Spend Data'!K67</f>
        <v>209845.292495</v>
      </c>
      <c r="L11" s="67">
        <f>'Base Spend Data'!L2/'Base Spend Data'!L67</f>
        <v>541493.62285895809</v>
      </c>
      <c r="M11" s="67">
        <f>'Base Spend Data'!M2/'Base Spend Data'!M67</f>
        <v>646625.88398316642</v>
      </c>
      <c r="N11" s="67">
        <f>'Base Spend Data'!N2/'Base Spend Data'!N67</f>
        <v>219854.78311596886</v>
      </c>
      <c r="O11" s="67">
        <f>'Base Spend Data'!O2/'Base Spend Data'!O67</f>
        <v>261293.77687952216</v>
      </c>
      <c r="P11" s="67">
        <f>'Base Spend Data'!P2/'Base Spend Data'!P67</f>
        <v>331338.30209736677</v>
      </c>
      <c r="Q11" s="67">
        <f>'Base Spend Data'!Q2/'Base Spend Data'!Q67</f>
        <v>229148.59168574025</v>
      </c>
      <c r="R11" s="67">
        <f>'Base Spend Data'!R2/'Base Spend Data'!R67</f>
        <v>260886.48614402133</v>
      </c>
      <c r="S11" s="67">
        <f t="shared" si="6"/>
        <v>283823.21924982348</v>
      </c>
      <c r="T11" s="67">
        <f t="shared" si="7"/>
        <v>182234.0227646477</v>
      </c>
      <c r="U11" s="67">
        <f t="shared" si="8"/>
        <v>646625.88398316642</v>
      </c>
      <c r="V11" s="67">
        <f t="shared" si="9"/>
        <v>242277.20388950163</v>
      </c>
    </row>
    <row r="12" spans="1:23">
      <c r="A12" s="109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114"/>
      <c r="U12" s="114"/>
      <c r="V12" s="114"/>
    </row>
    <row r="13" spans="1:23">
      <c r="A13" s="113" t="s">
        <v>118</v>
      </c>
      <c r="B13" s="110">
        <f>'Base Spend Data'!B3/'Base Spend Data'!B$2</f>
        <v>0.26912655771762745</v>
      </c>
      <c r="C13" s="110">
        <f>'Base Spend Data'!C3/'Base Spend Data'!C$2</f>
        <v>0.26870405918776979</v>
      </c>
      <c r="D13" s="110">
        <f>'Base Spend Data'!D3/'Base Spend Data'!D$2</f>
        <v>0.26897019492041579</v>
      </c>
      <c r="E13" s="110">
        <f>'Base Spend Data'!E3/'Base Spend Data'!E$2</f>
        <v>0.37929179636032195</v>
      </c>
      <c r="F13" s="110">
        <f>'Base Spend Data'!F3/'Base Spend Data'!F$2</f>
        <v>0.29922905494112906</v>
      </c>
      <c r="G13" s="110">
        <f>'Base Spend Data'!G3/'Base Spend Data'!G$2</f>
        <v>0.2365901623642746</v>
      </c>
      <c r="H13" s="110">
        <f>'Base Spend Data'!H3/'Base Spend Data'!H$2</f>
        <v>0.23800983295261466</v>
      </c>
      <c r="I13" s="110">
        <f>'Base Spend Data'!I3/'Base Spend Data'!I$2</f>
        <v>0.33913959061378385</v>
      </c>
      <c r="J13" s="110">
        <f>'Base Spend Data'!J3/'Base Spend Data'!J$2</f>
        <v>0.32142540256330349</v>
      </c>
      <c r="K13" s="110">
        <f>'Base Spend Data'!K3/'Base Spend Data'!K$2</f>
        <v>0.36153942939562345</v>
      </c>
      <c r="L13" s="110">
        <f>'Base Spend Data'!L3/'Base Spend Data'!L$2</f>
        <v>0.25154992293107575</v>
      </c>
      <c r="M13" s="110">
        <f>'Base Spend Data'!M3/'Base Spend Data'!M$2</f>
        <v>0.21574192203940154</v>
      </c>
      <c r="N13" s="110">
        <f>'Base Spend Data'!N3/'Base Spend Data'!N$2</f>
        <v>0.24316447951441902</v>
      </c>
      <c r="O13" s="110">
        <f>'Base Spend Data'!O3/'Base Spend Data'!O$2</f>
        <v>0.31294384412517717</v>
      </c>
      <c r="P13" s="110">
        <f>'Base Spend Data'!P3/'Base Spend Data'!P$2</f>
        <v>0.30551864524734162</v>
      </c>
      <c r="Q13" s="110">
        <f>'Base Spend Data'!Q3/'Base Spend Data'!Q$2</f>
        <v>0.28250796454001986</v>
      </c>
      <c r="R13" s="110">
        <f>'Base Spend Data'!R3/'Base Spend Data'!R$2</f>
        <v>0.21574894029153874</v>
      </c>
      <c r="S13" s="114">
        <f>AVERAGE(B13:R13)</f>
        <v>0.28289422351210813</v>
      </c>
      <c r="T13" s="114">
        <f>MIN(B13:R13)</f>
        <v>0.21574192203940154</v>
      </c>
      <c r="U13" s="114">
        <f>MAX(B13:R13)</f>
        <v>0.37929179636032195</v>
      </c>
      <c r="V13" s="114">
        <f>MEDIAN(B13:R13)</f>
        <v>0.26912655771762745</v>
      </c>
      <c r="W13" s="17"/>
    </row>
    <row r="14" spans="1:23">
      <c r="A14" s="113" t="s">
        <v>119</v>
      </c>
      <c r="B14" s="110">
        <f>'Base Spend Data'!B4/'Base Spend Data'!B$2</f>
        <v>0.26659349893344841</v>
      </c>
      <c r="C14" s="110">
        <f>'Base Spend Data'!C4/'Base Spend Data'!C$2</f>
        <v>0.24015933317410568</v>
      </c>
      <c r="D14" s="110">
        <f>'Base Spend Data'!D4/'Base Spend Data'!D$2</f>
        <v>0.27894858063821076</v>
      </c>
      <c r="E14" s="110">
        <f>'Base Spend Data'!E4/'Base Spend Data'!E$2</f>
        <v>0.22870511259313486</v>
      </c>
      <c r="F14" s="110">
        <f>'Base Spend Data'!F4/'Base Spend Data'!F$2</f>
        <v>0.22084435918190559</v>
      </c>
      <c r="G14" s="110">
        <f>'Base Spend Data'!G4/'Base Spend Data'!G$2</f>
        <v>0.23536768922034337</v>
      </c>
      <c r="H14" s="110">
        <f>'Base Spend Data'!H4/'Base Spend Data'!H$2</f>
        <v>0.20913748583057717</v>
      </c>
      <c r="I14" s="110">
        <f>'Base Spend Data'!I4/'Base Spend Data'!I$2</f>
        <v>0.23545160763603074</v>
      </c>
      <c r="J14" s="110">
        <f>'Base Spend Data'!J4/'Base Spend Data'!J$2</f>
        <v>0.25154274872602933</v>
      </c>
      <c r="K14" s="110">
        <f>'Base Spend Data'!K4/'Base Spend Data'!K$2</f>
        <v>0.28215779851916756</v>
      </c>
      <c r="L14" s="110">
        <f>'Base Spend Data'!L4/'Base Spend Data'!L$2</f>
        <v>0.12132022488356191</v>
      </c>
      <c r="M14" s="110">
        <f>'Base Spend Data'!M4/'Base Spend Data'!M$2</f>
        <v>0.27551403789403611</v>
      </c>
      <c r="N14" s="110">
        <f>'Base Spend Data'!N4/'Base Spend Data'!N$2</f>
        <v>0.25903070829541358</v>
      </c>
      <c r="O14" s="110">
        <f>'Base Spend Data'!O4/'Base Spend Data'!O$2</f>
        <v>0.25060395741183683</v>
      </c>
      <c r="P14" s="110">
        <f>'Base Spend Data'!P4/'Base Spend Data'!P$2</f>
        <v>0.21199543863754025</v>
      </c>
      <c r="Q14" s="110">
        <f>'Base Spend Data'!Q4/'Base Spend Data'!Q$2</f>
        <v>0.23334266839880297</v>
      </c>
      <c r="R14" s="110">
        <f>'Base Spend Data'!R4/'Base Spend Data'!R$2</f>
        <v>0.23705294339303778</v>
      </c>
      <c r="S14" s="114">
        <f t="shared" ref="S14:S16" si="10">AVERAGE(B14:R14)</f>
        <v>0.23751577608042251</v>
      </c>
      <c r="T14" s="114">
        <f>MIN(B14:R14)</f>
        <v>0.12132022488356191</v>
      </c>
      <c r="U14" s="114">
        <f>MAX(B14:R14)</f>
        <v>0.28215779851916756</v>
      </c>
      <c r="V14" s="114">
        <f>MEDIAN(B14:R14)</f>
        <v>0.23705294339303778</v>
      </c>
    </row>
    <row r="15" spans="1:23">
      <c r="A15" s="113" t="s">
        <v>120</v>
      </c>
      <c r="B15" s="110">
        <f>'Base Spend Data'!B5/'Base Spend Data'!B$2</f>
        <v>0.23245360985857139</v>
      </c>
      <c r="C15" s="110">
        <f>'Base Spend Data'!C5/'Base Spend Data'!C$2</f>
        <v>0.23704370859680429</v>
      </c>
      <c r="D15" s="110">
        <f>'Base Spend Data'!D5/'Base Spend Data'!D$2</f>
        <v>0.24042428543418903</v>
      </c>
      <c r="E15" s="110">
        <f>'Base Spend Data'!E5/'Base Spend Data'!E$2</f>
        <v>0.20456947551417964</v>
      </c>
      <c r="F15" s="110">
        <f>'Base Spend Data'!F5/'Base Spend Data'!F$2</f>
        <v>0.24718805427521989</v>
      </c>
      <c r="G15" s="110">
        <f>'Base Spend Data'!G5/'Base Spend Data'!G$2</f>
        <v>0.26864113267974926</v>
      </c>
      <c r="H15" s="110">
        <f>'Base Spend Data'!H5/'Base Spend Data'!H$2</f>
        <v>0.28958451022851495</v>
      </c>
      <c r="I15" s="110">
        <f>'Base Spend Data'!I5/'Base Spend Data'!I$2</f>
        <v>0.21281620348815466</v>
      </c>
      <c r="J15" s="110">
        <f>'Base Spend Data'!J5/'Base Spend Data'!J$2</f>
        <v>0.25066536347386248</v>
      </c>
      <c r="K15" s="110">
        <f>'Base Spend Data'!K5/'Base Spend Data'!K$2</f>
        <v>0.21874074052003667</v>
      </c>
      <c r="L15" s="110">
        <f>'Base Spend Data'!L5/'Base Spend Data'!L$2</f>
        <v>0.29995355717680461</v>
      </c>
      <c r="M15" s="110">
        <f>'Base Spend Data'!M5/'Base Spend Data'!M$2</f>
        <v>0.30443131295500075</v>
      </c>
      <c r="N15" s="110">
        <f>'Base Spend Data'!N5/'Base Spend Data'!N$2</f>
        <v>0.25128880566450373</v>
      </c>
      <c r="O15" s="110">
        <f>'Base Spend Data'!O5/'Base Spend Data'!O$2</f>
        <v>0.23053385670937632</v>
      </c>
      <c r="P15" s="110">
        <f>'Base Spend Data'!P5/'Base Spend Data'!P$2</f>
        <v>0.23161424353030266</v>
      </c>
      <c r="Q15" s="110">
        <f>'Base Spend Data'!Q5/'Base Spend Data'!Q$2</f>
        <v>0.23686551235043554</v>
      </c>
      <c r="R15" s="110">
        <f>'Base Spend Data'!R5/'Base Spend Data'!R$2</f>
        <v>0.21492963748695462</v>
      </c>
      <c r="S15" s="114">
        <f t="shared" si="10"/>
        <v>0.24539670646721531</v>
      </c>
      <c r="T15" s="114">
        <f>MIN(B15:R15)</f>
        <v>0.20456947551417964</v>
      </c>
      <c r="U15" s="114">
        <f>MAX(B15:R15)</f>
        <v>0.30443131295500075</v>
      </c>
      <c r="V15" s="114">
        <f>MEDIAN(B15:R15)</f>
        <v>0.23704370859680429</v>
      </c>
    </row>
    <row r="16" spans="1:23">
      <c r="A16" s="113" t="s">
        <v>121</v>
      </c>
      <c r="B16" s="110">
        <f>'Base Spend Data'!B6/'Base Spend Data'!B$2</f>
        <v>0.23182633349035264</v>
      </c>
      <c r="C16" s="110">
        <f>'Base Spend Data'!C6/'Base Spend Data'!C$2</f>
        <v>0.25409289904132015</v>
      </c>
      <c r="D16" s="110">
        <f>'Base Spend Data'!D6/'Base Spend Data'!D$2</f>
        <v>0.21165693900718441</v>
      </c>
      <c r="E16" s="110">
        <f>'Base Spend Data'!E6/'Base Spend Data'!E$2</f>
        <v>0.18743361553236346</v>
      </c>
      <c r="F16" s="110">
        <f>'Base Spend Data'!F6/'Base Spend Data'!F$2</f>
        <v>0.23273853160174549</v>
      </c>
      <c r="G16" s="110">
        <f>'Base Spend Data'!G6/'Base Spend Data'!G$2</f>
        <v>0.25940101573563273</v>
      </c>
      <c r="H16" s="110">
        <f>'Base Spend Data'!H6/'Base Spend Data'!H$2</f>
        <v>0.26326817098829314</v>
      </c>
      <c r="I16" s="110">
        <f>'Base Spend Data'!I6/'Base Spend Data'!I$2</f>
        <v>0.21259259826203078</v>
      </c>
      <c r="J16" s="110">
        <f>'Base Spend Data'!J6/'Base Spend Data'!J$2</f>
        <v>0.1763664852368047</v>
      </c>
      <c r="K16" s="110">
        <f>'Base Spend Data'!K6/'Base Spend Data'!K$2</f>
        <v>0.13756203156517227</v>
      </c>
      <c r="L16" s="110">
        <f>'Base Spend Data'!L6/'Base Spend Data'!L$2</f>
        <v>0.32717629500855783</v>
      </c>
      <c r="M16" s="110">
        <f>'Base Spend Data'!M6/'Base Spend Data'!M$2</f>
        <v>0.20431272711156168</v>
      </c>
      <c r="N16" s="110">
        <f>'Base Spend Data'!N6/'Base Spend Data'!N$2</f>
        <v>0.24651600652566369</v>
      </c>
      <c r="O16" s="110">
        <f>'Base Spend Data'!O6/'Base Spend Data'!O$2</f>
        <v>0.20591834175360971</v>
      </c>
      <c r="P16" s="110">
        <f>'Base Spend Data'!P6/'Base Spend Data'!P$2</f>
        <v>0.25087167258481552</v>
      </c>
      <c r="Q16" s="110">
        <f>'Base Spend Data'!Q6/'Base Spend Data'!Q$2</f>
        <v>0.24728385471074163</v>
      </c>
      <c r="R16" s="110">
        <f>'Base Spend Data'!R6/'Base Spend Data'!R$2</f>
        <v>0.33226847882846883</v>
      </c>
      <c r="S16" s="114">
        <f t="shared" si="10"/>
        <v>0.23419329394025404</v>
      </c>
      <c r="T16" s="114">
        <f>MIN(B16:R16)</f>
        <v>0.13756203156517227</v>
      </c>
      <c r="U16" s="114">
        <f>MAX(B16:R16)</f>
        <v>0.33226847882846883</v>
      </c>
      <c r="V16" s="114">
        <f>MEDIAN(B16:R16)</f>
        <v>0.23273853160174549</v>
      </c>
    </row>
    <row r="17" spans="1:22">
      <c r="A17" s="113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4"/>
      <c r="T17" s="114"/>
      <c r="U17" s="114"/>
      <c r="V17" s="114"/>
    </row>
    <row r="18" spans="1:22">
      <c r="A18" s="113" t="s">
        <v>122</v>
      </c>
      <c r="B18" s="110">
        <f>'Base Supplier Data'!B3/'Base Supplier Data'!B$2</f>
        <v>0.50594294770206028</v>
      </c>
      <c r="C18" s="110">
        <f>'Base Supplier Data'!C3/'Base Supplier Data'!C$2</f>
        <v>0.47631599968048566</v>
      </c>
      <c r="D18" s="110">
        <f>'Base Supplier Data'!D3/'Base Supplier Data'!D$2</f>
        <v>0.46988084124979407</v>
      </c>
      <c r="E18" s="110">
        <f>'Base Supplier Data'!E3/'Base Supplier Data'!E$2</f>
        <v>0.47848275862068967</v>
      </c>
      <c r="F18" s="110">
        <f>'Base Supplier Data'!F3/'Base Supplier Data'!F$2</f>
        <v>0.48509463722397478</v>
      </c>
      <c r="G18" s="110">
        <f>'Base Supplier Data'!G3/'Base Supplier Data'!G$2</f>
        <v>0.4388258510113468</v>
      </c>
      <c r="H18" s="110">
        <f>'Base Supplier Data'!H3/'Base Supplier Data'!H$2</f>
        <v>0.43102765680674171</v>
      </c>
      <c r="I18" s="110">
        <f>'Base Supplier Data'!I3/'Base Supplier Data'!I$2</f>
        <v>0.3616186709377962</v>
      </c>
      <c r="J18" s="110">
        <f>'Base Supplier Data'!J3/'Base Supplier Data'!J$2</f>
        <v>0.5078961456102784</v>
      </c>
      <c r="K18" s="110">
        <f>'Base Supplier Data'!K3/'Base Supplier Data'!K$2</f>
        <v>0.47264200104220949</v>
      </c>
      <c r="L18" s="110">
        <f>'Base Supplier Data'!L3/'Base Supplier Data'!L$2</f>
        <v>0.54875176636834666</v>
      </c>
      <c r="M18" s="110">
        <f>'Base Supplier Data'!M3/'Base Supplier Data'!M$2</f>
        <v>0.5337822870054495</v>
      </c>
      <c r="N18" s="110">
        <f>'Base Supplier Data'!N3/'Base Supplier Data'!N$2</f>
        <v>0.42207442027682907</v>
      </c>
      <c r="O18" s="110">
        <f>'Base Supplier Data'!O3/'Base Supplier Data'!O$2</f>
        <v>0.60284668260609686</v>
      </c>
      <c r="P18" s="110">
        <f>'Base Supplier Data'!P3/'Base Supplier Data'!P$2</f>
        <v>0.53957952468007309</v>
      </c>
      <c r="Q18" s="110">
        <f>'Base Supplier Data'!Q3/'Base Supplier Data'!Q$2</f>
        <v>0.66882673942701232</v>
      </c>
      <c r="R18" s="110">
        <f>'Base Supplier Data'!R3/'Base Supplier Data'!R$2</f>
        <v>0.53693181818181823</v>
      </c>
      <c r="S18" s="114">
        <f t="shared" ref="S18:S21" si="11">AVERAGE(B18:R18)</f>
        <v>0.49885416167241181</v>
      </c>
      <c r="T18" s="114">
        <f t="shared" ref="T18:T21" si="12">MIN(B18:R18)</f>
        <v>0.3616186709377962</v>
      </c>
      <c r="U18" s="114">
        <f t="shared" ref="U18:U21" si="13">MAX(B18:R18)</f>
        <v>0.66882673942701232</v>
      </c>
      <c r="V18" s="114">
        <f t="shared" ref="V18:V21" si="14">MEDIAN(B18:R18)</f>
        <v>0.48509463722397478</v>
      </c>
    </row>
    <row r="19" spans="1:22">
      <c r="A19" s="113" t="s">
        <v>123</v>
      </c>
      <c r="B19" s="110">
        <f>'Base Supplier Data'!B4/'Base Supplier Data'!B$2</f>
        <v>0.5036450079239303</v>
      </c>
      <c r="C19" s="110">
        <f>'Base Supplier Data'!C4/'Base Supplier Data'!C$2</f>
        <v>0.48630082274942088</v>
      </c>
      <c r="D19" s="110">
        <f>'Base Supplier Data'!D4/'Base Supplier Data'!D$2</f>
        <v>0.47493273296359345</v>
      </c>
      <c r="E19" s="110">
        <f>'Base Supplier Data'!E4/'Base Supplier Data'!E$2</f>
        <v>0.38662068965517243</v>
      </c>
      <c r="F19" s="110">
        <f>'Base Supplier Data'!F4/'Base Supplier Data'!F$2</f>
        <v>0.46482649842271295</v>
      </c>
      <c r="G19" s="110">
        <f>'Base Supplier Data'!G4/'Base Supplier Data'!G$2</f>
        <v>0.46934244837550215</v>
      </c>
      <c r="H19" s="110">
        <f>'Base Supplier Data'!H4/'Base Supplier Data'!H$2</f>
        <v>0.46156891578530629</v>
      </c>
      <c r="I19" s="110">
        <f>'Base Supplier Data'!I4/'Base Supplier Data'!I$2</f>
        <v>0.57156865949727065</v>
      </c>
      <c r="J19" s="110">
        <f>'Base Supplier Data'!J4/'Base Supplier Data'!J$2</f>
        <v>0.48233404710920769</v>
      </c>
      <c r="K19" s="110">
        <f>'Base Supplier Data'!K4/'Base Supplier Data'!K$2</f>
        <v>0.48184818481848185</v>
      </c>
      <c r="L19" s="110">
        <f>'Base Supplier Data'!L4/'Base Supplier Data'!L$2</f>
        <v>0.54239284032030144</v>
      </c>
      <c r="M19" s="110">
        <f>'Base Supplier Data'!M4/'Base Supplier Data'!M$2</f>
        <v>0.54445970493110629</v>
      </c>
      <c r="N19" s="110">
        <f>'Base Supplier Data'!N4/'Base Supplier Data'!N$2</f>
        <v>0.51213374078734497</v>
      </c>
      <c r="O19" s="110">
        <f>'Base Supplier Data'!O4/'Base Supplier Data'!O$2</f>
        <v>0.56272414823670058</v>
      </c>
      <c r="P19" s="110">
        <f>'Base Supplier Data'!P4/'Base Supplier Data'!P$2</f>
        <v>0.49634369287020108</v>
      </c>
      <c r="Q19" s="110">
        <f>'Base Supplier Data'!Q4/'Base Supplier Data'!Q$2</f>
        <v>0.63472032742155526</v>
      </c>
      <c r="R19" s="110">
        <f>'Base Supplier Data'!R4/'Base Supplier Data'!R$2</f>
        <v>0.52251683501683499</v>
      </c>
      <c r="S19" s="114">
        <f t="shared" si="11"/>
        <v>0.50578113511086131</v>
      </c>
      <c r="T19" s="114">
        <f t="shared" si="12"/>
        <v>0.38662068965517243</v>
      </c>
      <c r="U19" s="114">
        <f t="shared" si="13"/>
        <v>0.63472032742155526</v>
      </c>
      <c r="V19" s="114">
        <f t="shared" si="14"/>
        <v>0.49634369287020108</v>
      </c>
    </row>
    <row r="20" spans="1:22">
      <c r="A20" s="113" t="s">
        <v>124</v>
      </c>
      <c r="B20" s="110">
        <f>'Base Supplier Data'!B5/'Base Supplier Data'!B$2</f>
        <v>0.49992076069730584</v>
      </c>
      <c r="C20" s="110">
        <f>'Base Supplier Data'!C5/'Base Supplier Data'!C$2</f>
        <v>0.49772346034028275</v>
      </c>
      <c r="D20" s="110">
        <f>'Base Supplier Data'!D5/'Base Supplier Data'!D$2</f>
        <v>0.50453022898248312</v>
      </c>
      <c r="E20" s="110">
        <f>'Base Supplier Data'!E5/'Base Supplier Data'!E$2</f>
        <v>0.48013793103448277</v>
      </c>
      <c r="F20" s="110">
        <f>'Base Supplier Data'!F5/'Base Supplier Data'!F$2</f>
        <v>0.47681388012618298</v>
      </c>
      <c r="G20" s="110">
        <f>'Base Supplier Data'!G5/'Base Supplier Data'!G$2</f>
        <v>0.498097117485376</v>
      </c>
      <c r="H20" s="110">
        <f>'Base Supplier Data'!H5/'Base Supplier Data'!H$2</f>
        <v>0.48888637520502232</v>
      </c>
      <c r="I20" s="110">
        <f>'Base Supplier Data'!I5/'Base Supplier Data'!I$2</f>
        <v>0.54917791651685022</v>
      </c>
      <c r="J20" s="110">
        <f>'Base Supplier Data'!J5/'Base Supplier Data'!J$2</f>
        <v>0.45583511777301927</v>
      </c>
      <c r="K20" s="110">
        <f>'Base Supplier Data'!K5/'Base Supplier Data'!K$2</f>
        <v>0.47073128365468125</v>
      </c>
      <c r="L20" s="110">
        <f>'Base Supplier Data'!L5/'Base Supplier Data'!L$2</f>
        <v>0.56335374470089494</v>
      </c>
      <c r="M20" s="110">
        <f>'Base Supplier Data'!M5/'Base Supplier Data'!M$2</f>
        <v>0.54570023481458507</v>
      </c>
      <c r="N20" s="110">
        <f>'Base Supplier Data'!N5/'Base Supplier Data'!N$2</f>
        <v>0.48211396728383965</v>
      </c>
      <c r="O20" s="110">
        <f>'Base Supplier Data'!O5/'Base Supplier Data'!O$2</f>
        <v>0.48875523012552302</v>
      </c>
      <c r="P20" s="110">
        <f>'Base Supplier Data'!P5/'Base Supplier Data'!P$2</f>
        <v>0.50612431444241313</v>
      </c>
      <c r="Q20" s="110">
        <f>'Base Supplier Data'!Q5/'Base Supplier Data'!Q$2</f>
        <v>0.65859481582537516</v>
      </c>
      <c r="R20" s="110">
        <f>'Base Supplier Data'!R5/'Base Supplier Data'!R$2</f>
        <v>0.53209175084175087</v>
      </c>
      <c r="S20" s="114">
        <f t="shared" si="11"/>
        <v>0.51168165469706295</v>
      </c>
      <c r="T20" s="114">
        <f t="shared" si="12"/>
        <v>0.45583511777301927</v>
      </c>
      <c r="U20" s="114">
        <f t="shared" si="13"/>
        <v>0.65859481582537516</v>
      </c>
      <c r="V20" s="114">
        <f t="shared" si="14"/>
        <v>0.498097117485376</v>
      </c>
    </row>
    <row r="21" spans="1:22">
      <c r="A21" s="113" t="s">
        <v>125</v>
      </c>
      <c r="B21" s="110">
        <f>'Base Supplier Data'!B6/'Base Supplier Data'!B$2</f>
        <v>0.49532488114104595</v>
      </c>
      <c r="C21" s="110">
        <f>'Base Supplier Data'!C6/'Base Supplier Data'!C$2</f>
        <v>0.45962137550922599</v>
      </c>
      <c r="D21" s="110">
        <f>'Base Supplier Data'!D6/'Base Supplier Data'!D$2</f>
        <v>0.5336884300697381</v>
      </c>
      <c r="E21" s="110">
        <f>'Base Supplier Data'!E6/'Base Supplier Data'!E$2</f>
        <v>0.49075862068965515</v>
      </c>
      <c r="F21" s="110">
        <f>'Base Supplier Data'!F6/'Base Supplier Data'!F$2</f>
        <v>0.48738170347003157</v>
      </c>
      <c r="G21" s="110">
        <f>'Base Supplier Data'!G6/'Base Supplier Data'!G$2</f>
        <v>0.44946789766720702</v>
      </c>
      <c r="H21" s="110">
        <f>'Base Supplier Data'!H6/'Base Supplier Data'!H$2</f>
        <v>0.45806232679147108</v>
      </c>
      <c r="I21" s="110">
        <f>'Base Supplier Data'!I6/'Base Supplier Data'!I$2</f>
        <v>0.49236753505703917</v>
      </c>
      <c r="J21" s="110">
        <f>'Base Supplier Data'!J6/'Base Supplier Data'!J$2</f>
        <v>0.46721092077087795</v>
      </c>
      <c r="K21" s="110">
        <f>'Base Supplier Data'!K6/'Base Supplier Data'!K$2</f>
        <v>0.47264200104220949</v>
      </c>
      <c r="L21" s="110">
        <f>'Base Supplier Data'!L6/'Base Supplier Data'!L$2</f>
        <v>0.52590673575129532</v>
      </c>
      <c r="M21" s="110">
        <f>'Base Supplier Data'!M6/'Base Supplier Data'!M$2</f>
        <v>0.52855433963936027</v>
      </c>
      <c r="N21" s="110">
        <f>'Base Supplier Data'!N6/'Base Supplier Data'!N$2</f>
        <v>0.48481035412547185</v>
      </c>
      <c r="O21" s="110">
        <f>'Base Supplier Data'!O6/'Base Supplier Data'!O$2</f>
        <v>0.39244620442319189</v>
      </c>
      <c r="P21" s="110">
        <f>'Base Supplier Data'!P6/'Base Supplier Data'!P$2</f>
        <v>0.48784277879341864</v>
      </c>
      <c r="Q21" s="110">
        <f>'Base Supplier Data'!Q6/'Base Supplier Data'!Q$2</f>
        <v>0.67633015006821284</v>
      </c>
      <c r="R21" s="110">
        <f>'Base Supplier Data'!R6/'Base Supplier Data'!R$2</f>
        <v>0.59259259259259256</v>
      </c>
      <c r="S21" s="114">
        <f t="shared" si="11"/>
        <v>0.49970640280012024</v>
      </c>
      <c r="T21" s="114">
        <f t="shared" si="12"/>
        <v>0.39244620442319189</v>
      </c>
      <c r="U21" s="114">
        <f t="shared" si="13"/>
        <v>0.67633015006821284</v>
      </c>
      <c r="V21" s="114">
        <f t="shared" si="14"/>
        <v>0.48784277879341864</v>
      </c>
    </row>
    <row r="22" spans="1:22">
      <c r="A22" s="113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4"/>
      <c r="T22" s="114"/>
      <c r="U22" s="114"/>
      <c r="V22" s="114"/>
    </row>
    <row r="23" spans="1:22">
      <c r="A23" s="113" t="s">
        <v>76</v>
      </c>
      <c r="B23" s="111">
        <f>'Base Spend Data'!B2/'Base Spend Data'!B7</f>
        <v>2157.6499946507224</v>
      </c>
      <c r="C23" s="111">
        <f>'Base Spend Data'!C2/'Base Spend Data'!C7</f>
        <v>854.40662496699838</v>
      </c>
      <c r="D23" s="111">
        <f>'Base Spend Data'!D2/'Base Spend Data'!D7</f>
        <v>4176.1859714754182</v>
      </c>
      <c r="E23" s="111">
        <f>'Base Spend Data'!E2/'Base Spend Data'!E7</f>
        <v>5826.5367999691352</v>
      </c>
      <c r="F23" s="111">
        <f>'Base Spend Data'!F2/'Base Spend Data'!F7</f>
        <v>1605.8539984607603</v>
      </c>
      <c r="G23" s="111">
        <f>'Base Spend Data'!G2/'Base Spend Data'!G7</f>
        <v>2039.3238556344595</v>
      </c>
      <c r="H23" s="111">
        <f>'Base Spend Data'!H2/'Base Spend Data'!H7</f>
        <v>2562.758663863533</v>
      </c>
      <c r="I23" s="111">
        <f>'Base Spend Data'!I2/'Base Spend Data'!I7</f>
        <v>3188.1019637502204</v>
      </c>
      <c r="J23" s="111">
        <f>'Base Spend Data'!J2/'Base Spend Data'!J7</f>
        <v>2993.9556683836768</v>
      </c>
      <c r="K23" s="111">
        <f>'Base Spend Data'!K2/'Base Spend Data'!K7</f>
        <v>3248.4545693011451</v>
      </c>
      <c r="L23" s="111">
        <f>'Base Spend Data'!L2/'Base Spend Data'!L7</f>
        <v>10026.794585075095</v>
      </c>
      <c r="M23" s="111">
        <f>'Base Spend Data'!M2/'Base Spend Data'!M7</f>
        <v>9959.1740860550326</v>
      </c>
      <c r="N23" s="111">
        <f>'Base Spend Data'!N2/'Base Spend Data'!N7</f>
        <v>4054.5264815649939</v>
      </c>
      <c r="O23" s="111">
        <f>'Base Spend Data'!O2/'Base Spend Data'!O7</f>
        <v>3613.3954191300704</v>
      </c>
      <c r="P23" s="111">
        <f>'Base Spend Data'!P2/'Base Spend Data'!P7</f>
        <v>5378.6885251591757</v>
      </c>
      <c r="Q23" s="111">
        <f>'Base Spend Data'!Q2/'Base Spend Data'!Q7</f>
        <v>2328.7386854501406</v>
      </c>
      <c r="R23" s="111">
        <f>'Base Spend Data'!R2/'Base Spend Data'!R7</f>
        <v>5436.2799330717598</v>
      </c>
      <c r="S23" s="67">
        <f>AVERAGE(B23:R23)</f>
        <v>4085.3426956448434</v>
      </c>
      <c r="T23" s="67">
        <f>MIN(B23:R23)</f>
        <v>854.40662496699838</v>
      </c>
      <c r="U23" s="67">
        <f>MAX(B23:R23)</f>
        <v>10026.794585075095</v>
      </c>
      <c r="V23" s="67">
        <f>MEDIAN(B23:R23)</f>
        <v>3248.4545693011451</v>
      </c>
    </row>
    <row r="24" spans="1:22">
      <c r="A24" s="113" t="s">
        <v>87</v>
      </c>
      <c r="B24" s="112">
        <f>'Base Spend Data'!B7/'Base Supplier Data'!B2</f>
        <v>60.881774960380348</v>
      </c>
      <c r="C24" s="112">
        <f>'Base Spend Data'!C7/'Base Supplier Data'!C2</f>
        <v>114.36584391724578</v>
      </c>
      <c r="D24" s="112">
        <f>'Base Spend Data'!D7/'Base Supplier Data'!D2</f>
        <v>25.653506122673111</v>
      </c>
      <c r="E24" s="112">
        <f>'Base Spend Data'!E7/'Base Supplier Data'!E2</f>
        <v>73.289379310344827</v>
      </c>
      <c r="F24" s="112">
        <f>'Base Spend Data'!F7/'Base Supplier Data'!F2</f>
        <v>118.66238170347003</v>
      </c>
      <c r="G24" s="112">
        <f>'Base Spend Data'!G7/'Base Supplier Data'!G2</f>
        <v>74.168035097610826</v>
      </c>
      <c r="H24" s="112">
        <f>'Base Spend Data'!H7/'Base Supplier Data'!H2</f>
        <v>39.425202194446015</v>
      </c>
      <c r="I24" s="112">
        <f>'Base Spend Data'!I7/'Base Supplier Data'!I2</f>
        <v>35.578334913215443</v>
      </c>
      <c r="J24" s="112">
        <f>'Base Spend Data'!J7/'Base Supplier Data'!J2</f>
        <v>37.465738758029978</v>
      </c>
      <c r="K24" s="112">
        <f>'Base Spend Data'!K7/'Base Supplier Data'!K2</f>
        <v>22.44172311968039</v>
      </c>
      <c r="L24" s="112">
        <f>'Base Spend Data'!L7/'Base Supplier Data'!L2</f>
        <v>30.029439472444654</v>
      </c>
      <c r="M24" s="112">
        <f>'Base Spend Data'!M7/'Base Supplier Data'!M2</f>
        <v>25.291037171591867</v>
      </c>
      <c r="N24" s="112">
        <f>'Base Spend Data'!N7/'Base Supplier Data'!N2</f>
        <v>26.308107136437176</v>
      </c>
      <c r="O24" s="112">
        <f>'Base Spend Data'!O7/'Base Supplier Data'!O2</f>
        <v>55.631052002390916</v>
      </c>
      <c r="P24" s="112">
        <f>'Base Spend Data'!P7/'Base Supplier Data'!P2</f>
        <v>55.171572212065811</v>
      </c>
      <c r="Q24" s="112">
        <f>'Base Spend Data'!Q7/'Base Supplier Data'!Q2</f>
        <v>554.25682128240112</v>
      </c>
      <c r="R24" s="112">
        <f>'Base Spend Data'!R7/'Base Supplier Data'!R2</f>
        <v>64.440972222222229</v>
      </c>
      <c r="S24" s="66">
        <f>AVERAGE(B24:R24)</f>
        <v>83.121230682155911</v>
      </c>
      <c r="T24" s="66">
        <f>MIN(B24:R24)</f>
        <v>22.44172311968039</v>
      </c>
      <c r="U24" s="66">
        <f>MAX(B24:R24)</f>
        <v>554.25682128240112</v>
      </c>
      <c r="V24" s="66">
        <f>MEDIAN(B24:R24)</f>
        <v>55.171572212065811</v>
      </c>
    </row>
    <row r="25" spans="1:22">
      <c r="A25" s="113" t="s">
        <v>100</v>
      </c>
      <c r="B25" s="108">
        <f>'Base Spend Data'!B20/'Base Spend Data'!B$2</f>
        <v>0.55732246252704654</v>
      </c>
      <c r="C25" s="108">
        <f>'Base Spend Data'!C20/'Base Spend Data'!C$2</f>
        <v>0.98016204019807729</v>
      </c>
      <c r="D25" s="108">
        <f>'Base Spend Data'!D20/'Base Spend Data'!D$2</f>
        <v>0.17125912854538158</v>
      </c>
      <c r="E25" s="108">
        <f>'Base Spend Data'!E20/'Base Spend Data'!E$2</f>
        <v>0.77430935150231539</v>
      </c>
      <c r="F25" s="108">
        <f>'Base Spend Data'!F20/'Base Spend Data'!F$2</f>
        <v>0.9681835546486548</v>
      </c>
      <c r="G25" s="108">
        <f>'Base Spend Data'!G20/'Base Spend Data'!G$2</f>
        <v>0.48293556299175094</v>
      </c>
      <c r="H25" s="108">
        <f>'Base Spend Data'!H20/'Base Spend Data'!H$2</f>
        <v>0.70972191511127403</v>
      </c>
      <c r="I25" s="108">
        <f>'Base Spend Data'!I20/'Base Spend Data'!I$2</f>
        <v>0.1847099824140844</v>
      </c>
      <c r="J25" s="108">
        <f>'Base Spend Data'!J20/'Base Spend Data'!J$2</f>
        <v>0.3890015366526407</v>
      </c>
      <c r="K25" s="108">
        <f>'Base Spend Data'!K20/'Base Spend Data'!K$2</f>
        <v>0.98893222732144281</v>
      </c>
      <c r="L25" s="108">
        <f>'Base Spend Data'!L20/'Base Spend Data'!L$2</f>
        <v>0.23197725954530429</v>
      </c>
      <c r="M25" s="108">
        <f>'Base Spend Data'!M20/'Base Spend Data'!M$2</f>
        <v>0.94624228391448328</v>
      </c>
      <c r="N25" s="108">
        <f>'Base Spend Data'!N20/'Base Spend Data'!N$2</f>
        <v>0.93143429502883945</v>
      </c>
      <c r="O25" s="108">
        <f>'Base Spend Data'!O20/'Base Spend Data'!O$2</f>
        <v>0.85283905910480373</v>
      </c>
      <c r="P25" s="108">
        <f>'Base Spend Data'!P20/'Base Spend Data'!P$2</f>
        <v>0.80724458451413006</v>
      </c>
      <c r="Q25" s="108"/>
      <c r="R25" s="108"/>
      <c r="S25" s="114">
        <f t="shared" ref="S25:S28" si="15">AVERAGE(B25:R25)</f>
        <v>0.66508501626801531</v>
      </c>
      <c r="T25" s="114">
        <f t="shared" ref="T25:T28" si="16">MIN(B25:R25)</f>
        <v>0.17125912854538158</v>
      </c>
      <c r="U25" s="114">
        <f t="shared" ref="U25:U28" si="17">MAX(B25:R25)</f>
        <v>0.98893222732144281</v>
      </c>
      <c r="V25" s="114">
        <f t="shared" ref="V25:V28" si="18">MEDIAN(B25:R25)</f>
        <v>0.77430935150231539</v>
      </c>
    </row>
    <row r="26" spans="1:22">
      <c r="A26" s="113" t="s">
        <v>114</v>
      </c>
      <c r="B26" s="108">
        <f>'Base Spend Data'!B22/'Base Spend Data'!B2</f>
        <v>0.9034539087183564</v>
      </c>
      <c r="C26" s="108">
        <f>'Base Spend Data'!C22/'Base Spend Data'!C2</f>
        <v>0.9203516044966219</v>
      </c>
      <c r="D26" s="108">
        <f>'Base Spend Data'!D22/'Base Spend Data'!D2</f>
        <v>0.87436978241898211</v>
      </c>
      <c r="E26" s="108">
        <f>'Base Spend Data'!E22/'Base Spend Data'!E2</f>
        <v>0.92810283242741165</v>
      </c>
      <c r="F26" s="108">
        <f>'Base Spend Data'!F22/'Base Spend Data'!F2</f>
        <v>0.96818355497147157</v>
      </c>
      <c r="G26" s="108"/>
      <c r="H26" s="108">
        <f>'Base Spend Data'!H22/'Base Spend Data'!H2</f>
        <v>0.70972191517844674</v>
      </c>
      <c r="I26" s="108">
        <f>'Base Spend Data'!I22/'Base Spend Data'!I2</f>
        <v>0.81946427240895636</v>
      </c>
      <c r="J26" s="108">
        <f>'Base Spend Data'!J22/'Base Spend Data'!J2</f>
        <v>0.87106474090376873</v>
      </c>
      <c r="K26" s="108">
        <f>'Base Spend Data'!K22/'Base Spend Data'!K2</f>
        <v>0.98893222908464651</v>
      </c>
      <c r="L26" s="108">
        <f>'Base Spend Data'!L22/'Base Spend Data'!L2</f>
        <v>0.36861379582560544</v>
      </c>
      <c r="M26" s="108">
        <f>'Base Spend Data'!M22/'Base Spend Data'!M2</f>
        <v>0.13095555900616007</v>
      </c>
      <c r="N26" s="108">
        <f>'Base Spend Data'!N22/'Base Spend Data'!N2</f>
        <v>0.93739270186332246</v>
      </c>
      <c r="O26" s="108"/>
      <c r="P26" s="108">
        <f>'Base Spend Data'!P22/'Base Spend Data'!P2</f>
        <v>0.80724458473283034</v>
      </c>
      <c r="Q26" s="108">
        <f>'Base Spend Data'!Q22/'Base Spend Data'!Q2</f>
        <v>0.86582412328780112</v>
      </c>
      <c r="R26" s="108"/>
      <c r="S26" s="114">
        <f t="shared" ref="S26:S27" si="19">AVERAGE(B26:R26)</f>
        <v>0.79240540038031304</v>
      </c>
      <c r="T26" s="114">
        <f t="shared" ref="T26:T27" si="20">MIN(B26:R26)</f>
        <v>0.13095555900616007</v>
      </c>
      <c r="U26" s="114">
        <f t="shared" ref="U26:U27" si="21">MAX(B26:R26)</f>
        <v>0.98893222908464651</v>
      </c>
      <c r="V26" s="114">
        <f t="shared" ref="V26:V27" si="22">MEDIAN(B26:R26)</f>
        <v>0.87271726166137542</v>
      </c>
    </row>
    <row r="27" spans="1:22">
      <c r="A27" s="113" t="s">
        <v>115</v>
      </c>
      <c r="B27" s="108">
        <f>'Base Spend Data'!B21/'Base Spend Data'!B7</f>
        <v>5.2076717235347403E-2</v>
      </c>
      <c r="C27" s="108">
        <f>'Base Spend Data'!C21/'Base Spend Data'!C7</f>
        <v>2.589286088454237E-2</v>
      </c>
      <c r="D27" s="108">
        <f>'Base Spend Data'!D21/'Base Spend Data'!D7</f>
        <v>2.1418052297207047E-2</v>
      </c>
      <c r="E27" s="108">
        <f>'Base Spend Data'!E21/'Base Spend Data'!E7</f>
        <v>0.18182245910401471</v>
      </c>
      <c r="F27" s="108">
        <f>'Base Spend Data'!F21/'Base Spend Data'!F7</f>
        <v>6.9445229054942742E-2</v>
      </c>
      <c r="G27" s="108">
        <f>'Base Spend Data'!G21/'Base Spend Data'!G7</f>
        <v>5.5012957654399675E-2</v>
      </c>
      <c r="H27" s="108">
        <f>'Base Spend Data'!H21/'Base Spend Data'!H7</f>
        <v>0.12435355061205577</v>
      </c>
      <c r="I27" s="108">
        <f>'Base Spend Data'!I21/'Base Spend Data'!I7</f>
        <v>9.9091550538013759E-2</v>
      </c>
      <c r="J27" s="108">
        <f>'Base Spend Data'!J21/'Base Spend Data'!J7</f>
        <v>0.10257765838882062</v>
      </c>
      <c r="K27" s="108">
        <f>'Base Spend Data'!K21/'Base Spend Data'!K7</f>
        <v>3.4652507411162797E-2</v>
      </c>
      <c r="L27" s="108">
        <f>'Base Spend Data'!L21/'Base Spend Data'!L7</f>
        <v>0.14111603466530726</v>
      </c>
      <c r="M27" s="108">
        <f>'Base Spend Data'!M21/'Base Spend Data'!M7</f>
        <v>5.4838099375661302E-2</v>
      </c>
      <c r="N27" s="108">
        <f>'Base Spend Data'!N21/'Base Spend Data'!N7</f>
        <v>0.10582021427790532</v>
      </c>
      <c r="O27" s="108">
        <f>'Base Spend Data'!O21/'Base Spend Data'!O7</f>
        <v>0.15003371091347173</v>
      </c>
      <c r="P27" s="108">
        <f>'Base Spend Data'!P21/'Base Spend Data'!P7</f>
        <v>9.9536595993551774E-2</v>
      </c>
      <c r="Q27" s="108">
        <f>'Base Spend Data'!Q21/'Base Spend Data'!Q7</f>
        <v>6.4254027953068185E-2</v>
      </c>
      <c r="R27" s="108">
        <f>'Base Spend Data'!R21/'Base Spend Data'!R7</f>
        <v>0.20505937656646209</v>
      </c>
      <c r="S27" s="114">
        <f t="shared" si="19"/>
        <v>9.3353035466231429E-2</v>
      </c>
      <c r="T27" s="114">
        <f t="shared" si="20"/>
        <v>2.1418052297207047E-2</v>
      </c>
      <c r="U27" s="114">
        <f t="shared" si="21"/>
        <v>0.20505937656646209</v>
      </c>
      <c r="V27" s="114">
        <f t="shared" si="22"/>
        <v>9.9091550538013759E-2</v>
      </c>
    </row>
    <row r="28" spans="1:22">
      <c r="A28" s="113" t="s">
        <v>103</v>
      </c>
      <c r="B28" s="108">
        <f>'Base Spend Data'!B23/'Base Spend Data'!B$2</f>
        <v>1.6954260967285167E-2</v>
      </c>
      <c r="C28" s="108">
        <f>'Base Spend Data'!C23/'Base Spend Data'!C$2</f>
        <v>1.9837959254220734E-2</v>
      </c>
      <c r="D28" s="108">
        <f>'Base Spend Data'!D23/'Base Spend Data'!D$2</f>
        <v>2.6415055333545909E-2</v>
      </c>
      <c r="E28" s="108">
        <f>'Base Spend Data'!E23/'Base Spend Data'!E$2</f>
        <v>4.5393643931301826E-3</v>
      </c>
      <c r="F28" s="108">
        <f>'Base Spend Data'!F23/'Base Spend Data'!F$2</f>
        <v>7.8281954367451501E-3</v>
      </c>
      <c r="G28" s="108">
        <f>'Base Spend Data'!G23/'Base Spend Data'!G$2</f>
        <v>0.26486734791865679</v>
      </c>
      <c r="H28" s="108">
        <f>'Base Spend Data'!H23/'Base Spend Data'!H$2</f>
        <v>0</v>
      </c>
      <c r="I28" s="108">
        <f>'Base Spend Data'!I23/'Base Spend Data'!I$2</f>
        <v>1.1626529279600692E-2</v>
      </c>
      <c r="J28" s="108">
        <f>'Base Spend Data'!J23/'Base Spend Data'!J$2</f>
        <v>1.5644822062549713E-3</v>
      </c>
      <c r="K28" s="108">
        <f>'Base Spend Data'!K23/'Base Spend Data'!K$2</f>
        <v>4.0313508582526657E-2</v>
      </c>
      <c r="L28" s="108">
        <f>'Base Spend Data'!L23/'Base Spend Data'!L$2</f>
        <v>6.005907342048737E-3</v>
      </c>
      <c r="M28" s="108">
        <f>'Base Spend Data'!M23/'Base Spend Data'!M$2</f>
        <v>2.277619180431551E-3</v>
      </c>
      <c r="N28" s="108">
        <f>'Base Spend Data'!N23/'Base Spend Data'!N$2</f>
        <v>1.7600761981143135E-2</v>
      </c>
      <c r="O28" s="108">
        <f>'Base Spend Data'!O23/'Base Spend Data'!O$2</f>
        <v>2.5621176625765942E-2</v>
      </c>
      <c r="P28" s="108">
        <f>'Base Spend Data'!P23/'Base Spend Data'!P$2</f>
        <v>2.1025626012497058E-2</v>
      </c>
      <c r="Q28" s="108"/>
      <c r="R28" s="108"/>
      <c r="S28" s="114">
        <f t="shared" si="15"/>
        <v>3.109851963425685E-2</v>
      </c>
      <c r="T28" s="114">
        <f t="shared" si="16"/>
        <v>0</v>
      </c>
      <c r="U28" s="114">
        <f t="shared" si="17"/>
        <v>0.26486734791865679</v>
      </c>
      <c r="V28" s="114">
        <f t="shared" si="18"/>
        <v>1.6954260967285167E-2</v>
      </c>
    </row>
    <row r="29" spans="1:22">
      <c r="A29" s="113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67"/>
      <c r="T29" s="67"/>
      <c r="U29" s="67"/>
      <c r="V29" s="67"/>
    </row>
    <row r="30" spans="1:22">
      <c r="A30" s="113" t="s">
        <v>33</v>
      </c>
      <c r="B30" s="114">
        <f>'Base Spend Data'!B17/'Base Spend Data'!B2</f>
        <v>0.27592894298494791</v>
      </c>
      <c r="C30" s="114"/>
      <c r="D30" s="114"/>
      <c r="E30" s="114">
        <f>'Base Spend Data'!E17/'Base Spend Data'!E2</f>
        <v>0.2703200851490426</v>
      </c>
      <c r="F30" s="114">
        <f>'Base Spend Data'!F17/'Base Spend Data'!F2</f>
        <v>9.4774482337349822E-2</v>
      </c>
      <c r="G30" s="114">
        <f>'Base Spend Data'!G17/'Base Spend Data'!G2</f>
        <v>8.3649067075507705E-2</v>
      </c>
      <c r="H30" s="114">
        <f>'Base Spend Data'!H17/'Base Spend Data'!H2</f>
        <v>9.0516328024314932E-2</v>
      </c>
      <c r="I30" s="114">
        <f>'Base Spend Data'!I17/'Base Spend Data'!I2</f>
        <v>2.0621983896904495E-2</v>
      </c>
      <c r="J30" s="114">
        <f>'Base Spend Data'!J17/'Base Spend Data'!J2</f>
        <v>0.16636362943238972</v>
      </c>
      <c r="K30" s="114"/>
      <c r="L30" s="114"/>
      <c r="M30" s="114">
        <f>'Base Spend Data'!M17/'Base Spend Data'!M2</f>
        <v>1.3168729151151842E-2</v>
      </c>
      <c r="N30" s="114">
        <f>'Base Spend Data'!N17/'Base Spend Data'!N2</f>
        <v>9.3407676646814972E-2</v>
      </c>
      <c r="O30" s="114">
        <f>'Base Spend Data'!O17/'Base Spend Data'!O2</f>
        <v>0.29532082260157572</v>
      </c>
      <c r="P30" s="114">
        <f>'Base Spend Data'!P17/'Base Spend Data'!P2</f>
        <v>6.3425227485364236E-2</v>
      </c>
      <c r="Q30" s="114">
        <f>'Base Spend Data'!Q17/'Base Spend Data'!Q2</f>
        <v>0.23664639178650279</v>
      </c>
      <c r="R30" s="114">
        <f>'Base Spend Data'!R17/'Base Spend Data'!R2</f>
        <v>9.0790825188207205E-2</v>
      </c>
      <c r="S30" s="114">
        <f>AVERAGE(B30:R30)</f>
        <v>0.13807186090462106</v>
      </c>
      <c r="T30" s="114">
        <f>MIN(B30:R30)</f>
        <v>1.3168729151151842E-2</v>
      </c>
      <c r="U30" s="114">
        <f>MAX(B30:R30)</f>
        <v>0.29532082260157572</v>
      </c>
      <c r="V30" s="114">
        <f>MEDIAN(B30:R30)</f>
        <v>9.3407676646814972E-2</v>
      </c>
    </row>
    <row r="31" spans="1:22">
      <c r="A31" s="113" t="s">
        <v>77</v>
      </c>
      <c r="B31" s="114">
        <f>'Base Spend Data'!B10/'Base Spend Data'!B$2</f>
        <v>0.44308641535914628</v>
      </c>
      <c r="C31" s="114">
        <f>'Base Spend Data'!C10/'Base Spend Data'!C$2</f>
        <v>0.43910497196891696</v>
      </c>
      <c r="D31" s="114">
        <f>'Base Spend Data'!D10/'Base Spend Data'!D$2</f>
        <v>0.44462410007767766</v>
      </c>
      <c r="E31" s="114">
        <f>'Base Spend Data'!E10/'Base Spend Data'!E$2</f>
        <v>0.42801552035518842</v>
      </c>
      <c r="F31" s="114">
        <f>'Base Spend Data'!F10/'Base Spend Data'!F$2</f>
        <v>0.43702974789034077</v>
      </c>
      <c r="G31" s="114">
        <f>'Base Spend Data'!G10/'Base Spend Data'!G$2</f>
        <v>0.41773818618725261</v>
      </c>
      <c r="H31" s="114">
        <f>'Base Spend Data'!H10/'Base Spend Data'!H$2</f>
        <v>0.43046623400037226</v>
      </c>
      <c r="I31" s="114">
        <f>'Base Spend Data'!I10/'Base Spend Data'!I$2</f>
        <v>0.3886656150419468</v>
      </c>
      <c r="J31" s="114">
        <f>'Base Spend Data'!J10/'Base Spend Data'!J$2</f>
        <v>0.62706978691528859</v>
      </c>
      <c r="K31" s="114">
        <f>'Base Spend Data'!K10/'Base Spend Data'!K$2</f>
        <v>0.73103755686420846</v>
      </c>
      <c r="L31" s="114">
        <f>'Base Spend Data'!L10/'Base Spend Data'!L$2</f>
        <v>0.71048698653643283</v>
      </c>
      <c r="M31" s="114">
        <f>'Base Spend Data'!M10/'Base Spend Data'!M$2</f>
        <v>0.68029142480698368</v>
      </c>
      <c r="N31" s="114">
        <f>'Base Spend Data'!N10/'Base Spend Data'!N$2</f>
        <v>0.46879411337237531</v>
      </c>
      <c r="O31" s="114">
        <f>'Base Spend Data'!O10/'Base Spend Data'!O$2</f>
        <v>0.39434585164743091</v>
      </c>
      <c r="P31" s="114">
        <f>'Base Spend Data'!P10/'Base Spend Data'!P$2</f>
        <v>0.43906553626578376</v>
      </c>
      <c r="Q31" s="114">
        <f>'Base Spend Data'!Q10/'Base Spend Data'!Q$2</f>
        <v>0.45135627233637193</v>
      </c>
      <c r="R31" s="114">
        <f>'Base Spend Data'!R10/'Base Spend Data'!R$2</f>
        <v>0.53236069380170914</v>
      </c>
      <c r="S31" s="114">
        <f t="shared" ref="S31:S33" si="23">AVERAGE(B31:R31)</f>
        <v>0.49785523608396631</v>
      </c>
      <c r="T31" s="114">
        <f>MIN(B31:R31)</f>
        <v>0.3886656150419468</v>
      </c>
      <c r="U31" s="114">
        <f>MAX(B31:R31)</f>
        <v>0.73103755686420846</v>
      </c>
      <c r="V31" s="114">
        <f>MEDIAN(B31:R31)</f>
        <v>0.44308641535914628</v>
      </c>
    </row>
    <row r="32" spans="1:22">
      <c r="A32" s="113" t="s">
        <v>78</v>
      </c>
      <c r="B32" s="114">
        <f>'Base Spend Data'!B11/'Base Spend Data'!B$2</f>
        <v>0.34462198785852727</v>
      </c>
      <c r="C32" s="114">
        <f>'Base Spend Data'!C11/'Base Spend Data'!C$2</f>
        <v>0.35418662790097333</v>
      </c>
      <c r="D32" s="114">
        <f>'Base Spend Data'!D11/'Base Spend Data'!D$2</f>
        <v>0.34947528186967414</v>
      </c>
      <c r="E32" s="114">
        <f>'Base Spend Data'!E11/'Base Spend Data'!E$2</f>
        <v>0.34408973369333962</v>
      </c>
      <c r="F32" s="114">
        <f>'Base Spend Data'!F11/'Base Spend Data'!F$2</f>
        <v>0.3559727335072721</v>
      </c>
      <c r="G32" s="114">
        <f>'Base Spend Data'!G11/'Base Spend Data'!G$2</f>
        <v>0.34598379547124608</v>
      </c>
      <c r="H32" s="114">
        <f>'Base Spend Data'!H11/'Base Spend Data'!H$2</f>
        <v>0.35415254123368417</v>
      </c>
      <c r="I32" s="114">
        <f>'Base Spend Data'!I11/'Base Spend Data'!I$2</f>
        <v>0.29872500503041427</v>
      </c>
      <c r="J32" s="114">
        <f>'Base Spend Data'!J11/'Base Spend Data'!J$2</f>
        <v>0.56462801713482902</v>
      </c>
      <c r="K32" s="114">
        <f>'Base Spend Data'!K11/'Base Spend Data'!K$2</f>
        <v>0.65458801404026212</v>
      </c>
      <c r="L32" s="114">
        <f>'Base Spend Data'!L11/'Base Spend Data'!L$2</f>
        <v>0.60386526406137087</v>
      </c>
      <c r="M32" s="114">
        <f>'Base Spend Data'!M11/'Base Spend Data'!M$2</f>
        <v>0.64562342890803037</v>
      </c>
      <c r="N32" s="114">
        <f>'Base Spend Data'!N11/'Base Spend Data'!N$2</f>
        <v>0.39267400185856349</v>
      </c>
      <c r="O32" s="114">
        <f>'Base Spend Data'!O11/'Base Spend Data'!O$2</f>
        <v>0.3048836452751178</v>
      </c>
      <c r="P32" s="114">
        <f>'Base Spend Data'!P11/'Base Spend Data'!P$2</f>
        <v>0.33004791574116232</v>
      </c>
      <c r="Q32" s="114">
        <f>'Base Spend Data'!Q11/'Base Spend Data'!Q$2</f>
        <v>0.35536733464850001</v>
      </c>
      <c r="R32" s="114">
        <f>'Base Spend Data'!R11/'Base Spend Data'!R$2</f>
        <v>0.43644766891821735</v>
      </c>
      <c r="S32" s="114">
        <f t="shared" si="23"/>
        <v>0.41384311747948149</v>
      </c>
      <c r="T32" s="114">
        <f>MIN(B32:R32)</f>
        <v>0.29872500503041427</v>
      </c>
      <c r="U32" s="114">
        <f>MAX(B32:R32)</f>
        <v>0.65458801404026212</v>
      </c>
      <c r="V32" s="114">
        <f>MEDIAN(B32:R32)</f>
        <v>0.35418662790097333</v>
      </c>
    </row>
    <row r="33" spans="1:23">
      <c r="A33" s="113" t="s">
        <v>79</v>
      </c>
      <c r="B33" s="114">
        <f>'Base Spend Data'!B12/'Base Spend Data'!B$2</f>
        <v>0.17916970241883073</v>
      </c>
      <c r="C33" s="114">
        <f>'Base Spend Data'!C12/'Base Spend Data'!C$2</f>
        <v>0.19285225850980586</v>
      </c>
      <c r="D33" s="114">
        <f>'Base Spend Data'!D12/'Base Spend Data'!D$2</f>
        <v>0.2116887443169029</v>
      </c>
      <c r="E33" s="114">
        <f>'Base Spend Data'!E12/'Base Spend Data'!E$2</f>
        <v>0.17025945641790699</v>
      </c>
      <c r="F33" s="114">
        <f>'Base Spend Data'!F12/'Base Spend Data'!F$2</f>
        <v>0.23168706925044621</v>
      </c>
      <c r="G33" s="114">
        <f>'Base Spend Data'!G12/'Base Spend Data'!G$2</f>
        <v>0.18377695246923684</v>
      </c>
      <c r="H33" s="114">
        <f>'Base Spend Data'!H12/'Base Spend Data'!H$2</f>
        <v>0.2101870224021215</v>
      </c>
      <c r="I33" s="114">
        <f>'Base Spend Data'!I12/'Base Spend Data'!I$2</f>
        <v>0.14544065136318646</v>
      </c>
      <c r="J33" s="114">
        <f>'Base Spend Data'!J12/'Base Spend Data'!J$2</f>
        <v>0.45098063574036534</v>
      </c>
      <c r="K33" s="114">
        <f>'Base Spend Data'!K12/'Base Spend Data'!K$2</f>
        <v>0.46968704752978169</v>
      </c>
      <c r="L33" s="114">
        <f>'Base Spend Data'!L12/'Base Spend Data'!L$2</f>
        <v>0.34989139343453374</v>
      </c>
      <c r="M33" s="114">
        <f>'Base Spend Data'!M12/'Base Spend Data'!M$2</f>
        <v>0.50911333406999526</v>
      </c>
      <c r="N33" s="114">
        <f>'Base Spend Data'!N12/'Base Spend Data'!N$2</f>
        <v>0.24890484448253775</v>
      </c>
      <c r="O33" s="114">
        <f>'Base Spend Data'!O12/'Base Spend Data'!O$2</f>
        <v>0.1429390714977174</v>
      </c>
      <c r="P33" s="114">
        <f>'Base Spend Data'!P12/'Base Spend Data'!P$2</f>
        <v>0.15544945581217426</v>
      </c>
      <c r="Q33" s="114">
        <f>'Base Spend Data'!Q12/'Base Spend Data'!Q$2</f>
        <v>0.1807695260958096</v>
      </c>
      <c r="R33" s="114">
        <f>'Base Spend Data'!R12/'Base Spend Data'!R$2</f>
        <v>0.25335135177998058</v>
      </c>
      <c r="S33" s="114">
        <f t="shared" si="23"/>
        <v>0.25212638338772547</v>
      </c>
      <c r="T33" s="114">
        <f>MIN(B33:R33)</f>
        <v>0.1429390714977174</v>
      </c>
      <c r="U33" s="114">
        <f>MAX(B33:R33)</f>
        <v>0.50911333406999526</v>
      </c>
      <c r="V33" s="114">
        <f>MEDIAN(B33:R33)</f>
        <v>0.2101870224021215</v>
      </c>
    </row>
    <row r="34" spans="1:23">
      <c r="A34" s="113" t="s">
        <v>93</v>
      </c>
      <c r="B34" s="117">
        <f>'Base Spend Data'!B16</f>
        <v>5.9113175714669151</v>
      </c>
      <c r="C34" s="117">
        <f>'Base Spend Data'!C16</f>
        <v>5.5302601975786398</v>
      </c>
      <c r="D34" s="117">
        <f>'Base Spend Data'!D16</f>
        <v>4.3927856754347596</v>
      </c>
      <c r="E34" s="117">
        <f>'Base Spend Data'!E16</f>
        <v>6.548098406591401</v>
      </c>
      <c r="F34" s="117">
        <f>'Base Spend Data'!F16</f>
        <v>3.77266129275614</v>
      </c>
      <c r="G34" s="117">
        <f>'Base Spend Data'!G16</f>
        <v>5.9106273026151044</v>
      </c>
      <c r="H34" s="117">
        <f>'Base Spend Data'!H16</f>
        <v>4.7576676645946403</v>
      </c>
      <c r="I34" s="117">
        <f>'Base Spend Data'!I16</f>
        <v>7.9168433974564882</v>
      </c>
      <c r="J34" s="117">
        <f>'Base Spend Data'!J16</f>
        <v>0.56617890024932438</v>
      </c>
      <c r="K34" s="117">
        <f>'Base Spend Data'!K16</f>
        <v>0.91427764246053789</v>
      </c>
      <c r="L34" s="117">
        <f>'Base Spend Data'!L16</f>
        <v>1.9895914325076176</v>
      </c>
      <c r="M34" s="117">
        <f>'Base Spend Data'!M16</f>
        <v>1.2188524981329441</v>
      </c>
      <c r="N34" s="117">
        <f>'Base Spend Data'!N16</f>
        <v>3.1360807276030336</v>
      </c>
      <c r="O34" s="117">
        <f>'Base Spend Data'!O16</f>
        <v>8.2388338893086619</v>
      </c>
      <c r="P34" s="117">
        <f>'Base Spend Data'!P16</f>
        <v>6.9886006943328143</v>
      </c>
      <c r="Q34" s="117">
        <f>'Base Spend Data'!Q16</f>
        <v>6.142541501235077</v>
      </c>
      <c r="R34" s="117">
        <f>'Base Spend Data'!R16</f>
        <v>3.3709086244889068</v>
      </c>
      <c r="S34" s="117">
        <f t="shared" ref="S34" si="24">AVERAGE(B34:R34)</f>
        <v>4.5474192599301775</v>
      </c>
      <c r="T34" s="117">
        <f t="shared" ref="T34" si="25">MIN(B34:R34)</f>
        <v>0.56617890024932438</v>
      </c>
      <c r="U34" s="117">
        <f t="shared" ref="U34" si="26">MAX(B34:R34)</f>
        <v>8.2388338893086619</v>
      </c>
      <c r="V34" s="117">
        <f t="shared" ref="V34" si="27">MEDIAN(B34:R34)</f>
        <v>4.7576676645946403</v>
      </c>
    </row>
    <row r="35" spans="1:23">
      <c r="A35" s="113" t="s">
        <v>92</v>
      </c>
      <c r="B35" s="117">
        <f>'Base Spend Data'!B14</f>
        <v>185.23560786559881</v>
      </c>
      <c r="C35" s="117">
        <f>'Base Spend Data'!C14</f>
        <v>209.90395303987566</v>
      </c>
      <c r="D35" s="117">
        <f>'Base Spend Data'!D14</f>
        <v>216.06665982922775</v>
      </c>
      <c r="E35" s="117">
        <f>'Base Spend Data'!E14</f>
        <v>186.82987680788727</v>
      </c>
      <c r="F35" s="117">
        <f>'Base Spend Data'!F14</f>
        <v>202.87178286493821</v>
      </c>
      <c r="G35" s="117">
        <f>'Base Spend Data'!G14</f>
        <v>333.99720574122409</v>
      </c>
      <c r="H35" s="117">
        <f>'Base Spend Data'!H14</f>
        <v>223.8457200648414</v>
      </c>
      <c r="I35" s="117">
        <f>'Base Spend Data'!I14</f>
        <v>328.82893539360145</v>
      </c>
      <c r="J35" s="117">
        <f>'Base Spend Data'!J14</f>
        <v>79.84998947917687</v>
      </c>
      <c r="K35" s="117">
        <f>'Base Spend Data'!K14</f>
        <v>42.251590520739583</v>
      </c>
      <c r="L35" s="117">
        <f>'Base Spend Data'!L14</f>
        <v>42.007491683447043</v>
      </c>
      <c r="M35" s="117">
        <f>'Base Spend Data'!M14</f>
        <v>120.90932768412196</v>
      </c>
      <c r="N35" s="117">
        <f>'Base Spend Data'!N14</f>
        <v>175.64206625741136</v>
      </c>
      <c r="O35" s="117">
        <f>'Base Spend Data'!O14</f>
        <v>222.9200007232366</v>
      </c>
      <c r="P35" s="117">
        <f>'Base Spend Data'!P14</f>
        <v>188.83710534791737</v>
      </c>
      <c r="Q35" s="117">
        <f>'Base Spend Data'!Q14</f>
        <v>154.45826701430002</v>
      </c>
      <c r="R35" s="117">
        <f>'Base Spend Data'!R14</f>
        <v>151.12121559613047</v>
      </c>
      <c r="S35" s="117">
        <f>AVERAGE(B35:R35)</f>
        <v>180.3280468184515</v>
      </c>
      <c r="T35" s="117">
        <f>MIN(B35:R35)</f>
        <v>42.007491683447043</v>
      </c>
      <c r="U35" s="117">
        <f>MAX(B35:R35)</f>
        <v>333.99720574122409</v>
      </c>
      <c r="V35" s="117">
        <f>MEDIAN(B35:R35)</f>
        <v>186.82987680788727</v>
      </c>
    </row>
    <row r="36" spans="1:23">
      <c r="A36" s="113" t="s">
        <v>81</v>
      </c>
      <c r="B36" s="111">
        <f>'Base Spend Data'!B2/'Base Supplier Data'!B2</f>
        <v>131361.56141759115</v>
      </c>
      <c r="C36" s="111">
        <f>'Base Spend Data'!C2/'Base Supplier Data'!C2</f>
        <v>97714.93471283649</v>
      </c>
      <c r="D36" s="111">
        <f>'Base Spend Data'!D2/'Base Supplier Data'!D2</f>
        <v>107133.81238866619</v>
      </c>
      <c r="E36" s="111">
        <f>'Base Spend Data'!E2/'Base Supplier Data'!E2</f>
        <v>427023.2655986207</v>
      </c>
      <c r="F36" s="111">
        <f>'Base Spend Data'!F2/'Base Supplier Data'!F2</f>
        <v>190554.46012539431</v>
      </c>
      <c r="G36" s="111">
        <f>'Base Spend Data'!G2/'Base Supplier Data'!G2</f>
        <v>151252.64330009161</v>
      </c>
      <c r="H36" s="111">
        <f>'Base Spend Data'!H2/'Base Supplier Data'!H2</f>
        <v>101037.27849838811</v>
      </c>
      <c r="I36" s="111">
        <f>'Base Spend Data'!I2/'Base Supplier Data'!I2</f>
        <v>113427.35940378517</v>
      </c>
      <c r="J36" s="111">
        <f>'Base Spend Data'!J2/'Base Supplier Data'!J2</f>
        <v>112170.76092478586</v>
      </c>
      <c r="K36" s="111">
        <f>'Base Spend Data'!K2/'Base Supplier Data'!K2</f>
        <v>72900.918011116897</v>
      </c>
      <c r="L36" s="111">
        <f>'Base Spend Data'!L2/'Base Supplier Data'!L2</f>
        <v>301099.02109514835</v>
      </c>
      <c r="M36" s="111">
        <f>'Base Spend Data'!M2/'Base Supplier Data'!M2</f>
        <v>251877.84200877231</v>
      </c>
      <c r="N36" s="111">
        <f>'Base Spend Data'!N2/'Base Supplier Data'!N2</f>
        <v>106666.91706453353</v>
      </c>
      <c r="O36" s="111">
        <f>'Base Spend Data'!O2/'Base Supplier Data'!O2</f>
        <v>201016.98846682606</v>
      </c>
      <c r="P36" s="111">
        <f>'Base Spend Data'!P2/'Base Supplier Data'!P2</f>
        <v>296750.70237202925</v>
      </c>
      <c r="Q36" s="111">
        <f>'Base Spend Data'!Q2/'Base Supplier Data'!Q2</f>
        <v>1290719.3013949522</v>
      </c>
      <c r="R36" s="111">
        <f>'Base Spend Data'!R2/'Base Supplier Data'!R2</f>
        <v>350319.16415930138</v>
      </c>
      <c r="S36" s="67">
        <f>AVERAGE(B36:R36)</f>
        <v>253119.23123193177</v>
      </c>
      <c r="T36" s="67">
        <f t="shared" ref="T36" si="28">MIN(B36:R36)</f>
        <v>72900.918011116897</v>
      </c>
      <c r="U36" s="67">
        <f t="shared" ref="U36" si="29">MAX(B36:R36)</f>
        <v>1290719.3013949522</v>
      </c>
      <c r="V36" s="67">
        <f t="shared" ref="V36" si="30">MEDIAN(B36:R36)</f>
        <v>151252.64330009161</v>
      </c>
    </row>
    <row r="37" spans="1:23">
      <c r="A37" s="113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67"/>
      <c r="T37" s="67"/>
      <c r="U37" s="67"/>
      <c r="V37" s="67"/>
    </row>
    <row r="38" spans="1:23">
      <c r="A38" s="113" t="s">
        <v>105</v>
      </c>
      <c r="B38" s="108"/>
      <c r="C38" s="108"/>
      <c r="D38" s="108">
        <f>'Base Spend Data'!D28/'Base Spend Data'!D$2</f>
        <v>0.57001096982280197</v>
      </c>
      <c r="E38" s="108"/>
      <c r="F38" s="108">
        <f>'Base Spend Data'!F28/'Base Spend Data'!F$2</f>
        <v>6.2304027124599239E-2</v>
      </c>
      <c r="G38" s="108">
        <f>'Base Spend Data'!G28/'Base Spend Data'!G$2</f>
        <v>0.34304556751001958</v>
      </c>
      <c r="H38" s="108"/>
      <c r="I38" s="108"/>
      <c r="J38" s="108">
        <f>'Base Spend Data'!J28/'Base Spend Data'!J$2</f>
        <v>0.70298644532071242</v>
      </c>
      <c r="K38" s="108">
        <f>'Base Spend Data'!K28/'Base Spend Data'!K$2</f>
        <v>0.53530663072976259</v>
      </c>
      <c r="L38" s="108"/>
      <c r="M38" s="108"/>
      <c r="N38" s="108">
        <f>'Base Spend Data'!N28/'Base Spend Data'!N$2</f>
        <v>0.70085516762726308</v>
      </c>
      <c r="O38" s="108"/>
      <c r="P38" s="108"/>
      <c r="Q38" s="108"/>
      <c r="R38" s="108"/>
      <c r="S38" s="114">
        <f t="shared" ref="S38:S42" si="31">AVERAGE(B38:R38)</f>
        <v>0.4857514680225265</v>
      </c>
      <c r="T38" s="114">
        <f t="shared" ref="T38:T42" si="32">MIN(B38:R38)</f>
        <v>6.2304027124599239E-2</v>
      </c>
      <c r="U38" s="114">
        <f t="shared" ref="U38:U42" si="33">MAX(B38:R38)</f>
        <v>0.70298644532071242</v>
      </c>
      <c r="V38" s="114">
        <f t="shared" ref="V38:V42" si="34">MEDIAN(B38:R38)</f>
        <v>0.55265880027628222</v>
      </c>
    </row>
    <row r="39" spans="1:23">
      <c r="A39" s="113" t="s">
        <v>104</v>
      </c>
      <c r="B39" s="108"/>
      <c r="C39" s="108"/>
      <c r="D39" s="108">
        <f>'Base Spend Data'!D29/'Base Spend Data'!D$2</f>
        <v>0.26810585942961684</v>
      </c>
      <c r="E39" s="108"/>
      <c r="F39" s="108">
        <f>'Base Spend Data'!F29/'Base Spend Data'!F$2</f>
        <v>0.90587952752405565</v>
      </c>
      <c r="G39" s="108">
        <f>'Base Spend Data'!G29/'Base Spend Data'!G$2</f>
        <v>0.15494045129208858</v>
      </c>
      <c r="H39" s="108"/>
      <c r="I39" s="108"/>
      <c r="J39" s="108">
        <f>'Base Spend Data'!J29/'Base Spend Data'!J$2</f>
        <v>0.29701355392762308</v>
      </c>
      <c r="K39" s="108">
        <f>'Base Spend Data'!K29/'Base Spend Data'!K$2</f>
        <v>0.17181312275975438</v>
      </c>
      <c r="L39" s="108"/>
      <c r="M39" s="108"/>
      <c r="N39" s="108">
        <f>'Base Spend Data'!N29/'Base Spend Data'!N$2</f>
        <v>0.27659352482141214</v>
      </c>
      <c r="O39" s="108"/>
      <c r="P39" s="108"/>
      <c r="Q39" s="108"/>
      <c r="R39" s="108"/>
      <c r="S39" s="114">
        <f t="shared" si="31"/>
        <v>0.34572433995909174</v>
      </c>
      <c r="T39" s="114">
        <f t="shared" si="32"/>
        <v>0.15494045129208858</v>
      </c>
      <c r="U39" s="114">
        <f t="shared" si="33"/>
        <v>0.90587952752405565</v>
      </c>
      <c r="V39" s="114">
        <f t="shared" si="34"/>
        <v>0.27234969212551452</v>
      </c>
    </row>
    <row r="40" spans="1:23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67"/>
      <c r="T40" s="67"/>
      <c r="U40" s="67"/>
      <c r="V40" s="67"/>
    </row>
    <row r="41" spans="1:23" ht="19.5" thickBot="1">
      <c r="A41" s="88" t="s">
        <v>75</v>
      </c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4"/>
      <c r="T41" s="124"/>
      <c r="U41" s="124"/>
      <c r="V41" s="124"/>
    </row>
    <row r="42" spans="1:23">
      <c r="A42" s="95" t="s">
        <v>29</v>
      </c>
      <c r="B42" s="118">
        <f>'Base Spend Data'!B33/'Base Spend Data'!B$2</f>
        <v>2.4308070849489351E-2</v>
      </c>
      <c r="C42" s="118">
        <f>'Base Spend Data'!C33/'Base Spend Data'!C$2</f>
        <v>1.7841176843529875E-2</v>
      </c>
      <c r="D42" s="118">
        <f>'Base Spend Data'!D33/'Base Spend Data'!D$2</f>
        <v>1.7792436823633026E-3</v>
      </c>
      <c r="E42" s="118">
        <f>'Base Spend Data'!E33/'Base Spend Data'!E$2</f>
        <v>3.1444760958214634E-3</v>
      </c>
      <c r="F42" s="118">
        <f>'Base Spend Data'!F33/'Base Spend Data'!F$2</f>
        <v>3.498843287384177E-2</v>
      </c>
      <c r="G42" s="118">
        <f>'Base Spend Data'!G33/'Base Spend Data'!G$2</f>
        <v>1.6942325149930729E-2</v>
      </c>
      <c r="H42" s="118">
        <f>'Base Spend Data'!H33/'Base Spend Data'!H$2</f>
        <v>1.6394587226060572E-2</v>
      </c>
      <c r="I42" s="118">
        <f>'Base Spend Data'!I33/'Base Spend Data'!I$2</f>
        <v>2.501570107422843E-2</v>
      </c>
      <c r="J42" s="118">
        <f>'Base Spend Data'!J33/'Base Spend Data'!J$2</f>
        <v>7.7614843680311074E-2</v>
      </c>
      <c r="K42" s="118">
        <f>'Base Spend Data'!K33/'Base Spend Data'!K$2</f>
        <v>8.5061212657059262E-3</v>
      </c>
      <c r="L42" s="118">
        <f>'Base Spend Data'!L33/'Base Spend Data'!L$2</f>
        <v>4.2044684684801326E-3</v>
      </c>
      <c r="M42" s="118">
        <f>'Base Spend Data'!M33/'Base Spend Data'!M$2</f>
        <v>2.3213016106571251E-2</v>
      </c>
      <c r="N42" s="118">
        <f>'Base Spend Data'!N33/'Base Spend Data'!N$2</f>
        <v>3.9296738536565422E-2</v>
      </c>
      <c r="O42" s="118">
        <f>'Base Spend Data'!O33/'Base Spend Data'!O$2</f>
        <v>3.7318084878656376E-6</v>
      </c>
      <c r="P42" s="118">
        <f>'Base Spend Data'!P33/'Base Spend Data'!P$2</f>
        <v>2.1115763072386056E-3</v>
      </c>
      <c r="Q42" s="118">
        <f>'Base Spend Data'!Q33/'Base Spend Data'!Q$2</f>
        <v>1.7136881050655069E-4</v>
      </c>
      <c r="R42" s="118">
        <f>'Base Spend Data'!R33/'Base Spend Data'!R$2</f>
        <v>2.8869761747676616E-2</v>
      </c>
      <c r="S42" s="114">
        <f t="shared" si="31"/>
        <v>1.9082684736871112E-2</v>
      </c>
      <c r="T42" s="114">
        <f t="shared" si="32"/>
        <v>3.7318084878656376E-6</v>
      </c>
      <c r="U42" s="114">
        <f t="shared" si="33"/>
        <v>7.7614843680311074E-2</v>
      </c>
      <c r="V42" s="114">
        <f t="shared" si="34"/>
        <v>1.6942325149930729E-2</v>
      </c>
      <c r="W42" s="95" t="s">
        <v>29</v>
      </c>
    </row>
    <row r="43" spans="1:23">
      <c r="A43" s="95" t="s">
        <v>28</v>
      </c>
      <c r="B43" s="118">
        <f>'Base Spend Data'!B34/'Base Spend Data'!B$2</f>
        <v>9.7833731728096777E-3</v>
      </c>
      <c r="C43" s="118">
        <f>'Base Spend Data'!C34/'Base Spend Data'!C$2</f>
        <v>4.1592734338276108E-2</v>
      </c>
      <c r="D43" s="118">
        <f>'Base Spend Data'!D34/'Base Spend Data'!D$2</f>
        <v>1.3922163390504259E-3</v>
      </c>
      <c r="E43" s="118">
        <f>'Base Spend Data'!E34/'Base Spend Data'!E$2</f>
        <v>2.1854695323062947E-3</v>
      </c>
      <c r="F43" s="118">
        <f>'Base Spend Data'!F34/'Base Spend Data'!F$2</f>
        <v>1.8439622853477312E-2</v>
      </c>
      <c r="G43" s="118">
        <f>'Base Spend Data'!G34/'Base Spend Data'!G$2</f>
        <v>1.210393985434377E-2</v>
      </c>
      <c r="H43" s="118">
        <f>'Base Spend Data'!H34/'Base Spend Data'!H$2</f>
        <v>2.1942345817449034E-2</v>
      </c>
      <c r="I43" s="118">
        <f>'Base Spend Data'!I34/'Base Spend Data'!I$2</f>
        <v>4.2187273540516677E-2</v>
      </c>
      <c r="J43" s="118">
        <f>'Base Spend Data'!J34/'Base Spend Data'!J$2</f>
        <v>1.8048669413558049E-2</v>
      </c>
      <c r="K43" s="118">
        <f>'Base Spend Data'!K34/'Base Spend Data'!K$2</f>
        <v>7.6025962318788396E-3</v>
      </c>
      <c r="L43" s="118">
        <f>'Base Spend Data'!L34/'Base Spend Data'!L$2</f>
        <v>1.1762938359184705E-2</v>
      </c>
      <c r="M43" s="118">
        <f>'Base Spend Data'!M34/'Base Spend Data'!M$2</f>
        <v>1.3635860819355914E-2</v>
      </c>
      <c r="N43" s="118">
        <f>'Base Spend Data'!N34/'Base Spend Data'!N$2</f>
        <v>1.6178222015431086E-2</v>
      </c>
      <c r="O43" s="118">
        <f>'Base Spend Data'!O34/'Base Spend Data'!O$2</f>
        <v>1.4754074614357273E-3</v>
      </c>
      <c r="P43" s="118">
        <f>'Base Spend Data'!P34/'Base Spend Data'!P$2</f>
        <v>4.8672602339530557E-3</v>
      </c>
      <c r="Q43" s="118">
        <f>'Base Spend Data'!Q34/'Base Spend Data'!Q$2</f>
        <v>1.5025850097562595E-3</v>
      </c>
      <c r="R43" s="118">
        <f>'Base Spend Data'!R34/'Base Spend Data'!R$2</f>
        <v>1.7952550288559993E-2</v>
      </c>
      <c r="S43" s="114">
        <f t="shared" ref="S43:S67" si="35">AVERAGE(B43:R43)</f>
        <v>1.4273709722431938E-2</v>
      </c>
      <c r="T43" s="114">
        <f t="shared" ref="T43:T67" si="36">MIN(B43:R43)</f>
        <v>1.3922163390504259E-3</v>
      </c>
      <c r="U43" s="114">
        <f t="shared" ref="U43:U67" si="37">MAX(B43:R43)</f>
        <v>4.2187273540516677E-2</v>
      </c>
      <c r="V43" s="114">
        <f t="shared" ref="V43:V67" si="38">MEDIAN(B43:R43)</f>
        <v>1.210393985434377E-2</v>
      </c>
      <c r="W43" s="95" t="s">
        <v>28</v>
      </c>
    </row>
    <row r="44" spans="1:23">
      <c r="A44" s="95" t="s">
        <v>27</v>
      </c>
      <c r="B44" s="118">
        <f>'Base Spend Data'!B35/'Base Spend Data'!B$2</f>
        <v>0.14395383205320492</v>
      </c>
      <c r="C44" s="118">
        <f>'Base Spend Data'!C35/'Base Spend Data'!C$2</f>
        <v>0.30762802369277586</v>
      </c>
      <c r="D44" s="118">
        <f>'Base Spend Data'!D35/'Base Spend Data'!D$2</f>
        <v>0.10466648499415898</v>
      </c>
      <c r="E44" s="118">
        <f>'Base Spend Data'!E35/'Base Spend Data'!E$2</f>
        <v>5.5481201361746391E-2</v>
      </c>
      <c r="F44" s="118">
        <f>'Base Spend Data'!F35/'Base Spend Data'!F$2</f>
        <v>0.18361476638226065</v>
      </c>
      <c r="G44" s="118">
        <f>'Base Spend Data'!G35/'Base Spend Data'!G$2</f>
        <v>0.21371442365737858</v>
      </c>
      <c r="H44" s="118">
        <f>'Base Spend Data'!H35/'Base Spend Data'!H$2</f>
        <v>0.17914938418286372</v>
      </c>
      <c r="I44" s="118">
        <f>'Base Spend Data'!I35/'Base Spend Data'!I$2</f>
        <v>4.9761121502645993E-2</v>
      </c>
      <c r="J44" s="118">
        <f>'Base Spend Data'!J35/'Base Spend Data'!J$2</f>
        <v>5.7367060021462114E-2</v>
      </c>
      <c r="K44" s="118">
        <f>'Base Spend Data'!K35/'Base Spend Data'!K$2</f>
        <v>0.33811247863323191</v>
      </c>
      <c r="L44" s="118">
        <f>'Base Spend Data'!L35/'Base Spend Data'!L$2</f>
        <v>4.4552758116158803E-2</v>
      </c>
      <c r="M44" s="118">
        <f>'Base Spend Data'!M35/'Base Spend Data'!M$2</f>
        <v>0.6307616894948459</v>
      </c>
      <c r="N44" s="118">
        <f>'Base Spend Data'!N35/'Base Spend Data'!N$2</f>
        <v>0.1190827990270998</v>
      </c>
      <c r="O44" s="118">
        <f>'Base Spend Data'!O35/'Base Spend Data'!O$2</f>
        <v>7.1789705307662849E-2</v>
      </c>
      <c r="P44" s="118">
        <f>'Base Spend Data'!P35/'Base Spend Data'!P$2</f>
        <v>0.11313621988573447</v>
      </c>
      <c r="Q44" s="118">
        <f>'Base Spend Data'!Q35/'Base Spend Data'!Q$2</f>
        <v>6.5629473607332886E-2</v>
      </c>
      <c r="R44" s="118">
        <f>'Base Spend Data'!R35/'Base Spend Data'!R$2</f>
        <v>0.32804891947061099</v>
      </c>
      <c r="S44" s="114">
        <f t="shared" si="35"/>
        <v>0.17685002008183379</v>
      </c>
      <c r="T44" s="114">
        <f t="shared" si="36"/>
        <v>4.4552758116158803E-2</v>
      </c>
      <c r="U44" s="114">
        <f t="shared" si="37"/>
        <v>0.6307616894948459</v>
      </c>
      <c r="V44" s="114">
        <f t="shared" si="38"/>
        <v>0.1190827990270998</v>
      </c>
      <c r="W44" s="95" t="s">
        <v>27</v>
      </c>
    </row>
    <row r="45" spans="1:23">
      <c r="A45" s="95" t="s">
        <v>26</v>
      </c>
      <c r="B45" s="118">
        <f>'Base Spend Data'!B36/'Base Spend Data'!B$2</f>
        <v>0.17777011232601694</v>
      </c>
      <c r="C45" s="118">
        <f>'Base Spend Data'!C36/'Base Spend Data'!C$2</f>
        <v>0.12911444115999807</v>
      </c>
      <c r="D45" s="118">
        <f>'Base Spend Data'!D36/'Base Spend Data'!D$2</f>
        <v>0.16796120737708115</v>
      </c>
      <c r="E45" s="118">
        <f>'Base Spend Data'!E36/'Base Spend Data'!E$2</f>
        <v>0.16753310875685565</v>
      </c>
      <c r="F45" s="118">
        <f>'Base Spend Data'!F36/'Base Spend Data'!F$2</f>
        <v>0.15687689006800715</v>
      </c>
      <c r="G45" s="118">
        <f>'Base Spend Data'!G36/'Base Spend Data'!G$2</f>
        <v>7.890216777040511E-2</v>
      </c>
      <c r="H45" s="118">
        <f>'Base Spend Data'!H36/'Base Spend Data'!H$2</f>
        <v>0.1975118627635902</v>
      </c>
      <c r="I45" s="118">
        <f>'Base Spend Data'!I36/'Base Spend Data'!I$2</f>
        <v>0.23458060125077609</v>
      </c>
      <c r="J45" s="118">
        <f>'Base Spend Data'!J36/'Base Spend Data'!J$2</f>
        <v>0.11283638135829538</v>
      </c>
      <c r="K45" s="118">
        <f>'Base Spend Data'!K36/'Base Spend Data'!K$2</f>
        <v>0.16495402576555185</v>
      </c>
      <c r="L45" s="118">
        <f>'Base Spend Data'!L36/'Base Spend Data'!L$2</f>
        <v>0.13307089281509565</v>
      </c>
      <c r="M45" s="118">
        <f>'Base Spend Data'!M36/'Base Spend Data'!M$2</f>
        <v>0.15794693765144729</v>
      </c>
      <c r="N45" s="118">
        <f>'Base Spend Data'!N36/'Base Spend Data'!N$2</f>
        <v>0.11141119548516386</v>
      </c>
      <c r="O45" s="118">
        <f>'Base Spend Data'!O36/'Base Spend Data'!O$2</f>
        <v>0.17747191341746457</v>
      </c>
      <c r="P45" s="118">
        <f>'Base Spend Data'!P36/'Base Spend Data'!P$2</f>
        <v>0.16533450686455986</v>
      </c>
      <c r="Q45" s="118">
        <f>'Base Spend Data'!Q36/'Base Spend Data'!Q$2</f>
        <v>0.14504718850396781</v>
      </c>
      <c r="R45" s="118">
        <f>'Base Spend Data'!R36/'Base Spend Data'!R$2</f>
        <v>0.12145620676855998</v>
      </c>
      <c r="S45" s="114">
        <f t="shared" si="35"/>
        <v>0.15292821412369625</v>
      </c>
      <c r="T45" s="114">
        <f t="shared" si="36"/>
        <v>7.890216777040511E-2</v>
      </c>
      <c r="U45" s="114">
        <f t="shared" si="37"/>
        <v>0.23458060125077609</v>
      </c>
      <c r="V45" s="114">
        <f t="shared" si="38"/>
        <v>0.15794693765144729</v>
      </c>
      <c r="W45" s="95" t="s">
        <v>26</v>
      </c>
    </row>
    <row r="46" spans="1:23">
      <c r="A46" s="95" t="s">
        <v>25</v>
      </c>
      <c r="B46" s="118">
        <f>'Base Spend Data'!B37/'Base Spend Data'!B$2</f>
        <v>0.10020513467110551</v>
      </c>
      <c r="C46" s="118">
        <f>'Base Spend Data'!C37/'Base Spend Data'!C$2</f>
        <v>6.776326965968546E-2</v>
      </c>
      <c r="D46" s="118">
        <f>'Base Spend Data'!D37/'Base Spend Data'!D$2</f>
        <v>9.9099065127434077E-2</v>
      </c>
      <c r="E46" s="118">
        <f>'Base Spend Data'!E37/'Base Spend Data'!E$2</f>
        <v>0.13488169905833194</v>
      </c>
      <c r="F46" s="118">
        <f>'Base Spend Data'!F37/'Base Spend Data'!F$2</f>
        <v>3.2666559338302301E-2</v>
      </c>
      <c r="G46" s="118">
        <f>'Base Spend Data'!G37/'Base Spend Data'!G$2</f>
        <v>5.6726874327184075E-2</v>
      </c>
      <c r="H46" s="118">
        <f>'Base Spend Data'!H37/'Base Spend Data'!H$2</f>
        <v>1.013392266321732E-2</v>
      </c>
      <c r="I46" s="118">
        <f>'Base Spend Data'!I37/'Base Spend Data'!I$2</f>
        <v>7.9045203220706059E-2</v>
      </c>
      <c r="J46" s="118">
        <f>'Base Spend Data'!J37/'Base Spend Data'!J$2</f>
        <v>3.9906979714465461E-2</v>
      </c>
      <c r="K46" s="118">
        <f>'Base Spend Data'!K37/'Base Spend Data'!K$2</f>
        <v>0.1186277302865545</v>
      </c>
      <c r="L46" s="118">
        <f>'Base Spend Data'!L37/'Base Spend Data'!L$2</f>
        <v>1.366873329987655E-2</v>
      </c>
      <c r="M46" s="118">
        <f>'Base Spend Data'!M37/'Base Spend Data'!M$2</f>
        <v>7.4377616566639873E-3</v>
      </c>
      <c r="N46" s="118">
        <f>'Base Spend Data'!N37/'Base Spend Data'!N$2</f>
        <v>8.2045091150564575E-2</v>
      </c>
      <c r="O46" s="118">
        <f>'Base Spend Data'!O37/'Base Spend Data'!O$2</f>
        <v>7.567719464013975E-2</v>
      </c>
      <c r="P46" s="118">
        <f>'Base Spend Data'!P37/'Base Spend Data'!P$2</f>
        <v>0.13210560142776603</v>
      </c>
      <c r="Q46" s="118">
        <f>'Base Spend Data'!Q37/'Base Spend Data'!Q$2</f>
        <v>0.1098301197901929</v>
      </c>
      <c r="R46" s="118">
        <f>'Base Spend Data'!R37/'Base Spend Data'!R$2</f>
        <v>3.7919878385441148E-2</v>
      </c>
      <c r="S46" s="114">
        <f t="shared" si="35"/>
        <v>7.0455342259860679E-2</v>
      </c>
      <c r="T46" s="114">
        <f t="shared" si="36"/>
        <v>7.4377616566639873E-3</v>
      </c>
      <c r="U46" s="114">
        <f t="shared" si="37"/>
        <v>0.13488169905833194</v>
      </c>
      <c r="V46" s="114">
        <f t="shared" si="38"/>
        <v>7.567719464013975E-2</v>
      </c>
      <c r="W46" s="95" t="s">
        <v>25</v>
      </c>
    </row>
    <row r="47" spans="1:23">
      <c r="A47" s="95" t="s">
        <v>109</v>
      </c>
      <c r="B47" s="118">
        <f>'Base Spend Data'!B38/'Base Spend Data'!B$2</f>
        <v>0</v>
      </c>
      <c r="C47" s="118">
        <f>'Base Spend Data'!C38/'Base Spend Data'!C$2</f>
        <v>0</v>
      </c>
      <c r="D47" s="118">
        <f>'Base Spend Data'!D38/'Base Spend Data'!D$2</f>
        <v>0</v>
      </c>
      <c r="E47" s="118">
        <f>'Base Spend Data'!E38/'Base Spend Data'!E$2</f>
        <v>0</v>
      </c>
      <c r="F47" s="118">
        <f>'Base Spend Data'!F38/'Base Spend Data'!F$2</f>
        <v>0</v>
      </c>
      <c r="G47" s="118">
        <f>'Base Spend Data'!G38/'Base Spend Data'!G$2</f>
        <v>0</v>
      </c>
      <c r="H47" s="118">
        <f>'Base Spend Data'!H38/'Base Spend Data'!H$2</f>
        <v>0</v>
      </c>
      <c r="I47" s="118">
        <f>'Base Spend Data'!I38/'Base Spend Data'!I$2</f>
        <v>0</v>
      </c>
      <c r="J47" s="118">
        <f>'Base Spend Data'!J38/'Base Spend Data'!J$2</f>
        <v>0</v>
      </c>
      <c r="K47" s="118">
        <f>'Base Spend Data'!K38/'Base Spend Data'!K$2</f>
        <v>0</v>
      </c>
      <c r="L47" s="118">
        <f>'Base Spend Data'!L38/'Base Spend Data'!L$2</f>
        <v>3.2791897449363575E-2</v>
      </c>
      <c r="M47" s="118">
        <f>'Base Spend Data'!M38/'Base Spend Data'!M$2</f>
        <v>0</v>
      </c>
      <c r="N47" s="118">
        <f>'Base Spend Data'!N38/'Base Spend Data'!N$2</f>
        <v>0</v>
      </c>
      <c r="O47" s="118">
        <f>'Base Spend Data'!O38/'Base Spend Data'!O$2</f>
        <v>0</v>
      </c>
      <c r="P47" s="118">
        <f>'Base Spend Data'!P38/'Base Spend Data'!P$2</f>
        <v>0</v>
      </c>
      <c r="Q47" s="118">
        <f>'Base Spend Data'!Q38/'Base Spend Data'!Q$2</f>
        <v>0</v>
      </c>
      <c r="R47" s="118">
        <f>'Base Spend Data'!R38/'Base Spend Data'!R$2</f>
        <v>0</v>
      </c>
      <c r="S47" s="114">
        <f t="shared" si="35"/>
        <v>1.9289351440802103E-3</v>
      </c>
      <c r="T47" s="114">
        <f t="shared" si="36"/>
        <v>0</v>
      </c>
      <c r="U47" s="114">
        <f t="shared" si="37"/>
        <v>3.2791897449363575E-2</v>
      </c>
      <c r="V47" s="114">
        <f t="shared" si="38"/>
        <v>0</v>
      </c>
      <c r="W47" s="95" t="s">
        <v>109</v>
      </c>
    </row>
    <row r="48" spans="1:23">
      <c r="A48" s="95" t="s">
        <v>24</v>
      </c>
      <c r="B48" s="118">
        <f>'Base Spend Data'!B39/'Base Spend Data'!B$2</f>
        <v>3.4037195537938453E-3</v>
      </c>
      <c r="C48" s="118">
        <f>'Base Spend Data'!C39/'Base Spend Data'!C$2</f>
        <v>2.6426103334626226E-3</v>
      </c>
      <c r="D48" s="118">
        <f>'Base Spend Data'!D39/'Base Spend Data'!D$2</f>
        <v>3.8328800031831446E-3</v>
      </c>
      <c r="E48" s="118">
        <f>'Base Spend Data'!E39/'Base Spend Data'!E$2</f>
        <v>2.3217540259290449E-2</v>
      </c>
      <c r="F48" s="118">
        <f>'Base Spend Data'!F39/'Base Spend Data'!F$2</f>
        <v>7.9156101247252544E-3</v>
      </c>
      <c r="G48" s="118">
        <f>'Base Spend Data'!G39/'Base Spend Data'!G$2</f>
        <v>5.8534224208356819E-3</v>
      </c>
      <c r="H48" s="118">
        <f>'Base Spend Data'!H39/'Base Spend Data'!H$2</f>
        <v>5.2998454462672803E-2</v>
      </c>
      <c r="I48" s="118">
        <f>'Base Spend Data'!I39/'Base Spend Data'!I$2</f>
        <v>6.7568156428749228E-3</v>
      </c>
      <c r="J48" s="118">
        <f>'Base Spend Data'!J39/'Base Spend Data'!J$2</f>
        <v>0.32688262124497169</v>
      </c>
      <c r="K48" s="118">
        <f>'Base Spend Data'!K39/'Base Spend Data'!K$2</f>
        <v>2.2006142692526831E-3</v>
      </c>
      <c r="L48" s="118">
        <f>'Base Spend Data'!L39/'Base Spend Data'!L$2</f>
        <v>9.3202533081171044E-4</v>
      </c>
      <c r="M48" s="118">
        <f>'Base Spend Data'!M39/'Base Spend Data'!M$2</f>
        <v>1.2234236052380554E-2</v>
      </c>
      <c r="N48" s="118">
        <f>'Base Spend Data'!N39/'Base Spend Data'!N$2</f>
        <v>7.296530726789003E-3</v>
      </c>
      <c r="O48" s="118">
        <f>'Base Spend Data'!O39/'Base Spend Data'!O$2</f>
        <v>7.2898845050840015E-3</v>
      </c>
      <c r="P48" s="118">
        <f>'Base Spend Data'!P39/'Base Spend Data'!P$2</f>
        <v>1.0291045085970689E-2</v>
      </c>
      <c r="Q48" s="118">
        <f>'Base Spend Data'!Q39/'Base Spend Data'!Q$2</f>
        <v>7.8910040737287419E-3</v>
      </c>
      <c r="R48" s="118">
        <f>'Base Spend Data'!R39/'Base Spend Data'!R$2</f>
        <v>6.0035481842665725E-3</v>
      </c>
      <c r="S48" s="114">
        <f t="shared" si="35"/>
        <v>2.8684856604358488E-2</v>
      </c>
      <c r="T48" s="114">
        <f t="shared" si="36"/>
        <v>9.3202533081171044E-4</v>
      </c>
      <c r="U48" s="114">
        <f t="shared" si="37"/>
        <v>0.32688262124497169</v>
      </c>
      <c r="V48" s="114">
        <f t="shared" si="38"/>
        <v>7.2898845050840015E-3</v>
      </c>
      <c r="W48" s="95" t="s">
        <v>24</v>
      </c>
    </row>
    <row r="49" spans="1:23">
      <c r="A49" s="95" t="s">
        <v>23</v>
      </c>
      <c r="B49" s="118">
        <f>'Base Spend Data'!B40/'Base Spend Data'!B$2</f>
        <v>2.231661055039743E-2</v>
      </c>
      <c r="C49" s="118">
        <f>'Base Spend Data'!C40/'Base Spend Data'!C$2</f>
        <v>3.2535828825256657E-2</v>
      </c>
      <c r="D49" s="118">
        <f>'Base Spend Data'!D40/'Base Spend Data'!D$2</f>
        <v>1.8721883107734396E-2</v>
      </c>
      <c r="E49" s="118">
        <f>'Base Spend Data'!E40/'Base Spend Data'!E$2</f>
        <v>3.2248581303891431E-2</v>
      </c>
      <c r="F49" s="118">
        <f>'Base Spend Data'!F40/'Base Spend Data'!F$2</f>
        <v>2.6587780910757728E-2</v>
      </c>
      <c r="G49" s="118">
        <f>'Base Spend Data'!G40/'Base Spend Data'!G$2</f>
        <v>2.7016151901171383E-2</v>
      </c>
      <c r="H49" s="118">
        <f>'Base Spend Data'!H40/'Base Spend Data'!H$2</f>
        <v>2.5585407257360793E-2</v>
      </c>
      <c r="I49" s="118">
        <f>'Base Spend Data'!I40/'Base Spend Data'!I$2</f>
        <v>3.9883885574018674E-2</v>
      </c>
      <c r="J49" s="118">
        <f>'Base Spend Data'!J40/'Base Spend Data'!J$2</f>
        <v>4.2526532074233646E-2</v>
      </c>
      <c r="K49" s="118">
        <f>'Base Spend Data'!K40/'Base Spend Data'!K$2</f>
        <v>9.6398186061200253E-3</v>
      </c>
      <c r="L49" s="118">
        <f>'Base Spend Data'!L40/'Base Spend Data'!L$2</f>
        <v>9.6021460256088854E-3</v>
      </c>
      <c r="M49" s="118">
        <f>'Base Spend Data'!M40/'Base Spend Data'!M$2</f>
        <v>1.1948189035867411E-2</v>
      </c>
      <c r="N49" s="118">
        <f>'Base Spend Data'!N40/'Base Spend Data'!N$2</f>
        <v>2.6563381810932381E-2</v>
      </c>
      <c r="O49" s="118">
        <f>'Base Spend Data'!O40/'Base Spend Data'!O$2</f>
        <v>1.1453464920611523E-2</v>
      </c>
      <c r="P49" s="118">
        <f>'Base Spend Data'!P40/'Base Spend Data'!P$2</f>
        <v>3.8004253149897506E-2</v>
      </c>
      <c r="Q49" s="118">
        <f>'Base Spend Data'!Q40/'Base Spend Data'!Q$2</f>
        <v>1.6820224535526361E-2</v>
      </c>
      <c r="R49" s="118">
        <f>'Base Spend Data'!R40/'Base Spend Data'!R$2</f>
        <v>2.3864870639339023E-2</v>
      </c>
      <c r="S49" s="114">
        <f t="shared" si="35"/>
        <v>2.4430530013454424E-2</v>
      </c>
      <c r="T49" s="114">
        <f t="shared" si="36"/>
        <v>9.6021460256088854E-3</v>
      </c>
      <c r="U49" s="114">
        <f t="shared" si="37"/>
        <v>4.2526532074233646E-2</v>
      </c>
      <c r="V49" s="114">
        <f t="shared" si="38"/>
        <v>2.5585407257360793E-2</v>
      </c>
      <c r="W49" s="95" t="s">
        <v>23</v>
      </c>
    </row>
    <row r="50" spans="1:23">
      <c r="A50" s="95" t="s">
        <v>22</v>
      </c>
      <c r="B50" s="118">
        <f>'Base Spend Data'!B41/'Base Spend Data'!B$2</f>
        <v>3.319538022200344E-2</v>
      </c>
      <c r="C50" s="118">
        <f>'Base Spend Data'!C41/'Base Spend Data'!C$2</f>
        <v>1.0975537481353921E-2</v>
      </c>
      <c r="D50" s="118">
        <f>'Base Spend Data'!D41/'Base Spend Data'!D$2</f>
        <v>2.4050514511614406E-2</v>
      </c>
      <c r="E50" s="118">
        <f>'Base Spend Data'!E41/'Base Spend Data'!E$2</f>
        <v>1.7424322342614394E-2</v>
      </c>
      <c r="F50" s="118">
        <f>'Base Spend Data'!F41/'Base Spend Data'!F$2</f>
        <v>2.2633598131038657E-2</v>
      </c>
      <c r="G50" s="118">
        <f>'Base Spend Data'!G41/'Base Spend Data'!G$2</f>
        <v>1.1325267771480244E-2</v>
      </c>
      <c r="H50" s="118">
        <f>'Base Spend Data'!H41/'Base Spend Data'!H$2</f>
        <v>7.198046017834735E-3</v>
      </c>
      <c r="I50" s="118">
        <f>'Base Spend Data'!I41/'Base Spend Data'!I$2</f>
        <v>1.5272495343829113E-2</v>
      </c>
      <c r="J50" s="118">
        <f>'Base Spend Data'!J41/'Base Spend Data'!J$2</f>
        <v>1.8610185522752162E-2</v>
      </c>
      <c r="K50" s="118">
        <f>'Base Spend Data'!K41/'Base Spend Data'!K$2</f>
        <v>1.5934566104596665E-2</v>
      </c>
      <c r="L50" s="118">
        <f>'Base Spend Data'!L41/'Base Spend Data'!L$2</f>
        <v>8.5909032225597384E-3</v>
      </c>
      <c r="M50" s="118">
        <f>'Base Spend Data'!M41/'Base Spend Data'!M$2</f>
        <v>3.1946170826966445E-3</v>
      </c>
      <c r="N50" s="118">
        <f>'Base Spend Data'!N41/'Base Spend Data'!N$2</f>
        <v>2.3601387241820326E-2</v>
      </c>
      <c r="O50" s="118">
        <f>'Base Spend Data'!O41/'Base Spend Data'!O$2</f>
        <v>3.8082053045434952E-2</v>
      </c>
      <c r="P50" s="118">
        <f>'Base Spend Data'!P41/'Base Spend Data'!P$2</f>
        <v>1.0223749726614278E-2</v>
      </c>
      <c r="Q50" s="118">
        <f>'Base Spend Data'!Q41/'Base Spend Data'!Q$2</f>
        <v>3.8772612546490439E-3</v>
      </c>
      <c r="R50" s="118">
        <f>'Base Spend Data'!R41/'Base Spend Data'!R$2</f>
        <v>1.5121015391139648E-2</v>
      </c>
      <c r="S50" s="114">
        <f t="shared" si="35"/>
        <v>1.6430052965531315E-2</v>
      </c>
      <c r="T50" s="114">
        <f t="shared" si="36"/>
        <v>3.1946170826966445E-3</v>
      </c>
      <c r="U50" s="114">
        <f t="shared" si="37"/>
        <v>3.8082053045434952E-2</v>
      </c>
      <c r="V50" s="114">
        <f t="shared" si="38"/>
        <v>1.5272495343829113E-2</v>
      </c>
      <c r="W50" s="95" t="s">
        <v>22</v>
      </c>
    </row>
    <row r="51" spans="1:23">
      <c r="A51" s="95" t="s">
        <v>107</v>
      </c>
      <c r="B51" s="118">
        <f>'Base Spend Data'!B42/'Base Spend Data'!B$2</f>
        <v>0</v>
      </c>
      <c r="C51" s="118">
        <f>'Base Spend Data'!C42/'Base Spend Data'!C$2</f>
        <v>0</v>
      </c>
      <c r="D51" s="118">
        <f>'Base Spend Data'!D42/'Base Spend Data'!D$2</f>
        <v>0</v>
      </c>
      <c r="E51" s="118">
        <f>'Base Spend Data'!E42/'Base Spend Data'!E$2</f>
        <v>0</v>
      </c>
      <c r="F51" s="118">
        <f>'Base Spend Data'!F42/'Base Spend Data'!F$2</f>
        <v>0</v>
      </c>
      <c r="G51" s="118">
        <f>'Base Spend Data'!G42/'Base Spend Data'!G$2</f>
        <v>0</v>
      </c>
      <c r="H51" s="118">
        <f>'Base Spend Data'!H42/'Base Spend Data'!H$2</f>
        <v>0</v>
      </c>
      <c r="I51" s="118">
        <f>'Base Spend Data'!I42/'Base Spend Data'!I$2</f>
        <v>0</v>
      </c>
      <c r="J51" s="118">
        <f>'Base Spend Data'!J42/'Base Spend Data'!J$2</f>
        <v>0</v>
      </c>
      <c r="K51" s="118">
        <f>'Base Spend Data'!K42/'Base Spend Data'!K$2</f>
        <v>0</v>
      </c>
      <c r="L51" s="118">
        <f>'Base Spend Data'!L42/'Base Spend Data'!L$2</f>
        <v>3.9805987123050821E-2</v>
      </c>
      <c r="M51" s="118">
        <f>'Base Spend Data'!M42/'Base Spend Data'!M$2</f>
        <v>0</v>
      </c>
      <c r="N51" s="118">
        <f>'Base Spend Data'!N42/'Base Spend Data'!N$2</f>
        <v>0</v>
      </c>
      <c r="O51" s="118">
        <f>'Base Spend Data'!O42/'Base Spend Data'!O$2</f>
        <v>0</v>
      </c>
      <c r="P51" s="118">
        <f>'Base Spend Data'!P42/'Base Spend Data'!P$2</f>
        <v>0</v>
      </c>
      <c r="Q51" s="118">
        <f>'Base Spend Data'!Q42/'Base Spend Data'!Q$2</f>
        <v>0</v>
      </c>
      <c r="R51" s="118">
        <f>'Base Spend Data'!R42/'Base Spend Data'!R$2</f>
        <v>0</v>
      </c>
      <c r="S51" s="114">
        <f t="shared" si="35"/>
        <v>2.3415286542971072E-3</v>
      </c>
      <c r="T51" s="114">
        <f t="shared" si="36"/>
        <v>0</v>
      </c>
      <c r="U51" s="114">
        <f t="shared" si="37"/>
        <v>3.9805987123050821E-2</v>
      </c>
      <c r="V51" s="114">
        <f t="shared" si="38"/>
        <v>0</v>
      </c>
      <c r="W51" s="95" t="s">
        <v>107</v>
      </c>
    </row>
    <row r="52" spans="1:23">
      <c r="A52" s="95" t="s">
        <v>108</v>
      </c>
      <c r="B52" s="118">
        <f>'Base Spend Data'!B43/'Base Spend Data'!B$2</f>
        <v>0</v>
      </c>
      <c r="C52" s="118">
        <f>'Base Spend Data'!C43/'Base Spend Data'!C$2</f>
        <v>0</v>
      </c>
      <c r="D52" s="118">
        <f>'Base Spend Data'!D43/'Base Spend Data'!D$2</f>
        <v>0</v>
      </c>
      <c r="E52" s="118">
        <f>'Base Spend Data'!E43/'Base Spend Data'!E$2</f>
        <v>0</v>
      </c>
      <c r="F52" s="118">
        <f>'Base Spend Data'!F43/'Base Spend Data'!F$2</f>
        <v>0</v>
      </c>
      <c r="G52" s="118">
        <f>'Base Spend Data'!G43/'Base Spend Data'!G$2</f>
        <v>0</v>
      </c>
      <c r="H52" s="118">
        <f>'Base Spend Data'!H43/'Base Spend Data'!H$2</f>
        <v>0</v>
      </c>
      <c r="I52" s="118">
        <f>'Base Spend Data'!I43/'Base Spend Data'!I$2</f>
        <v>0</v>
      </c>
      <c r="J52" s="118">
        <f>'Base Spend Data'!J43/'Base Spend Data'!J$2</f>
        <v>0</v>
      </c>
      <c r="K52" s="118">
        <f>'Base Spend Data'!K43/'Base Spend Data'!K$2</f>
        <v>0</v>
      </c>
      <c r="L52" s="118">
        <f>'Base Spend Data'!L43/'Base Spend Data'!L$2</f>
        <v>0.48730019383249384</v>
      </c>
      <c r="M52" s="118">
        <f>'Base Spend Data'!M43/'Base Spend Data'!M$2</f>
        <v>0</v>
      </c>
      <c r="N52" s="118">
        <f>'Base Spend Data'!N43/'Base Spend Data'!N$2</f>
        <v>0</v>
      </c>
      <c r="O52" s="118">
        <f>'Base Spend Data'!O43/'Base Spend Data'!O$2</f>
        <v>0</v>
      </c>
      <c r="P52" s="118">
        <f>'Base Spend Data'!P43/'Base Spend Data'!P$2</f>
        <v>0</v>
      </c>
      <c r="Q52" s="118">
        <f>'Base Spend Data'!Q43/'Base Spend Data'!Q$2</f>
        <v>0</v>
      </c>
      <c r="R52" s="118">
        <f>'Base Spend Data'!R43/'Base Spend Data'!R$2</f>
        <v>0</v>
      </c>
      <c r="S52" s="114">
        <f t="shared" si="35"/>
        <v>2.8664717284264344E-2</v>
      </c>
      <c r="T52" s="114">
        <f t="shared" si="36"/>
        <v>0</v>
      </c>
      <c r="U52" s="114">
        <f t="shared" si="37"/>
        <v>0.48730019383249384</v>
      </c>
      <c r="V52" s="114">
        <f t="shared" si="38"/>
        <v>0</v>
      </c>
      <c r="W52" s="95" t="s">
        <v>108</v>
      </c>
    </row>
    <row r="53" spans="1:23">
      <c r="A53" s="95" t="s">
        <v>56</v>
      </c>
      <c r="B53" s="118">
        <f>'Base Spend Data'!B44/'Base Spend Data'!B$2</f>
        <v>0</v>
      </c>
      <c r="C53" s="118">
        <f>'Base Spend Data'!C44/'Base Spend Data'!C$2</f>
        <v>0</v>
      </c>
      <c r="D53" s="118">
        <f>'Base Spend Data'!D44/'Base Spend Data'!D$2</f>
        <v>0</v>
      </c>
      <c r="E53" s="118">
        <f>'Base Spend Data'!E44/'Base Spend Data'!E$2</f>
        <v>0</v>
      </c>
      <c r="F53" s="118">
        <f>'Base Spend Data'!F44/'Base Spend Data'!F$2</f>
        <v>0</v>
      </c>
      <c r="G53" s="118">
        <f>'Base Spend Data'!G44/'Base Spend Data'!G$2</f>
        <v>0</v>
      </c>
      <c r="H53" s="118">
        <f>'Base Spend Data'!H44/'Base Spend Data'!H$2</f>
        <v>0</v>
      </c>
      <c r="I53" s="118">
        <f>'Base Spend Data'!I44/'Base Spend Data'!I$2</f>
        <v>0</v>
      </c>
      <c r="J53" s="118">
        <f>'Base Spend Data'!J44/'Base Spend Data'!J$2</f>
        <v>0</v>
      </c>
      <c r="K53" s="118">
        <f>'Base Spend Data'!K44/'Base Spend Data'!K$2</f>
        <v>0</v>
      </c>
      <c r="L53" s="118">
        <f>'Base Spend Data'!L44/'Base Spend Data'!L$2</f>
        <v>0.1166031108049476</v>
      </c>
      <c r="M53" s="118">
        <f>'Base Spend Data'!M44/'Base Spend Data'!M$2</f>
        <v>0</v>
      </c>
      <c r="N53" s="118">
        <f>'Base Spend Data'!N44/'Base Spend Data'!N$2</f>
        <v>0</v>
      </c>
      <c r="O53" s="118">
        <f>'Base Spend Data'!O44/'Base Spend Data'!O$2</f>
        <v>0</v>
      </c>
      <c r="P53" s="118">
        <f>'Base Spend Data'!P44/'Base Spend Data'!P$2</f>
        <v>0</v>
      </c>
      <c r="Q53" s="118">
        <f>'Base Spend Data'!Q44/'Base Spend Data'!Q$2</f>
        <v>0</v>
      </c>
      <c r="R53" s="118">
        <f>'Base Spend Data'!R44/'Base Spend Data'!R$2</f>
        <v>1.1893915871447872E-7</v>
      </c>
      <c r="S53" s="114">
        <f t="shared" si="35"/>
        <v>6.8590135143591956E-3</v>
      </c>
      <c r="T53" s="114">
        <f t="shared" si="36"/>
        <v>0</v>
      </c>
      <c r="U53" s="114">
        <f t="shared" si="37"/>
        <v>0.1166031108049476</v>
      </c>
      <c r="V53" s="114">
        <f t="shared" si="38"/>
        <v>0</v>
      </c>
      <c r="W53" s="95" t="s">
        <v>56</v>
      </c>
    </row>
    <row r="54" spans="1:23">
      <c r="A54" s="95" t="s">
        <v>21</v>
      </c>
      <c r="B54" s="118">
        <f>'Base Spend Data'!B45/'Base Spend Data'!B$2</f>
        <v>0</v>
      </c>
      <c r="C54" s="118">
        <f>'Base Spend Data'!C45/'Base Spend Data'!C$2</f>
        <v>0</v>
      </c>
      <c r="D54" s="118">
        <f>'Base Spend Data'!D45/'Base Spend Data'!D$2</f>
        <v>0</v>
      </c>
      <c r="E54" s="118">
        <f>'Base Spend Data'!E45/'Base Spend Data'!E$2</f>
        <v>0</v>
      </c>
      <c r="F54" s="118">
        <f>'Base Spend Data'!F45/'Base Spend Data'!F$2</f>
        <v>0</v>
      </c>
      <c r="G54" s="118">
        <f>'Base Spend Data'!G45/'Base Spend Data'!G$2</f>
        <v>8.374000237897003E-2</v>
      </c>
      <c r="H54" s="118">
        <f>'Base Spend Data'!H45/'Base Spend Data'!H$2</f>
        <v>0</v>
      </c>
      <c r="I54" s="118">
        <f>'Base Spend Data'!I45/'Base Spend Data'!I$2</f>
        <v>0</v>
      </c>
      <c r="J54" s="118">
        <f>'Base Spend Data'!J45/'Base Spend Data'!J$2</f>
        <v>0</v>
      </c>
      <c r="K54" s="118">
        <f>'Base Spend Data'!K45/'Base Spend Data'!K$2</f>
        <v>0</v>
      </c>
      <c r="L54" s="118">
        <f>'Base Spend Data'!L45/'Base Spend Data'!L$2</f>
        <v>0</v>
      </c>
      <c r="M54" s="118">
        <f>'Base Spend Data'!M45/'Base Spend Data'!M$2</f>
        <v>0</v>
      </c>
      <c r="N54" s="118">
        <f>'Base Spend Data'!N45/'Base Spend Data'!N$2</f>
        <v>0</v>
      </c>
      <c r="O54" s="118">
        <f>'Base Spend Data'!O45/'Base Spend Data'!O$2</f>
        <v>0</v>
      </c>
      <c r="P54" s="118">
        <f>'Base Spend Data'!P45/'Base Spend Data'!P$2</f>
        <v>0</v>
      </c>
      <c r="Q54" s="118">
        <f>'Base Spend Data'!Q45/'Base Spend Data'!Q$2</f>
        <v>0</v>
      </c>
      <c r="R54" s="118">
        <f>'Base Spend Data'!R45/'Base Spend Data'!R$2</f>
        <v>0</v>
      </c>
      <c r="S54" s="114">
        <f t="shared" si="35"/>
        <v>4.92588249288059E-3</v>
      </c>
      <c r="T54" s="114">
        <f t="shared" si="36"/>
        <v>0</v>
      </c>
      <c r="U54" s="114">
        <f t="shared" si="37"/>
        <v>8.374000237897003E-2</v>
      </c>
      <c r="V54" s="114">
        <f t="shared" si="38"/>
        <v>0</v>
      </c>
      <c r="W54" s="95" t="s">
        <v>21</v>
      </c>
    </row>
    <row r="55" spans="1:23">
      <c r="A55" s="95" t="s">
        <v>20</v>
      </c>
      <c r="B55" s="118">
        <f>'Base Spend Data'!B46/'Base Spend Data'!B$2</f>
        <v>1.778759251857475E-2</v>
      </c>
      <c r="C55" s="118">
        <f>'Base Spend Data'!C46/'Base Spend Data'!C$2</f>
        <v>1.6350817501102906E-2</v>
      </c>
      <c r="D55" s="118">
        <f>'Base Spend Data'!D46/'Base Spend Data'!D$2</f>
        <v>1.0825051677509294E-2</v>
      </c>
      <c r="E55" s="118">
        <f>'Base Spend Data'!E46/'Base Spend Data'!E$2</f>
        <v>3.0760829023343483E-2</v>
      </c>
      <c r="F55" s="118">
        <f>'Base Spend Data'!F46/'Base Spend Data'!F$2</f>
        <v>1.7105144728390434E-2</v>
      </c>
      <c r="G55" s="118">
        <f>'Base Spend Data'!G46/'Base Spend Data'!G$2</f>
        <v>1.9627060687417233E-2</v>
      </c>
      <c r="H55" s="118">
        <f>'Base Spend Data'!H46/'Base Spend Data'!H$2</f>
        <v>2.1356933058504453E-2</v>
      </c>
      <c r="I55" s="118">
        <f>'Base Spend Data'!I46/'Base Spend Data'!I$2</f>
        <v>1.0310513738017116E-2</v>
      </c>
      <c r="J55" s="118">
        <f>'Base Spend Data'!J46/'Base Spend Data'!J$2</f>
        <v>1.5357429000085899E-2</v>
      </c>
      <c r="K55" s="118">
        <f>'Base Spend Data'!K46/'Base Spend Data'!K$2</f>
        <v>1.5884636202069785E-2</v>
      </c>
      <c r="L55" s="118">
        <f>'Base Spend Data'!L46/'Base Spend Data'!L$2</f>
        <v>7.1351344776227135E-3</v>
      </c>
      <c r="M55" s="118">
        <f>'Base Spend Data'!M46/'Base Spend Data'!M$2</f>
        <v>8.6579336294005382E-3</v>
      </c>
      <c r="N55" s="118">
        <f>'Base Spend Data'!N46/'Base Spend Data'!N$2</f>
        <v>1.3707909550913321E-2</v>
      </c>
      <c r="O55" s="118">
        <f>'Base Spend Data'!O46/'Base Spend Data'!O$2</f>
        <v>1.3374337403397689E-2</v>
      </c>
      <c r="P55" s="118">
        <f>'Base Spend Data'!P46/'Base Spend Data'!P$2</f>
        <v>1.3147278637700105E-2</v>
      </c>
      <c r="Q55" s="118">
        <f>'Base Spend Data'!Q46/'Base Spend Data'!Q$2</f>
        <v>7.5855837978168212E-3</v>
      </c>
      <c r="R55" s="118">
        <f>'Base Spend Data'!R46/'Base Spend Data'!R$2</f>
        <v>2.5185403686880874E-2</v>
      </c>
      <c r="S55" s="114">
        <f t="shared" si="35"/>
        <v>1.5538799371691026E-2</v>
      </c>
      <c r="T55" s="114">
        <f t="shared" si="36"/>
        <v>7.1351344776227135E-3</v>
      </c>
      <c r="U55" s="114">
        <f t="shared" si="37"/>
        <v>3.0760829023343483E-2</v>
      </c>
      <c r="V55" s="114">
        <f t="shared" si="38"/>
        <v>1.5357429000085899E-2</v>
      </c>
      <c r="W55" s="95" t="s">
        <v>20</v>
      </c>
    </row>
    <row r="56" spans="1:23">
      <c r="A56" s="95" t="s">
        <v>19</v>
      </c>
      <c r="B56" s="118">
        <f>'Base Spend Data'!B47/'Base Spend Data'!B$2</f>
        <v>3.3277453061325318E-2</v>
      </c>
      <c r="C56" s="118">
        <f>'Base Spend Data'!C47/'Base Spend Data'!C$2</f>
        <v>7.6957579770966247E-2</v>
      </c>
      <c r="D56" s="118">
        <f>'Base Spend Data'!D47/'Base Spend Data'!D$2</f>
        <v>8.3270334966082799E-2</v>
      </c>
      <c r="E56" s="118">
        <f>'Base Spend Data'!E47/'Base Spend Data'!E$2</f>
        <v>7.2255953947940502E-2</v>
      </c>
      <c r="F56" s="118">
        <f>'Base Spend Data'!F47/'Base Spend Data'!F$2</f>
        <v>2.1139191120317119E-2</v>
      </c>
      <c r="G56" s="118">
        <f>'Base Spend Data'!G47/'Base Spend Data'!G$2</f>
        <v>5.1455878352694127E-2</v>
      </c>
      <c r="H56" s="118">
        <f>'Base Spend Data'!H47/'Base Spend Data'!H$2</f>
        <v>8.8291275640535238E-2</v>
      </c>
      <c r="I56" s="118">
        <f>'Base Spend Data'!I47/'Base Spend Data'!I$2</f>
        <v>3.7263767199436054E-2</v>
      </c>
      <c r="J56" s="118">
        <f>'Base Spend Data'!J47/'Base Spend Data'!J$2</f>
        <v>3.9590545248226847E-2</v>
      </c>
      <c r="K56" s="118">
        <f>'Base Spend Data'!K47/'Base Spend Data'!K$2</f>
        <v>2.7535877509082929E-2</v>
      </c>
      <c r="L56" s="118">
        <f>'Base Spend Data'!L47/'Base Spend Data'!L$2</f>
        <v>2.0538945298146403E-2</v>
      </c>
      <c r="M56" s="118">
        <f>'Base Spend Data'!M47/'Base Spend Data'!M$2</f>
        <v>1.836148620688622E-2</v>
      </c>
      <c r="N56" s="118">
        <f>'Base Spend Data'!N47/'Base Spend Data'!N$2</f>
        <v>8.0500160434278129E-2</v>
      </c>
      <c r="O56" s="118">
        <f>'Base Spend Data'!O47/'Base Spend Data'!O$2</f>
        <v>6.8802054289400547E-2</v>
      </c>
      <c r="P56" s="118">
        <f>'Base Spend Data'!P47/'Base Spend Data'!P$2</f>
        <v>2.8446073425483602E-2</v>
      </c>
      <c r="Q56" s="118">
        <f>'Base Spend Data'!Q47/'Base Spend Data'!Q$2</f>
        <v>0.11785954020303219</v>
      </c>
      <c r="R56" s="118">
        <f>'Base Spend Data'!R47/'Base Spend Data'!R$2</f>
        <v>4.1766985390363019E-2</v>
      </c>
      <c r="S56" s="114">
        <f t="shared" si="35"/>
        <v>5.3371358944952769E-2</v>
      </c>
      <c r="T56" s="114">
        <f t="shared" si="36"/>
        <v>1.836148620688622E-2</v>
      </c>
      <c r="U56" s="114">
        <f t="shared" si="37"/>
        <v>0.11785954020303219</v>
      </c>
      <c r="V56" s="114">
        <f t="shared" si="38"/>
        <v>4.1766985390363019E-2</v>
      </c>
      <c r="W56" s="95" t="s">
        <v>19</v>
      </c>
    </row>
    <row r="57" spans="1:23">
      <c r="A57" s="95" t="s">
        <v>18</v>
      </c>
      <c r="B57" s="118">
        <f>'Base Spend Data'!B48/'Base Spend Data'!B$2</f>
        <v>1.3123690341600467E-2</v>
      </c>
      <c r="C57" s="118">
        <f>'Base Spend Data'!C48/'Base Spend Data'!C$2</f>
        <v>1.5014544423173265E-2</v>
      </c>
      <c r="D57" s="118">
        <f>'Base Spend Data'!D48/'Base Spend Data'!D$2</f>
        <v>5.986456588014665E-3</v>
      </c>
      <c r="E57" s="118">
        <f>'Base Spend Data'!E48/'Base Spend Data'!E$2</f>
        <v>1.3347474691700353E-2</v>
      </c>
      <c r="F57" s="118">
        <f>'Base Spend Data'!F48/'Base Spend Data'!F$2</f>
        <v>9.1242513798795132E-3</v>
      </c>
      <c r="G57" s="118">
        <f>'Base Spend Data'!G48/'Base Spend Data'!G$2</f>
        <v>1.4427170049741455E-2</v>
      </c>
      <c r="H57" s="118">
        <f>'Base Spend Data'!H48/'Base Spend Data'!H$2</f>
        <v>1.7376223368944975E-2</v>
      </c>
      <c r="I57" s="118">
        <f>'Base Spend Data'!I48/'Base Spend Data'!I$2</f>
        <v>7.2696599737543241E-3</v>
      </c>
      <c r="J57" s="118">
        <f>'Base Spend Data'!J48/'Base Spend Data'!J$2</f>
        <v>1.9088366954926207E-2</v>
      </c>
      <c r="K57" s="118">
        <f>'Base Spend Data'!K48/'Base Spend Data'!K$2</f>
        <v>9.0739549711145884E-3</v>
      </c>
      <c r="L57" s="118">
        <f>'Base Spend Data'!L48/'Base Spend Data'!L$2</f>
        <v>4.022342867005751E-3</v>
      </c>
      <c r="M57" s="118">
        <f>'Base Spend Data'!M48/'Base Spend Data'!M$2</f>
        <v>7.4086331317227347E-3</v>
      </c>
      <c r="N57" s="118">
        <f>'Base Spend Data'!N48/'Base Spend Data'!N$2</f>
        <v>2.0220540800031602E-2</v>
      </c>
      <c r="O57" s="118">
        <f>'Base Spend Data'!O48/'Base Spend Data'!O$2</f>
        <v>7.6220049137897834E-3</v>
      </c>
      <c r="P57" s="118">
        <f>'Base Spend Data'!P48/'Base Spend Data'!P$2</f>
        <v>1.1740447466995032E-2</v>
      </c>
      <c r="Q57" s="118">
        <f>'Base Spend Data'!Q48/'Base Spend Data'!Q$2</f>
        <v>6.8963900796955597E-3</v>
      </c>
      <c r="R57" s="118">
        <f>'Base Spend Data'!R48/'Base Spend Data'!R$2</f>
        <v>1.2784071648950027E-2</v>
      </c>
      <c r="S57" s="114">
        <f t="shared" si="35"/>
        <v>1.1442719038296486E-2</v>
      </c>
      <c r="T57" s="114">
        <f t="shared" si="36"/>
        <v>4.022342867005751E-3</v>
      </c>
      <c r="U57" s="114">
        <f t="shared" si="37"/>
        <v>2.0220540800031602E-2</v>
      </c>
      <c r="V57" s="114">
        <f t="shared" si="38"/>
        <v>1.1740447466995032E-2</v>
      </c>
      <c r="W57" s="95" t="s">
        <v>18</v>
      </c>
    </row>
    <row r="58" spans="1:23">
      <c r="A58" s="95" t="s">
        <v>17</v>
      </c>
      <c r="B58" s="118">
        <f>'Base Spend Data'!B49/'Base Spend Data'!B$2</f>
        <v>1.2502694071920567E-2</v>
      </c>
      <c r="C58" s="118">
        <f>'Base Spend Data'!C49/'Base Spend Data'!C$2</f>
        <v>2.101694514265535E-3</v>
      </c>
      <c r="D58" s="118">
        <f>'Base Spend Data'!D49/'Base Spend Data'!D$2</f>
        <v>1.5728916523810802E-3</v>
      </c>
      <c r="E58" s="118">
        <f>'Base Spend Data'!E49/'Base Spend Data'!E$2</f>
        <v>9.7522289742466121E-3</v>
      </c>
      <c r="F58" s="118">
        <f>'Base Spend Data'!F49/'Base Spend Data'!F$2</f>
        <v>1.1949905553317302E-2</v>
      </c>
      <c r="G58" s="118">
        <f>'Base Spend Data'!G49/'Base Spend Data'!G$2</f>
        <v>1.8251747059979017E-2</v>
      </c>
      <c r="H58" s="118">
        <f>'Base Spend Data'!H49/'Base Spend Data'!H$2</f>
        <v>8.8987446329544008E-3</v>
      </c>
      <c r="I58" s="118">
        <f>'Base Spend Data'!I49/'Base Spend Data'!I$2</f>
        <v>1.6284577112843937E-2</v>
      </c>
      <c r="J58" s="118">
        <f>'Base Spend Data'!J49/'Base Spend Data'!J$2</f>
        <v>7.0194334145074373E-3</v>
      </c>
      <c r="K58" s="118">
        <f>'Base Spend Data'!K49/'Base Spend Data'!K$2</f>
        <v>2.0859073405729584E-2</v>
      </c>
      <c r="L58" s="118">
        <f>'Base Spend Data'!L49/'Base Spend Data'!L$2</f>
        <v>0</v>
      </c>
      <c r="M58" s="118">
        <f>'Base Spend Data'!M49/'Base Spend Data'!M$2</f>
        <v>5.231370798205702E-3</v>
      </c>
      <c r="N58" s="118">
        <f>'Base Spend Data'!N49/'Base Spend Data'!N$2</f>
        <v>1.7067455833733761E-2</v>
      </c>
      <c r="O58" s="118">
        <f>'Base Spend Data'!O49/'Base Spend Data'!O$2</f>
        <v>9.947532262990319E-3</v>
      </c>
      <c r="P58" s="118">
        <f>'Base Spend Data'!P49/'Base Spend Data'!P$2</f>
        <v>8.6519061401581776E-3</v>
      </c>
      <c r="Q58" s="118">
        <f>'Base Spend Data'!Q49/'Base Spend Data'!Q$2</f>
        <v>8.8799519536158691E-3</v>
      </c>
      <c r="R58" s="118">
        <f>'Base Spend Data'!R49/'Base Spend Data'!R$2</f>
        <v>8.330943538850822E-3</v>
      </c>
      <c r="S58" s="114">
        <f t="shared" si="35"/>
        <v>9.841302995276479E-3</v>
      </c>
      <c r="T58" s="114">
        <f t="shared" si="36"/>
        <v>0</v>
      </c>
      <c r="U58" s="114">
        <f t="shared" si="37"/>
        <v>2.0859073405729584E-2</v>
      </c>
      <c r="V58" s="114">
        <f t="shared" si="38"/>
        <v>8.8987446329544008E-3</v>
      </c>
      <c r="W58" s="95" t="s">
        <v>17</v>
      </c>
    </row>
    <row r="59" spans="1:23">
      <c r="A59" s="95" t="s">
        <v>16</v>
      </c>
      <c r="B59" s="118">
        <f>'Base Spend Data'!B50/'Base Spend Data'!B$2</f>
        <v>1.7209497891674266E-2</v>
      </c>
      <c r="C59" s="118">
        <f>'Base Spend Data'!C50/'Base Spend Data'!C$2</f>
        <v>2.4621852834495618E-2</v>
      </c>
      <c r="D59" s="118">
        <f>'Base Spend Data'!D50/'Base Spend Data'!D$2</f>
        <v>6.7944544164323037E-3</v>
      </c>
      <c r="E59" s="118">
        <f>'Base Spend Data'!E50/'Base Spend Data'!E$2</f>
        <v>1.1401047026299351E-2</v>
      </c>
      <c r="F59" s="118">
        <f>'Base Spend Data'!F50/'Base Spend Data'!F$2</f>
        <v>2.0510163014022146E-2</v>
      </c>
      <c r="G59" s="118">
        <f>'Base Spend Data'!G50/'Base Spend Data'!G$2</f>
        <v>2.5323536437963253E-2</v>
      </c>
      <c r="H59" s="118">
        <f>'Base Spend Data'!H50/'Base Spend Data'!H$2</f>
        <v>4.9906714048498536E-2</v>
      </c>
      <c r="I59" s="118">
        <f>'Base Spend Data'!I50/'Base Spend Data'!I$2</f>
        <v>1.8740103630097905E-2</v>
      </c>
      <c r="J59" s="118">
        <f>'Base Spend Data'!J50/'Base Spend Data'!J$2</f>
        <v>5.4436853530995769E-2</v>
      </c>
      <c r="K59" s="118">
        <f>'Base Spend Data'!K50/'Base Spend Data'!K$2</f>
        <v>1.5313268297770207E-2</v>
      </c>
      <c r="L59" s="118">
        <f>'Base Spend Data'!L50/'Base Spend Data'!L$2</f>
        <v>5.0318914449065614E-3</v>
      </c>
      <c r="M59" s="118">
        <f>'Base Spend Data'!M50/'Base Spend Data'!M$2</f>
        <v>1.7192742077415762E-2</v>
      </c>
      <c r="N59" s="118">
        <f>'Base Spend Data'!N50/'Base Spend Data'!N$2</f>
        <v>2.14140611591059E-2</v>
      </c>
      <c r="O59" s="118">
        <f>'Base Spend Data'!O50/'Base Spend Data'!O$2</f>
        <v>2.1333723016248349E-2</v>
      </c>
      <c r="P59" s="118">
        <f>'Base Spend Data'!P50/'Base Spend Data'!P$2</f>
        <v>1.169864630640184E-2</v>
      </c>
      <c r="Q59" s="118">
        <f>'Base Spend Data'!Q50/'Base Spend Data'!Q$2</f>
        <v>2.7247828599657555E-3</v>
      </c>
      <c r="R59" s="118">
        <f>'Base Spend Data'!R50/'Base Spend Data'!R$2</f>
        <v>2.9990789512207117E-2</v>
      </c>
      <c r="S59" s="114">
        <f t="shared" si="35"/>
        <v>2.080259573555886E-2</v>
      </c>
      <c r="T59" s="114">
        <f t="shared" si="36"/>
        <v>2.7247828599657555E-3</v>
      </c>
      <c r="U59" s="114">
        <f t="shared" si="37"/>
        <v>5.4436853530995769E-2</v>
      </c>
      <c r="V59" s="114">
        <f t="shared" si="38"/>
        <v>1.8740103630097905E-2</v>
      </c>
      <c r="W59" s="95" t="s">
        <v>16</v>
      </c>
    </row>
    <row r="60" spans="1:23">
      <c r="A60" s="95" t="s">
        <v>46</v>
      </c>
      <c r="B60" s="118">
        <f>'Base Spend Data'!B51/'Base Spend Data'!B$2</f>
        <v>0</v>
      </c>
      <c r="C60" s="118">
        <f>'Base Spend Data'!C51/'Base Spend Data'!C$2</f>
        <v>0</v>
      </c>
      <c r="D60" s="118">
        <f>'Base Spend Data'!D51/'Base Spend Data'!D$2</f>
        <v>0</v>
      </c>
      <c r="E60" s="118">
        <f>'Base Spend Data'!E51/'Base Spend Data'!E$2</f>
        <v>0</v>
      </c>
      <c r="F60" s="118">
        <f>'Base Spend Data'!F51/'Base Spend Data'!F$2</f>
        <v>0</v>
      </c>
      <c r="G60" s="118">
        <f>'Base Spend Data'!G51/'Base Spend Data'!G$2</f>
        <v>0</v>
      </c>
      <c r="H60" s="118">
        <f>'Base Spend Data'!H51/'Base Spend Data'!H$2</f>
        <v>0.14881487890668241</v>
      </c>
      <c r="I60" s="118">
        <f>'Base Spend Data'!I51/'Base Spend Data'!I$2</f>
        <v>0</v>
      </c>
      <c r="J60" s="118">
        <f>'Base Spend Data'!J51/'Base Spend Data'!J$2</f>
        <v>0</v>
      </c>
      <c r="K60" s="118">
        <f>'Base Spend Data'!K51/'Base Spend Data'!K$2</f>
        <v>0</v>
      </c>
      <c r="L60" s="118">
        <f>'Base Spend Data'!L51/'Base Spend Data'!L$2</f>
        <v>0</v>
      </c>
      <c r="M60" s="118">
        <f>'Base Spend Data'!M51/'Base Spend Data'!M$2</f>
        <v>0</v>
      </c>
      <c r="N60" s="118">
        <f>'Base Spend Data'!N51/'Base Spend Data'!N$2</f>
        <v>0</v>
      </c>
      <c r="O60" s="118">
        <f>'Base Spend Data'!O51/'Base Spend Data'!O$2</f>
        <v>0</v>
      </c>
      <c r="P60" s="118">
        <f>'Base Spend Data'!P51/'Base Spend Data'!P$2</f>
        <v>0</v>
      </c>
      <c r="Q60" s="118">
        <f>'Base Spend Data'!Q51/'Base Spend Data'!Q$2</f>
        <v>0</v>
      </c>
      <c r="R60" s="118">
        <f>'Base Spend Data'!R51/'Base Spend Data'!R$2</f>
        <v>0</v>
      </c>
      <c r="S60" s="114">
        <f t="shared" si="35"/>
        <v>8.7538164062754362E-3</v>
      </c>
      <c r="T60" s="114">
        <f t="shared" si="36"/>
        <v>0</v>
      </c>
      <c r="U60" s="114">
        <f t="shared" si="37"/>
        <v>0.14881487890668241</v>
      </c>
      <c r="V60" s="114">
        <f t="shared" si="38"/>
        <v>0</v>
      </c>
      <c r="W60" s="95" t="s">
        <v>46</v>
      </c>
    </row>
    <row r="61" spans="1:23">
      <c r="A61" s="95" t="s">
        <v>15</v>
      </c>
      <c r="B61" s="118">
        <f>'Base Spend Data'!B52/'Base Spend Data'!B$2</f>
        <v>2.7857201463597457E-2</v>
      </c>
      <c r="C61" s="118">
        <f>'Base Spend Data'!C52/'Base Spend Data'!C$2</f>
        <v>4.0250820536096313E-2</v>
      </c>
      <c r="D61" s="118">
        <f>'Base Spend Data'!D52/'Base Spend Data'!D$2</f>
        <v>0</v>
      </c>
      <c r="E61" s="118">
        <f>'Base Spend Data'!E52/'Base Spend Data'!E$2</f>
        <v>0</v>
      </c>
      <c r="F61" s="118">
        <f>'Base Spend Data'!F52/'Base Spend Data'!F$2</f>
        <v>4.3200593134769115E-2</v>
      </c>
      <c r="G61" s="118">
        <f>'Base Spend Data'!G52/'Base Spend Data'!G$2</f>
        <v>3.2156099948326355E-2</v>
      </c>
      <c r="H61" s="118">
        <f>'Base Spend Data'!H52/'Base Spend Data'!H$2</f>
        <v>7.0293412728867979E-2</v>
      </c>
      <c r="I61" s="118">
        <f>'Base Spend Data'!I52/'Base Spend Data'!I$2</f>
        <v>0.10356962732585936</v>
      </c>
      <c r="J61" s="118">
        <f>'Base Spend Data'!J52/'Base Spend Data'!J$2</f>
        <v>0</v>
      </c>
      <c r="K61" s="118">
        <f>'Base Spend Data'!K52/'Base Spend Data'!K$2</f>
        <v>0</v>
      </c>
      <c r="L61" s="118">
        <f>'Base Spend Data'!L52/'Base Spend Data'!L$2</f>
        <v>2.2068378565506884E-2</v>
      </c>
      <c r="M61" s="118">
        <f>'Base Spend Data'!M52/'Base Spend Data'!M$2</f>
        <v>0</v>
      </c>
      <c r="N61" s="118">
        <f>'Base Spend Data'!N52/'Base Spend Data'!N$2</f>
        <v>0</v>
      </c>
      <c r="O61" s="118">
        <f>'Base Spend Data'!O52/'Base Spend Data'!O$2</f>
        <v>2.2302019104915041E-2</v>
      </c>
      <c r="P61" s="118">
        <f>'Base Spend Data'!P52/'Base Spend Data'!P$2</f>
        <v>0.102201498287757</v>
      </c>
      <c r="Q61" s="118">
        <f>'Base Spend Data'!Q52/'Base Spend Data'!Q$2</f>
        <v>6.3470944143808564E-2</v>
      </c>
      <c r="R61" s="118">
        <f>'Base Spend Data'!R52/'Base Spend Data'!R$2</f>
        <v>0.1155472183181015</v>
      </c>
      <c r="S61" s="114">
        <f t="shared" si="35"/>
        <v>3.7818694915153266E-2</v>
      </c>
      <c r="T61" s="114">
        <f t="shared" si="36"/>
        <v>0</v>
      </c>
      <c r="U61" s="114">
        <f t="shared" si="37"/>
        <v>0.1155472183181015</v>
      </c>
      <c r="V61" s="114">
        <f t="shared" si="38"/>
        <v>2.7857201463597457E-2</v>
      </c>
      <c r="W61" s="95" t="s">
        <v>15</v>
      </c>
    </row>
    <row r="62" spans="1:23">
      <c r="A62" s="95" t="s">
        <v>110</v>
      </c>
      <c r="B62" s="118">
        <f>'Base Spend Data'!B53/'Base Spend Data'!B$2</f>
        <v>0</v>
      </c>
      <c r="C62" s="118">
        <f>'Base Spend Data'!C53/'Base Spend Data'!C$2</f>
        <v>0</v>
      </c>
      <c r="D62" s="118">
        <f>'Base Spend Data'!D53/'Base Spend Data'!D$2</f>
        <v>0</v>
      </c>
      <c r="E62" s="118">
        <f>'Base Spend Data'!E53/'Base Spend Data'!E$2</f>
        <v>0</v>
      </c>
      <c r="F62" s="118">
        <f>'Base Spend Data'!F53/'Base Spend Data'!F$2</f>
        <v>0</v>
      </c>
      <c r="G62" s="118">
        <f>'Base Spend Data'!G53/'Base Spend Data'!G$2</f>
        <v>0</v>
      </c>
      <c r="H62" s="118">
        <f>'Base Spend Data'!H53/'Base Spend Data'!H$2</f>
        <v>0</v>
      </c>
      <c r="I62" s="118">
        <f>'Base Spend Data'!I53/'Base Spend Data'!I$2</f>
        <v>0</v>
      </c>
      <c r="J62" s="118">
        <f>'Base Spend Data'!J53/'Base Spend Data'!J$2</f>
        <v>0</v>
      </c>
      <c r="K62" s="118">
        <f>'Base Spend Data'!K53/'Base Spend Data'!K$2</f>
        <v>0</v>
      </c>
      <c r="L62" s="118">
        <f>'Base Spend Data'!L53/'Base Spend Data'!L$2</f>
        <v>2.4963938756874008E-4</v>
      </c>
      <c r="M62" s="118">
        <f>'Base Spend Data'!M53/'Base Spend Data'!M$2</f>
        <v>0</v>
      </c>
      <c r="N62" s="118">
        <f>'Base Spend Data'!N53/'Base Spend Data'!N$2</f>
        <v>0</v>
      </c>
      <c r="O62" s="118">
        <f>'Base Spend Data'!O53/'Base Spend Data'!O$2</f>
        <v>0</v>
      </c>
      <c r="P62" s="118">
        <f>'Base Spend Data'!P53/'Base Spend Data'!P$2</f>
        <v>0</v>
      </c>
      <c r="Q62" s="118">
        <f>'Base Spend Data'!Q53/'Base Spend Data'!Q$2</f>
        <v>0</v>
      </c>
      <c r="R62" s="118">
        <f>'Base Spend Data'!R53/'Base Spend Data'!R$2</f>
        <v>0</v>
      </c>
      <c r="S62" s="114">
        <f t="shared" si="35"/>
        <v>1.4684669856984711E-5</v>
      </c>
      <c r="T62" s="114">
        <f t="shared" si="36"/>
        <v>0</v>
      </c>
      <c r="U62" s="114">
        <f t="shared" si="37"/>
        <v>2.4963938756874008E-4</v>
      </c>
      <c r="V62" s="114">
        <f t="shared" si="38"/>
        <v>0</v>
      </c>
      <c r="W62" s="95" t="s">
        <v>110</v>
      </c>
    </row>
    <row r="63" spans="1:23">
      <c r="A63" s="95" t="s">
        <v>14</v>
      </c>
      <c r="B63" s="118">
        <f>'Base Spend Data'!B54/'Base Spend Data'!B$2</f>
        <v>7.2572778758065691E-3</v>
      </c>
      <c r="C63" s="118">
        <f>'Base Spend Data'!C54/'Base Spend Data'!C$2</f>
        <v>1.0086122948670081E-2</v>
      </c>
      <c r="D63" s="118">
        <f>'Base Spend Data'!D54/'Base Spend Data'!D$2</f>
        <v>2.7970079660245215E-2</v>
      </c>
      <c r="E63" s="118">
        <f>'Base Spend Data'!E54/'Base Spend Data'!E$2</f>
        <v>3.2420323095493454E-2</v>
      </c>
      <c r="F63" s="118">
        <f>'Base Spend Data'!F54/'Base Spend Data'!F$2</f>
        <v>8.0214486878273442E-3</v>
      </c>
      <c r="G63" s="118">
        <f>'Base Spend Data'!G54/'Base Spend Data'!G$2</f>
        <v>1.6188090984432697E-2</v>
      </c>
      <c r="H63" s="118">
        <f>'Base Spend Data'!H54/'Base Spend Data'!H$2</f>
        <v>1.3393937847110626E-2</v>
      </c>
      <c r="I63" s="118">
        <f>'Base Spend Data'!I54/'Base Spend Data'!I$2</f>
        <v>2.1122533421733345E-2</v>
      </c>
      <c r="J63" s="118">
        <f>'Base Spend Data'!J54/'Base Spend Data'!J$2</f>
        <v>3.4952393990752787E-3</v>
      </c>
      <c r="K63" s="118">
        <f>'Base Spend Data'!K54/'Base Spend Data'!K$2</f>
        <v>-2.0943268742160213E-2</v>
      </c>
      <c r="L63" s="118">
        <f>'Base Spend Data'!L54/'Base Spend Data'!L$2</f>
        <v>6.2765943528346026E-3</v>
      </c>
      <c r="M63" s="118">
        <f>'Base Spend Data'!M54/'Base Spend Data'!M$2</f>
        <v>8.6816373506674784E-3</v>
      </c>
      <c r="N63" s="118">
        <f>'Base Spend Data'!N54/'Base Spend Data'!N$2</f>
        <v>6.54736715198234E-3</v>
      </c>
      <c r="O63" s="118">
        <f>'Base Spend Data'!O54/'Base Spend Data'!O$2</f>
        <v>1.8134091175801087E-2</v>
      </c>
      <c r="P63" s="118">
        <f>'Base Spend Data'!P54/'Base Spend Data'!P$2</f>
        <v>1.4238930146290083E-2</v>
      </c>
      <c r="Q63" s="118">
        <f>'Base Spend Data'!Q54/'Base Spend Data'!Q$2</f>
        <v>6.7225269193690708E-3</v>
      </c>
      <c r="R63" s="118">
        <f>'Base Spend Data'!R54/'Base Spend Data'!R$2</f>
        <v>7.5710766262096791E-3</v>
      </c>
      <c r="S63" s="114">
        <f t="shared" si="35"/>
        <v>1.1010824053022865E-2</v>
      </c>
      <c r="T63" s="114">
        <f t="shared" si="36"/>
        <v>-2.0943268742160213E-2</v>
      </c>
      <c r="U63" s="114">
        <f t="shared" si="37"/>
        <v>3.2420323095493454E-2</v>
      </c>
      <c r="V63" s="114">
        <f t="shared" si="38"/>
        <v>8.6816373506674784E-3</v>
      </c>
      <c r="W63" s="95" t="s">
        <v>14</v>
      </c>
    </row>
    <row r="64" spans="1:23">
      <c r="A64" s="95" t="s">
        <v>13</v>
      </c>
      <c r="B64" s="118">
        <f>'Base Spend Data'!B55/'Base Spend Data'!B$2</f>
        <v>6.8750426138465007E-2</v>
      </c>
      <c r="C64" s="118">
        <f>'Base Spend Data'!C55/'Base Spend Data'!C$2</f>
        <v>8.0411186515689778E-2</v>
      </c>
      <c r="D64" s="118">
        <f>'Base Spend Data'!D55/'Base Spend Data'!D$2</f>
        <v>0.1304515265452135</v>
      </c>
      <c r="E64" s="118">
        <f>'Base Spend Data'!E55/'Base Spend Data'!E$2</f>
        <v>2.9979647728411992E-2</v>
      </c>
      <c r="F64" s="118">
        <f>'Base Spend Data'!F55/'Base Spend Data'!F$2</f>
        <v>0.10795863740157643</v>
      </c>
      <c r="G64" s="118">
        <f>'Base Spend Data'!G55/'Base Spend Data'!G$2</f>
        <v>5.9803386830110522E-2</v>
      </c>
      <c r="H64" s="118">
        <f>'Base Spend Data'!H55/'Base Spend Data'!H$2</f>
        <v>4.6162731756066978E-2</v>
      </c>
      <c r="I64" s="118">
        <f>'Base Spend Data'!I55/'Base Spend Data'!I$2</f>
        <v>5.2506547982007795E-2</v>
      </c>
      <c r="J64" s="118">
        <f>'Base Spend Data'!J55/'Base Spend Data'!J$2</f>
        <v>4.5370611871778467E-2</v>
      </c>
      <c r="K64" s="118">
        <f>'Base Spend Data'!K55/'Base Spend Data'!K$2</f>
        <v>5.1421548473655224E-2</v>
      </c>
      <c r="L64" s="118">
        <f>'Base Spend Data'!L55/'Base Spend Data'!L$2</f>
        <v>0</v>
      </c>
      <c r="M64" s="118">
        <f>'Base Spend Data'!M55/'Base Spend Data'!M$2</f>
        <v>4.1306752694309945E-2</v>
      </c>
      <c r="N64" s="118">
        <f>'Base Spend Data'!N55/'Base Spend Data'!N$2</f>
        <v>6.9444660186951723E-2</v>
      </c>
      <c r="O64" s="118">
        <f>'Base Spend Data'!O55/'Base Spend Data'!O$2</f>
        <v>0.14977915973303513</v>
      </c>
      <c r="P64" s="118">
        <f>'Base Spend Data'!P55/'Base Spend Data'!P$2</f>
        <v>9.0986550877619185E-2</v>
      </c>
      <c r="Q64" s="118">
        <f>'Base Spend Data'!Q55/'Base Spend Data'!Q$2</f>
        <v>9.2993581017378674E-2</v>
      </c>
      <c r="R64" s="118">
        <f>'Base Spend Data'!R55/'Base Spend Data'!R$2</f>
        <v>0.12434829806391438</v>
      </c>
      <c r="S64" s="114">
        <f t="shared" si="35"/>
        <v>7.3039720812716757E-2</v>
      </c>
      <c r="T64" s="114">
        <f t="shared" si="36"/>
        <v>0</v>
      </c>
      <c r="U64" s="114">
        <f t="shared" si="37"/>
        <v>0.14977915973303513</v>
      </c>
      <c r="V64" s="114">
        <f t="shared" si="38"/>
        <v>6.8750426138465007E-2</v>
      </c>
      <c r="W64" s="95" t="s">
        <v>13</v>
      </c>
    </row>
    <row r="65" spans="1:23">
      <c r="A65" s="95" t="s">
        <v>12</v>
      </c>
      <c r="B65" s="118">
        <f>'Base Spend Data'!B56/'Base Spend Data'!B$2</f>
        <v>5.094794604931379E-2</v>
      </c>
      <c r="C65" s="118">
        <f>'Base Spend Data'!C56/'Base Spend Data'!C$2</f>
        <v>4.7206038401560131E-2</v>
      </c>
      <c r="D65" s="118">
        <f>'Base Spend Data'!D56/'Base Spend Data'!D$2</f>
        <v>0.10228730082672201</v>
      </c>
      <c r="E65" s="118">
        <f>'Base Spend Data'!E56/'Base Spend Data'!E$2</f>
        <v>7.0573866155693318E-2</v>
      </c>
      <c r="F65" s="118">
        <f>'Base Spend Data'!F56/'Base Spend Data'!F$2</f>
        <v>6.2154425730252469E-2</v>
      </c>
      <c r="G65" s="118">
        <f>'Base Spend Data'!G56/'Base Spend Data'!G$2</f>
        <v>3.8595093164700958E-2</v>
      </c>
      <c r="H65" s="118">
        <f>'Base Spend Data'!H56/'Base Spend Data'!H$2</f>
        <v>3.1290008737959988E-4</v>
      </c>
      <c r="I65" s="118">
        <f>'Base Spend Data'!I56/'Base Spend Data'!I$2</f>
        <v>3.4839454567718087E-2</v>
      </c>
      <c r="J65" s="118">
        <f>'Base Spend Data'!J56/'Base Spend Data'!J$2</f>
        <v>3.0410828419659374E-2</v>
      </c>
      <c r="K65" s="118">
        <f>'Base Spend Data'!K56/'Base Spend Data'!K$2</f>
        <v>7.8234833456610295E-2</v>
      </c>
      <c r="L65" s="118">
        <f>'Base Spend Data'!L56/'Base Spend Data'!L$2</f>
        <v>9.7713738149561406E-3</v>
      </c>
      <c r="M65" s="118">
        <f>'Base Spend Data'!M56/'Base Spend Data'!M$2</f>
        <v>1.1658085807685611E-4</v>
      </c>
      <c r="N65" s="118">
        <f>'Base Spend Data'!N56/'Base Spend Data'!N$2</f>
        <v>0.13593674038587261</v>
      </c>
      <c r="O65" s="118">
        <f>'Base Spend Data'!O56/'Base Spend Data'!O$2</f>
        <v>3.6724186053125385E-2</v>
      </c>
      <c r="P65" s="118">
        <f>'Base Spend Data'!P56/'Base Spend Data'!P$2</f>
        <v>4.9534209937826632E-2</v>
      </c>
      <c r="Q65" s="118">
        <f>'Base Spend Data'!Q56/'Base Spend Data'!Q$2</f>
        <v>7.5422308884408928E-2</v>
      </c>
      <c r="R65" s="118">
        <f>'Base Spend Data'!R56/'Base Spend Data'!R$2</f>
        <v>6.0641896987869547E-3</v>
      </c>
      <c r="S65" s="114">
        <f t="shared" si="35"/>
        <v>4.8772486852509622E-2</v>
      </c>
      <c r="T65" s="114">
        <f t="shared" si="36"/>
        <v>1.1658085807685611E-4</v>
      </c>
      <c r="U65" s="114">
        <f t="shared" si="37"/>
        <v>0.13593674038587261</v>
      </c>
      <c r="V65" s="114">
        <f t="shared" si="38"/>
        <v>4.7206038401560131E-2</v>
      </c>
      <c r="W65" s="95" t="s">
        <v>12</v>
      </c>
    </row>
    <row r="66" spans="1:23">
      <c r="A66" s="95" t="s">
        <v>11</v>
      </c>
      <c r="B66" s="118">
        <f>'Base Spend Data'!B57/'Base Spend Data'!B$2</f>
        <v>0.20143079777497838</v>
      </c>
      <c r="C66" s="118">
        <f>'Base Spend Data'!C57/'Base Spend Data'!C$2</f>
        <v>3.9479930362069461E-2</v>
      </c>
      <c r="D66" s="118">
        <f>'Base Spend Data'!D57/'Base Spend Data'!D$2</f>
        <v>0.18809586299769715</v>
      </c>
      <c r="E66" s="118">
        <f>'Base Spend Data'!E57/'Base Spend Data'!E$2</f>
        <v>0.2864720176414135</v>
      </c>
      <c r="F66" s="118">
        <f>'Base Spend Data'!F57/'Base Spend Data'!F$2</f>
        <v>0.13911622296940157</v>
      </c>
      <c r="G66" s="118">
        <f>'Base Spend Data'!G57/'Base Spend Data'!G$2</f>
        <v>0.1030082963140392</v>
      </c>
      <c r="H66" s="118">
        <f>'Base Spend Data'!H57/'Base Spend Data'!H$2</f>
        <v>3.3252618768114402E-3</v>
      </c>
      <c r="I66" s="118">
        <f>'Base Spend Data'!I57/'Base Spend Data'!I$2</f>
        <v>0.1921186750655372</v>
      </c>
      <c r="J66" s="118">
        <f>'Base Spend Data'!J57/'Base Spend Data'!J$2</f>
        <v>7.8822094735961995E-2</v>
      </c>
      <c r="K66" s="118">
        <f>'Base Spend Data'!K57/'Base Spend Data'!K$2</f>
        <v>0.10851219054886618</v>
      </c>
      <c r="L66" s="118">
        <f>'Base Spend Data'!L57/'Base Spend Data'!L$2</f>
        <v>1.6261957929802843E-2</v>
      </c>
      <c r="M66" s="118">
        <f>'Base Spend Data'!M57/'Base Spend Data'!M$2</f>
        <v>1.9023175551269142E-3</v>
      </c>
      <c r="N66" s="118">
        <f>'Base Spend Data'!N57/'Base Spend Data'!N$2</f>
        <v>0.13278165398058264</v>
      </c>
      <c r="O66" s="118">
        <f>'Base Spend Data'!O57/'Base Spend Data'!O$2</f>
        <v>0.25664245284572285</v>
      </c>
      <c r="P66" s="118">
        <f>'Base Spend Data'!P57/'Base Spend Data'!P$2</f>
        <v>0.16925218427377597</v>
      </c>
      <c r="Q66" s="118">
        <f>'Base Spend Data'!Q57/'Base Spend Data'!Q$2</f>
        <v>0.2621571396779046</v>
      </c>
      <c r="R66" s="118">
        <f>'Base Spend Data'!R57/'Base Spend Data'!R$2</f>
        <v>2.6286605278806302E-2</v>
      </c>
      <c r="S66" s="114">
        <f t="shared" si="35"/>
        <v>0.12974503893108813</v>
      </c>
      <c r="T66" s="114">
        <f t="shared" si="36"/>
        <v>1.9023175551269142E-3</v>
      </c>
      <c r="U66" s="114">
        <f t="shared" si="37"/>
        <v>0.2864720176414135</v>
      </c>
      <c r="V66" s="114">
        <f t="shared" si="38"/>
        <v>0.13278165398058264</v>
      </c>
      <c r="W66" s="95" t="s">
        <v>11</v>
      </c>
    </row>
    <row r="67" spans="1:23">
      <c r="A67" s="95" t="s">
        <v>10</v>
      </c>
      <c r="B67" s="118">
        <f>'Base Spend Data'!B58/'Base Spend Data'!B$2</f>
        <v>3.4919189413922247E-2</v>
      </c>
      <c r="C67" s="118">
        <f>'Base Spend Data'!C58/'Base Spend Data'!C$2</f>
        <v>3.7425789857572E-2</v>
      </c>
      <c r="D67" s="118">
        <f>'Base Spend Data'!D58/'Base Spend Data'!D$2</f>
        <v>2.1242545527082102E-2</v>
      </c>
      <c r="E67" s="118">
        <f>'Base Spend Data'!E58/'Base Spend Data'!E$2</f>
        <v>6.920213004599377E-3</v>
      </c>
      <c r="F67" s="118">
        <f>'Base Spend Data'!F58/'Base Spend Data'!F$2</f>
        <v>7.5996755597835752E-2</v>
      </c>
      <c r="G67" s="118">
        <f>'Base Spend Data'!G58/'Base Spend Data'!G$2</f>
        <v>0.11483906493889552</v>
      </c>
      <c r="H67" s="118">
        <f>'Base Spend Data'!H58/'Base Spend Data'!H$2</f>
        <v>2.0952975656594149E-2</v>
      </c>
      <c r="I67" s="118">
        <f>'Base Spend Data'!I58/'Base Spend Data'!I$2</f>
        <v>1.347144283339898E-2</v>
      </c>
      <c r="J67" s="118">
        <f>'Base Spend Data'!J58/'Base Spend Data'!J$2</f>
        <v>1.261532439473319E-2</v>
      </c>
      <c r="K67" s="118">
        <f>'Base Spend Data'!K58/'Base Spend Data'!K$2</f>
        <v>2.8529934714368918E-2</v>
      </c>
      <c r="L67" s="118">
        <f>'Base Spend Data'!L58/'Base Spend Data'!L$2</f>
        <v>5.7576870140174019E-3</v>
      </c>
      <c r="M67" s="118">
        <f>'Base Spend Data'!M58/'Base Spend Data'!M$2</f>
        <v>3.0768237798358987E-2</v>
      </c>
      <c r="N67" s="118">
        <f>'Base Spend Data'!N58/'Base Spend Data'!N$2</f>
        <v>7.6904104522181521E-2</v>
      </c>
      <c r="O67" s="118">
        <f>'Base Spend Data'!O58/'Base Spend Data'!O$2</f>
        <v>1.2095084095252652E-2</v>
      </c>
      <c r="P67" s="118">
        <f>'Base Spend Data'!P58/'Base Spend Data'!P$2</f>
        <v>2.402806181825794E-2</v>
      </c>
      <c r="Q67" s="118">
        <f>'Base Spend Data'!Q58/'Base Spend Data'!Q$2</f>
        <v>4.5180248773434191E-3</v>
      </c>
      <c r="R67" s="118">
        <f>'Base Spend Data'!R58/'Base Spend Data'!R$2</f>
        <v>2.2887548422176645E-2</v>
      </c>
      <c r="S67" s="114">
        <f t="shared" si="35"/>
        <v>3.1992469675681812E-2</v>
      </c>
      <c r="T67" s="114">
        <f t="shared" si="36"/>
        <v>4.5180248773434191E-3</v>
      </c>
      <c r="U67" s="114">
        <f t="shared" si="37"/>
        <v>0.11483906493889552</v>
      </c>
      <c r="V67" s="114">
        <f t="shared" si="38"/>
        <v>2.2887548422176645E-2</v>
      </c>
      <c r="W67" s="95" t="s">
        <v>10</v>
      </c>
    </row>
    <row r="68" spans="1:23">
      <c r="A68" s="113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14"/>
      <c r="T68" s="114"/>
      <c r="U68" s="114"/>
      <c r="V68" s="114"/>
    </row>
    <row r="69" spans="1:23" ht="19.5" thickBot="1">
      <c r="A69" s="103" t="s">
        <v>215</v>
      </c>
      <c r="B69" s="122"/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3"/>
      <c r="T69" s="123"/>
      <c r="U69" s="123"/>
      <c r="V69" s="123"/>
    </row>
    <row r="70" spans="1:23">
      <c r="A70" s="95" t="s">
        <v>29</v>
      </c>
      <c r="B70" s="114">
        <f>'Base Supplier Data'!B8/'Base Supplier Data'!B$2</f>
        <v>3.6450079239302696E-3</v>
      </c>
      <c r="C70" s="114">
        <f>'Base Supplier Data'!C8/'Base Supplier Data'!C$2</f>
        <v>2.7158718747503792E-3</v>
      </c>
      <c r="D70" s="114">
        <f>'Base Supplier Data'!D8/'Base Supplier Data'!D$2</f>
        <v>1.0982373290868156E-4</v>
      </c>
      <c r="E70" s="114">
        <f>'Base Supplier Data'!E8/'Base Supplier Data'!E$2</f>
        <v>3.0344827586206895E-3</v>
      </c>
      <c r="F70" s="114">
        <f>'Base Supplier Data'!F8/'Base Supplier Data'!F$2</f>
        <v>5.4416403785488955E-3</v>
      </c>
      <c r="G70" s="114">
        <f>'Base Supplier Data'!G8/'Base Supplier Data'!G$2</f>
        <v>1.7795475368243005E-3</v>
      </c>
      <c r="H70" s="114">
        <f>'Base Supplier Data'!H8/'Base Supplier Data'!H$2</f>
        <v>2.5451049148803801E-3</v>
      </c>
      <c r="I70" s="114">
        <f>'Base Supplier Data'!I8/'Base Supplier Data'!I$2</f>
        <v>3.4648448991599387E-3</v>
      </c>
      <c r="J70" s="114">
        <f>'Base Supplier Data'!J8/'Base Supplier Data'!J$2</f>
        <v>7.2269807280513918E-3</v>
      </c>
      <c r="K70" s="114">
        <f>'Base Supplier Data'!K8/'Base Supplier Data'!K$2</f>
        <v>1.7370158068438423E-3</v>
      </c>
      <c r="L70" s="114">
        <f>'Base Supplier Data'!L8/'Base Supplier Data'!L$2</f>
        <v>1.1775788977861517E-3</v>
      </c>
      <c r="M70" s="114">
        <f>'Base Supplier Data'!M8/'Base Supplier Data'!M$2</f>
        <v>5.8925169465243012E-3</v>
      </c>
      <c r="N70" s="114">
        <f>'Base Supplier Data'!N8/'Base Supplier Data'!N$2</f>
        <v>1.3302175085385583E-2</v>
      </c>
      <c r="O70" s="114">
        <f>'Base Supplier Data'!O8/'Base Supplier Data'!O$2</f>
        <v>7.4716078900179312E-5</v>
      </c>
      <c r="P70" s="114">
        <f>'Base Supplier Data'!P8/'Base Supplier Data'!P$2</f>
        <v>2.8336380255941499E-3</v>
      </c>
      <c r="Q70" s="114">
        <f>'Base Supplier Data'!Q8/'Base Supplier Data'!Q$2</f>
        <v>6.8212824010914052E-4</v>
      </c>
      <c r="R70" s="114">
        <f>'Base Supplier Data'!R8/'Base Supplier Data'!R$2</f>
        <v>5.9974747474747471E-3</v>
      </c>
      <c r="S70" s="114">
        <f t="shared" ref="S70" si="39">AVERAGE(B70:R70)</f>
        <v>3.6270910927231189E-3</v>
      </c>
      <c r="T70" s="114">
        <f t="shared" ref="T70" si="40">MIN(B70:R70)</f>
        <v>7.4716078900179312E-5</v>
      </c>
      <c r="U70" s="114">
        <f t="shared" ref="U70" si="41">MAX(B70:R70)</f>
        <v>1.3302175085385583E-2</v>
      </c>
      <c r="V70" s="114">
        <f t="shared" ref="V70" si="42">MEDIAN(B70:R70)</f>
        <v>2.8336380255941499E-3</v>
      </c>
    </row>
    <row r="71" spans="1:23">
      <c r="A71" s="95" t="s">
        <v>28</v>
      </c>
      <c r="B71" s="114">
        <f>'Base Supplier Data'!B9/'Base Supplier Data'!B$2</f>
        <v>3.9619651347068147E-3</v>
      </c>
      <c r="C71" s="114">
        <f>'Base Supplier Data'!C9/'Base Supplier Data'!C$2</f>
        <v>3.7542934739196419E-3</v>
      </c>
      <c r="D71" s="114">
        <f>'Base Supplier Data'!D9/'Base Supplier Data'!D$2</f>
        <v>1.043325462632475E-3</v>
      </c>
      <c r="E71" s="114">
        <f>'Base Supplier Data'!E9/'Base Supplier Data'!E$2</f>
        <v>2.7586206896551722E-3</v>
      </c>
      <c r="F71" s="114">
        <f>'Base Supplier Data'!F9/'Base Supplier Data'!F$2</f>
        <v>5.2839116719242902E-3</v>
      </c>
      <c r="G71" s="114">
        <f>'Base Supplier Data'!G9/'Base Supplier Data'!G$2</f>
        <v>2.1847910353090423E-3</v>
      </c>
      <c r="H71" s="114">
        <f>'Base Supplier Data'!H9/'Base Supplier Data'!H$2</f>
        <v>2.601662801877722E-3</v>
      </c>
      <c r="I71" s="114">
        <f>'Base Supplier Data'!I9/'Base Supplier Data'!I$2</f>
        <v>2.8764750106233454E-3</v>
      </c>
      <c r="J71" s="114">
        <f>'Base Supplier Data'!J9/'Base Supplier Data'!J$2</f>
        <v>4.9518201284796575E-3</v>
      </c>
      <c r="K71" s="114">
        <f>'Base Supplier Data'!K9/'Base Supplier Data'!K$2</f>
        <v>2.7792252909501478E-3</v>
      </c>
      <c r="L71" s="114">
        <f>'Base Supplier Data'!L9/'Base Supplier Data'!L$2</f>
        <v>1.4130946773433821E-2</v>
      </c>
      <c r="M71" s="114">
        <f>'Base Supplier Data'!M9/'Base Supplier Data'!M$2</f>
        <v>5.4051659208719152E-3</v>
      </c>
      <c r="N71" s="114">
        <f>'Base Supplier Data'!N9/'Base Supplier Data'!N$2</f>
        <v>1.0785547366528852E-2</v>
      </c>
      <c r="O71" s="114">
        <f>'Base Supplier Data'!O9/'Base Supplier Data'!O$2</f>
        <v>7.0980274955170352E-4</v>
      </c>
      <c r="P71" s="114">
        <f>'Base Supplier Data'!P9/'Base Supplier Data'!P$2</f>
        <v>3.3820840950639854E-3</v>
      </c>
      <c r="Q71" s="114">
        <f>'Base Supplier Data'!Q9/'Base Supplier Data'!Q$2</f>
        <v>6.1391541609822648E-3</v>
      </c>
      <c r="R71" s="114">
        <f>'Base Supplier Data'!R9/'Base Supplier Data'!R$2</f>
        <v>6.5235690235690234E-3</v>
      </c>
      <c r="S71" s="114">
        <f t="shared" ref="S71:S95" si="43">AVERAGE(B71:R71)</f>
        <v>4.663080046475288E-3</v>
      </c>
      <c r="T71" s="114">
        <f t="shared" ref="T71:T95" si="44">MIN(B71:R71)</f>
        <v>7.0980274955170352E-4</v>
      </c>
      <c r="U71" s="114">
        <f t="shared" ref="U71:U95" si="45">MAX(B71:R71)</f>
        <v>1.4130946773433821E-2</v>
      </c>
      <c r="V71" s="114">
        <f t="shared" ref="V71:V95" si="46">MEDIAN(B71:R71)</f>
        <v>3.7542934739196419E-3</v>
      </c>
    </row>
    <row r="72" spans="1:23">
      <c r="A72" s="95" t="s">
        <v>27</v>
      </c>
      <c r="B72" s="114">
        <f>'Base Supplier Data'!B10/'Base Supplier Data'!B$2</f>
        <v>3.2488114104595879E-2</v>
      </c>
      <c r="C72" s="114">
        <f>'Base Supplier Data'!C10/'Base Supplier Data'!C$2</f>
        <v>3.5945363048166784E-2</v>
      </c>
      <c r="D72" s="114">
        <f>'Base Supplier Data'!D10/'Base Supplier Data'!D$2</f>
        <v>2.1086156718466861E-2</v>
      </c>
      <c r="E72" s="114">
        <f>'Base Supplier Data'!E10/'Base Supplier Data'!E$2</f>
        <v>2.7310344827586208E-2</v>
      </c>
      <c r="F72" s="114">
        <f>'Base Supplier Data'!F10/'Base Supplier Data'!F$2</f>
        <v>3.3990536277602526E-2</v>
      </c>
      <c r="G72" s="114">
        <f>'Base Supplier Data'!G10/'Base Supplier Data'!G$2</f>
        <v>2.0350271336951161E-2</v>
      </c>
      <c r="H72" s="114">
        <f>'Base Supplier Data'!H10/'Base Supplier Data'!H$2</f>
        <v>1.1990272043436457E-2</v>
      </c>
      <c r="I72" s="114">
        <f>'Base Supplier Data'!I10/'Base Supplier Data'!I$2</f>
        <v>1.4120877324878239E-2</v>
      </c>
      <c r="J72" s="114">
        <f>'Base Supplier Data'!J10/'Base Supplier Data'!J$2</f>
        <v>2.2082441113490364E-2</v>
      </c>
      <c r="K72" s="114">
        <f>'Base Supplier Data'!K10/'Base Supplier Data'!K$2</f>
        <v>2.5360430779920097E-2</v>
      </c>
      <c r="L72" s="114">
        <f>'Base Supplier Data'!L10/'Base Supplier Data'!L$2</f>
        <v>5.134243994347621E-2</v>
      </c>
      <c r="M72" s="114">
        <f>'Base Supplier Data'!M10/'Base Supplier Data'!M$2</f>
        <v>3.876655885871251E-2</v>
      </c>
      <c r="N72" s="114">
        <f>'Base Supplier Data'!N10/'Base Supplier Data'!N$2</f>
        <v>4.655761279884954E-2</v>
      </c>
      <c r="O72" s="114">
        <f>'Base Supplier Data'!O10/'Base Supplier Data'!O$2</f>
        <v>1.1244769874476987E-2</v>
      </c>
      <c r="P72" s="114">
        <f>'Base Supplier Data'!P10/'Base Supplier Data'!P$2</f>
        <v>3.5374771480804389E-2</v>
      </c>
      <c r="Q72" s="114">
        <f>'Base Supplier Data'!Q10/'Base Supplier Data'!Q$2</f>
        <v>6.1732605729877217E-2</v>
      </c>
      <c r="R72" s="114">
        <f>'Base Supplier Data'!R10/'Base Supplier Data'!R$2</f>
        <v>7.2180134680134678E-2</v>
      </c>
      <c r="S72" s="114">
        <f t="shared" si="43"/>
        <v>3.3054335349495652E-2</v>
      </c>
      <c r="T72" s="114">
        <f t="shared" si="44"/>
        <v>1.1244769874476987E-2</v>
      </c>
      <c r="U72" s="114">
        <f t="shared" si="45"/>
        <v>7.2180134680134678E-2</v>
      </c>
      <c r="V72" s="114">
        <f t="shared" si="46"/>
        <v>3.2488114104595879E-2</v>
      </c>
    </row>
    <row r="73" spans="1:23">
      <c r="A73" s="95" t="s">
        <v>26</v>
      </c>
      <c r="B73" s="114">
        <f>'Base Supplier Data'!B11/'Base Supplier Data'!B$2</f>
        <v>0.17163232963549921</v>
      </c>
      <c r="C73" s="114">
        <f>'Base Supplier Data'!C11/'Base Supplier Data'!C$2</f>
        <v>0.16574806294432462</v>
      </c>
      <c r="D73" s="114">
        <f>'Base Supplier Data'!D11/'Base Supplier Data'!D$2</f>
        <v>7.5448904508264233E-2</v>
      </c>
      <c r="E73" s="114">
        <f>'Base Supplier Data'!E11/'Base Supplier Data'!E$2</f>
        <v>0.13641379310344828</v>
      </c>
      <c r="F73" s="114">
        <f>'Base Supplier Data'!F11/'Base Supplier Data'!F$2</f>
        <v>4.4558359621451105E-2</v>
      </c>
      <c r="G73" s="114">
        <f>'Base Supplier Data'!G11/'Base Supplier Data'!G$2</f>
        <v>0.43868489675100431</v>
      </c>
      <c r="H73" s="114">
        <f>'Base Supplier Data'!H11/'Base Supplier Data'!H$2</f>
        <v>0.51269724563090324</v>
      </c>
      <c r="I73" s="114">
        <f>'Base Supplier Data'!I11/'Base Supplier Data'!I$2</f>
        <v>0.37341875592455792</v>
      </c>
      <c r="J73" s="114">
        <f>'Base Supplier Data'!J11/'Base Supplier Data'!J$2</f>
        <v>0.34221092077087795</v>
      </c>
      <c r="K73" s="114">
        <f>'Base Supplier Data'!K11/'Base Supplier Data'!K$2</f>
        <v>0.14886225464651728</v>
      </c>
      <c r="L73" s="114">
        <f>'Base Supplier Data'!L11/'Base Supplier Data'!L$2</f>
        <v>8.1017428167687242E-2</v>
      </c>
      <c r="M73" s="114">
        <f>'Base Supplier Data'!M11/'Base Supplier Data'!M$2</f>
        <v>0.10517921226352399</v>
      </c>
      <c r="N73" s="114">
        <f>'Base Supplier Data'!N11/'Base Supplier Data'!N$2</f>
        <v>8.7542692791659174E-2</v>
      </c>
      <c r="O73" s="114">
        <f>'Base Supplier Data'!O11/'Base Supplier Data'!O$2</f>
        <v>0.41254482964734013</v>
      </c>
      <c r="P73" s="114">
        <f>'Base Supplier Data'!P11/'Base Supplier Data'!P$2</f>
        <v>0.10338208409506398</v>
      </c>
      <c r="Q73" s="114">
        <f>'Base Supplier Data'!Q11/'Base Supplier Data'!Q$2</f>
        <v>0.18178717598908595</v>
      </c>
      <c r="R73" s="114">
        <f>'Base Supplier Data'!R11/'Base Supplier Data'!R$2</f>
        <v>8.2702020202020207E-2</v>
      </c>
      <c r="S73" s="114">
        <f t="shared" si="43"/>
        <v>0.20375476274666054</v>
      </c>
      <c r="T73" s="114">
        <f t="shared" si="44"/>
        <v>4.4558359621451105E-2</v>
      </c>
      <c r="U73" s="114">
        <f t="shared" si="45"/>
        <v>0.51269724563090324</v>
      </c>
      <c r="V73" s="114">
        <f t="shared" si="46"/>
        <v>0.14886225464651728</v>
      </c>
    </row>
    <row r="74" spans="1:23">
      <c r="A74" s="95" t="s">
        <v>25</v>
      </c>
      <c r="B74" s="114">
        <f>'Base Supplier Data'!B12/'Base Supplier Data'!B$2</f>
        <v>1.2757527733755943E-2</v>
      </c>
      <c r="C74" s="114">
        <f>'Base Supplier Data'!C12/'Base Supplier Data'!C$2</f>
        <v>1.5576323987538941E-2</v>
      </c>
      <c r="D74" s="114">
        <f>'Base Supplier Data'!D12/'Base Supplier Data'!D$2</f>
        <v>6.0952171764318266E-3</v>
      </c>
      <c r="E74" s="114">
        <f>'Base Supplier Data'!E12/'Base Supplier Data'!E$2</f>
        <v>1.5310344827586206E-2</v>
      </c>
      <c r="F74" s="114">
        <f>'Base Supplier Data'!F12/'Base Supplier Data'!F$2</f>
        <v>1.1198738170347004E-2</v>
      </c>
      <c r="G74" s="114">
        <f>'Base Supplier Data'!G12/'Base Supplier Data'!G$2</f>
        <v>5.9905560645570509E-3</v>
      </c>
      <c r="H74" s="114">
        <f>'Base Supplier Data'!H12/'Base Supplier Data'!H$2</f>
        <v>7.126293761665064E-3</v>
      </c>
      <c r="I74" s="114">
        <f>'Base Supplier Data'!I12/'Base Supplier Data'!I$2</f>
        <v>7.648808550975713E-3</v>
      </c>
      <c r="J74" s="114">
        <f>'Base Supplier Data'!J12/'Base Supplier Data'!J$2</f>
        <v>1.5524625267665952E-2</v>
      </c>
      <c r="K74" s="114">
        <f>'Base Supplier Data'!K12/'Base Supplier Data'!K$2</f>
        <v>6.6006600660066007E-3</v>
      </c>
      <c r="L74" s="114">
        <f>'Base Supplier Data'!L12/'Base Supplier Data'!L$2</f>
        <v>1.5073009891662742E-2</v>
      </c>
      <c r="M74" s="114">
        <f>'Base Supplier Data'!M12/'Base Supplier Data'!M$2</f>
        <v>7.9748349652208582E-3</v>
      </c>
      <c r="N74" s="114">
        <f>'Base Supplier Data'!N12/'Base Supplier Data'!N$2</f>
        <v>2.9660255257954342E-2</v>
      </c>
      <c r="O74" s="114">
        <f>'Base Supplier Data'!O12/'Base Supplier Data'!O$2</f>
        <v>4.3708906156604901E-3</v>
      </c>
      <c r="P74" s="114">
        <f>'Base Supplier Data'!P12/'Base Supplier Data'!P$2</f>
        <v>1.5813528336380257E-2</v>
      </c>
      <c r="Q74" s="114">
        <f>'Base Supplier Data'!Q12/'Base Supplier Data'!Q$2</f>
        <v>3.4788540245566164E-2</v>
      </c>
      <c r="R74" s="114">
        <f>'Base Supplier Data'!R12/'Base Supplier Data'!R$2</f>
        <v>2.462121212121212E-2</v>
      </c>
      <c r="S74" s="114">
        <f t="shared" si="43"/>
        <v>1.3890080414128663E-2</v>
      </c>
      <c r="T74" s="114">
        <f t="shared" si="44"/>
        <v>4.3708906156604901E-3</v>
      </c>
      <c r="U74" s="114">
        <f t="shared" si="45"/>
        <v>3.4788540245566164E-2</v>
      </c>
      <c r="V74" s="114">
        <f t="shared" si="46"/>
        <v>1.2757527733755943E-2</v>
      </c>
    </row>
    <row r="75" spans="1:23">
      <c r="A75" s="95" t="s">
        <v>109</v>
      </c>
      <c r="B75" s="114">
        <f>'Base Supplier Data'!B13/'Base Supplier Data'!B$2</f>
        <v>0</v>
      </c>
      <c r="C75" s="114">
        <f>'Base Supplier Data'!C13/'Base Supplier Data'!C$2</f>
        <v>0</v>
      </c>
      <c r="D75" s="114">
        <f>'Base Supplier Data'!D13/'Base Supplier Data'!D$2</f>
        <v>0</v>
      </c>
      <c r="E75" s="114">
        <f>'Base Supplier Data'!E13/'Base Supplier Data'!E$2</f>
        <v>0</v>
      </c>
      <c r="F75" s="114">
        <f>'Base Supplier Data'!F13/'Base Supplier Data'!F$2</f>
        <v>0</v>
      </c>
      <c r="G75" s="114">
        <f>'Base Supplier Data'!G13/'Base Supplier Data'!G$2</f>
        <v>0</v>
      </c>
      <c r="H75" s="114">
        <f>'Base Supplier Data'!H13/'Base Supplier Data'!H$2</f>
        <v>0</v>
      </c>
      <c r="I75" s="114">
        <f>'Base Supplier Data'!I13/'Base Supplier Data'!I$2</f>
        <v>0</v>
      </c>
      <c r="J75" s="114">
        <f>'Base Supplier Data'!J13/'Base Supplier Data'!J$2</f>
        <v>0</v>
      </c>
      <c r="K75" s="114">
        <f>'Base Supplier Data'!K13/'Base Supplier Data'!K$2</f>
        <v>0</v>
      </c>
      <c r="L75" s="114">
        <f>'Base Supplier Data'!L13/'Base Supplier Data'!L$2</f>
        <v>2.5200188412623645E-2</v>
      </c>
      <c r="M75" s="114">
        <f>'Base Supplier Data'!M13/'Base Supplier Data'!M$2</f>
        <v>0</v>
      </c>
      <c r="N75" s="114">
        <f>'Base Supplier Data'!N13/'Base Supplier Data'!N$2</f>
        <v>0</v>
      </c>
      <c r="O75" s="114">
        <f>'Base Supplier Data'!O13/'Base Supplier Data'!O$2</f>
        <v>0</v>
      </c>
      <c r="P75" s="114">
        <f>'Base Supplier Data'!P13/'Base Supplier Data'!P$2</f>
        <v>0</v>
      </c>
      <c r="Q75" s="114">
        <f>'Base Supplier Data'!Q13/'Base Supplier Data'!Q$2</f>
        <v>0</v>
      </c>
      <c r="R75" s="114">
        <f>'Base Supplier Data'!R13/'Base Supplier Data'!R$2</f>
        <v>0</v>
      </c>
      <c r="S75" s="114">
        <f t="shared" si="43"/>
        <v>1.4823640242719791E-3</v>
      </c>
      <c r="T75" s="114">
        <f t="shared" si="44"/>
        <v>0</v>
      </c>
      <c r="U75" s="114">
        <f t="shared" si="45"/>
        <v>2.5200188412623645E-2</v>
      </c>
      <c r="V75" s="114">
        <f t="shared" si="46"/>
        <v>0</v>
      </c>
    </row>
    <row r="76" spans="1:23">
      <c r="A76" s="95" t="s">
        <v>24</v>
      </c>
      <c r="B76" s="114">
        <f>'Base Supplier Data'!B14/'Base Supplier Data'!B$2</f>
        <v>3.2488114104595881E-3</v>
      </c>
      <c r="C76" s="114">
        <f>'Base Supplier Data'!C14/'Base Supplier Data'!C$2</f>
        <v>2.0768431983385254E-3</v>
      </c>
      <c r="D76" s="114">
        <f>'Base Supplier Data'!D14/'Base Supplier Data'!D$2</f>
        <v>1.3178847949041788E-3</v>
      </c>
      <c r="E76" s="114">
        <f>'Base Supplier Data'!E14/'Base Supplier Data'!E$2</f>
        <v>4.827586206896552E-3</v>
      </c>
      <c r="F76" s="114">
        <f>'Base Supplier Data'!F14/'Base Supplier Data'!F$2</f>
        <v>2.6813880126182964E-3</v>
      </c>
      <c r="G76" s="114">
        <f>'Base Supplier Data'!G14/'Base Supplier Data'!G$2</f>
        <v>1.5681161463105223E-3</v>
      </c>
      <c r="H76" s="114">
        <f>'Base Supplier Data'!H14/'Base Supplier Data'!H$2</f>
        <v>2.0360839319043039E-3</v>
      </c>
      <c r="I76" s="114">
        <f>'Base Supplier Data'!I14/'Base Supplier Data'!I$2</f>
        <v>1.5362991534011048E-3</v>
      </c>
      <c r="J76" s="114">
        <f>'Base Supplier Data'!J14/'Base Supplier Data'!J$2</f>
        <v>4.0149892933618843E-3</v>
      </c>
      <c r="K76" s="114">
        <f>'Base Supplier Data'!K14/'Base Supplier Data'!K$2</f>
        <v>1.0422094841063053E-3</v>
      </c>
      <c r="L76" s="114">
        <f>'Base Supplier Data'!L14/'Base Supplier Data'!L$2</f>
        <v>4.0037682524729154E-3</v>
      </c>
      <c r="M76" s="114">
        <f>'Base Supplier Data'!M14/'Base Supplier Data'!M$2</f>
        <v>4.1646360373931149E-3</v>
      </c>
      <c r="N76" s="114">
        <f>'Base Supplier Data'!N14/'Base Supplier Data'!N$2</f>
        <v>5.7522919288153871E-3</v>
      </c>
      <c r="O76" s="114">
        <f>'Base Supplier Data'!O14/'Base Supplier Data'!O$2</f>
        <v>5.977286312014345E-4</v>
      </c>
      <c r="P76" s="114">
        <f>'Base Supplier Data'!P14/'Base Supplier Data'!P$2</f>
        <v>3.0164533820840949E-3</v>
      </c>
      <c r="Q76" s="114">
        <f>'Base Supplier Data'!Q14/'Base Supplier Data'!Q$2</f>
        <v>6.1391541609822648E-3</v>
      </c>
      <c r="R76" s="114">
        <f>'Base Supplier Data'!R14/'Base Supplier Data'!R$2</f>
        <v>3.6826599326599328E-3</v>
      </c>
      <c r="S76" s="114">
        <f t="shared" si="43"/>
        <v>3.0415825857594359E-3</v>
      </c>
      <c r="T76" s="114">
        <f t="shared" si="44"/>
        <v>5.977286312014345E-4</v>
      </c>
      <c r="U76" s="114">
        <f t="shared" si="45"/>
        <v>6.1391541609822648E-3</v>
      </c>
      <c r="V76" s="114">
        <f t="shared" si="46"/>
        <v>3.0164533820840949E-3</v>
      </c>
    </row>
    <row r="77" spans="1:23">
      <c r="A77" s="95" t="s">
        <v>23</v>
      </c>
      <c r="B77" s="114">
        <f>'Base Supplier Data'!B15/'Base Supplier Data'!B$2</f>
        <v>4.6434231378763867E-2</v>
      </c>
      <c r="C77" s="114">
        <f>'Base Supplier Data'!C15/'Base Supplier Data'!C$2</f>
        <v>2.1647096413451555E-2</v>
      </c>
      <c r="D77" s="114">
        <f>'Base Supplier Data'!D15/'Base Supplier Data'!D$2</f>
        <v>1.1641315688320246E-2</v>
      </c>
      <c r="E77" s="114">
        <f>'Base Supplier Data'!E15/'Base Supplier Data'!E$2</f>
        <v>2.6344827586206897E-2</v>
      </c>
      <c r="F77" s="114">
        <f>'Base Supplier Data'!F15/'Base Supplier Data'!F$2</f>
        <v>2.0504731861198739E-2</v>
      </c>
      <c r="G77" s="114">
        <f>'Base Supplier Data'!G15/'Base Supplier Data'!G$2</f>
        <v>1.3690182535767143E-2</v>
      </c>
      <c r="H77" s="114">
        <f>'Base Supplier Data'!H15/'Base Supplier Data'!H$2</f>
        <v>1.0972230077484305E-2</v>
      </c>
      <c r="I77" s="114">
        <f>'Base Supplier Data'!I15/'Base Supplier Data'!I$2</f>
        <v>1.2878763115745432E-2</v>
      </c>
      <c r="J77" s="114">
        <f>'Base Supplier Data'!J15/'Base Supplier Data'!J$2</f>
        <v>3.3056745182012848E-2</v>
      </c>
      <c r="K77" s="114">
        <f>'Base Supplier Data'!K15/'Base Supplier Data'!K$2</f>
        <v>7.6428695501129058E-3</v>
      </c>
      <c r="L77" s="114">
        <f>'Base Supplier Data'!L15/'Base Supplier Data'!L$2</f>
        <v>2.8261893546867641E-2</v>
      </c>
      <c r="M77" s="114">
        <f>'Base Supplier Data'!M15/'Base Supplier Data'!M$2</f>
        <v>1.9316822471312747E-2</v>
      </c>
      <c r="N77" s="114">
        <f>'Base Supplier Data'!N15/'Base Supplier Data'!N$2</f>
        <v>3.6670861046198093E-2</v>
      </c>
      <c r="O77" s="114">
        <f>'Base Supplier Data'!O15/'Base Supplier Data'!O$2</f>
        <v>6.313508667065152E-3</v>
      </c>
      <c r="P77" s="114">
        <f>'Base Supplier Data'!P15/'Base Supplier Data'!P$2</f>
        <v>3.0255941499085923E-2</v>
      </c>
      <c r="Q77" s="114">
        <f>'Base Supplier Data'!Q15/'Base Supplier Data'!Q$2</f>
        <v>3.4447476125511599E-2</v>
      </c>
      <c r="R77" s="114">
        <f>'Base Supplier Data'!R15/'Base Supplier Data'!R$2</f>
        <v>6.418350168350169E-2</v>
      </c>
      <c r="S77" s="114">
        <f t="shared" si="43"/>
        <v>2.4956646966388635E-2</v>
      </c>
      <c r="T77" s="114">
        <f t="shared" si="44"/>
        <v>6.313508667065152E-3</v>
      </c>
      <c r="U77" s="114">
        <f t="shared" si="45"/>
        <v>6.418350168350169E-2</v>
      </c>
      <c r="V77" s="114">
        <f t="shared" si="46"/>
        <v>2.1647096413451555E-2</v>
      </c>
    </row>
    <row r="78" spans="1:23">
      <c r="A78" s="95" t="s">
        <v>22</v>
      </c>
      <c r="B78" s="114">
        <f>'Base Supplier Data'!B16/'Base Supplier Data'!B$2</f>
        <v>7.527733755942948E-3</v>
      </c>
      <c r="C78" s="114">
        <f>'Base Supplier Data'!C16/'Base Supplier Data'!C$2</f>
        <v>1.6694624171259685E-2</v>
      </c>
      <c r="D78" s="114">
        <f>'Base Supplier Data'!D16/'Base Supplier Data'!D$2</f>
        <v>4.3380374498929218E-3</v>
      </c>
      <c r="E78" s="114">
        <f>'Base Supplier Data'!E16/'Base Supplier Data'!E$2</f>
        <v>2.1655172413793104E-2</v>
      </c>
      <c r="F78" s="114">
        <f>'Base Supplier Data'!F16/'Base Supplier Data'!F$2</f>
        <v>8.209779179810725E-2</v>
      </c>
      <c r="G78" s="114">
        <f>'Base Supplier Data'!G16/'Base Supplier Data'!G$2</f>
        <v>1.0095848897032913E-2</v>
      </c>
      <c r="H78" s="114">
        <f>'Base Supplier Data'!H16/'Base Supplier Data'!H$2</f>
        <v>5.3729992647474694E-3</v>
      </c>
      <c r="I78" s="114">
        <f>'Base Supplier Data'!I16/'Base Supplier Data'!I$2</f>
        <v>1.2159644363089596E-2</v>
      </c>
      <c r="J78" s="114">
        <f>'Base Supplier Data'!J16/'Base Supplier Data'!J$2</f>
        <v>1.9004282655246254E-2</v>
      </c>
      <c r="K78" s="114">
        <f>'Base Supplier Data'!K16/'Base Supplier Data'!K$2</f>
        <v>4.4467604655202365E-2</v>
      </c>
      <c r="L78" s="114">
        <f>'Base Supplier Data'!L16/'Base Supplier Data'!L$2</f>
        <v>3.1323598681111633E-2</v>
      </c>
      <c r="M78" s="114">
        <f>'Base Supplier Data'!M16/'Base Supplier Data'!M$2</f>
        <v>5.1836427273935582E-3</v>
      </c>
      <c r="N78" s="114">
        <f>'Base Supplier Data'!N16/'Base Supplier Data'!N$2</f>
        <v>2.4626999820240879E-2</v>
      </c>
      <c r="O78" s="114">
        <f>'Base Supplier Data'!O16/'Base Supplier Data'!O$2</f>
        <v>1.6138673042438732E-2</v>
      </c>
      <c r="P78" s="114">
        <f>'Base Supplier Data'!P16/'Base Supplier Data'!P$2</f>
        <v>2.056672760511883E-2</v>
      </c>
      <c r="Q78" s="114">
        <f>'Base Supplier Data'!Q16/'Base Supplier Data'!Q$2</f>
        <v>1.5006821282401092E-2</v>
      </c>
      <c r="R78" s="114">
        <f>'Base Supplier Data'!R16/'Base Supplier Data'!R$2</f>
        <v>4.924242424242424E-2</v>
      </c>
      <c r="S78" s="114">
        <f t="shared" si="43"/>
        <v>2.2676625107379028E-2</v>
      </c>
      <c r="T78" s="114">
        <f t="shared" si="44"/>
        <v>4.3380374498929218E-3</v>
      </c>
      <c r="U78" s="114">
        <f t="shared" si="45"/>
        <v>8.209779179810725E-2</v>
      </c>
      <c r="V78" s="114">
        <f t="shared" si="46"/>
        <v>1.6694624171259685E-2</v>
      </c>
    </row>
    <row r="79" spans="1:23">
      <c r="A79" s="95" t="s">
        <v>107</v>
      </c>
      <c r="B79" s="114">
        <f>'Base Supplier Data'!B17/'Base Supplier Data'!B$2</f>
        <v>0</v>
      </c>
      <c r="C79" s="114">
        <f>'Base Supplier Data'!C17/'Base Supplier Data'!C$2</f>
        <v>0</v>
      </c>
      <c r="D79" s="114">
        <f>'Base Supplier Data'!D17/'Base Supplier Data'!D$2</f>
        <v>0</v>
      </c>
      <c r="E79" s="114">
        <f>'Base Supplier Data'!E17/'Base Supplier Data'!E$2</f>
        <v>0</v>
      </c>
      <c r="F79" s="114">
        <f>'Base Supplier Data'!F17/'Base Supplier Data'!F$2</f>
        <v>0</v>
      </c>
      <c r="G79" s="114">
        <f>'Base Supplier Data'!G17/'Base Supplier Data'!G$2</f>
        <v>0</v>
      </c>
      <c r="H79" s="114">
        <f>'Base Supplier Data'!H17/'Base Supplier Data'!H$2</f>
        <v>0</v>
      </c>
      <c r="I79" s="114">
        <f>'Base Supplier Data'!I17/'Base Supplier Data'!I$2</f>
        <v>0</v>
      </c>
      <c r="J79" s="114">
        <f>'Base Supplier Data'!J17/'Base Supplier Data'!J$2</f>
        <v>0</v>
      </c>
      <c r="K79" s="114">
        <f>'Base Supplier Data'!K17/'Base Supplier Data'!K$2</f>
        <v>0</v>
      </c>
      <c r="L79" s="114">
        <f>'Base Supplier Data'!L17/'Base Supplier Data'!L$2</f>
        <v>4.9458313707018368E-3</v>
      </c>
      <c r="M79" s="114">
        <f>'Base Supplier Data'!M17/'Base Supplier Data'!M$2</f>
        <v>0</v>
      </c>
      <c r="N79" s="114">
        <f>'Base Supplier Data'!N17/'Base Supplier Data'!N$2</f>
        <v>0</v>
      </c>
      <c r="O79" s="114">
        <f>'Base Supplier Data'!O17/'Base Supplier Data'!O$2</f>
        <v>0</v>
      </c>
      <c r="P79" s="114">
        <f>'Base Supplier Data'!P17/'Base Supplier Data'!P$2</f>
        <v>0</v>
      </c>
      <c r="Q79" s="114">
        <f>'Base Supplier Data'!Q17/'Base Supplier Data'!Q$2</f>
        <v>0</v>
      </c>
      <c r="R79" s="114">
        <f>'Base Supplier Data'!R17/'Base Supplier Data'!R$2</f>
        <v>0</v>
      </c>
      <c r="S79" s="114">
        <f t="shared" si="43"/>
        <v>2.9093125710010805E-4</v>
      </c>
      <c r="T79" s="114">
        <f t="shared" si="44"/>
        <v>0</v>
      </c>
      <c r="U79" s="114">
        <f t="shared" si="45"/>
        <v>4.9458313707018368E-3</v>
      </c>
      <c r="V79" s="114">
        <f t="shared" si="46"/>
        <v>0</v>
      </c>
    </row>
    <row r="80" spans="1:23">
      <c r="A80" s="95" t="s">
        <v>108</v>
      </c>
      <c r="B80" s="114">
        <f>'Base Supplier Data'!B18/'Base Supplier Data'!B$2</f>
        <v>0</v>
      </c>
      <c r="C80" s="114">
        <f>'Base Supplier Data'!C18/'Base Supplier Data'!C$2</f>
        <v>0</v>
      </c>
      <c r="D80" s="114">
        <f>'Base Supplier Data'!D18/'Base Supplier Data'!D$2</f>
        <v>0</v>
      </c>
      <c r="E80" s="114">
        <f>'Base Supplier Data'!E18/'Base Supplier Data'!E$2</f>
        <v>0</v>
      </c>
      <c r="F80" s="114">
        <f>'Base Supplier Data'!F18/'Base Supplier Data'!F$2</f>
        <v>0</v>
      </c>
      <c r="G80" s="114">
        <f>'Base Supplier Data'!G18/'Base Supplier Data'!G$2</f>
        <v>0</v>
      </c>
      <c r="H80" s="114">
        <f>'Base Supplier Data'!H18/'Base Supplier Data'!H$2</f>
        <v>0</v>
      </c>
      <c r="I80" s="114">
        <f>'Base Supplier Data'!I18/'Base Supplier Data'!I$2</f>
        <v>0</v>
      </c>
      <c r="J80" s="114">
        <f>'Base Supplier Data'!J18/'Base Supplier Data'!J$2</f>
        <v>0</v>
      </c>
      <c r="K80" s="114">
        <f>'Base Supplier Data'!K18/'Base Supplier Data'!K$2</f>
        <v>0</v>
      </c>
      <c r="L80" s="114">
        <f>'Base Supplier Data'!L18/'Base Supplier Data'!L$2</f>
        <v>1.0833725859632595E-2</v>
      </c>
      <c r="M80" s="114">
        <f>'Base Supplier Data'!M18/'Base Supplier Data'!M$2</f>
        <v>0</v>
      </c>
      <c r="N80" s="114">
        <f>'Base Supplier Data'!N18/'Base Supplier Data'!N$2</f>
        <v>0</v>
      </c>
      <c r="O80" s="114">
        <f>'Base Supplier Data'!O18/'Base Supplier Data'!O$2</f>
        <v>0</v>
      </c>
      <c r="P80" s="114">
        <f>'Base Supplier Data'!P18/'Base Supplier Data'!P$2</f>
        <v>0</v>
      </c>
      <c r="Q80" s="114">
        <f>'Base Supplier Data'!Q18/'Base Supplier Data'!Q$2</f>
        <v>0</v>
      </c>
      <c r="R80" s="114">
        <f>'Base Supplier Data'!R18/'Base Supplier Data'!R$2</f>
        <v>0</v>
      </c>
      <c r="S80" s="114">
        <f t="shared" si="43"/>
        <v>6.3727799174309379E-4</v>
      </c>
      <c r="T80" s="114">
        <f t="shared" si="44"/>
        <v>0</v>
      </c>
      <c r="U80" s="114">
        <f t="shared" si="45"/>
        <v>1.0833725859632595E-2</v>
      </c>
      <c r="V80" s="114">
        <f t="shared" si="46"/>
        <v>0</v>
      </c>
    </row>
    <row r="81" spans="1:22">
      <c r="A81" s="95" t="s">
        <v>56</v>
      </c>
      <c r="B81" s="114">
        <f>'Base Supplier Data'!B19/'Base Supplier Data'!B$2</f>
        <v>0</v>
      </c>
      <c r="C81" s="114">
        <f>'Base Supplier Data'!C19/'Base Supplier Data'!C$2</f>
        <v>0</v>
      </c>
      <c r="D81" s="114">
        <f>'Base Supplier Data'!D19/'Base Supplier Data'!D$2</f>
        <v>0</v>
      </c>
      <c r="E81" s="114">
        <f>'Base Supplier Data'!E19/'Base Supplier Data'!E$2</f>
        <v>0</v>
      </c>
      <c r="F81" s="114">
        <f>'Base Supplier Data'!F19/'Base Supplier Data'!F$2</f>
        <v>0</v>
      </c>
      <c r="G81" s="114">
        <f>'Base Supplier Data'!G19/'Base Supplier Data'!G$2</f>
        <v>0</v>
      </c>
      <c r="H81" s="114">
        <f>'Base Supplier Data'!H19/'Base Supplier Data'!H$2</f>
        <v>0</v>
      </c>
      <c r="I81" s="114">
        <f>'Base Supplier Data'!I19/'Base Supplier Data'!I$2</f>
        <v>0</v>
      </c>
      <c r="J81" s="114">
        <f>'Base Supplier Data'!J19/'Base Supplier Data'!J$2</f>
        <v>0</v>
      </c>
      <c r="K81" s="114">
        <f>'Base Supplier Data'!K19/'Base Supplier Data'!K$2</f>
        <v>0</v>
      </c>
      <c r="L81" s="114">
        <f>'Base Supplier Data'!L19/'Base Supplier Data'!L$2</f>
        <v>8.9495996231747522E-3</v>
      </c>
      <c r="M81" s="114">
        <f>'Base Supplier Data'!M19/'Base Supplier Data'!M$2</f>
        <v>0</v>
      </c>
      <c r="N81" s="114">
        <f>'Base Supplier Data'!N19/'Base Supplier Data'!N$2</f>
        <v>0</v>
      </c>
      <c r="O81" s="114">
        <f>'Base Supplier Data'!O19/'Base Supplier Data'!O$2</f>
        <v>0</v>
      </c>
      <c r="P81" s="114">
        <f>'Base Supplier Data'!P19/'Base Supplier Data'!P$2</f>
        <v>0</v>
      </c>
      <c r="Q81" s="114">
        <f>'Base Supplier Data'!Q19/'Base Supplier Data'!Q$2</f>
        <v>0</v>
      </c>
      <c r="R81" s="114">
        <f>'Base Supplier Data'!R19/'Base Supplier Data'!R$2</f>
        <v>1.0521885521885521E-4</v>
      </c>
      <c r="S81" s="114">
        <f t="shared" si="43"/>
        <v>5.3263638108197692E-4</v>
      </c>
      <c r="T81" s="114">
        <f t="shared" si="44"/>
        <v>0</v>
      </c>
      <c r="U81" s="114">
        <f t="shared" si="45"/>
        <v>8.9495996231747522E-3</v>
      </c>
      <c r="V81" s="114">
        <f t="shared" si="46"/>
        <v>0</v>
      </c>
    </row>
    <row r="82" spans="1:22">
      <c r="A82" s="95" t="s">
        <v>21</v>
      </c>
      <c r="B82" s="114">
        <f>'Base Supplier Data'!B20/'Base Supplier Data'!B$2</f>
        <v>0</v>
      </c>
      <c r="C82" s="114">
        <f>'Base Supplier Data'!C20/'Base Supplier Data'!C$2</f>
        <v>0</v>
      </c>
      <c r="D82" s="114">
        <f>'Base Supplier Data'!D20/'Base Supplier Data'!D$2</f>
        <v>0</v>
      </c>
      <c r="E82" s="114">
        <f>'Base Supplier Data'!E20/'Base Supplier Data'!E$2</f>
        <v>0</v>
      </c>
      <c r="F82" s="114">
        <f>'Base Supplier Data'!F20/'Base Supplier Data'!F$2</f>
        <v>0</v>
      </c>
      <c r="G82" s="114">
        <f>'Base Supplier Data'!G20/'Base Supplier Data'!G$2</f>
        <v>0</v>
      </c>
      <c r="H82" s="114">
        <f>'Base Supplier Data'!H20/'Base Supplier Data'!H$2</f>
        <v>0</v>
      </c>
      <c r="I82" s="114">
        <f>'Base Supplier Data'!I20/'Base Supplier Data'!I$2</f>
        <v>0</v>
      </c>
      <c r="J82" s="114">
        <f>'Base Supplier Data'!J20/'Base Supplier Data'!J$2</f>
        <v>0</v>
      </c>
      <c r="K82" s="114">
        <f>'Base Supplier Data'!K20/'Base Supplier Data'!K$2</f>
        <v>0</v>
      </c>
      <c r="L82" s="114">
        <f>'Base Supplier Data'!L20/'Base Supplier Data'!L$2</f>
        <v>0</v>
      </c>
      <c r="M82" s="114">
        <f>'Base Supplier Data'!M20/'Base Supplier Data'!M$2</f>
        <v>0</v>
      </c>
      <c r="N82" s="114">
        <f>'Base Supplier Data'!N20/'Base Supplier Data'!N$2</f>
        <v>0</v>
      </c>
      <c r="O82" s="114">
        <f>'Base Supplier Data'!O20/'Base Supplier Data'!O$2</f>
        <v>0</v>
      </c>
      <c r="P82" s="114">
        <f>'Base Supplier Data'!P20/'Base Supplier Data'!P$2</f>
        <v>0</v>
      </c>
      <c r="Q82" s="114">
        <f>'Base Supplier Data'!Q20/'Base Supplier Data'!Q$2</f>
        <v>0</v>
      </c>
      <c r="R82" s="114">
        <f>'Base Supplier Data'!R20/'Base Supplier Data'!R$2</f>
        <v>0</v>
      </c>
      <c r="S82" s="114">
        <f t="shared" si="43"/>
        <v>0</v>
      </c>
      <c r="T82" s="114">
        <f t="shared" si="44"/>
        <v>0</v>
      </c>
      <c r="U82" s="114">
        <f t="shared" si="45"/>
        <v>0</v>
      </c>
      <c r="V82" s="114">
        <f t="shared" si="46"/>
        <v>0</v>
      </c>
    </row>
    <row r="83" spans="1:22">
      <c r="A83" s="95" t="s">
        <v>20</v>
      </c>
      <c r="B83" s="114">
        <f>'Base Supplier Data'!B21/'Base Supplier Data'!B$2</f>
        <v>5.6656101426307448E-2</v>
      </c>
      <c r="C83" s="114">
        <f>'Base Supplier Data'!C21/'Base Supplier Data'!C$2</f>
        <v>3.2909976835210478E-2</v>
      </c>
      <c r="D83" s="114">
        <f>'Base Supplier Data'!D21/'Base Supplier Data'!D$2</f>
        <v>9.3899291636922733E-3</v>
      </c>
      <c r="E83" s="114">
        <f>'Base Supplier Data'!E21/'Base Supplier Data'!E$2</f>
        <v>5.227586206896552E-2</v>
      </c>
      <c r="F83" s="114">
        <f>'Base Supplier Data'!F21/'Base Supplier Data'!F$2</f>
        <v>4.3848580441640375E-2</v>
      </c>
      <c r="G83" s="114">
        <f>'Base Supplier Data'!G21/'Base Supplier Data'!G$2</f>
        <v>7.4000986679822398E-3</v>
      </c>
      <c r="H83" s="114">
        <f>'Base Supplier Data'!H21/'Base Supplier Data'!H$2</f>
        <v>6.2609580906057352E-2</v>
      </c>
      <c r="I83" s="114">
        <f>'Base Supplier Data'!I21/'Base Supplier Data'!I$2</f>
        <v>1.2094269931029975E-2</v>
      </c>
      <c r="J83" s="114">
        <f>'Base Supplier Data'!J21/'Base Supplier Data'!J$2</f>
        <v>5.0321199143468949E-2</v>
      </c>
      <c r="K83" s="114">
        <f>'Base Supplier Data'!K21/'Base Supplier Data'!K$2</f>
        <v>1.1811707486538127E-2</v>
      </c>
      <c r="L83" s="114">
        <f>'Base Supplier Data'!L21/'Base Supplier Data'!L$2</f>
        <v>3.7918040508714085E-2</v>
      </c>
      <c r="M83" s="114">
        <f>'Base Supplier Data'!M21/'Base Supplier Data'!M$2</f>
        <v>1.6215497762615747E-2</v>
      </c>
      <c r="N83" s="114">
        <f>'Base Supplier Data'!N21/'Base Supplier Data'!N$2</f>
        <v>6.4713284199173104E-2</v>
      </c>
      <c r="O83" s="114">
        <f>'Base Supplier Data'!O21/'Base Supplier Data'!O$2</f>
        <v>8.1066945606694564E-3</v>
      </c>
      <c r="P83" s="114">
        <f>'Base Supplier Data'!P21/'Base Supplier Data'!P$2</f>
        <v>4.9817184643510058E-2</v>
      </c>
      <c r="Q83" s="114">
        <f>'Base Supplier Data'!Q21/'Base Supplier Data'!Q$2</f>
        <v>2.4556616643929059E-2</v>
      </c>
      <c r="R83" s="114">
        <f>'Base Supplier Data'!R21/'Base Supplier Data'!R$2</f>
        <v>6.3131313131313135E-2</v>
      </c>
      <c r="S83" s="114">
        <f t="shared" si="43"/>
        <v>3.5516231618871609E-2</v>
      </c>
      <c r="T83" s="114">
        <f t="shared" si="44"/>
        <v>7.4000986679822398E-3</v>
      </c>
      <c r="U83" s="114">
        <f t="shared" si="45"/>
        <v>6.4713284199173104E-2</v>
      </c>
      <c r="V83" s="114">
        <f t="shared" si="46"/>
        <v>3.7918040508714085E-2</v>
      </c>
    </row>
    <row r="84" spans="1:22">
      <c r="A84" s="95" t="s">
        <v>19</v>
      </c>
      <c r="B84" s="114">
        <f>'Base Supplier Data'!B22/'Base Supplier Data'!B$2</f>
        <v>1.8779714738510301E-2</v>
      </c>
      <c r="C84" s="114">
        <f>'Base Supplier Data'!C22/'Base Supplier Data'!C$2</f>
        <v>3.2750219666107513E-2</v>
      </c>
      <c r="D84" s="114">
        <f>'Base Supplier Data'!D22/'Base Supplier Data'!D$2</f>
        <v>9.7194003624183189E-3</v>
      </c>
      <c r="E84" s="114">
        <f>'Base Supplier Data'!E22/'Base Supplier Data'!E$2</f>
        <v>3.475862068965517E-2</v>
      </c>
      <c r="F84" s="114">
        <f>'Base Supplier Data'!F22/'Base Supplier Data'!F$2</f>
        <v>1.8848580441640377E-2</v>
      </c>
      <c r="G84" s="114">
        <f>'Base Supplier Data'!G22/'Base Supplier Data'!G$2</f>
        <v>1.4060187469166256E-2</v>
      </c>
      <c r="H84" s="114">
        <f>'Base Supplier Data'!H22/'Base Supplier Data'!H$2</f>
        <v>1.4987840054295572E-2</v>
      </c>
      <c r="I84" s="114">
        <f>'Base Supplier Data'!I22/'Base Supplier Data'!I$2</f>
        <v>1.0819468505867355E-2</v>
      </c>
      <c r="J84" s="114">
        <f>'Base Supplier Data'!J22/'Base Supplier Data'!J$2</f>
        <v>2.5294432548179872E-2</v>
      </c>
      <c r="K84" s="114">
        <f>'Base Supplier Data'!K22/'Base Supplier Data'!K$2</f>
        <v>1.233281222859128E-2</v>
      </c>
      <c r="L84" s="114">
        <f>'Base Supplier Data'!L22/'Base Supplier Data'!L$2</f>
        <v>2.0018841262364577E-2</v>
      </c>
      <c r="M84" s="114">
        <f>'Base Supplier Data'!M22/'Base Supplier Data'!M$2</f>
        <v>1.2272384918700988E-2</v>
      </c>
      <c r="N84" s="114">
        <f>'Base Supplier Data'!N22/'Base Supplier Data'!N$2</f>
        <v>3.3075678590688475E-2</v>
      </c>
      <c r="O84" s="114">
        <f>'Base Supplier Data'!O22/'Base Supplier Data'!O$2</f>
        <v>1.4233413030484161E-2</v>
      </c>
      <c r="P84" s="114">
        <f>'Base Supplier Data'!P22/'Base Supplier Data'!P$2</f>
        <v>2.7422303473491772E-2</v>
      </c>
      <c r="Q84" s="114">
        <f>'Base Supplier Data'!Q22/'Base Supplier Data'!Q$2</f>
        <v>9.1064120054570263E-2</v>
      </c>
      <c r="R84" s="114">
        <f>'Base Supplier Data'!R22/'Base Supplier Data'!R$2</f>
        <v>2.2727272727272728E-2</v>
      </c>
      <c r="S84" s="114">
        <f t="shared" si="43"/>
        <v>2.4303840633059116E-2</v>
      </c>
      <c r="T84" s="114">
        <f t="shared" si="44"/>
        <v>9.7194003624183189E-3</v>
      </c>
      <c r="U84" s="114">
        <f t="shared" si="45"/>
        <v>9.1064120054570263E-2</v>
      </c>
      <c r="V84" s="114">
        <f t="shared" si="46"/>
        <v>1.8848580441640377E-2</v>
      </c>
    </row>
    <row r="85" spans="1:22">
      <c r="A85" s="95" t="s">
        <v>18</v>
      </c>
      <c r="B85" s="114">
        <f>'Base Supplier Data'!B23/'Base Supplier Data'!B$2</f>
        <v>1.687797147385103E-2</v>
      </c>
      <c r="C85" s="114">
        <f>'Base Supplier Data'!C23/'Base Supplier Data'!C$2</f>
        <v>2.3803818196341562E-2</v>
      </c>
      <c r="D85" s="114">
        <f>'Base Supplier Data'!D23/'Base Supplier Data'!D$2</f>
        <v>4.5576849157102847E-3</v>
      </c>
      <c r="E85" s="114">
        <f>'Base Supplier Data'!E23/'Base Supplier Data'!E$2</f>
        <v>2.2206896551724139E-2</v>
      </c>
      <c r="F85" s="114">
        <f>'Base Supplier Data'!F23/'Base Supplier Data'!F$2</f>
        <v>1.6009463722397477E-2</v>
      </c>
      <c r="G85" s="114">
        <f>'Base Supplier Data'!G23/'Base Supplier Data'!G$2</f>
        <v>1.7971668193671155E-2</v>
      </c>
      <c r="H85" s="114">
        <f>'Base Supplier Data'!H23/'Base Supplier Data'!H$2</f>
        <v>9.6148407895481017E-3</v>
      </c>
      <c r="I85" s="114">
        <f>'Base Supplier Data'!I23/'Base Supplier Data'!I$2</f>
        <v>6.6681920700813911E-3</v>
      </c>
      <c r="J85" s="114">
        <f>'Base Supplier Data'!J23/'Base Supplier Data'!J$2</f>
        <v>1.9271948608137045E-2</v>
      </c>
      <c r="K85" s="114">
        <f>'Base Supplier Data'!K23/'Base Supplier Data'!K$2</f>
        <v>7.1217648080597537E-3</v>
      </c>
      <c r="L85" s="114">
        <f>'Base Supplier Data'!L23/'Base Supplier Data'!L$2</f>
        <v>1.5073009891662742E-2</v>
      </c>
      <c r="M85" s="114">
        <f>'Base Supplier Data'!M23/'Base Supplier Data'!M$2</f>
        <v>1.3468610163484118E-2</v>
      </c>
      <c r="N85" s="114">
        <f>'Base Supplier Data'!N23/'Base Supplier Data'!N$2</f>
        <v>4.997303613158368E-2</v>
      </c>
      <c r="O85" s="114">
        <f>'Base Supplier Data'!O23/'Base Supplier Data'!O$2</f>
        <v>6.6870890615660494E-3</v>
      </c>
      <c r="P85" s="114">
        <f>'Base Supplier Data'!P23/'Base Supplier Data'!P$2</f>
        <v>2.5502742230347351E-2</v>
      </c>
      <c r="Q85" s="114">
        <f>'Base Supplier Data'!Q23/'Base Supplier Data'!Q$2</f>
        <v>2.3874488403819918E-2</v>
      </c>
      <c r="R85" s="114">
        <f>'Base Supplier Data'!R23/'Base Supplier Data'!R$2</f>
        <v>3.4932659932659933E-2</v>
      </c>
      <c r="S85" s="114">
        <f t="shared" si="43"/>
        <v>1.8447993243802689E-2</v>
      </c>
      <c r="T85" s="114">
        <f t="shared" si="44"/>
        <v>4.5576849157102847E-3</v>
      </c>
      <c r="U85" s="114">
        <f t="shared" si="45"/>
        <v>4.997303613158368E-2</v>
      </c>
      <c r="V85" s="114">
        <f t="shared" si="46"/>
        <v>1.687797147385103E-2</v>
      </c>
    </row>
    <row r="86" spans="1:22">
      <c r="A86" s="95" t="s">
        <v>17</v>
      </c>
      <c r="B86" s="114">
        <f>'Base Supplier Data'!B24/'Base Supplier Data'!B$2</f>
        <v>3.9619651347068147E-3</v>
      </c>
      <c r="C86" s="114">
        <f>'Base Supplier Data'!C24/'Base Supplier Data'!C$2</f>
        <v>4.6329579039859417E-3</v>
      </c>
      <c r="D86" s="114">
        <f>'Base Supplier Data'!D24/'Base Supplier Data'!D$2</f>
        <v>1.2629729284498381E-3</v>
      </c>
      <c r="E86" s="114">
        <f>'Base Supplier Data'!E24/'Base Supplier Data'!E$2</f>
        <v>5.5172413793103444E-3</v>
      </c>
      <c r="F86" s="114">
        <f>'Base Supplier Data'!F24/'Base Supplier Data'!F$2</f>
        <v>7.8075709779179808E-3</v>
      </c>
      <c r="G86" s="114">
        <f>'Base Supplier Data'!G24/'Base Supplier Data'!G$2</f>
        <v>1.0783000916202693E-2</v>
      </c>
      <c r="H86" s="114">
        <f>'Base Supplier Data'!H24/'Base Supplier Data'!H$2</f>
        <v>2.2453481137944688E-2</v>
      </c>
      <c r="I86" s="114">
        <f>'Base Supplier Data'!I24/'Base Supplier Data'!I$2</f>
        <v>5.2953289968293397E-3</v>
      </c>
      <c r="J86" s="114">
        <f>'Base Supplier Data'!J24/'Base Supplier Data'!J$2</f>
        <v>4.5904710920770878E-2</v>
      </c>
      <c r="K86" s="114">
        <f>'Base Supplier Data'!K24/'Base Supplier Data'!K$2</f>
        <v>3.7172138266458224E-2</v>
      </c>
      <c r="L86" s="114">
        <f>'Base Supplier Data'!L24/'Base Supplier Data'!L$2</f>
        <v>0</v>
      </c>
      <c r="M86" s="114">
        <f>'Base Supplier Data'!M24/'Base Supplier Data'!M$2</f>
        <v>5.0507288113065436E-3</v>
      </c>
      <c r="N86" s="114">
        <f>'Base Supplier Data'!N24/'Base Supplier Data'!N$2</f>
        <v>9.1677152615495233E-3</v>
      </c>
      <c r="O86" s="114">
        <f>'Base Supplier Data'!O24/'Base Supplier Data'!O$2</f>
        <v>1.2701733413030484E-3</v>
      </c>
      <c r="P86" s="114">
        <f>'Base Supplier Data'!P24/'Base Supplier Data'!P$2</f>
        <v>1.8555758683729433E-2</v>
      </c>
      <c r="Q86" s="114">
        <f>'Base Supplier Data'!Q24/'Base Supplier Data'!Q$2</f>
        <v>3.0695770804911324E-3</v>
      </c>
      <c r="R86" s="114">
        <f>'Base Supplier Data'!R24/'Base Supplier Data'!R$2</f>
        <v>5.4713804713804716E-3</v>
      </c>
      <c r="S86" s="114">
        <f t="shared" si="43"/>
        <v>1.1022158953666877E-2</v>
      </c>
      <c r="T86" s="114">
        <f t="shared" si="44"/>
        <v>0</v>
      </c>
      <c r="U86" s="114">
        <f t="shared" si="45"/>
        <v>4.5904710920770878E-2</v>
      </c>
      <c r="V86" s="114">
        <f t="shared" si="46"/>
        <v>5.4713804713804716E-3</v>
      </c>
    </row>
    <row r="87" spans="1:22">
      <c r="A87" s="95" t="s">
        <v>16</v>
      </c>
      <c r="B87" s="114">
        <f>'Base Supplier Data'!B25/'Base Supplier Data'!B$2</f>
        <v>7.5752773375594301E-2</v>
      </c>
      <c r="C87" s="114">
        <f>'Base Supplier Data'!C25/'Base Supplier Data'!C$2</f>
        <v>2.4842239795510822E-2</v>
      </c>
      <c r="D87" s="114">
        <f>'Base Supplier Data'!D25/'Base Supplier Data'!D$2</f>
        <v>3.6241831859864918E-3</v>
      </c>
      <c r="E87" s="114">
        <f>'Base Supplier Data'!E25/'Base Supplier Data'!E$2</f>
        <v>1.8758620689655173E-2</v>
      </c>
      <c r="F87" s="114">
        <f>'Base Supplier Data'!F25/'Base Supplier Data'!F$2</f>
        <v>2.3186119873817034E-2</v>
      </c>
      <c r="G87" s="114">
        <f>'Base Supplier Data'!G25/'Base Supplier Data'!G$2</f>
        <v>9.1620269222637257E-3</v>
      </c>
      <c r="H87" s="114">
        <f>'Base Supplier Data'!H25/'Base Supplier Data'!H$2</f>
        <v>1.6005882020247723E-2</v>
      </c>
      <c r="I87" s="114">
        <f>'Base Supplier Data'!I25/'Base Supplier Data'!I$2</f>
        <v>1.3140260843983918E-2</v>
      </c>
      <c r="J87" s="114">
        <f>'Base Supplier Data'!J25/'Base Supplier Data'!J$2</f>
        <v>3.0246252676659528E-2</v>
      </c>
      <c r="K87" s="114">
        <f>'Base Supplier Data'!K25/'Base Supplier Data'!K$2</f>
        <v>1.2506513809275664E-2</v>
      </c>
      <c r="L87" s="114">
        <f>'Base Supplier Data'!L25/'Base Supplier Data'!L$2</f>
        <v>1.6486104569006125E-2</v>
      </c>
      <c r="M87" s="114">
        <f>'Base Supplier Data'!M25/'Base Supplier Data'!M$2</f>
        <v>2.6228346107837492E-2</v>
      </c>
      <c r="N87" s="114">
        <f>'Base Supplier Data'!N25/'Base Supplier Data'!N$2</f>
        <v>5.7882437533704832E-2</v>
      </c>
      <c r="O87" s="114">
        <f>'Base Supplier Data'!O25/'Base Supplier Data'!O$2</f>
        <v>5.005977286312014E-3</v>
      </c>
      <c r="P87" s="114">
        <f>'Base Supplier Data'!P25/'Base Supplier Data'!P$2</f>
        <v>2.7056672760511883E-2</v>
      </c>
      <c r="Q87" s="114">
        <f>'Base Supplier Data'!Q25/'Base Supplier Data'!Q$2</f>
        <v>2.5920873124147339E-2</v>
      </c>
      <c r="R87" s="114">
        <f>'Base Supplier Data'!R25/'Base Supplier Data'!R$2</f>
        <v>5.5029461279461282E-2</v>
      </c>
      <c r="S87" s="114">
        <f t="shared" si="43"/>
        <v>2.5931455638469134E-2</v>
      </c>
      <c r="T87" s="114">
        <f t="shared" si="44"/>
        <v>3.6241831859864918E-3</v>
      </c>
      <c r="U87" s="114">
        <f t="shared" si="45"/>
        <v>7.5752773375594301E-2</v>
      </c>
      <c r="V87" s="114">
        <f t="shared" si="46"/>
        <v>2.3186119873817034E-2</v>
      </c>
    </row>
    <row r="88" spans="1:22">
      <c r="A88" s="95" t="s">
        <v>46</v>
      </c>
      <c r="B88" s="114">
        <f>'Base Supplier Data'!B26/'Base Supplier Data'!B$2</f>
        <v>0</v>
      </c>
      <c r="C88" s="114">
        <f>'Base Supplier Data'!C26/'Base Supplier Data'!C$2</f>
        <v>0</v>
      </c>
      <c r="D88" s="114">
        <f>'Base Supplier Data'!D26/'Base Supplier Data'!D$2</f>
        <v>0</v>
      </c>
      <c r="E88" s="114">
        <f>'Base Supplier Data'!E26/'Base Supplier Data'!E$2</f>
        <v>0</v>
      </c>
      <c r="F88" s="114">
        <f>'Base Supplier Data'!F26/'Base Supplier Data'!F$2</f>
        <v>0</v>
      </c>
      <c r="G88" s="114">
        <f>'Base Supplier Data'!G26/'Base Supplier Data'!G$2</f>
        <v>1.5170202269363591E-2</v>
      </c>
      <c r="H88" s="114">
        <f>'Base Supplier Data'!H26/'Base Supplier Data'!H$2</f>
        <v>1.2612408800407216E-2</v>
      </c>
      <c r="I88" s="114">
        <f>'Base Supplier Data'!I26/'Base Supplier Data'!I$2</f>
        <v>0</v>
      </c>
      <c r="J88" s="114">
        <f>'Base Supplier Data'!J26/'Base Supplier Data'!J$2</f>
        <v>0</v>
      </c>
      <c r="K88" s="114">
        <f>'Base Supplier Data'!K26/'Base Supplier Data'!K$2</f>
        <v>0</v>
      </c>
      <c r="L88" s="114">
        <f>'Base Supplier Data'!L26/'Base Supplier Data'!L$2</f>
        <v>0</v>
      </c>
      <c r="M88" s="114">
        <f>'Base Supplier Data'!M26/'Base Supplier Data'!M$2</f>
        <v>0</v>
      </c>
      <c r="N88" s="114">
        <f>'Base Supplier Data'!N26/'Base Supplier Data'!N$2</f>
        <v>0</v>
      </c>
      <c r="O88" s="114">
        <f>'Base Supplier Data'!O26/'Base Supplier Data'!O$2</f>
        <v>0</v>
      </c>
      <c r="P88" s="114">
        <f>'Base Supplier Data'!P26/'Base Supplier Data'!P$2</f>
        <v>0</v>
      </c>
      <c r="Q88" s="114">
        <f>'Base Supplier Data'!Q26/'Base Supplier Data'!Q$2</f>
        <v>0</v>
      </c>
      <c r="R88" s="114">
        <f>'Base Supplier Data'!R26/'Base Supplier Data'!R$2</f>
        <v>0</v>
      </c>
      <c r="S88" s="114">
        <f t="shared" si="43"/>
        <v>1.6342712393982827E-3</v>
      </c>
      <c r="T88" s="114">
        <f t="shared" si="44"/>
        <v>0</v>
      </c>
      <c r="U88" s="114">
        <f t="shared" si="45"/>
        <v>1.5170202269363591E-2</v>
      </c>
      <c r="V88" s="114">
        <f t="shared" si="46"/>
        <v>0</v>
      </c>
    </row>
    <row r="89" spans="1:22">
      <c r="A89" s="95" t="s">
        <v>15</v>
      </c>
      <c r="B89" s="114">
        <f>'Base Supplier Data'!B27/'Base Supplier Data'!B$2</f>
        <v>2.8526148969889066E-3</v>
      </c>
      <c r="C89" s="114">
        <f>'Base Supplier Data'!C27/'Base Supplier Data'!C$2</f>
        <v>3.2750219666107519E-3</v>
      </c>
      <c r="D89" s="114">
        <f>'Base Supplier Data'!D27/'Base Supplier Data'!D$2</f>
        <v>0</v>
      </c>
      <c r="E89" s="114">
        <f>'Base Supplier Data'!E27/'Base Supplier Data'!E$2</f>
        <v>0</v>
      </c>
      <c r="F89" s="114">
        <f>'Base Supplier Data'!F27/'Base Supplier Data'!F$2</f>
        <v>3.2334384858044166E-3</v>
      </c>
      <c r="G89" s="114">
        <f>'Base Supplier Data'!G27/'Base Supplier Data'!G$2</f>
        <v>1.1276340827401509E-3</v>
      </c>
      <c r="H89" s="114">
        <f>'Base Supplier Data'!H27/'Base Supplier Data'!H$2</f>
        <v>2.3188733668910127E-3</v>
      </c>
      <c r="I89" s="114">
        <f>'Base Supplier Data'!I27/'Base Supplier Data'!I$2</f>
        <v>1.7651096656097799E-3</v>
      </c>
      <c r="J89" s="114">
        <f>'Base Supplier Data'!J27/'Base Supplier Data'!J$2</f>
        <v>0</v>
      </c>
      <c r="K89" s="114">
        <f>'Base Supplier Data'!K27/'Base Supplier Data'!K$2</f>
        <v>0</v>
      </c>
      <c r="L89" s="114">
        <f>'Base Supplier Data'!L27/'Base Supplier Data'!L$2</f>
        <v>5.4168629298162975E-3</v>
      </c>
      <c r="M89" s="114">
        <f>'Base Supplier Data'!M27/'Base Supplier Data'!M$2</f>
        <v>0</v>
      </c>
      <c r="N89" s="114">
        <f>'Base Supplier Data'!N27/'Base Supplier Data'!N$2</f>
        <v>0</v>
      </c>
      <c r="O89" s="114">
        <f>'Base Supplier Data'!O27/'Base Supplier Data'!O$2</f>
        <v>1.9426180514046623E-3</v>
      </c>
      <c r="P89" s="114">
        <f>'Base Supplier Data'!P27/'Base Supplier Data'!P$2</f>
        <v>4.936014625228519E-3</v>
      </c>
      <c r="Q89" s="114">
        <f>'Base Supplier Data'!Q27/'Base Supplier Data'!Q$2</f>
        <v>8.5266030013642566E-3</v>
      </c>
      <c r="R89" s="114">
        <f>'Base Supplier Data'!R27/'Base Supplier Data'!R$2</f>
        <v>5.681818181818182E-3</v>
      </c>
      <c r="S89" s="114">
        <f t="shared" si="43"/>
        <v>2.4162711326045257E-3</v>
      </c>
      <c r="T89" s="114">
        <f t="shared" si="44"/>
        <v>0</v>
      </c>
      <c r="U89" s="114">
        <f t="shared" si="45"/>
        <v>8.5266030013642566E-3</v>
      </c>
      <c r="V89" s="114">
        <f t="shared" si="46"/>
        <v>1.9426180514046623E-3</v>
      </c>
    </row>
    <row r="90" spans="1:22">
      <c r="A90" s="95" t="s">
        <v>110</v>
      </c>
      <c r="B90" s="114">
        <f>'Base Supplier Data'!B28/'Base Supplier Data'!B$2</f>
        <v>0</v>
      </c>
      <c r="C90" s="114">
        <f>'Base Supplier Data'!C28/'Base Supplier Data'!C$2</f>
        <v>0</v>
      </c>
      <c r="D90" s="114">
        <f>'Base Supplier Data'!D28/'Base Supplier Data'!D$2</f>
        <v>0</v>
      </c>
      <c r="E90" s="114">
        <f>'Base Supplier Data'!E28/'Base Supplier Data'!E$2</f>
        <v>0</v>
      </c>
      <c r="F90" s="114">
        <f>'Base Supplier Data'!F28/'Base Supplier Data'!F$2</f>
        <v>0</v>
      </c>
      <c r="G90" s="114">
        <f>'Base Supplier Data'!G28/'Base Supplier Data'!G$2</f>
        <v>0</v>
      </c>
      <c r="H90" s="114">
        <f>'Base Supplier Data'!H28/'Base Supplier Data'!H$2</f>
        <v>0</v>
      </c>
      <c r="I90" s="114">
        <f>'Base Supplier Data'!I28/'Base Supplier Data'!I$2</f>
        <v>0</v>
      </c>
      <c r="J90" s="114">
        <f>'Base Supplier Data'!J28/'Base Supplier Data'!J$2</f>
        <v>0</v>
      </c>
      <c r="K90" s="114">
        <f>'Base Supplier Data'!K28/'Base Supplier Data'!K$2</f>
        <v>0</v>
      </c>
      <c r="L90" s="114">
        <f>'Base Supplier Data'!L28/'Base Supplier Data'!L$2</f>
        <v>4.7103155911446069E-4</v>
      </c>
      <c r="M90" s="114">
        <f>'Base Supplier Data'!M28/'Base Supplier Data'!M$2</f>
        <v>0</v>
      </c>
      <c r="N90" s="114">
        <f>'Base Supplier Data'!N28/'Base Supplier Data'!N$2</f>
        <v>0</v>
      </c>
      <c r="O90" s="114">
        <f>'Base Supplier Data'!O28/'Base Supplier Data'!O$2</f>
        <v>0</v>
      </c>
      <c r="P90" s="114">
        <f>'Base Supplier Data'!P28/'Base Supplier Data'!P$2</f>
        <v>0</v>
      </c>
      <c r="Q90" s="114">
        <f>'Base Supplier Data'!Q28/'Base Supplier Data'!Q$2</f>
        <v>0</v>
      </c>
      <c r="R90" s="114">
        <f>'Base Supplier Data'!R28/'Base Supplier Data'!R$2</f>
        <v>0</v>
      </c>
      <c r="S90" s="114">
        <f t="shared" si="43"/>
        <v>2.7707738771438865E-5</v>
      </c>
      <c r="T90" s="114">
        <f t="shared" si="44"/>
        <v>0</v>
      </c>
      <c r="U90" s="114">
        <f t="shared" si="45"/>
        <v>4.7103155911446069E-4</v>
      </c>
      <c r="V90" s="114">
        <f t="shared" si="46"/>
        <v>0</v>
      </c>
    </row>
    <row r="91" spans="1:22">
      <c r="A91" s="95" t="s">
        <v>14</v>
      </c>
      <c r="B91" s="114">
        <f>'Base Supplier Data'!B29/'Base Supplier Data'!B$2</f>
        <v>0.63185419968304279</v>
      </c>
      <c r="C91" s="114">
        <f>'Base Supplier Data'!C29/'Base Supplier Data'!C$2</f>
        <v>0.63926831216550839</v>
      </c>
      <c r="D91" s="114">
        <f>'Base Supplier Data'!D29/'Base Supplier Data'!D$2</f>
        <v>0.82312887815056834</v>
      </c>
      <c r="E91" s="114">
        <f>'Base Supplier Data'!E29/'Base Supplier Data'!E$2</f>
        <v>0.62896551724137928</v>
      </c>
      <c r="F91" s="114">
        <f>'Base Supplier Data'!F29/'Base Supplier Data'!F$2</f>
        <v>0.70386435331230279</v>
      </c>
      <c r="G91" s="114">
        <f>'Base Supplier Data'!G29/'Base Supplier Data'!G$2</f>
        <v>0.46490238917471283</v>
      </c>
      <c r="H91" s="114">
        <f>'Base Supplier Data'!H29/'Base Supplier Data'!H$2</f>
        <v>0.43538261410553702</v>
      </c>
      <c r="I91" s="114">
        <f>'Base Supplier Data'!I29/'Base Supplier Data'!I$2</f>
        <v>0.56065112934331385</v>
      </c>
      <c r="J91" s="114">
        <f>'Base Supplier Data'!J29/'Base Supplier Data'!J$2</f>
        <v>0.40216809421841543</v>
      </c>
      <c r="K91" s="114">
        <f>'Base Supplier Data'!K29/'Base Supplier Data'!K$2</f>
        <v>0.73163105784262639</v>
      </c>
      <c r="L91" s="114">
        <f>'Base Supplier Data'!L29/'Base Supplier Data'!L$2</f>
        <v>0.71219971738106458</v>
      </c>
      <c r="M91" s="114">
        <f>'Base Supplier Data'!M29/'Base Supplier Data'!M$2</f>
        <v>0.76208409020424439</v>
      </c>
      <c r="N91" s="114">
        <f>'Base Supplier Data'!N29/'Base Supplier Data'!N$2</f>
        <v>0.62502246989034693</v>
      </c>
      <c r="O91" s="114">
        <f>'Base Supplier Data'!O29/'Base Supplier Data'!O$2</f>
        <v>0.50593992827256429</v>
      </c>
      <c r="P91" s="114">
        <f>'Base Supplier Data'!P29/'Base Supplier Data'!P$2</f>
        <v>0.62861060329067642</v>
      </c>
      <c r="Q91" s="114">
        <f>'Base Supplier Data'!Q29/'Base Supplier Data'!Q$2</f>
        <v>0.43246930422919511</v>
      </c>
      <c r="R91" s="114">
        <f>'Base Supplier Data'!R29/'Base Supplier Data'!R$2</f>
        <v>0.59353956228956228</v>
      </c>
      <c r="S91" s="114">
        <f t="shared" si="43"/>
        <v>0.60480483651735661</v>
      </c>
      <c r="T91" s="114">
        <f t="shared" si="44"/>
        <v>0.40216809421841543</v>
      </c>
      <c r="U91" s="114">
        <f t="shared" si="45"/>
        <v>0.82312887815056834</v>
      </c>
      <c r="V91" s="114">
        <f t="shared" si="46"/>
        <v>0.62861060329067642</v>
      </c>
    </row>
    <row r="92" spans="1:22">
      <c r="A92" s="95" t="s">
        <v>13</v>
      </c>
      <c r="B92" s="114">
        <f>'Base Supplier Data'!B30/'Base Supplier Data'!B$2</f>
        <v>3.2805071315372428E-2</v>
      </c>
      <c r="C92" s="114">
        <f>'Base Supplier Data'!C30/'Base Supplier Data'!C$2</f>
        <v>3.4028277018931227E-2</v>
      </c>
      <c r="D92" s="114">
        <f>'Base Supplier Data'!D30/'Base Supplier Data'!D$2</f>
        <v>3.1244852012519905E-2</v>
      </c>
      <c r="E92" s="114">
        <f>'Base Supplier Data'!E30/'Base Supplier Data'!E$2</f>
        <v>4.4965517241379309E-2</v>
      </c>
      <c r="F92" s="114">
        <f>'Base Supplier Data'!F30/'Base Supplier Data'!F$2</f>
        <v>5.362776025236593E-2</v>
      </c>
      <c r="G92" s="114">
        <f>'Base Supplier Data'!G30/'Base Supplier Data'!G$2</f>
        <v>5.4461202339840718E-2</v>
      </c>
      <c r="H92" s="114">
        <f>'Base Supplier Data'!H30/'Base Supplier Data'!H$2</f>
        <v>3.7328205418245573E-2</v>
      </c>
      <c r="I92" s="114">
        <f>'Base Supplier Data'!I30/'Base Supplier Data'!I$2</f>
        <v>1.1800084986761678E-2</v>
      </c>
      <c r="J92" s="114">
        <f>'Base Supplier Data'!J30/'Base Supplier Data'!J$2</f>
        <v>3.2387580299785869E-2</v>
      </c>
      <c r="K92" s="114">
        <f>'Base Supplier Data'!K30/'Base Supplier Data'!K$2</f>
        <v>3.4392912975508075E-2</v>
      </c>
      <c r="L92" s="114">
        <f>'Base Supplier Data'!L30/'Base Supplier Data'!L$2</f>
        <v>0</v>
      </c>
      <c r="M92" s="114">
        <f>'Base Supplier Data'!M30/'Base Supplier Data'!M$2</f>
        <v>3.5798148066102521E-2</v>
      </c>
      <c r="N92" s="114">
        <f>'Base Supplier Data'!N30/'Base Supplier Data'!N$2</f>
        <v>5.1950386482113968E-2</v>
      </c>
      <c r="O92" s="114">
        <f>'Base Supplier Data'!O30/'Base Supplier Data'!O$2</f>
        <v>2.0173341303048417E-2</v>
      </c>
      <c r="P92" s="114">
        <f>'Base Supplier Data'!P30/'Base Supplier Data'!P$2</f>
        <v>3.6106032906764167E-2</v>
      </c>
      <c r="Q92" s="114">
        <f>'Base Supplier Data'!Q30/'Base Supplier Data'!Q$2</f>
        <v>0.11903137789904503</v>
      </c>
      <c r="R92" s="114">
        <f>'Base Supplier Data'!R30/'Base Supplier Data'!R$2</f>
        <v>4.8295454545454544E-2</v>
      </c>
      <c r="S92" s="114">
        <f t="shared" si="43"/>
        <v>3.9905659121367024E-2</v>
      </c>
      <c r="T92" s="114">
        <f t="shared" si="44"/>
        <v>0</v>
      </c>
      <c r="U92" s="114">
        <f t="shared" si="45"/>
        <v>0.11903137789904503</v>
      </c>
      <c r="V92" s="114">
        <f t="shared" si="46"/>
        <v>3.5798148066102521E-2</v>
      </c>
    </row>
    <row r="93" spans="1:22">
      <c r="A93" s="95" t="s">
        <v>12</v>
      </c>
      <c r="B93" s="114">
        <f>'Base Supplier Data'!B31/'Base Supplier Data'!B$2</f>
        <v>9.112519809825673E-3</v>
      </c>
      <c r="C93" s="114">
        <f>'Base Supplier Data'!C31/'Base Supplier Data'!C$2</f>
        <v>5.0323508267433505E-3</v>
      </c>
      <c r="D93" s="114">
        <f>'Base Supplier Data'!D31/'Base Supplier Data'!D$2</f>
        <v>3.51435945307781E-3</v>
      </c>
      <c r="E93" s="114">
        <f>'Base Supplier Data'!E31/'Base Supplier Data'!E$2</f>
        <v>1.5172413793103448E-2</v>
      </c>
      <c r="F93" s="114">
        <f>'Base Supplier Data'!F31/'Base Supplier Data'!F$2</f>
        <v>8.9116719242902202E-3</v>
      </c>
      <c r="G93" s="114">
        <f>'Base Supplier Data'!G31/'Base Supplier Data'!G$2</f>
        <v>3.0657551624497848E-3</v>
      </c>
      <c r="H93" s="114">
        <f>'Base Supplier Data'!H31/'Base Supplier Data'!H$2</f>
        <v>1.1877156269441773E-3</v>
      </c>
      <c r="I93" s="114">
        <f>'Base Supplier Data'!I31/'Base Supplier Data'!I$2</f>
        <v>2.9091622266531557E-3</v>
      </c>
      <c r="J93" s="114">
        <f>'Base Supplier Data'!J31/'Base Supplier Data'!J$2</f>
        <v>2.3688436830835116E-2</v>
      </c>
      <c r="K93" s="114">
        <f>'Base Supplier Data'!K31/'Base Supplier Data'!K$2</f>
        <v>2.7792252909501478E-3</v>
      </c>
      <c r="L93" s="114">
        <f>'Base Supplier Data'!L31/'Base Supplier Data'!L$2</f>
        <v>8.4785680640602924E-3</v>
      </c>
      <c r="M93" s="114">
        <f>'Base Supplier Data'!M31/'Base Supplier Data'!M$2</f>
        <v>8.8609277391342878E-5</v>
      </c>
      <c r="N93" s="114">
        <f>'Base Supplier Data'!N31/'Base Supplier Data'!N$2</f>
        <v>1.2403379471508179E-2</v>
      </c>
      <c r="O93" s="114">
        <f>'Base Supplier Data'!O31/'Base Supplier Data'!O$2</f>
        <v>3.7358039450089658E-3</v>
      </c>
      <c r="P93" s="114">
        <f>'Base Supplier Data'!P31/'Base Supplier Data'!P$2</f>
        <v>1.4899451553930531E-2</v>
      </c>
      <c r="Q93" s="114">
        <f>'Base Supplier Data'!Q31/'Base Supplier Data'!Q$2</f>
        <v>1.330150068212824E-2</v>
      </c>
      <c r="R93" s="114">
        <f>'Base Supplier Data'!R31/'Base Supplier Data'!R$2</f>
        <v>3.472222222222222E-3</v>
      </c>
      <c r="S93" s="114">
        <f t="shared" si="43"/>
        <v>7.7501850683013331E-3</v>
      </c>
      <c r="T93" s="114">
        <f t="shared" si="44"/>
        <v>8.8609277391342878E-5</v>
      </c>
      <c r="U93" s="114">
        <f t="shared" si="45"/>
        <v>2.3688436830835116E-2</v>
      </c>
      <c r="V93" s="114">
        <f t="shared" si="46"/>
        <v>5.0323508267433505E-3</v>
      </c>
    </row>
    <row r="94" spans="1:22">
      <c r="A94" s="95" t="s">
        <v>11</v>
      </c>
      <c r="B94" s="114">
        <f>'Base Supplier Data'!B32/'Base Supplier Data'!B$2</f>
        <v>1.0380348652931854E-2</v>
      </c>
      <c r="C94" s="114">
        <f>'Base Supplier Data'!C32/'Base Supplier Data'!C$2</f>
        <v>8.4671299624570658E-3</v>
      </c>
      <c r="D94" s="114">
        <f>'Base Supplier Data'!D32/'Base Supplier Data'!D$2</f>
        <v>1.894459392674757E-2</v>
      </c>
      <c r="E94" s="114">
        <f>'Base Supplier Data'!E32/'Base Supplier Data'!E$2</f>
        <v>3.0206896551724139E-2</v>
      </c>
      <c r="F94" s="114">
        <f>'Base Supplier Data'!F32/'Base Supplier Data'!F$2</f>
        <v>8.201892744479496E-3</v>
      </c>
      <c r="G94" s="114">
        <f>'Base Supplier Data'!G32/'Base Supplier Data'!G$2</f>
        <v>4.8453026992740858E-3</v>
      </c>
      <c r="H94" s="114">
        <f>'Base Supplier Data'!H32/'Base Supplier Data'!H$2</f>
        <v>1.3573892879362027E-3</v>
      </c>
      <c r="I94" s="114">
        <f>'Base Supplier Data'!I32/'Base Supplier Data'!I$2</f>
        <v>1.3172948060013729E-2</v>
      </c>
      <c r="J94" s="114">
        <f>'Base Supplier Data'!J32/'Base Supplier Data'!J$2</f>
        <v>6.1563169164882223E-3</v>
      </c>
      <c r="K94" s="114">
        <f>'Base Supplier Data'!K32/'Base Supplier Data'!K$2</f>
        <v>2.9529268716345317E-3</v>
      </c>
      <c r="L94" s="114">
        <f>'Base Supplier Data'!L32/'Base Supplier Data'!L$2</f>
        <v>1.3659915214319359E-2</v>
      </c>
      <c r="M94" s="114">
        <f>'Base Supplier Data'!M32/'Base Supplier Data'!M$2</f>
        <v>1.107615967391786E-3</v>
      </c>
      <c r="N94" s="114">
        <f>'Base Supplier Data'!N32/'Base Supplier Data'!N$2</f>
        <v>1.6178321049793276E-2</v>
      </c>
      <c r="O94" s="114">
        <f>'Base Supplier Data'!O32/'Base Supplier Data'!O$2</f>
        <v>8.8912133891213396E-3</v>
      </c>
      <c r="P94" s="114">
        <f>'Base Supplier Data'!P32/'Base Supplier Data'!P$2</f>
        <v>3.0255941499085923E-2</v>
      </c>
      <c r="Q94" s="114">
        <f>'Base Supplier Data'!Q32/'Base Supplier Data'!Q$2</f>
        <v>3.2742155525238743E-2</v>
      </c>
      <c r="R94" s="114">
        <f>'Base Supplier Data'!R32/'Base Supplier Data'!R$2</f>
        <v>6.5235690235690234E-3</v>
      </c>
      <c r="S94" s="114">
        <f t="shared" si="43"/>
        <v>1.2590851608365079E-2</v>
      </c>
      <c r="T94" s="114">
        <f t="shared" si="44"/>
        <v>1.107615967391786E-3</v>
      </c>
      <c r="U94" s="114">
        <f t="shared" si="45"/>
        <v>3.2742155525238743E-2</v>
      </c>
      <c r="V94" s="114">
        <f t="shared" si="46"/>
        <v>8.8912133891213396E-3</v>
      </c>
    </row>
    <row r="95" spans="1:22">
      <c r="A95" s="95" t="s">
        <v>10</v>
      </c>
      <c r="B95" s="114">
        <f>'Base Supplier Data'!B33/'Base Supplier Data'!B$2</f>
        <v>2.9318541996830429E-3</v>
      </c>
      <c r="C95" s="114">
        <f>'Base Supplier Data'!C33/'Base Supplier Data'!C$2</f>
        <v>2.7957504593018614E-3</v>
      </c>
      <c r="D95" s="114">
        <f>'Base Supplier Data'!D33/'Base Supplier Data'!D$2</f>
        <v>7.6876613036077094E-4</v>
      </c>
      <c r="E95" s="114">
        <f>'Base Supplier Data'!E33/'Base Supplier Data'!E$2</f>
        <v>1.3793103448275861E-3</v>
      </c>
      <c r="F95" s="114">
        <f>'Base Supplier Data'!F33/'Base Supplier Data'!F$2</f>
        <v>1.8138801261829653E-3</v>
      </c>
      <c r="G95" s="114">
        <f>'Base Supplier Data'!G33/'Base Supplier Data'!G$2</f>
        <v>2.0085982098808938E-3</v>
      </c>
      <c r="H95" s="114">
        <f>'Base Supplier Data'!H33/'Base Supplier Data'!H$2</f>
        <v>1.1311577399468356E-3</v>
      </c>
      <c r="I95" s="114">
        <f>'Base Supplier Data'!I33/'Base Supplier Data'!I$2</f>
        <v>1.3401758572222403E-3</v>
      </c>
      <c r="J95" s="114">
        <f>'Base Supplier Data'!J33/'Base Supplier Data'!J$2</f>
        <v>3.2119914346895075E-3</v>
      </c>
      <c r="K95" s="114">
        <f>'Base Supplier Data'!K33/'Base Supplier Data'!K$2</f>
        <v>1.2159110647906896E-3</v>
      </c>
      <c r="L95" s="114">
        <f>'Base Supplier Data'!L33/'Base Supplier Data'!L$2</f>
        <v>2.3551577955723034E-3</v>
      </c>
      <c r="M95" s="114">
        <f>'Base Supplier Data'!M33/'Base Supplier Data'!M$2</f>
        <v>4.0760267600017724E-3</v>
      </c>
      <c r="N95" s="114">
        <f>'Base Supplier Data'!N33/'Base Supplier Data'!N$2</f>
        <v>3.0559050871831746E-3</v>
      </c>
      <c r="O95" s="114">
        <f>'Base Supplier Data'!O33/'Base Supplier Data'!O$2</f>
        <v>1.1580992229527794E-3</v>
      </c>
      <c r="P95" s="114">
        <f>'Base Supplier Data'!P33/'Base Supplier Data'!P$2</f>
        <v>4.3875685557586835E-3</v>
      </c>
      <c r="Q95" s="114">
        <f>'Base Supplier Data'!Q33/'Base Supplier Data'!Q$2</f>
        <v>2.3874488403819918E-3</v>
      </c>
      <c r="R95" s="114">
        <f>'Base Supplier Data'!R33/'Base Supplier Data'!R$2</f>
        <v>3.9983164983164983E-3</v>
      </c>
      <c r="S95" s="114">
        <f t="shared" si="43"/>
        <v>2.3538775486502119E-3</v>
      </c>
      <c r="T95" s="114">
        <f t="shared" si="44"/>
        <v>7.6876613036077094E-4</v>
      </c>
      <c r="U95" s="114">
        <f t="shared" si="45"/>
        <v>4.3875685557586835E-3</v>
      </c>
      <c r="V95" s="114">
        <f t="shared" si="46"/>
        <v>2.3551577955723034E-3</v>
      </c>
    </row>
  </sheetData>
  <pageMargins left="0.7" right="0.7" top="0.75" bottom="0.75" header="0.3" footer="0.3"/>
  <ignoredErrors>
    <ignoredError sqref="K6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V64"/>
  <sheetViews>
    <sheetView zoomScale="80" zoomScaleNormal="80" workbookViewId="0">
      <pane xSplit="1" topLeftCell="J1" activePane="topRight" state="frozen"/>
      <selection pane="topRight" activeCell="M15" sqref="M15"/>
    </sheetView>
  </sheetViews>
  <sheetFormatPr defaultRowHeight="15"/>
  <cols>
    <col min="1" max="1" width="49.7109375" customWidth="1"/>
    <col min="2" max="2" width="19.140625" customWidth="1"/>
    <col min="3" max="4" width="19.7109375" customWidth="1"/>
    <col min="5" max="5" width="18.5703125" customWidth="1"/>
    <col min="6" max="6" width="18" customWidth="1"/>
    <col min="7" max="7" width="18.85546875" customWidth="1"/>
    <col min="8" max="9" width="19" customWidth="1"/>
    <col min="10" max="12" width="16" customWidth="1"/>
    <col min="13" max="13" width="18.7109375" customWidth="1"/>
    <col min="14" max="14" width="16.7109375" customWidth="1"/>
    <col min="15" max="15" width="18.7109375" customWidth="1"/>
    <col min="16" max="16" width="16.85546875" customWidth="1"/>
    <col min="17" max="17" width="17.5703125" customWidth="1"/>
    <col min="18" max="18" width="19" customWidth="1"/>
    <col min="19" max="19" width="17.42578125" customWidth="1"/>
    <col min="20" max="20" width="14.140625" customWidth="1"/>
    <col min="21" max="21" width="17.7109375" customWidth="1"/>
    <col min="22" max="22" width="16.140625" customWidth="1"/>
  </cols>
  <sheetData>
    <row r="1" spans="1:22">
      <c r="B1" t="s">
        <v>45</v>
      </c>
      <c r="C1" t="s">
        <v>44</v>
      </c>
      <c r="D1" t="s">
        <v>94</v>
      </c>
      <c r="E1" t="s">
        <v>43</v>
      </c>
      <c r="F1" t="s">
        <v>42</v>
      </c>
      <c r="G1" t="s">
        <v>41</v>
      </c>
      <c r="H1" t="s">
        <v>40</v>
      </c>
      <c r="I1" t="s">
        <v>47</v>
      </c>
      <c r="J1" t="s">
        <v>49</v>
      </c>
      <c r="K1" t="s">
        <v>95</v>
      </c>
      <c r="L1" t="s">
        <v>96</v>
      </c>
      <c r="M1" t="s">
        <v>50</v>
      </c>
      <c r="N1" t="s">
        <v>51</v>
      </c>
      <c r="O1" t="s">
        <v>53</v>
      </c>
      <c r="P1" t="s">
        <v>52</v>
      </c>
      <c r="Q1" t="s">
        <v>54</v>
      </c>
      <c r="R1" t="s">
        <v>55</v>
      </c>
    </row>
    <row r="2" spans="1:22">
      <c r="B2" t="s">
        <v>39</v>
      </c>
      <c r="C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t="s">
        <v>39</v>
      </c>
      <c r="S2" t="s">
        <v>57</v>
      </c>
      <c r="T2" t="s">
        <v>58</v>
      </c>
      <c r="U2" t="s">
        <v>59</v>
      </c>
      <c r="V2" t="s">
        <v>60</v>
      </c>
    </row>
    <row r="3" spans="1:22">
      <c r="A3">
        <v>2012</v>
      </c>
      <c r="B3" s="10"/>
      <c r="C3" s="10"/>
      <c r="D3" s="32"/>
      <c r="E3" s="8"/>
      <c r="F3" s="8"/>
      <c r="G3" s="8"/>
      <c r="H3" s="8"/>
      <c r="I3" s="8"/>
      <c r="J3" s="8"/>
      <c r="K3" s="32"/>
      <c r="L3" s="8"/>
      <c r="M3" s="8"/>
      <c r="N3" s="8"/>
      <c r="O3" s="8"/>
      <c r="P3" s="8"/>
      <c r="Q3" s="8"/>
      <c r="R3" s="8"/>
      <c r="S3" s="1">
        <f>SUM(B3:R3)</f>
        <v>0</v>
      </c>
      <c r="T3" s="1">
        <f>MIN(B3:R3)</f>
        <v>0</v>
      </c>
      <c r="U3" s="1">
        <f>MAX(B3:R3)</f>
        <v>0</v>
      </c>
      <c r="V3" s="1" t="e">
        <f>MEDIAN(B3:R3)</f>
        <v>#NUM!</v>
      </c>
    </row>
    <row r="4" spans="1:22">
      <c r="A4" s="40" t="s">
        <v>157</v>
      </c>
      <c r="B4" s="1"/>
      <c r="C4" s="4"/>
      <c r="D4" s="4"/>
      <c r="F4" s="4"/>
      <c r="G4" s="4"/>
      <c r="I4" s="4"/>
      <c r="J4" s="4"/>
      <c r="K4" s="4"/>
      <c r="L4" s="4"/>
      <c r="M4" s="4"/>
      <c r="O4" s="4"/>
      <c r="Q4" s="4"/>
      <c r="R4" s="4"/>
      <c r="S4" s="1"/>
      <c r="T4" s="1"/>
      <c r="U4" s="1"/>
      <c r="V4" s="1"/>
    </row>
    <row r="5" spans="1:22">
      <c r="A5" s="6" t="s">
        <v>164</v>
      </c>
      <c r="B5" s="48">
        <v>5904000000</v>
      </c>
      <c r="C5" s="49">
        <v>3293489</v>
      </c>
      <c r="D5" s="49">
        <v>4460000000</v>
      </c>
      <c r="E5" s="48">
        <v>8176000000</v>
      </c>
      <c r="F5" s="49"/>
      <c r="G5" s="49">
        <v>15621000000</v>
      </c>
      <c r="H5" s="19">
        <v>5378000000</v>
      </c>
      <c r="I5" s="48">
        <v>9637000000</v>
      </c>
      <c r="J5" s="49">
        <v>1579900000</v>
      </c>
      <c r="K5" s="49">
        <v>1182100000</v>
      </c>
      <c r="L5" s="49">
        <v>1581000000</v>
      </c>
      <c r="M5" s="49"/>
      <c r="N5" s="49">
        <v>2871115000</v>
      </c>
      <c r="O5" s="49">
        <v>12014000000</v>
      </c>
      <c r="P5" s="19">
        <v>4631000000</v>
      </c>
      <c r="Q5" s="49">
        <v>11851000000</v>
      </c>
      <c r="R5" s="49">
        <v>11086000000</v>
      </c>
      <c r="S5" s="1"/>
      <c r="T5" s="1"/>
      <c r="U5" s="1"/>
      <c r="V5" s="1"/>
    </row>
    <row r="6" spans="1:22">
      <c r="A6" s="6" t="s">
        <v>160</v>
      </c>
      <c r="B6" s="48">
        <v>924000000</v>
      </c>
      <c r="C6" s="49"/>
      <c r="D6" s="49">
        <v>270000000</v>
      </c>
      <c r="E6" s="48">
        <v>1415000000</v>
      </c>
      <c r="F6" s="49"/>
      <c r="G6" s="49">
        <v>469000000</v>
      </c>
      <c r="H6" s="19"/>
      <c r="I6" s="48"/>
      <c r="J6" s="49"/>
      <c r="K6" s="49"/>
      <c r="L6" s="49"/>
      <c r="M6" s="49"/>
      <c r="N6" s="49">
        <v>108046000</v>
      </c>
      <c r="O6" s="49">
        <v>3021000000</v>
      </c>
      <c r="P6" s="19">
        <v>1995000000</v>
      </c>
      <c r="Q6" s="49"/>
      <c r="R6" s="49"/>
      <c r="S6" s="1"/>
      <c r="T6" s="1"/>
      <c r="U6" s="1"/>
      <c r="V6" s="1"/>
    </row>
    <row r="7" spans="1:22">
      <c r="A7" s="6" t="s">
        <v>161</v>
      </c>
      <c r="B7" s="19"/>
      <c r="C7" s="49"/>
      <c r="D7" s="49"/>
      <c r="E7" s="48"/>
      <c r="F7" s="49"/>
      <c r="G7" s="49"/>
      <c r="H7" s="19"/>
      <c r="I7" s="48"/>
      <c r="J7" s="49"/>
      <c r="K7" s="49"/>
      <c r="L7" s="49"/>
      <c r="M7" s="49"/>
      <c r="N7" s="49"/>
      <c r="O7" s="49"/>
      <c r="P7" s="19"/>
      <c r="Q7" s="49"/>
      <c r="R7" s="49"/>
      <c r="S7" s="1"/>
      <c r="T7" s="1"/>
      <c r="U7" s="1"/>
      <c r="V7" s="1"/>
    </row>
    <row r="8" spans="1:22">
      <c r="A8" s="6" t="s">
        <v>165</v>
      </c>
      <c r="B8" s="19"/>
      <c r="C8" s="49"/>
      <c r="D8" s="49"/>
      <c r="E8" s="48">
        <v>596000000</v>
      </c>
      <c r="F8" s="49"/>
      <c r="G8" s="49">
        <v>3534000000</v>
      </c>
      <c r="H8" s="19">
        <v>258000000</v>
      </c>
      <c r="I8" s="48">
        <v>5666000000</v>
      </c>
      <c r="J8" s="49"/>
      <c r="K8" s="49">
        <v>79600000</v>
      </c>
      <c r="L8" s="49">
        <v>65000000</v>
      </c>
      <c r="M8" s="49"/>
      <c r="N8" s="49">
        <v>16000</v>
      </c>
      <c r="O8" s="49"/>
      <c r="P8" s="19"/>
      <c r="Q8" s="49"/>
      <c r="R8" s="49"/>
      <c r="S8" s="1"/>
      <c r="T8" s="1"/>
      <c r="U8" s="1"/>
      <c r="V8" s="1"/>
    </row>
    <row r="9" spans="1:22">
      <c r="A9" s="6" t="s">
        <v>166</v>
      </c>
      <c r="B9" s="48">
        <v>6828000000</v>
      </c>
      <c r="C9" s="19">
        <v>3293489000</v>
      </c>
      <c r="D9" s="49">
        <v>4730000000</v>
      </c>
      <c r="E9" s="48">
        <v>10187000000</v>
      </c>
      <c r="F9" s="49">
        <v>8791000000</v>
      </c>
      <c r="G9" s="49">
        <v>19624000000</v>
      </c>
      <c r="H9" s="19">
        <v>5636000000</v>
      </c>
      <c r="I9" s="48">
        <v>15303000000</v>
      </c>
      <c r="J9" s="49">
        <v>1579900000</v>
      </c>
      <c r="K9" s="49">
        <v>1261700000</v>
      </c>
      <c r="L9" s="49">
        <v>1646000000</v>
      </c>
      <c r="M9" s="48">
        <v>8422000000</v>
      </c>
      <c r="N9" s="49">
        <v>2979177000</v>
      </c>
      <c r="O9" s="49">
        <v>15035000000</v>
      </c>
      <c r="P9" s="19">
        <v>6626000000</v>
      </c>
      <c r="Q9" s="49">
        <v>11851000000</v>
      </c>
      <c r="R9" s="49"/>
      <c r="S9" s="1"/>
      <c r="T9" s="1"/>
      <c r="U9" s="1"/>
      <c r="V9" s="1"/>
    </row>
    <row r="10" spans="1:22">
      <c r="A10" s="40" t="s">
        <v>158</v>
      </c>
      <c r="B10" s="19"/>
      <c r="C10" s="49"/>
      <c r="D10" s="49"/>
      <c r="E10" s="49"/>
      <c r="F10" s="49"/>
      <c r="G10" s="49"/>
      <c r="H10" s="19"/>
      <c r="I10" s="19">
        <v>0</v>
      </c>
      <c r="J10" s="49"/>
      <c r="K10" s="49"/>
      <c r="L10" s="49"/>
      <c r="M10" s="49"/>
      <c r="N10" s="49"/>
      <c r="O10" s="49"/>
      <c r="P10" s="49"/>
      <c r="Q10" s="49"/>
      <c r="R10" s="49"/>
      <c r="S10" s="1"/>
      <c r="T10" s="1"/>
      <c r="U10" s="1"/>
      <c r="V10" s="1"/>
    </row>
    <row r="11" spans="1:22">
      <c r="A11" s="6" t="s">
        <v>138</v>
      </c>
      <c r="B11" s="48">
        <v>1369000000</v>
      </c>
      <c r="C11" s="19">
        <v>994790000</v>
      </c>
      <c r="D11" s="19">
        <v>877000000</v>
      </c>
      <c r="E11" s="19">
        <v>310000000</v>
      </c>
      <c r="F11" s="19"/>
      <c r="G11" s="19">
        <v>5582000000</v>
      </c>
      <c r="H11" s="19"/>
      <c r="I11" s="48">
        <v>2471000000</v>
      </c>
      <c r="J11" s="49">
        <v>384800000</v>
      </c>
      <c r="K11" s="19">
        <v>319100000</v>
      </c>
      <c r="L11" s="19">
        <v>185000000</v>
      </c>
      <c r="M11" s="19">
        <v>2123000000</v>
      </c>
      <c r="N11" s="19">
        <v>565381000</v>
      </c>
      <c r="O11" s="19">
        <v>289000000</v>
      </c>
      <c r="P11" s="19"/>
      <c r="Q11" s="19">
        <v>308000000</v>
      </c>
      <c r="R11" s="19">
        <v>2680000000</v>
      </c>
      <c r="S11" s="1"/>
      <c r="T11" s="1"/>
      <c r="U11" s="1"/>
      <c r="V11" s="1"/>
    </row>
    <row r="12" spans="1:22">
      <c r="A12" s="6" t="s">
        <v>167</v>
      </c>
      <c r="B12" s="48">
        <v>654000000</v>
      </c>
      <c r="C12" s="49"/>
      <c r="D12" s="49">
        <v>767000000</v>
      </c>
      <c r="E12" s="19">
        <v>1968000000</v>
      </c>
      <c r="F12" s="49"/>
      <c r="G12" s="49"/>
      <c r="H12" s="19"/>
      <c r="I12" s="48">
        <v>4237000000</v>
      </c>
      <c r="J12" s="49">
        <v>35500000</v>
      </c>
      <c r="K12" s="49">
        <v>131800000</v>
      </c>
      <c r="L12" s="49">
        <v>557000000</v>
      </c>
      <c r="M12" s="49"/>
      <c r="N12" s="49">
        <v>509654000</v>
      </c>
      <c r="O12" s="49">
        <v>3873000000</v>
      </c>
      <c r="P12" s="19"/>
      <c r="Q12" s="49">
        <v>3831000000</v>
      </c>
      <c r="R12" s="49">
        <v>1189000000</v>
      </c>
      <c r="S12" s="1"/>
      <c r="T12" s="1"/>
      <c r="U12" s="1"/>
      <c r="V12" s="1"/>
    </row>
    <row r="13" spans="1:22">
      <c r="A13" s="6" t="s">
        <v>98</v>
      </c>
      <c r="B13" s="48">
        <v>1752000000</v>
      </c>
      <c r="C13" s="19">
        <v>873916000</v>
      </c>
      <c r="D13" s="49">
        <v>820000000</v>
      </c>
      <c r="E13" s="19">
        <v>2788000000</v>
      </c>
      <c r="F13" s="19">
        <v>2892000000</v>
      </c>
      <c r="G13" s="49">
        <v>5006000000</v>
      </c>
      <c r="H13" s="19">
        <v>888000000</v>
      </c>
      <c r="I13" s="48">
        <v>3769000000</v>
      </c>
      <c r="J13" s="49">
        <v>484100000</v>
      </c>
      <c r="K13" s="49">
        <v>338400000</v>
      </c>
      <c r="L13" s="49">
        <v>409000000</v>
      </c>
      <c r="M13" s="49">
        <v>1318000000</v>
      </c>
      <c r="N13" s="19">
        <v>522097000</v>
      </c>
      <c r="O13" s="49">
        <v>5622000000</v>
      </c>
      <c r="P13" s="19">
        <v>1474000000</v>
      </c>
      <c r="Q13" s="49">
        <v>3544000000</v>
      </c>
      <c r="R13" s="49">
        <v>3510000000</v>
      </c>
      <c r="S13" s="1"/>
      <c r="T13" s="1"/>
      <c r="U13" s="1"/>
      <c r="V13" s="1"/>
    </row>
    <row r="14" spans="1:22">
      <c r="A14" s="6" t="s">
        <v>162</v>
      </c>
      <c r="B14" s="3"/>
      <c r="C14" s="47"/>
      <c r="D14" s="3"/>
      <c r="E14" s="3"/>
      <c r="F14" s="44"/>
      <c r="G14" s="3"/>
      <c r="I14" s="41">
        <v>609000000</v>
      </c>
      <c r="J14" s="4"/>
      <c r="K14" s="3"/>
      <c r="L14" s="3"/>
      <c r="M14" s="3"/>
      <c r="N14" s="3"/>
      <c r="O14" s="3"/>
      <c r="Q14" s="3"/>
      <c r="R14" s="3"/>
      <c r="S14" s="1"/>
      <c r="T14" s="1"/>
      <c r="U14" s="1"/>
      <c r="V14" s="1"/>
    </row>
    <row r="15" spans="1:22">
      <c r="A15" s="6" t="s">
        <v>163</v>
      </c>
      <c r="B15" s="41">
        <v>775000000</v>
      </c>
      <c r="C15" s="5">
        <v>404242000</v>
      </c>
      <c r="D15" s="3"/>
      <c r="E15" s="3"/>
      <c r="F15" s="44"/>
      <c r="G15" s="3"/>
      <c r="I15" s="41">
        <v>1124000000</v>
      </c>
      <c r="J15" s="4"/>
      <c r="K15" s="3"/>
      <c r="L15" s="3"/>
      <c r="M15" s="4"/>
      <c r="N15" s="3"/>
      <c r="O15" s="3"/>
      <c r="Q15" s="3"/>
      <c r="R15" s="3"/>
      <c r="S15" s="1"/>
      <c r="T15" s="1"/>
      <c r="U15" s="1"/>
      <c r="V15" s="1"/>
    </row>
    <row r="16" spans="1:22">
      <c r="A16" s="6" t="s">
        <v>14</v>
      </c>
      <c r="B16" s="3"/>
      <c r="C16" s="5"/>
      <c r="F16" s="44"/>
      <c r="G16" s="3"/>
      <c r="I16" s="41">
        <v>-375000000</v>
      </c>
      <c r="J16" s="4"/>
      <c r="K16" s="3"/>
      <c r="N16" s="3"/>
      <c r="O16" s="3"/>
      <c r="Q16" s="3"/>
      <c r="R16" s="3"/>
      <c r="S16" s="1"/>
      <c r="T16" s="1"/>
      <c r="U16" s="1"/>
      <c r="V16" s="1"/>
    </row>
    <row r="17" spans="1:22">
      <c r="A17" s="6" t="s">
        <v>57</v>
      </c>
      <c r="B17" s="41">
        <v>8068</v>
      </c>
      <c r="C17" s="47"/>
      <c r="D17" s="3"/>
      <c r="F17" s="44"/>
      <c r="G17" s="3"/>
      <c r="I17" s="41">
        <v>307000000</v>
      </c>
      <c r="J17" s="4"/>
      <c r="K17" s="3"/>
      <c r="L17" s="3"/>
      <c r="M17" s="4"/>
      <c r="N17" s="3"/>
      <c r="O17" s="3"/>
      <c r="Q17" s="3"/>
      <c r="R17" s="3"/>
      <c r="S17" s="1"/>
      <c r="T17" s="1"/>
      <c r="U17" s="1"/>
      <c r="V17" s="1"/>
    </row>
    <row r="18" spans="1:22">
      <c r="A18" s="16" t="s">
        <v>159</v>
      </c>
      <c r="B18" s="41">
        <v>-1240</v>
      </c>
      <c r="C18" s="5">
        <v>605529</v>
      </c>
      <c r="D18" s="33"/>
      <c r="E18" s="1"/>
      <c r="F18">
        <v>1279</v>
      </c>
      <c r="G18" s="1">
        <v>3126</v>
      </c>
      <c r="H18" s="1"/>
      <c r="I18" s="41">
        <v>2176000000</v>
      </c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6" t="s">
        <v>169</v>
      </c>
      <c r="B19" s="41">
        <v>-974</v>
      </c>
      <c r="C19" s="5">
        <v>427110</v>
      </c>
      <c r="F19">
        <v>618</v>
      </c>
      <c r="G19" s="1">
        <v>1782</v>
      </c>
      <c r="I19" s="41">
        <v>771000000</v>
      </c>
      <c r="J19" s="4"/>
    </row>
    <row r="20" spans="1:22">
      <c r="A20" s="6" t="s">
        <v>168</v>
      </c>
      <c r="B20" s="41">
        <v>-932</v>
      </c>
      <c r="C20" s="5">
        <v>463606</v>
      </c>
      <c r="F20">
        <v>618</v>
      </c>
      <c r="G20" s="1">
        <v>1706</v>
      </c>
      <c r="I20" s="41">
        <v>729000000</v>
      </c>
      <c r="J20" s="4"/>
    </row>
    <row r="21" spans="1:22">
      <c r="A21" s="2"/>
      <c r="F21" s="28"/>
    </row>
    <row r="22" spans="1:22">
      <c r="A22" s="40" t="s">
        <v>142</v>
      </c>
      <c r="B22" s="8"/>
      <c r="C22" s="10"/>
      <c r="D22" s="8"/>
      <c r="E22" s="8"/>
      <c r="F22" s="4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"/>
      <c r="T22" s="1"/>
      <c r="U22" s="1"/>
      <c r="V22" s="1"/>
    </row>
    <row r="23" spans="1:22">
      <c r="A23" t="s">
        <v>170</v>
      </c>
      <c r="B23" s="24"/>
      <c r="C23" s="24"/>
      <c r="D23" s="24"/>
      <c r="E23" s="41"/>
      <c r="F23" s="28"/>
      <c r="G23" s="24"/>
      <c r="H23" s="24"/>
      <c r="I23">
        <v>0</v>
      </c>
      <c r="J23" s="4"/>
      <c r="K23" s="24"/>
      <c r="L23" s="24"/>
      <c r="M23" s="24"/>
      <c r="N23" s="24"/>
      <c r="O23" s="24"/>
      <c r="P23" s="24"/>
      <c r="Q23" s="24"/>
      <c r="R23" s="24"/>
      <c r="S23" s="1"/>
      <c r="T23" s="1"/>
      <c r="U23" s="1"/>
      <c r="V23" s="1"/>
    </row>
    <row r="24" spans="1:22">
      <c r="A24" s="16" t="s">
        <v>145</v>
      </c>
      <c r="B24" s="24"/>
      <c r="C24" s="24"/>
      <c r="D24" s="24"/>
      <c r="E24" s="41"/>
      <c r="F24" s="28"/>
      <c r="G24" s="24"/>
      <c r="H24" s="24"/>
      <c r="J24" s="4"/>
      <c r="K24" s="24"/>
      <c r="L24" s="24"/>
      <c r="M24" s="24"/>
      <c r="N24" s="24"/>
      <c r="O24" s="24"/>
      <c r="P24" s="24"/>
      <c r="Q24" s="24"/>
      <c r="R24" s="24"/>
      <c r="S24" s="1"/>
      <c r="T24" s="1"/>
      <c r="U24" s="1"/>
      <c r="V24" s="1"/>
    </row>
    <row r="25" spans="1:22">
      <c r="A25" s="16" t="s">
        <v>146</v>
      </c>
      <c r="B25" s="10"/>
      <c r="C25" s="10"/>
      <c r="D25" s="10"/>
      <c r="E25" s="41"/>
      <c r="F25" s="28"/>
      <c r="G25" s="10"/>
      <c r="H25" s="10"/>
      <c r="J25" s="4"/>
      <c r="K25" s="10"/>
      <c r="L25" s="10"/>
      <c r="M25" s="10"/>
      <c r="N25" s="10"/>
      <c r="O25" s="10"/>
      <c r="P25" s="10"/>
      <c r="Q25" s="10"/>
      <c r="R25" s="10"/>
      <c r="S25" s="5"/>
      <c r="T25" s="5"/>
      <c r="U25" s="5"/>
      <c r="V25" s="5"/>
    </row>
    <row r="26" spans="1:22">
      <c r="A26" s="16" t="s">
        <v>147</v>
      </c>
      <c r="B26" s="10"/>
      <c r="C26" s="10"/>
      <c r="D26" s="10"/>
      <c r="F26" s="28"/>
      <c r="G26" s="10"/>
      <c r="H26" s="10"/>
      <c r="I26" s="41"/>
      <c r="J26" s="4"/>
      <c r="K26" s="10"/>
      <c r="L26" s="10"/>
      <c r="M26" s="10"/>
      <c r="N26" s="10"/>
      <c r="O26" s="10"/>
      <c r="P26" s="10"/>
      <c r="Q26" s="10"/>
      <c r="R26" s="10"/>
      <c r="S26" s="5"/>
      <c r="T26" s="5"/>
      <c r="U26" s="5"/>
      <c r="V26" s="5"/>
    </row>
    <row r="27" spans="1:22">
      <c r="A27" s="16" t="s">
        <v>148</v>
      </c>
      <c r="B27" s="10"/>
      <c r="C27" s="10"/>
      <c r="D27" s="10"/>
      <c r="E27" s="41"/>
      <c r="F27" s="28"/>
      <c r="G27" s="10"/>
      <c r="H27" s="10"/>
      <c r="J27" s="4"/>
      <c r="K27" s="10"/>
      <c r="L27" s="10"/>
      <c r="M27" s="10"/>
      <c r="N27" s="10"/>
      <c r="O27" s="10"/>
      <c r="P27" s="10"/>
      <c r="Q27" s="10"/>
      <c r="R27" s="10"/>
      <c r="S27" s="5"/>
      <c r="T27" s="5"/>
      <c r="U27" s="5"/>
      <c r="V27" s="5"/>
    </row>
    <row r="28" spans="1:22">
      <c r="A28" s="16" t="s">
        <v>171</v>
      </c>
      <c r="B28" s="10"/>
      <c r="C28" s="10"/>
      <c r="D28" s="10"/>
      <c r="E28" s="41">
        <v>22376</v>
      </c>
      <c r="F28" s="28"/>
      <c r="G28" s="10"/>
      <c r="H28" s="10"/>
      <c r="I28" s="41"/>
      <c r="J28" s="4"/>
      <c r="K28" s="10"/>
      <c r="L28" s="10"/>
      <c r="M28" s="10"/>
      <c r="N28" s="10"/>
      <c r="O28" s="10"/>
      <c r="P28" s="10"/>
      <c r="Q28" s="10"/>
      <c r="R28" s="10"/>
      <c r="S28" s="5"/>
      <c r="T28" s="5"/>
      <c r="U28" s="5"/>
      <c r="V28" s="5"/>
    </row>
    <row r="29" spans="1:22">
      <c r="A29" s="16" t="s">
        <v>172</v>
      </c>
      <c r="B29" s="10"/>
      <c r="C29" s="10"/>
      <c r="D29" s="10"/>
      <c r="E29" s="41">
        <v>5120</v>
      </c>
      <c r="F29" s="28"/>
      <c r="G29" s="10"/>
      <c r="H29" s="10"/>
      <c r="I29" s="41"/>
      <c r="J29" s="4"/>
      <c r="K29" s="10"/>
      <c r="L29" s="10"/>
      <c r="M29" s="10"/>
      <c r="N29" s="10"/>
      <c r="O29" s="10"/>
      <c r="P29" s="10"/>
      <c r="Q29" s="10"/>
      <c r="R29" s="10"/>
      <c r="S29" s="5"/>
      <c r="T29" s="5"/>
      <c r="U29" s="5"/>
      <c r="V29" s="5"/>
    </row>
    <row r="30" spans="1:22">
      <c r="A30" s="16" t="s">
        <v>173</v>
      </c>
      <c r="B30" s="10"/>
      <c r="C30" s="10"/>
      <c r="D30" s="10"/>
      <c r="E30" s="41">
        <v>2049</v>
      </c>
      <c r="F30" s="28"/>
      <c r="G30" s="10"/>
      <c r="H30" s="10"/>
      <c r="I30" s="41"/>
      <c r="J30" s="4"/>
      <c r="K30" s="10"/>
      <c r="L30" s="10"/>
      <c r="M30" s="10"/>
      <c r="N30" s="10"/>
      <c r="O30" s="10"/>
      <c r="P30" s="10"/>
      <c r="Q30" s="10"/>
      <c r="R30" s="10"/>
      <c r="S30" s="5"/>
      <c r="T30" s="5"/>
      <c r="U30" s="5"/>
      <c r="V30" s="5"/>
    </row>
    <row r="31" spans="1:22">
      <c r="A31" s="16" t="s">
        <v>174</v>
      </c>
      <c r="B31" s="41">
        <v>15348</v>
      </c>
      <c r="C31" s="10"/>
      <c r="D31" s="43">
        <v>15991</v>
      </c>
      <c r="E31" s="41">
        <v>2302</v>
      </c>
      <c r="F31">
        <v>23631</v>
      </c>
      <c r="G31" s="10">
        <v>98833</v>
      </c>
      <c r="H31" s="10"/>
      <c r="I31" s="41">
        <v>43210000000</v>
      </c>
      <c r="J31" s="4"/>
      <c r="K31" s="10"/>
      <c r="L31" s="10"/>
      <c r="M31" s="10"/>
      <c r="N31" s="10"/>
      <c r="O31" s="10"/>
      <c r="P31" s="10"/>
      <c r="Q31" s="10"/>
      <c r="R31" s="10"/>
      <c r="S31" s="5"/>
      <c r="T31" s="5"/>
      <c r="U31" s="5"/>
      <c r="V31" s="5"/>
    </row>
    <row r="32" spans="1:22">
      <c r="A32" s="16" t="s">
        <v>175</v>
      </c>
      <c r="B32" s="41">
        <v>15348</v>
      </c>
      <c r="C32" s="10">
        <v>14342501</v>
      </c>
      <c r="D32" s="10"/>
      <c r="E32" s="41">
        <v>31847</v>
      </c>
      <c r="F32" s="28"/>
      <c r="G32" s="10"/>
      <c r="H32" s="10"/>
      <c r="I32" s="41"/>
      <c r="J32" s="4"/>
      <c r="K32" s="10"/>
      <c r="L32" s="10"/>
      <c r="M32" s="10"/>
      <c r="N32" s="10"/>
      <c r="O32" s="10"/>
      <c r="P32" s="10"/>
      <c r="Q32" s="10"/>
      <c r="R32" s="10"/>
      <c r="S32" s="5"/>
      <c r="T32" s="5"/>
      <c r="U32" s="5"/>
      <c r="V32" s="5"/>
    </row>
    <row r="33" spans="1:22">
      <c r="A33" s="16" t="s">
        <v>176</v>
      </c>
      <c r="B33" s="10"/>
      <c r="C33" s="10">
        <v>-4925990</v>
      </c>
      <c r="D33" s="10"/>
      <c r="E33" s="41">
        <v>6573</v>
      </c>
      <c r="F33">
        <v>-8947</v>
      </c>
      <c r="G33" s="10">
        <v>-31969</v>
      </c>
      <c r="H33" s="10"/>
      <c r="I33" s="41">
        <v>12600000000</v>
      </c>
      <c r="J33" s="4"/>
      <c r="K33" s="10"/>
      <c r="L33" s="10"/>
      <c r="M33" s="10"/>
      <c r="N33" s="10"/>
      <c r="O33" s="10"/>
      <c r="P33" s="10"/>
      <c r="Q33" s="10"/>
      <c r="R33" s="10"/>
      <c r="S33" s="5"/>
      <c r="T33" s="5"/>
      <c r="U33" s="5"/>
      <c r="V33" s="5"/>
    </row>
    <row r="34" spans="1:22">
      <c r="A34" s="16" t="s">
        <v>177</v>
      </c>
      <c r="B34" s="10"/>
      <c r="C34" s="10">
        <v>9416511</v>
      </c>
      <c r="D34" s="10"/>
      <c r="E34" s="41">
        <v>25274</v>
      </c>
      <c r="F34">
        <v>14684</v>
      </c>
      <c r="G34" s="10">
        <v>68558</v>
      </c>
      <c r="H34" s="10"/>
      <c r="I34" s="41"/>
      <c r="J34" s="4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</row>
    <row r="35" spans="1:22">
      <c r="A35" s="16" t="s">
        <v>148</v>
      </c>
      <c r="B35" s="10"/>
      <c r="C35" s="10">
        <v>565716</v>
      </c>
      <c r="D35" s="10"/>
      <c r="E35" s="41">
        <v>1027</v>
      </c>
      <c r="F35" s="28"/>
      <c r="G35" s="10"/>
      <c r="H35" s="10"/>
      <c r="I35" s="41">
        <v>2293000000</v>
      </c>
      <c r="J35" s="4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</row>
    <row r="36" spans="1:22">
      <c r="A36" s="16" t="s">
        <v>178</v>
      </c>
      <c r="B36" s="24"/>
      <c r="C36" s="24"/>
      <c r="D36" s="24"/>
      <c r="E36" s="41">
        <v>26301</v>
      </c>
      <c r="F36" s="28"/>
      <c r="H36" s="24"/>
      <c r="I36" s="41">
        <v>32903000000</v>
      </c>
      <c r="J36" s="4"/>
      <c r="K36" s="24"/>
      <c r="L36" s="24"/>
      <c r="M36" s="24"/>
      <c r="N36" s="24"/>
      <c r="P36" s="24"/>
      <c r="Q36" s="28"/>
      <c r="S36" s="1"/>
      <c r="T36" s="1"/>
      <c r="U36" s="1"/>
      <c r="V36" s="1"/>
    </row>
    <row r="37" spans="1:22">
      <c r="A37" t="s">
        <v>149</v>
      </c>
      <c r="B37" s="10"/>
      <c r="C37" s="10"/>
      <c r="D37" s="10"/>
      <c r="E37" s="41"/>
      <c r="F37" s="28"/>
      <c r="G37" s="10"/>
      <c r="H37" s="10"/>
      <c r="I37">
        <v>0</v>
      </c>
      <c r="J37" s="4"/>
      <c r="K37" s="10"/>
      <c r="L37" s="10"/>
      <c r="M37" s="10"/>
      <c r="N37" s="10"/>
      <c r="O37" s="10"/>
      <c r="P37" s="10"/>
      <c r="Q37" s="10"/>
      <c r="R37" s="10"/>
      <c r="S37" s="1"/>
      <c r="T37" s="1"/>
      <c r="U37" s="1"/>
      <c r="V37" s="1"/>
    </row>
    <row r="38" spans="1:22">
      <c r="A38" s="16" t="s">
        <v>150</v>
      </c>
      <c r="B38" s="29"/>
      <c r="C38" s="24"/>
      <c r="D38" s="26"/>
      <c r="E38" s="41"/>
      <c r="F38" s="28"/>
      <c r="H38" s="24"/>
      <c r="I38" s="41">
        <v>2204000000</v>
      </c>
      <c r="J38" s="4"/>
      <c r="K38" s="24"/>
      <c r="L38" s="28"/>
      <c r="M38" s="30"/>
      <c r="N38" s="24"/>
      <c r="O38" s="24"/>
      <c r="P38" s="24"/>
      <c r="Q38" s="24"/>
      <c r="R38" s="24"/>
      <c r="S38" s="1"/>
      <c r="T38" s="1"/>
      <c r="U38" s="1"/>
      <c r="V38" s="1"/>
    </row>
    <row r="39" spans="1:22">
      <c r="A39" s="16" t="s">
        <v>151</v>
      </c>
      <c r="B39" s="24"/>
      <c r="C39" s="24"/>
      <c r="D39" s="24"/>
      <c r="E39" s="41"/>
      <c r="F39" s="46"/>
      <c r="G39" s="24"/>
      <c r="H39" s="24"/>
      <c r="I39" s="41">
        <v>54000000</v>
      </c>
      <c r="J39" s="4"/>
      <c r="K39" s="24"/>
      <c r="L39" s="24"/>
      <c r="M39" s="26"/>
      <c r="N39" s="24"/>
      <c r="O39" s="24"/>
      <c r="P39" s="24"/>
      <c r="Q39" s="24"/>
      <c r="R39" s="24"/>
      <c r="S39" s="1"/>
      <c r="T39" s="1"/>
      <c r="U39" s="1"/>
      <c r="V39" s="1"/>
    </row>
    <row r="40" spans="1:22">
      <c r="A40" s="16" t="s">
        <v>143</v>
      </c>
      <c r="B40" s="24"/>
      <c r="C40" s="24"/>
      <c r="D40" s="24"/>
      <c r="E40" s="41"/>
      <c r="F40" s="28"/>
      <c r="G40" s="24"/>
      <c r="H40" s="24"/>
      <c r="I40" s="41">
        <v>936000000</v>
      </c>
      <c r="J40" s="4"/>
      <c r="K40" s="24"/>
      <c r="L40" s="24"/>
      <c r="M40" s="24"/>
      <c r="N40" s="24"/>
      <c r="O40" s="24"/>
      <c r="P40" s="24"/>
      <c r="Q40" s="24"/>
      <c r="R40" s="24"/>
      <c r="S40" s="1"/>
      <c r="T40" s="1"/>
      <c r="U40" s="1"/>
      <c r="V40" s="1"/>
    </row>
    <row r="41" spans="1:22">
      <c r="A41" s="16" t="s">
        <v>144</v>
      </c>
      <c r="B41" s="5"/>
      <c r="C41" s="5"/>
      <c r="D41" s="5"/>
      <c r="E41" s="41"/>
      <c r="F41" s="28"/>
      <c r="G41" s="27"/>
      <c r="H41" s="5"/>
      <c r="I41" s="41">
        <v>3194000000</v>
      </c>
      <c r="J41" s="4"/>
      <c r="K41" s="5"/>
      <c r="L41" s="5"/>
      <c r="M41" s="5"/>
      <c r="N41" s="5"/>
      <c r="O41" s="5"/>
      <c r="P41" s="5"/>
      <c r="Q41" s="5"/>
      <c r="R41" s="5"/>
      <c r="S41" s="1"/>
      <c r="T41" s="1"/>
      <c r="U41" s="1"/>
      <c r="V41" s="1"/>
    </row>
    <row r="42" spans="1:22">
      <c r="A42" s="16" t="s">
        <v>152</v>
      </c>
      <c r="B42" s="8"/>
      <c r="C42" s="8"/>
      <c r="D42" s="8"/>
      <c r="F42" s="45"/>
      <c r="G42" s="8"/>
      <c r="H42" s="8"/>
      <c r="I42" s="41">
        <v>50406000000</v>
      </c>
      <c r="J42" s="4"/>
      <c r="K42" s="8"/>
      <c r="L42" s="8"/>
      <c r="M42" s="8"/>
      <c r="N42" s="8"/>
      <c r="O42" s="8"/>
      <c r="P42" s="8"/>
      <c r="Q42" s="8"/>
      <c r="R42" s="8"/>
      <c r="S42" s="1"/>
      <c r="T42" s="1"/>
      <c r="U42" s="1"/>
      <c r="V42" s="1"/>
    </row>
    <row r="43" spans="1:22">
      <c r="A43" s="40" t="s">
        <v>153</v>
      </c>
      <c r="B43" s="8"/>
      <c r="C43" s="8"/>
      <c r="D43" s="8"/>
      <c r="E43" s="41"/>
      <c r="F43" s="45"/>
      <c r="G43" s="8"/>
      <c r="H43" s="8"/>
      <c r="I43">
        <v>0</v>
      </c>
      <c r="J43" s="4"/>
      <c r="L43" s="8"/>
      <c r="M43" s="8"/>
      <c r="N43" s="8"/>
      <c r="O43" s="8"/>
      <c r="P43" s="8"/>
      <c r="Q43" s="8"/>
      <c r="R43" s="8"/>
      <c r="S43" s="1"/>
      <c r="T43" s="1"/>
      <c r="U43" s="1"/>
      <c r="V43" s="1"/>
    </row>
    <row r="44" spans="1:22">
      <c r="A44" s="16" t="s">
        <v>154</v>
      </c>
      <c r="B44" s="8"/>
      <c r="C44" s="8">
        <v>215577</v>
      </c>
      <c r="D44" s="43">
        <v>1423</v>
      </c>
      <c r="E44" s="41">
        <v>1215</v>
      </c>
      <c r="F44">
        <v>848</v>
      </c>
      <c r="G44" s="8">
        <v>2444</v>
      </c>
      <c r="H44" s="8"/>
      <c r="I44" s="41">
        <v>1599000000</v>
      </c>
      <c r="J44" s="4"/>
      <c r="L44" s="8"/>
      <c r="M44" s="8"/>
      <c r="N44" s="8"/>
      <c r="O44" s="8"/>
      <c r="P44" s="8"/>
      <c r="Q44" s="8"/>
      <c r="R44" s="8"/>
      <c r="S44" s="1"/>
      <c r="T44" s="1"/>
      <c r="U44" s="1"/>
      <c r="V44" s="1"/>
    </row>
    <row r="45" spans="1:22">
      <c r="A45" s="6" t="s">
        <v>180</v>
      </c>
      <c r="B45" s="41">
        <v>533</v>
      </c>
      <c r="C45" s="8"/>
      <c r="D45" s="8"/>
      <c r="E45" s="41"/>
      <c r="F45" s="45"/>
      <c r="G45" s="8"/>
      <c r="H45" s="8"/>
      <c r="I45" s="41"/>
      <c r="J45" s="4"/>
      <c r="L45" s="8"/>
      <c r="M45" s="8"/>
      <c r="N45" s="8"/>
      <c r="O45" s="8"/>
      <c r="P45" s="8"/>
      <c r="Q45" s="8"/>
      <c r="R45" s="8"/>
      <c r="S45" s="1"/>
      <c r="T45" s="1"/>
      <c r="U45" s="1"/>
      <c r="V45" s="1"/>
    </row>
    <row r="46" spans="1:22">
      <c r="A46" s="16" t="s">
        <v>155</v>
      </c>
      <c r="B46" s="41">
        <v>50</v>
      </c>
      <c r="C46" s="8">
        <v>116700</v>
      </c>
      <c r="D46" s="8"/>
      <c r="E46" s="41">
        <v>162</v>
      </c>
      <c r="F46" s="45"/>
      <c r="G46" s="8"/>
      <c r="H46" s="8"/>
      <c r="I46" s="41">
        <v>543000000</v>
      </c>
      <c r="J46" s="4"/>
      <c r="L46" s="8"/>
      <c r="M46" s="8"/>
      <c r="N46" s="8"/>
      <c r="O46" s="8"/>
      <c r="P46" s="8"/>
      <c r="Q46" s="8"/>
      <c r="R46" s="8"/>
      <c r="S46" s="1"/>
      <c r="T46" s="1"/>
      <c r="U46" s="1"/>
      <c r="V46" s="1"/>
    </row>
    <row r="47" spans="1:22">
      <c r="A47" s="16" t="s">
        <v>156</v>
      </c>
      <c r="B47" s="8"/>
      <c r="C47" s="8"/>
      <c r="F47" s="45"/>
      <c r="G47" s="8"/>
      <c r="H47" s="8"/>
      <c r="I47" s="41">
        <v>331000000</v>
      </c>
      <c r="J47" s="4"/>
      <c r="L47" s="8"/>
      <c r="M47" s="8"/>
      <c r="N47" s="8"/>
      <c r="O47" s="8"/>
      <c r="P47" s="8"/>
      <c r="Q47" s="8"/>
      <c r="R47" s="8"/>
      <c r="S47" s="1"/>
      <c r="T47" s="1"/>
      <c r="U47" s="1"/>
      <c r="V47" s="1"/>
    </row>
    <row r="48" spans="1:22">
      <c r="A48" s="6" t="s">
        <v>179</v>
      </c>
      <c r="B48" s="8"/>
      <c r="C48" s="8"/>
      <c r="E48" s="41">
        <v>94</v>
      </c>
      <c r="F48" s="45"/>
      <c r="G48" s="8"/>
      <c r="H48" s="8"/>
      <c r="I48" s="41"/>
      <c r="J48" s="4"/>
      <c r="L48" s="8"/>
      <c r="M48" s="8"/>
      <c r="N48" s="8"/>
      <c r="O48" s="8"/>
      <c r="P48" s="8"/>
      <c r="Q48" s="8"/>
      <c r="R48" s="8"/>
      <c r="S48" s="1"/>
      <c r="T48" s="1"/>
      <c r="U48" s="1"/>
      <c r="V48" s="1"/>
    </row>
    <row r="49" spans="1:22">
      <c r="A49" s="16" t="s">
        <v>144</v>
      </c>
      <c r="B49" s="41">
        <v>22209</v>
      </c>
      <c r="C49" s="8">
        <v>1043087</v>
      </c>
      <c r="D49" s="8"/>
      <c r="E49" s="41"/>
      <c r="F49" s="8"/>
      <c r="G49" s="8"/>
      <c r="H49" s="8"/>
      <c r="I49" s="41">
        <v>7605000000</v>
      </c>
      <c r="J49" s="4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</row>
    <row r="50" spans="1:22">
      <c r="E50" s="41"/>
    </row>
    <row r="51" spans="1:22">
      <c r="A51" s="2"/>
      <c r="E51" s="41"/>
    </row>
    <row r="52" spans="1:22">
      <c r="A52" s="2"/>
      <c r="E52" s="41"/>
    </row>
    <row r="53" spans="1:22">
      <c r="A53" s="2"/>
      <c r="E53" s="41"/>
    </row>
    <row r="54" spans="1:22">
      <c r="A54" s="2"/>
      <c r="E54" s="41"/>
    </row>
    <row r="55" spans="1:22">
      <c r="A55" s="2"/>
      <c r="E55" s="41"/>
    </row>
    <row r="56" spans="1:22">
      <c r="A56" s="2"/>
      <c r="E56" s="42"/>
    </row>
    <row r="57" spans="1:22">
      <c r="A57" s="2"/>
      <c r="E57" s="42"/>
    </row>
    <row r="58" spans="1:22">
      <c r="A58" s="2"/>
      <c r="E58" s="41"/>
    </row>
    <row r="59" spans="1:22">
      <c r="A59" s="2"/>
    </row>
    <row r="60" spans="1:22">
      <c r="A60" s="2"/>
    </row>
    <row r="61" spans="1:22">
      <c r="A61" s="2"/>
    </row>
    <row r="62" spans="1:22">
      <c r="A62" s="2"/>
    </row>
    <row r="63" spans="1:22">
      <c r="A63" s="2"/>
    </row>
    <row r="64" spans="1:22">
      <c r="A64" s="2"/>
    </row>
  </sheetData>
  <hyperlinks>
    <hyperlink ref="D31" r:id="rId1" display="javascript:ShowLocation(18389758,'62:457.13:483:509.44:500.44:271','PDF','ar',false)"/>
    <hyperlink ref="D44" r:id="rId2" display="javascript:ShowLocation(18389758,'62:441:483:374.44:365.44:406','PDF','ar',false)"/>
  </hyperlinks>
  <pageMargins left="0.7" right="0.7" top="0.75" bottom="0.75" header="0.3" footer="0.3"/>
  <pageSetup orientation="portrait" horizontalDpi="1200" verticalDpi="1200"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7"/>
  <dimension ref="A1:K37"/>
  <sheetViews>
    <sheetView workbookViewId="0">
      <selection activeCell="H11" sqref="H11"/>
    </sheetView>
  </sheetViews>
  <sheetFormatPr defaultRowHeight="15"/>
  <cols>
    <col min="2" max="2" width="15.85546875" bestFit="1" customWidth="1"/>
    <col min="3" max="3" width="18.140625" customWidth="1"/>
    <col min="4" max="4" width="20" bestFit="1" customWidth="1"/>
    <col min="5" max="5" width="10.42578125" customWidth="1"/>
    <col min="6" max="6" width="25.5703125" bestFit="1" customWidth="1"/>
    <col min="7" max="7" width="18.140625" customWidth="1"/>
    <col min="8" max="8" width="17.85546875" bestFit="1" customWidth="1"/>
    <col min="9" max="9" width="18.140625" bestFit="1" customWidth="1"/>
  </cols>
  <sheetData>
    <row r="1" spans="1:11">
      <c r="B1" s="54" t="s">
        <v>39</v>
      </c>
      <c r="C1" s="54" t="s">
        <v>217</v>
      </c>
      <c r="D1" s="54" t="s">
        <v>216</v>
      </c>
      <c r="E1" s="54" t="s">
        <v>218</v>
      </c>
      <c r="F1" s="54" t="s">
        <v>219</v>
      </c>
      <c r="G1" s="54" t="s">
        <v>67</v>
      </c>
      <c r="H1" s="34" t="s">
        <v>210</v>
      </c>
    </row>
    <row r="2" spans="1:11">
      <c r="A2" s="34" t="s">
        <v>45</v>
      </c>
      <c r="B2" s="90">
        <v>1657782905.0900002</v>
      </c>
      <c r="C2">
        <v>9097</v>
      </c>
      <c r="D2" s="131">
        <v>21835000000</v>
      </c>
      <c r="E2">
        <v>3300000</v>
      </c>
      <c r="F2" s="131">
        <v>6828000000</v>
      </c>
      <c r="G2">
        <v>16650.2</v>
      </c>
      <c r="H2" s="98">
        <v>99971000</v>
      </c>
      <c r="K2" s="90"/>
    </row>
    <row r="3" spans="1:11">
      <c r="A3" s="34" t="s">
        <v>44</v>
      </c>
      <c r="B3" s="90">
        <v>1223293267.6700001</v>
      </c>
      <c r="C3">
        <v>6613</v>
      </c>
      <c r="D3" s="131">
        <v>13242542000</v>
      </c>
      <c r="E3">
        <v>1145232</v>
      </c>
      <c r="F3" s="131">
        <v>3293489000</v>
      </c>
      <c r="G3">
        <v>6491</v>
      </c>
      <c r="H3" s="75">
        <v>32448000</v>
      </c>
      <c r="K3" s="90"/>
    </row>
    <row r="4" spans="1:11">
      <c r="A4" s="34" t="s">
        <v>94</v>
      </c>
      <c r="B4" s="90">
        <v>1951013857.4100001</v>
      </c>
      <c r="C4">
        <v>6194</v>
      </c>
      <c r="D4" s="131">
        <v>21900000000</v>
      </c>
      <c r="E4">
        <v>1900000</v>
      </c>
      <c r="F4" s="131">
        <v>4730000000</v>
      </c>
      <c r="G4">
        <v>12339.5</v>
      </c>
      <c r="H4" s="75">
        <v>57083000</v>
      </c>
      <c r="K4" s="90"/>
    </row>
    <row r="5" spans="1:11">
      <c r="A5" s="34" t="s">
        <v>43</v>
      </c>
      <c r="B5" s="90">
        <v>3095918675.5900002</v>
      </c>
      <c r="C5">
        <v>14529</v>
      </c>
      <c r="D5" s="131">
        <v>41209000000</v>
      </c>
      <c r="E5">
        <v>4800000</v>
      </c>
      <c r="F5" s="131">
        <v>12188000000</v>
      </c>
      <c r="G5">
        <v>870.71</v>
      </c>
      <c r="H5" s="75">
        <f>57201000+5731000</f>
        <v>62932000</v>
      </c>
      <c r="K5" s="90"/>
    </row>
    <row r="6" spans="1:11">
      <c r="A6" s="34" t="s">
        <v>42</v>
      </c>
      <c r="B6" s="90">
        <v>2416230554.3899999</v>
      </c>
      <c r="C6">
        <v>9973</v>
      </c>
      <c r="D6" s="131">
        <v>26339000000</v>
      </c>
      <c r="E6">
        <v>3300000</v>
      </c>
      <c r="F6" s="131">
        <v>8791000000</v>
      </c>
      <c r="G6">
        <v>12202.73</v>
      </c>
      <c r="H6" s="75">
        <v>48642000</v>
      </c>
      <c r="K6" s="90"/>
    </row>
    <row r="7" spans="1:11">
      <c r="A7" s="34" t="s">
        <v>41</v>
      </c>
      <c r="B7" s="90">
        <v>8584495023.1400003</v>
      </c>
      <c r="C7">
        <v>27780</v>
      </c>
      <c r="D7" s="131">
        <v>113856000000</v>
      </c>
      <c r="E7">
        <v>7700000</v>
      </c>
      <c r="F7" s="131">
        <v>19624000000</v>
      </c>
      <c r="G7">
        <v>52672.26</v>
      </c>
      <c r="H7" s="75">
        <v>236116000</v>
      </c>
      <c r="K7" s="90"/>
    </row>
    <row r="8" spans="1:11">
      <c r="A8" s="34" t="s">
        <v>40</v>
      </c>
      <c r="B8" s="90">
        <v>1786440121.1300001</v>
      </c>
      <c r="C8">
        <v>9100</v>
      </c>
      <c r="D8" s="131">
        <v>40970000000</v>
      </c>
      <c r="E8">
        <v>1750000</v>
      </c>
      <c r="F8" s="131">
        <v>5636000000</v>
      </c>
      <c r="G8">
        <v>16246</v>
      </c>
      <c r="H8" s="75">
        <v>70490000</v>
      </c>
      <c r="K8" s="90"/>
    </row>
    <row r="9" spans="1:11">
      <c r="A9" s="34" t="s">
        <v>47</v>
      </c>
      <c r="B9" s="90">
        <v>3470083206.2399998</v>
      </c>
      <c r="C9">
        <v>16495</v>
      </c>
      <c r="D9" s="131">
        <v>50406000000</v>
      </c>
      <c r="E9">
        <v>2600000</v>
      </c>
      <c r="F9" s="131">
        <v>15303000000</v>
      </c>
      <c r="G9">
        <v>21142.100000000002</v>
      </c>
      <c r="H9" s="75">
        <v>99700000</v>
      </c>
      <c r="K9" s="90"/>
    </row>
    <row r="10" spans="1:11">
      <c r="A10" s="34" t="s">
        <v>49</v>
      </c>
      <c r="B10" s="90">
        <v>838139925.63</v>
      </c>
      <c r="C10">
        <v>3090</v>
      </c>
      <c r="D10" s="131">
        <v>6703800000</v>
      </c>
      <c r="E10">
        <v>511800</v>
      </c>
      <c r="F10" s="131">
        <v>1579900000</v>
      </c>
      <c r="G10">
        <v>4932.29</v>
      </c>
      <c r="H10" s="75">
        <v>21979000</v>
      </c>
      <c r="K10" s="90"/>
    </row>
    <row r="11" spans="1:11">
      <c r="A11" s="34" t="s">
        <v>95</v>
      </c>
      <c r="B11" s="73">
        <v>419690584.99000001</v>
      </c>
      <c r="C11">
        <v>2000</v>
      </c>
      <c r="D11" s="131">
        <v>4821800000</v>
      </c>
      <c r="E11">
        <v>1100000</v>
      </c>
      <c r="F11" s="131">
        <v>1185848000</v>
      </c>
      <c r="G11">
        <v>3407.8</v>
      </c>
      <c r="H11" s="100"/>
      <c r="K11" s="90"/>
    </row>
    <row r="12" spans="1:11">
      <c r="A12" s="34" t="s">
        <v>96</v>
      </c>
      <c r="B12" s="90">
        <v>1278466443.5699999</v>
      </c>
      <c r="C12">
        <v>2361</v>
      </c>
      <c r="D12" s="131">
        <v>6006000000</v>
      </c>
      <c r="E12">
        <v>394585</v>
      </c>
      <c r="F12" s="131">
        <v>1646000000</v>
      </c>
      <c r="G12">
        <v>4158.8</v>
      </c>
      <c r="H12" s="101">
        <v>18734335</v>
      </c>
      <c r="K12" s="90"/>
    </row>
    <row r="13" spans="1:11">
      <c r="A13" s="34" t="s">
        <v>50</v>
      </c>
      <c r="B13" s="90">
        <v>5685134771.9799995</v>
      </c>
      <c r="C13">
        <v>8792</v>
      </c>
      <c r="D13" s="131">
        <v>35110000000</v>
      </c>
      <c r="E13">
        <v>2210000</v>
      </c>
      <c r="F13" s="131">
        <v>8422000000</v>
      </c>
      <c r="G13">
        <v>26043.21</v>
      </c>
      <c r="H13" s="75">
        <f>53451000+5734000</f>
        <v>59185000</v>
      </c>
      <c r="K13" s="90"/>
    </row>
    <row r="14" spans="1:11">
      <c r="A14" s="34" t="s">
        <v>51</v>
      </c>
      <c r="B14" s="90">
        <v>593388059.63</v>
      </c>
      <c r="C14">
        <v>2699</v>
      </c>
      <c r="D14" s="131">
        <v>11984136000</v>
      </c>
      <c r="E14">
        <v>1327000</v>
      </c>
      <c r="F14" s="131">
        <v>2979177000</v>
      </c>
      <c r="G14">
        <v>6358.05</v>
      </c>
      <c r="H14" s="75">
        <v>29185000</v>
      </c>
      <c r="K14" s="90"/>
    </row>
    <row r="15" spans="1:11">
      <c r="A15" s="34" t="s">
        <v>53</v>
      </c>
      <c r="B15" s="90">
        <v>5380822747.2799997</v>
      </c>
      <c r="C15">
        <v>20593</v>
      </c>
      <c r="D15" s="131">
        <v>49242000000</v>
      </c>
      <c r="E15">
        <v>9400000</v>
      </c>
      <c r="F15" s="131">
        <v>15035000000</v>
      </c>
      <c r="G15">
        <v>7600.3600000000006</v>
      </c>
      <c r="H15" s="75">
        <v>86113000</v>
      </c>
      <c r="K15" s="90"/>
    </row>
    <row r="16" spans="1:11">
      <c r="A16" s="34" t="s">
        <v>52</v>
      </c>
      <c r="B16" s="90">
        <v>3246452683.9499998</v>
      </c>
      <c r="C16">
        <v>9798</v>
      </c>
      <c r="D16" s="131">
        <v>19223000000</v>
      </c>
      <c r="E16">
        <v>4000000</v>
      </c>
      <c r="F16" s="131">
        <v>6626000000</v>
      </c>
      <c r="G16">
        <v>29.29</v>
      </c>
      <c r="H16" s="75">
        <v>41641000</v>
      </c>
      <c r="K16" s="73"/>
    </row>
    <row r="17" spans="1:11">
      <c r="A17" s="34" t="s">
        <v>54</v>
      </c>
      <c r="B17" s="73">
        <v>3784388991.6900001</v>
      </c>
      <c r="C17">
        <v>16515</v>
      </c>
      <c r="D17" s="131">
        <v>44034000000</v>
      </c>
      <c r="E17">
        <v>5000000</v>
      </c>
      <c r="F17" s="131">
        <v>11851000000</v>
      </c>
      <c r="G17">
        <v>5547.4800000000005</v>
      </c>
      <c r="H17" s="75">
        <v>88215000</v>
      </c>
      <c r="K17" s="90"/>
    </row>
    <row r="18" spans="1:11">
      <c r="A18" s="34" t="s">
        <v>55</v>
      </c>
      <c r="B18" s="90">
        <v>3329433336.1700001</v>
      </c>
      <c r="C18">
        <v>12762</v>
      </c>
      <c r="D18" s="131">
        <v>47334000000</v>
      </c>
      <c r="E18">
        <v>9000000</v>
      </c>
      <c r="F18" s="131">
        <v>11220000000</v>
      </c>
      <c r="G18">
        <v>38150.899999999994</v>
      </c>
      <c r="H18" s="75">
        <v>165255000</v>
      </c>
    </row>
    <row r="21" spans="1:11">
      <c r="B21" s="54" t="s">
        <v>39</v>
      </c>
      <c r="C21" s="54" t="s">
        <v>220</v>
      </c>
    </row>
    <row r="22" spans="1:11">
      <c r="B22" s="90">
        <v>1657782905.0900002</v>
      </c>
      <c r="C22">
        <v>99971000</v>
      </c>
    </row>
    <row r="23" spans="1:11">
      <c r="B23" s="90">
        <v>1223293267.6700001</v>
      </c>
      <c r="C23">
        <v>32448000</v>
      </c>
    </row>
    <row r="24" spans="1:11">
      <c r="B24" s="90">
        <v>1951013857.4100001</v>
      </c>
      <c r="C24">
        <v>57083000</v>
      </c>
    </row>
    <row r="25" spans="1:11">
      <c r="B25" s="90">
        <v>3095918675.5900002</v>
      </c>
      <c r="C25">
        <v>62932000</v>
      </c>
    </row>
    <row r="26" spans="1:11">
      <c r="B26" s="90">
        <v>2416230554.3899999</v>
      </c>
      <c r="C26">
        <v>48642000</v>
      </c>
    </row>
    <row r="27" spans="1:11">
      <c r="B27" s="90">
        <v>8584495023.1400003</v>
      </c>
      <c r="C27">
        <v>236116000</v>
      </c>
    </row>
    <row r="28" spans="1:11">
      <c r="B28" s="90">
        <v>1786440121.1300001</v>
      </c>
      <c r="C28">
        <v>70490000</v>
      </c>
    </row>
    <row r="29" spans="1:11">
      <c r="B29" s="90">
        <v>3470083206.2399998</v>
      </c>
      <c r="C29">
        <v>99700000</v>
      </c>
    </row>
    <row r="30" spans="1:11">
      <c r="B30" s="90">
        <v>838139925.63</v>
      </c>
      <c r="C30">
        <v>21979000</v>
      </c>
    </row>
    <row r="31" spans="1:11">
      <c r="B31" s="90">
        <v>1278466443.5699999</v>
      </c>
      <c r="C31">
        <v>18734335</v>
      </c>
    </row>
    <row r="32" spans="1:11">
      <c r="B32" s="90">
        <v>5685134771.9799995</v>
      </c>
      <c r="C32">
        <v>59185000</v>
      </c>
    </row>
    <row r="33" spans="2:3">
      <c r="B33" s="90">
        <v>593388059.63</v>
      </c>
      <c r="C33">
        <v>29185000</v>
      </c>
    </row>
    <row r="34" spans="2:3">
      <c r="B34" s="90">
        <v>5380822747.2799997</v>
      </c>
      <c r="C34">
        <v>86113000</v>
      </c>
    </row>
    <row r="35" spans="2:3">
      <c r="B35" s="90">
        <v>3246452683.9499998</v>
      </c>
      <c r="C35">
        <v>41641000</v>
      </c>
    </row>
    <row r="36" spans="2:3">
      <c r="B36" s="73">
        <v>3784388991.6900001</v>
      </c>
      <c r="C36">
        <v>88215000</v>
      </c>
    </row>
    <row r="37" spans="2:3">
      <c r="B37" s="90">
        <v>3329433336.1700001</v>
      </c>
      <c r="C37">
        <v>165255000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8"/>
  <dimension ref="A1:V88"/>
  <sheetViews>
    <sheetView tabSelected="1" zoomScaleNormal="100" workbookViewId="0">
      <pane ySplit="1" topLeftCell="A48" activePane="bottomLeft" state="frozen"/>
      <selection pane="bottomLeft" activeCell="A70" sqref="A70"/>
    </sheetView>
  </sheetViews>
  <sheetFormatPr defaultRowHeight="15"/>
  <cols>
    <col min="1" max="1" width="28.140625" style="15" customWidth="1"/>
    <col min="2" max="2" width="19.140625" style="15" customWidth="1"/>
    <col min="3" max="4" width="19.7109375" style="15" customWidth="1"/>
    <col min="5" max="5" width="18.5703125" style="15" customWidth="1"/>
    <col min="6" max="6" width="18" style="15" customWidth="1"/>
    <col min="7" max="7" width="18.85546875" style="15" customWidth="1"/>
    <col min="8" max="9" width="19" style="15" customWidth="1"/>
    <col min="10" max="12" width="16" style="15" customWidth="1"/>
    <col min="13" max="13" width="18.7109375" style="15" customWidth="1"/>
    <col min="14" max="14" width="16.7109375" style="15" customWidth="1"/>
    <col min="15" max="15" width="18.7109375" style="15" customWidth="1"/>
    <col min="16" max="16" width="16.85546875" style="15" customWidth="1"/>
    <col min="17" max="17" width="17.5703125" style="15" customWidth="1"/>
    <col min="18" max="18" width="19" style="15" customWidth="1"/>
    <col min="19" max="19" width="17.42578125" style="15" customWidth="1"/>
    <col min="20" max="20" width="14.140625" style="15" customWidth="1"/>
    <col min="21" max="21" width="17.7109375" style="15" customWidth="1"/>
    <col min="22" max="22" width="16.140625" style="15" customWidth="1"/>
    <col min="23" max="16384" width="9.140625" style="15"/>
  </cols>
  <sheetData>
    <row r="1" spans="1:22"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  <c r="S1" s="34" t="s">
        <v>57</v>
      </c>
      <c r="T1" s="34" t="s">
        <v>58</v>
      </c>
      <c r="U1" s="34" t="s">
        <v>59</v>
      </c>
      <c r="V1" s="34" t="s">
        <v>60</v>
      </c>
    </row>
    <row r="2" spans="1:22">
      <c r="A2" s="16" t="s">
        <v>193</v>
      </c>
      <c r="B2" s="73">
        <f>SUM(B3:B6)</f>
        <v>1657782905.0900002</v>
      </c>
      <c r="C2" s="73">
        <v>1223293267.6700001</v>
      </c>
      <c r="D2" s="90">
        <v>1951013857.4100001</v>
      </c>
      <c r="E2" s="90">
        <v>3095918675.5900002</v>
      </c>
      <c r="F2" s="90">
        <v>2416230554.3899999</v>
      </c>
      <c r="G2" s="90">
        <v>8584495023.1400003</v>
      </c>
      <c r="H2" s="90">
        <v>1786440121.1300001</v>
      </c>
      <c r="I2" s="90">
        <v>3470083206.2399998</v>
      </c>
      <c r="J2" s="90">
        <v>838139925.63</v>
      </c>
      <c r="K2" s="90">
        <v>419690584.99000001</v>
      </c>
      <c r="L2" s="90">
        <v>1278466443.5699999</v>
      </c>
      <c r="M2" s="90">
        <v>5685134771.9799995</v>
      </c>
      <c r="N2" s="90">
        <v>593388059.63</v>
      </c>
      <c r="O2" s="90">
        <v>5380822747.2799997</v>
      </c>
      <c r="P2" s="90">
        <v>3246452683.9499998</v>
      </c>
      <c r="Q2" s="90">
        <v>3784388991.6900001</v>
      </c>
      <c r="R2" s="90">
        <v>3329433336.1700001</v>
      </c>
      <c r="S2" s="61">
        <f>SUM(B2:R2)</f>
        <v>48741175155.550003</v>
      </c>
      <c r="T2" s="61">
        <f>MIN(B2:R2)</f>
        <v>419690584.99000001</v>
      </c>
      <c r="U2" s="61">
        <f>MAX(B2:R2)</f>
        <v>8584495023.1400003</v>
      </c>
      <c r="V2" s="61">
        <f>MEDIAN(B2:R2)</f>
        <v>2416230554.3899999</v>
      </c>
    </row>
    <row r="3" spans="1:22">
      <c r="A3" s="15" t="s">
        <v>38</v>
      </c>
      <c r="B3" s="90">
        <v>446153406.69</v>
      </c>
      <c r="C3" s="73">
        <v>328703866.60000002</v>
      </c>
      <c r="D3" s="90">
        <v>524764577.51999998</v>
      </c>
      <c r="E3" s="90">
        <v>1174256555.8499999</v>
      </c>
      <c r="F3" s="90">
        <v>723006385.30999994</v>
      </c>
      <c r="G3" s="90">
        <v>2031007071.3399999</v>
      </c>
      <c r="H3" s="90">
        <v>425190314.81</v>
      </c>
      <c r="I3" s="90">
        <v>1176842597.96</v>
      </c>
      <c r="J3" s="90">
        <v>269399463</v>
      </c>
      <c r="K3" s="90">
        <v>151734694.62</v>
      </c>
      <c r="L3" s="90">
        <v>321598135.35000002</v>
      </c>
      <c r="M3" s="90">
        <v>1226521902.76</v>
      </c>
      <c r="N3" s="90">
        <v>144290898.66999999</v>
      </c>
      <c r="O3" s="90">
        <v>1683895355.0899999</v>
      </c>
      <c r="P3" s="90">
        <v>991851825.86000001</v>
      </c>
      <c r="Q3" s="90">
        <v>1069120031.0700001</v>
      </c>
      <c r="R3" s="90">
        <v>718321714.04999995</v>
      </c>
      <c r="S3" s="61">
        <f t="shared" ref="S3:S85" si="0">SUM(B3:R3)</f>
        <v>13406658796.549999</v>
      </c>
      <c r="T3" s="61">
        <f t="shared" ref="T3:T85" si="1">MIN(B3:R3)</f>
        <v>144290898.66999999</v>
      </c>
      <c r="U3" s="61">
        <f t="shared" ref="U3:U85" si="2">MAX(B3:R3)</f>
        <v>2031007071.3399999</v>
      </c>
      <c r="V3" s="61">
        <f t="shared" ref="V3:V85" si="3">MEDIAN(B3:R3)</f>
        <v>718321714.04999995</v>
      </c>
    </row>
    <row r="4" spans="1:22">
      <c r="A4" s="15" t="s">
        <v>37</v>
      </c>
      <c r="B4" s="90">
        <v>441954145.13999999</v>
      </c>
      <c r="C4" s="73">
        <v>293785295.44</v>
      </c>
      <c r="D4" s="90">
        <v>544232546.33000004</v>
      </c>
      <c r="E4" s="90">
        <v>708052429.27999997</v>
      </c>
      <c r="F4" s="90">
        <v>533610888.42000002</v>
      </c>
      <c r="G4" s="90">
        <v>2020512756.72</v>
      </c>
      <c r="H4" s="90">
        <v>373611595.51999998</v>
      </c>
      <c r="I4" s="90">
        <v>817036669.53999996</v>
      </c>
      <c r="J4" s="90">
        <v>210828020.71000001</v>
      </c>
      <c r="K4" s="90">
        <v>118418971.52</v>
      </c>
      <c r="L4" s="90">
        <v>155103836.44</v>
      </c>
      <c r="M4" s="90">
        <v>1566334437</v>
      </c>
      <c r="N4" s="90">
        <v>153705729.38</v>
      </c>
      <c r="O4" s="90">
        <v>1348455474.5999999</v>
      </c>
      <c r="P4" s="90">
        <v>688233160.75</v>
      </c>
      <c r="Q4" s="90">
        <v>883059425.58000004</v>
      </c>
      <c r="R4" s="90">
        <v>789251972.16999996</v>
      </c>
      <c r="S4" s="61">
        <f t="shared" si="0"/>
        <v>11646187354.540001</v>
      </c>
      <c r="T4" s="61">
        <f t="shared" si="1"/>
        <v>118418971.52</v>
      </c>
      <c r="U4" s="61">
        <f t="shared" si="2"/>
        <v>2020512756.72</v>
      </c>
      <c r="V4" s="61">
        <f t="shared" si="3"/>
        <v>544232546.33000004</v>
      </c>
    </row>
    <row r="5" spans="1:22">
      <c r="A5" s="15" t="s">
        <v>36</v>
      </c>
      <c r="B5" s="90">
        <v>385357620.64999998</v>
      </c>
      <c r="C5" s="73">
        <v>289973972.87</v>
      </c>
      <c r="D5" s="90">
        <v>469071112.54000002</v>
      </c>
      <c r="E5" s="90">
        <v>633330459.70000005</v>
      </c>
      <c r="F5" s="90">
        <v>597263329.41999996</v>
      </c>
      <c r="G5" s="90">
        <v>2306148466.5</v>
      </c>
      <c r="H5" s="90">
        <v>517325387.52999997</v>
      </c>
      <c r="I5" s="90">
        <v>738489933.74000001</v>
      </c>
      <c r="J5" s="90">
        <v>210092649.09999999</v>
      </c>
      <c r="K5" s="90">
        <v>91803429.349999994</v>
      </c>
      <c r="L5" s="90">
        <v>383480557.48000002</v>
      </c>
      <c r="M5" s="90">
        <v>1730733042.96</v>
      </c>
      <c r="N5" s="90">
        <v>149111776.80000001</v>
      </c>
      <c r="O5" s="90">
        <v>1240461820.2</v>
      </c>
      <c r="P5" s="90">
        <v>751924682.54999995</v>
      </c>
      <c r="Q5" s="90">
        <v>896391237.45000005</v>
      </c>
      <c r="R5" s="90">
        <v>715593899.98000002</v>
      </c>
      <c r="S5" s="61">
        <f t="shared" si="0"/>
        <v>12106553378.820002</v>
      </c>
      <c r="T5" s="61">
        <f t="shared" si="1"/>
        <v>91803429.349999994</v>
      </c>
      <c r="U5" s="61">
        <f t="shared" si="2"/>
        <v>2306148466.5</v>
      </c>
      <c r="V5" s="61">
        <f t="shared" si="3"/>
        <v>597263329.41999996</v>
      </c>
    </row>
    <row r="6" spans="1:22">
      <c r="A6" s="15" t="s">
        <v>35</v>
      </c>
      <c r="B6" s="90">
        <v>384317732.61000001</v>
      </c>
      <c r="C6" s="73">
        <v>310830132.75999999</v>
      </c>
      <c r="D6" s="90">
        <v>412945621.01999998</v>
      </c>
      <c r="E6" s="90">
        <v>580279230.75999999</v>
      </c>
      <c r="F6" s="90">
        <v>562349951.24000001</v>
      </c>
      <c r="G6" s="90">
        <v>2226826728.5799999</v>
      </c>
      <c r="H6" s="90">
        <v>470312823.26999998</v>
      </c>
      <c r="I6" s="90">
        <v>737714005</v>
      </c>
      <c r="J6" s="90">
        <v>147819792.81999999</v>
      </c>
      <c r="K6" s="90">
        <v>57733489.5</v>
      </c>
      <c r="L6" s="90">
        <v>418283914.30000001</v>
      </c>
      <c r="M6" s="90">
        <v>1161545389.26</v>
      </c>
      <c r="N6" s="90">
        <v>146279654.78</v>
      </c>
      <c r="O6" s="90">
        <v>1108010097.3900001</v>
      </c>
      <c r="P6" s="90">
        <v>814443014.78999996</v>
      </c>
      <c r="Q6" s="90">
        <v>935818297.59000003</v>
      </c>
      <c r="R6" s="90">
        <v>1106265749.97</v>
      </c>
      <c r="S6" s="61">
        <f t="shared" si="0"/>
        <v>11581775625.639997</v>
      </c>
      <c r="T6" s="61">
        <f t="shared" si="1"/>
        <v>57733489.5</v>
      </c>
      <c r="U6" s="61">
        <f t="shared" si="2"/>
        <v>2226826728.5799999</v>
      </c>
      <c r="V6" s="61">
        <f t="shared" si="3"/>
        <v>562349951.24000001</v>
      </c>
    </row>
    <row r="7" spans="1:22">
      <c r="A7" s="15" t="s">
        <v>34</v>
      </c>
      <c r="B7" s="91">
        <v>768328</v>
      </c>
      <c r="C7" s="74">
        <v>1431746</v>
      </c>
      <c r="D7" s="92">
        <v>467176</v>
      </c>
      <c r="E7" s="92">
        <v>531348</v>
      </c>
      <c r="F7" s="92">
        <v>1504639</v>
      </c>
      <c r="G7" s="75">
        <v>4209481</v>
      </c>
      <c r="H7" s="92">
        <v>697077</v>
      </c>
      <c r="I7" s="92">
        <v>1088448</v>
      </c>
      <c r="J7" s="92">
        <v>279944</v>
      </c>
      <c r="K7" s="92">
        <v>129197</v>
      </c>
      <c r="L7" s="92">
        <v>127505</v>
      </c>
      <c r="M7" s="92">
        <v>570844</v>
      </c>
      <c r="N7" s="92">
        <v>146352</v>
      </c>
      <c r="O7" s="92">
        <v>1489132</v>
      </c>
      <c r="P7" s="92">
        <v>603577</v>
      </c>
      <c r="Q7" s="92">
        <v>1625081</v>
      </c>
      <c r="R7" s="92">
        <v>612447</v>
      </c>
      <c r="S7" s="61">
        <f t="shared" si="0"/>
        <v>16282322</v>
      </c>
      <c r="T7" s="61">
        <f t="shared" si="1"/>
        <v>127505</v>
      </c>
      <c r="U7" s="61">
        <f t="shared" si="2"/>
        <v>4209481</v>
      </c>
      <c r="V7" s="61">
        <f t="shared" si="3"/>
        <v>612447</v>
      </c>
    </row>
    <row r="8" spans="1:22">
      <c r="B8" s="73"/>
      <c r="C8" s="74"/>
      <c r="D8" s="74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61"/>
      <c r="T8" s="61"/>
      <c r="U8" s="61"/>
      <c r="V8" s="61"/>
    </row>
    <row r="9" spans="1:22" ht="19.5" thickBot="1">
      <c r="A9" s="88" t="s">
        <v>199</v>
      </c>
      <c r="B9" s="84"/>
      <c r="C9" s="85"/>
      <c r="D9" s="85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93"/>
      <c r="T9" s="93"/>
      <c r="U9" s="93"/>
      <c r="V9" s="93"/>
    </row>
    <row r="10" spans="1:22">
      <c r="A10" s="15" t="s">
        <v>194</v>
      </c>
      <c r="B10" s="73">
        <v>734541084.86000001</v>
      </c>
      <c r="C10" s="73">
        <v>537154156.01000023</v>
      </c>
      <c r="D10" s="73">
        <v>867467780.58999979</v>
      </c>
      <c r="E10" s="73">
        <v>1325101242.9099996</v>
      </c>
      <c r="F10" s="73">
        <v>1055964630.03</v>
      </c>
      <c r="G10" s="73">
        <v>3586071380.3000007</v>
      </c>
      <c r="H10" s="73">
        <v>769002151.21000004</v>
      </c>
      <c r="I10" s="73">
        <v>1348702023.6000001</v>
      </c>
      <c r="J10" s="73">
        <v>525572224.56999993</v>
      </c>
      <c r="K10" s="73">
        <v>306809579.89000005</v>
      </c>
      <c r="L10" s="73">
        <v>908333770.87999964</v>
      </c>
      <c r="M10" s="73">
        <v>3867548434.2500005</v>
      </c>
      <c r="N10" s="73">
        <v>278176829.30000001</v>
      </c>
      <c r="O10" s="73">
        <v>2121905128.8400004</v>
      </c>
      <c r="P10" s="73">
        <v>1425405488.6399996</v>
      </c>
      <c r="Q10" s="73">
        <v>1708107708.3599997</v>
      </c>
      <c r="R10" s="73">
        <v>1772459440.8100004</v>
      </c>
      <c r="S10" s="61">
        <f t="shared" si="0"/>
        <v>23138323055.049999</v>
      </c>
      <c r="T10" s="61">
        <f t="shared" si="1"/>
        <v>278176829.30000001</v>
      </c>
      <c r="U10" s="61">
        <f t="shared" si="2"/>
        <v>3867548434.2500005</v>
      </c>
      <c r="V10" s="61">
        <f t="shared" si="3"/>
        <v>1055964630.03</v>
      </c>
    </row>
    <row r="11" spans="1:22">
      <c r="A11" s="15" t="s">
        <v>195</v>
      </c>
      <c r="B11" s="73">
        <v>571308440.19000006</v>
      </c>
      <c r="C11" s="73">
        <v>433274117.41000009</v>
      </c>
      <c r="D11" s="73">
        <v>681831117.75</v>
      </c>
      <c r="E11" s="73">
        <v>1065273832.6199999</v>
      </c>
      <c r="F11" s="73">
        <v>860112195.22999978</v>
      </c>
      <c r="G11" s="73">
        <v>2970096170.3099999</v>
      </c>
      <c r="H11" s="73">
        <v>632672308.66000009</v>
      </c>
      <c r="I11" s="73">
        <v>1036600623.24</v>
      </c>
      <c r="J11" s="73">
        <v>473237284.28999996</v>
      </c>
      <c r="K11" s="73">
        <v>274724426.53999996</v>
      </c>
      <c r="L11" s="73">
        <v>772021476.53999972</v>
      </c>
      <c r="M11" s="73">
        <v>3670456205.2900004</v>
      </c>
      <c r="N11" s="73">
        <v>233008064.03</v>
      </c>
      <c r="O11" s="73">
        <v>1640524853.7700002</v>
      </c>
      <c r="P11" s="73">
        <v>1071484941.8899999</v>
      </c>
      <c r="Q11" s="73">
        <v>1344848229.2499998</v>
      </c>
      <c r="R11" s="73">
        <v>1453123418.3900001</v>
      </c>
      <c r="S11" s="61">
        <f t="shared" si="0"/>
        <v>19184597705.400002</v>
      </c>
      <c r="T11" s="61">
        <f t="shared" si="1"/>
        <v>233008064.03</v>
      </c>
      <c r="U11" s="61">
        <f t="shared" si="2"/>
        <v>3670456205.2900004</v>
      </c>
      <c r="V11" s="61">
        <f t="shared" si="3"/>
        <v>860112195.22999978</v>
      </c>
    </row>
    <row r="12" spans="1:22">
      <c r="A12" s="15" t="s">
        <v>196</v>
      </c>
      <c r="B12" s="73">
        <v>297024469.78000003</v>
      </c>
      <c r="C12" s="73">
        <v>235914869.49000001</v>
      </c>
      <c r="D12" s="73">
        <v>413007673.61999995</v>
      </c>
      <c r="E12" s="73">
        <v>527109430.81999999</v>
      </c>
      <c r="F12" s="73">
        <v>559809375.77999997</v>
      </c>
      <c r="G12" s="73">
        <v>1577632333.8399999</v>
      </c>
      <c r="H12" s="73">
        <v>375486529.75999999</v>
      </c>
      <c r="I12" s="73">
        <v>504691161.80000001</v>
      </c>
      <c r="J12" s="73">
        <v>377984876.49999994</v>
      </c>
      <c r="K12" s="73">
        <v>197123231.74000001</v>
      </c>
      <c r="L12" s="73">
        <v>447324405.39999998</v>
      </c>
      <c r="M12" s="73">
        <v>2894377918.4000001</v>
      </c>
      <c r="N12" s="73">
        <v>147697162.69999999</v>
      </c>
      <c r="O12" s="73">
        <v>769129807.38999999</v>
      </c>
      <c r="P12" s="73">
        <v>504659303.04000002</v>
      </c>
      <c r="Q12" s="73">
        <v>684102204.59000003</v>
      </c>
      <c r="R12" s="73">
        <v>843516436.38000011</v>
      </c>
      <c r="S12" s="61">
        <f t="shared" si="0"/>
        <v>11356591191.030003</v>
      </c>
      <c r="T12" s="61">
        <f t="shared" si="1"/>
        <v>147697162.69999999</v>
      </c>
      <c r="U12" s="61">
        <f t="shared" si="2"/>
        <v>2894377918.4000001</v>
      </c>
      <c r="V12" s="61">
        <f t="shared" si="3"/>
        <v>504659303.04000002</v>
      </c>
    </row>
    <row r="13" spans="1:22">
      <c r="A13" s="15" t="s">
        <v>89</v>
      </c>
      <c r="B13" s="73">
        <v>1326226324.0720041</v>
      </c>
      <c r="C13" s="73">
        <v>978634614.13600791</v>
      </c>
      <c r="D13" s="73">
        <v>1560811085.9280016</v>
      </c>
      <c r="E13" s="73">
        <v>2476734940.4719925</v>
      </c>
      <c r="F13" s="73">
        <v>1932984443.5119851</v>
      </c>
      <c r="G13" s="73">
        <v>6867595941.927865</v>
      </c>
      <c r="H13" s="73">
        <v>1429152096.9040041</v>
      </c>
      <c r="I13" s="73">
        <v>2776066564.9919991</v>
      </c>
      <c r="J13" s="73">
        <v>670511940.50399733</v>
      </c>
      <c r="K13" s="73">
        <v>335752467.99200004</v>
      </c>
      <c r="L13" s="73">
        <v>1022773154.8560011</v>
      </c>
      <c r="M13" s="73">
        <v>4548107817.5839691</v>
      </c>
      <c r="N13" s="73">
        <v>474710447.70400095</v>
      </c>
      <c r="O13" s="73">
        <v>4304658197.8239918</v>
      </c>
      <c r="P13" s="73">
        <v>2597162147.1599803</v>
      </c>
      <c r="Q13" s="73">
        <v>3027511193.3520031</v>
      </c>
      <c r="R13" s="73">
        <v>2664458007.2639756</v>
      </c>
      <c r="S13" s="61">
        <f t="shared" ref="S13:S16" si="4">SUM(B13:R13)</f>
        <v>38993851386.183784</v>
      </c>
      <c r="T13" s="61">
        <f t="shared" ref="T13:T16" si="5">MIN(B13:R13)</f>
        <v>335752467.99200004</v>
      </c>
      <c r="U13" s="61">
        <f t="shared" ref="U13:U16" si="6">MAX(B13:R13)</f>
        <v>6867595941.927865</v>
      </c>
      <c r="V13" s="61">
        <f t="shared" ref="V13:V16" si="7">MEDIAN(B13:R13)</f>
        <v>1932984443.5119851</v>
      </c>
    </row>
    <row r="14" spans="1:22">
      <c r="A14" s="15" t="s">
        <v>197</v>
      </c>
      <c r="B14" s="77">
        <v>185.23560786559881</v>
      </c>
      <c r="C14" s="77">
        <v>209.90395303987566</v>
      </c>
      <c r="D14" s="77">
        <v>216.06665982922775</v>
      </c>
      <c r="E14" s="77">
        <v>186.82987680788727</v>
      </c>
      <c r="F14" s="77">
        <v>202.87178286493821</v>
      </c>
      <c r="G14" s="77">
        <v>333.99720574122409</v>
      </c>
      <c r="H14" s="77">
        <v>223.8457200648414</v>
      </c>
      <c r="I14" s="77">
        <v>328.82893539360145</v>
      </c>
      <c r="J14" s="77">
        <v>79.84998947917687</v>
      </c>
      <c r="K14" s="77">
        <v>42.251590520739583</v>
      </c>
      <c r="L14" s="77">
        <v>42.007491683447043</v>
      </c>
      <c r="M14" s="77">
        <v>120.90932768412196</v>
      </c>
      <c r="N14" s="77">
        <v>175.64206625741136</v>
      </c>
      <c r="O14" s="77">
        <v>222.9200007232366</v>
      </c>
      <c r="P14" s="77">
        <v>188.83710534791737</v>
      </c>
      <c r="Q14" s="77">
        <v>154.45826701430002</v>
      </c>
      <c r="R14" s="77">
        <v>151.12121559613047</v>
      </c>
      <c r="S14" s="61">
        <f t="shared" si="4"/>
        <v>3065.5767959136756</v>
      </c>
      <c r="T14" s="61">
        <f t="shared" si="5"/>
        <v>42.007491683447043</v>
      </c>
      <c r="U14" s="61">
        <f t="shared" si="6"/>
        <v>333.99720574122409</v>
      </c>
      <c r="V14" s="61">
        <f t="shared" si="7"/>
        <v>186.82987680788727</v>
      </c>
    </row>
    <row r="15" spans="1:22">
      <c r="A15" s="15" t="s">
        <v>88</v>
      </c>
      <c r="B15" s="73">
        <v>331556581.01800102</v>
      </c>
      <c r="C15" s="73">
        <v>244658653.53400198</v>
      </c>
      <c r="D15" s="73">
        <v>390202771.48200041</v>
      </c>
      <c r="E15" s="73">
        <v>619183735.11799812</v>
      </c>
      <c r="F15" s="73">
        <v>483246110.87799627</v>
      </c>
      <c r="G15" s="73">
        <v>1716898985.4819663</v>
      </c>
      <c r="H15" s="73">
        <v>357288024.22600102</v>
      </c>
      <c r="I15" s="73">
        <v>694016641.24799979</v>
      </c>
      <c r="J15" s="73">
        <v>167627985.12599933</v>
      </c>
      <c r="K15" s="73">
        <v>83938116.998000011</v>
      </c>
      <c r="L15" s="73">
        <v>255693288.71400028</v>
      </c>
      <c r="M15" s="73">
        <v>1137026954.3959923</v>
      </c>
      <c r="N15" s="73">
        <v>118677611.92600024</v>
      </c>
      <c r="O15" s="73">
        <v>1076164549.4559979</v>
      </c>
      <c r="P15" s="73">
        <v>649290536.78999507</v>
      </c>
      <c r="Q15" s="73">
        <v>756877798.33800077</v>
      </c>
      <c r="R15" s="73">
        <v>666114501.81599391</v>
      </c>
      <c r="S15" s="61">
        <f t="shared" si="4"/>
        <v>9748462846.5459461</v>
      </c>
      <c r="T15" s="61">
        <f t="shared" si="5"/>
        <v>83938116.998000011</v>
      </c>
      <c r="U15" s="61">
        <f t="shared" si="6"/>
        <v>1716898985.4819663</v>
      </c>
      <c r="V15" s="61">
        <f t="shared" si="7"/>
        <v>483246110.87799627</v>
      </c>
    </row>
    <row r="16" spans="1:22">
      <c r="A16" s="15" t="s">
        <v>198</v>
      </c>
      <c r="B16" s="77">
        <v>5.9113175714669151</v>
      </c>
      <c r="C16" s="77">
        <v>5.5302601975786398</v>
      </c>
      <c r="D16" s="77">
        <v>4.3927856754347596</v>
      </c>
      <c r="E16" s="77">
        <v>6.548098406591401</v>
      </c>
      <c r="F16" s="77">
        <v>3.77266129275614</v>
      </c>
      <c r="G16" s="77">
        <v>5.9106273026151044</v>
      </c>
      <c r="H16" s="77">
        <v>4.7576676645946403</v>
      </c>
      <c r="I16" s="77">
        <v>7.9168433974564882</v>
      </c>
      <c r="J16" s="77">
        <v>0.56617890024932438</v>
      </c>
      <c r="K16" s="77">
        <v>0.91427764246053789</v>
      </c>
      <c r="L16" s="77">
        <v>1.9895914325076176</v>
      </c>
      <c r="M16" s="77">
        <v>1.2188524981329441</v>
      </c>
      <c r="N16" s="77">
        <v>3.1360807276030336</v>
      </c>
      <c r="O16" s="77">
        <v>8.2388338893086619</v>
      </c>
      <c r="P16" s="77">
        <v>6.9886006943328143</v>
      </c>
      <c r="Q16" s="77">
        <v>6.142541501235077</v>
      </c>
      <c r="R16" s="77">
        <v>3.3709086244889068</v>
      </c>
      <c r="S16" s="61">
        <f t="shared" si="4"/>
        <v>77.30612741881302</v>
      </c>
      <c r="T16" s="61">
        <f t="shared" si="5"/>
        <v>0.56617890024932438</v>
      </c>
      <c r="U16" s="61">
        <f t="shared" si="6"/>
        <v>8.2388338893086619</v>
      </c>
      <c r="V16" s="61">
        <f t="shared" si="7"/>
        <v>4.7576676645946403</v>
      </c>
    </row>
    <row r="17" spans="1:22">
      <c r="A17" s="15" t="s">
        <v>33</v>
      </c>
      <c r="B17" s="73">
        <v>457430284.69999999</v>
      </c>
      <c r="C17" s="74"/>
      <c r="D17" s="74"/>
      <c r="E17" s="76">
        <v>836889000</v>
      </c>
      <c r="F17" s="76">
        <v>228997000</v>
      </c>
      <c r="G17" s="76">
        <v>718085000</v>
      </c>
      <c r="H17" s="76">
        <v>161702000</v>
      </c>
      <c r="I17" s="76">
        <v>71560000</v>
      </c>
      <c r="J17" s="76">
        <v>139436000</v>
      </c>
      <c r="K17" s="76"/>
      <c r="L17" s="76"/>
      <c r="M17" s="76">
        <v>74866000</v>
      </c>
      <c r="N17" s="76">
        <v>55427000</v>
      </c>
      <c r="O17" s="76">
        <v>1589069000</v>
      </c>
      <c r="P17" s="76">
        <v>205907000</v>
      </c>
      <c r="Q17" s="76">
        <v>895562000</v>
      </c>
      <c r="R17" s="76">
        <v>302282000</v>
      </c>
      <c r="S17" s="61">
        <f>SUM(B17:R17)</f>
        <v>5737212284.6999998</v>
      </c>
      <c r="T17" s="61">
        <f>MIN(B17:R17)</f>
        <v>55427000</v>
      </c>
      <c r="U17" s="61">
        <f>MAX(B17:R17)</f>
        <v>1589069000</v>
      </c>
      <c r="V17" s="61">
        <f>MEDIAN(B17:R17)</f>
        <v>228997000</v>
      </c>
    </row>
    <row r="18" spans="1:22">
      <c r="B18" s="73"/>
      <c r="C18" s="74"/>
      <c r="D18" s="74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61"/>
      <c r="T18" s="61"/>
      <c r="U18" s="61"/>
      <c r="V18" s="61"/>
    </row>
    <row r="19" spans="1:22" ht="19.5" thickBot="1">
      <c r="A19" s="88" t="s">
        <v>200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93"/>
      <c r="T19" s="93"/>
      <c r="U19" s="93"/>
      <c r="V19" s="93"/>
    </row>
    <row r="20" spans="1:22">
      <c r="A20" s="15" t="s">
        <v>111</v>
      </c>
      <c r="B20" s="73">
        <v>923919651</v>
      </c>
      <c r="C20" s="73">
        <v>1199025625</v>
      </c>
      <c r="D20" s="73">
        <v>334128933</v>
      </c>
      <c r="E20" s="73">
        <v>2397198782</v>
      </c>
      <c r="F20" s="73">
        <v>2339354687</v>
      </c>
      <c r="G20" s="73">
        <v>4145757937</v>
      </c>
      <c r="H20" s="73">
        <v>1267875704</v>
      </c>
      <c r="I20" s="73">
        <v>640959008</v>
      </c>
      <c r="J20" s="73">
        <v>326037719</v>
      </c>
      <c r="K20" s="73">
        <v>415045545</v>
      </c>
      <c r="L20" s="73">
        <v>296575142</v>
      </c>
      <c r="M20" s="73">
        <v>5379514911</v>
      </c>
      <c r="N20" s="73">
        <f>335334253+217367736</f>
        <v>552701989</v>
      </c>
      <c r="O20" s="73">
        <v>4588975809</v>
      </c>
      <c r="P20" s="73">
        <v>2620681348</v>
      </c>
      <c r="Q20" s="73"/>
      <c r="R20" s="73"/>
      <c r="S20" s="19">
        <f t="shared" ref="S20:S30" si="8">SUM(B20:R20)</f>
        <v>27427752790</v>
      </c>
      <c r="T20" s="19">
        <f t="shared" ref="T20:T30" si="9">MIN(B20:R20)</f>
        <v>296575142</v>
      </c>
      <c r="U20" s="19">
        <f t="shared" ref="U20:U30" si="10">MAX(B20:R20)</f>
        <v>5379514911</v>
      </c>
      <c r="V20" s="19">
        <f t="shared" ref="V20:V30" si="11">MEDIAN(B20:R20)</f>
        <v>1199025625</v>
      </c>
    </row>
    <row r="21" spans="1:22">
      <c r="A21" s="15" t="s">
        <v>112</v>
      </c>
      <c r="B21" s="77">
        <v>40012</v>
      </c>
      <c r="C21" s="77">
        <v>37072</v>
      </c>
      <c r="D21" s="77">
        <v>10006</v>
      </c>
      <c r="E21" s="78">
        <v>96611</v>
      </c>
      <c r="F21" s="77">
        <v>104490</v>
      </c>
      <c r="G21" s="74">
        <v>231576</v>
      </c>
      <c r="H21" s="77">
        <v>86684</v>
      </c>
      <c r="I21" s="77">
        <v>107856</v>
      </c>
      <c r="J21" s="77">
        <v>28716</v>
      </c>
      <c r="K21" s="77">
        <v>4477</v>
      </c>
      <c r="L21" s="77">
        <v>17993</v>
      </c>
      <c r="M21" s="77">
        <v>31304</v>
      </c>
      <c r="N21" s="77">
        <v>15487</v>
      </c>
      <c r="O21" s="74">
        <v>223420</v>
      </c>
      <c r="P21" s="77">
        <v>60078</v>
      </c>
      <c r="Q21" s="79">
        <v>104418</v>
      </c>
      <c r="R21" s="74">
        <v>125588</v>
      </c>
      <c r="S21" s="61">
        <f t="shared" si="8"/>
        <v>1325788</v>
      </c>
      <c r="T21" s="61">
        <f t="shared" si="9"/>
        <v>4477</v>
      </c>
      <c r="U21" s="61">
        <f t="shared" si="10"/>
        <v>231576</v>
      </c>
      <c r="V21" s="61">
        <f t="shared" si="11"/>
        <v>60078</v>
      </c>
    </row>
    <row r="22" spans="1:22">
      <c r="A22" s="15" t="s">
        <v>113</v>
      </c>
      <c r="B22" s="73">
        <v>1497730445.4100327</v>
      </c>
      <c r="C22" s="73">
        <f>1223293267.67-97433346</f>
        <v>1125859921.6700001</v>
      </c>
      <c r="D22" s="73">
        <v>1705907562.0000007</v>
      </c>
      <c r="E22" s="73">
        <f>E2-222587783.81</f>
        <v>2873330891.7800002</v>
      </c>
      <c r="F22" s="73">
        <f>F2-76875866.61</f>
        <v>2339354687.7799997</v>
      </c>
      <c r="G22" s="73"/>
      <c r="H22" s="73">
        <f>H2-518564417.01</f>
        <v>1267875704.1200001</v>
      </c>
      <c r="I22" s="77">
        <f>3470083206.24-626473996.44</f>
        <v>2843609209.7999997</v>
      </c>
      <c r="J22" s="73">
        <f>J2-108065788.47</f>
        <v>730074137.15999997</v>
      </c>
      <c r="K22" s="73">
        <f>K2-4645039.25</f>
        <v>415045545.74000001</v>
      </c>
      <c r="L22" s="73">
        <f>L2-807206074.97</f>
        <v>471260368.5999999</v>
      </c>
      <c r="M22" s="73">
        <f>M2-4940634769.89</f>
        <v>744500002.0899992</v>
      </c>
      <c r="N22" s="73">
        <f>N2-37150423.16</f>
        <v>556237636.47000003</v>
      </c>
      <c r="O22" s="73"/>
      <c r="P22" s="73">
        <f>P2-625771335.24</f>
        <v>2620681348.71</v>
      </c>
      <c r="Q22" s="73">
        <f>Q2-507773710.78</f>
        <v>3276615280.9099998</v>
      </c>
      <c r="R22" s="73"/>
      <c r="S22" s="61">
        <f t="shared" si="8"/>
        <v>22468082742.240032</v>
      </c>
      <c r="T22" s="61">
        <f t="shared" si="9"/>
        <v>415045545.74000001</v>
      </c>
      <c r="U22" s="61">
        <f t="shared" si="10"/>
        <v>3276615280.9099998</v>
      </c>
      <c r="V22" s="61">
        <f t="shared" si="11"/>
        <v>1382803074.7650166</v>
      </c>
    </row>
    <row r="23" spans="1:22">
      <c r="A23" s="15" t="s">
        <v>101</v>
      </c>
      <c r="B23" s="70">
        <v>28106484</v>
      </c>
      <c r="C23" s="77">
        <v>24267642</v>
      </c>
      <c r="D23" s="80">
        <v>51536139</v>
      </c>
      <c r="E23" s="77">
        <v>14053503</v>
      </c>
      <c r="F23" s="77">
        <v>18914725</v>
      </c>
      <c r="G23" s="74">
        <f>1902097570+371654860</f>
        <v>2273752430</v>
      </c>
      <c r="H23" s="77"/>
      <c r="I23" s="77">
        <v>40345024</v>
      </c>
      <c r="J23" s="80">
        <v>1311255</v>
      </c>
      <c r="K23" s="77">
        <v>16919200</v>
      </c>
      <c r="L23" s="79">
        <v>7678351</v>
      </c>
      <c r="M23" s="94">
        <v>12948572</v>
      </c>
      <c r="N23" s="77">
        <v>10444082</v>
      </c>
      <c r="O23" s="77">
        <v>137863010</v>
      </c>
      <c r="P23" s="77">
        <v>68258700</v>
      </c>
      <c r="Q23" s="77"/>
      <c r="R23" s="77"/>
      <c r="S23" s="61">
        <f t="shared" si="8"/>
        <v>2706399117</v>
      </c>
      <c r="T23" s="61">
        <f t="shared" si="9"/>
        <v>1311255</v>
      </c>
      <c r="U23" s="61">
        <f t="shared" si="10"/>
        <v>2273752430</v>
      </c>
      <c r="V23" s="61">
        <f t="shared" si="11"/>
        <v>21591183.5</v>
      </c>
    </row>
    <row r="24" spans="1:22">
      <c r="A24" s="15" t="s">
        <v>14</v>
      </c>
      <c r="B24" s="77">
        <v>131945974</v>
      </c>
      <c r="C24" s="77"/>
      <c r="D24" s="77">
        <v>75377853</v>
      </c>
      <c r="E24" s="94">
        <v>656231528</v>
      </c>
      <c r="F24" s="70">
        <v>57961141</v>
      </c>
      <c r="G24" s="77">
        <v>169464850</v>
      </c>
      <c r="H24" s="77">
        <v>518564417</v>
      </c>
      <c r="I24" s="77"/>
      <c r="J24" s="80">
        <v>510790947</v>
      </c>
      <c r="K24" s="77"/>
      <c r="L24" s="77">
        <v>28260441</v>
      </c>
      <c r="M24" s="80">
        <v>292671284</v>
      </c>
      <c r="N24" s="77">
        <f>16871874</f>
        <v>16871874</v>
      </c>
      <c r="O24" s="77">
        <v>653983927</v>
      </c>
      <c r="P24" s="77">
        <v>557512635</v>
      </c>
      <c r="Q24" s="77"/>
      <c r="R24" s="77"/>
      <c r="S24" s="61">
        <f t="shared" si="8"/>
        <v>3669636871</v>
      </c>
      <c r="T24" s="61">
        <f t="shared" si="9"/>
        <v>16871874</v>
      </c>
      <c r="U24" s="61">
        <f t="shared" si="10"/>
        <v>656231528</v>
      </c>
      <c r="V24" s="61">
        <f t="shared" si="11"/>
        <v>231068067</v>
      </c>
    </row>
    <row r="25" spans="1:22">
      <c r="A25" s="15" t="s">
        <v>102</v>
      </c>
      <c r="B25" s="77">
        <v>573810793</v>
      </c>
      <c r="C25" s="77"/>
      <c r="D25" s="77">
        <v>1489970927</v>
      </c>
      <c r="E25" s="80">
        <v>28434856</v>
      </c>
      <c r="F25" s="77"/>
      <c r="G25" s="77">
        <v>1995519708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61">
        <f t="shared" si="8"/>
        <v>4087736284</v>
      </c>
      <c r="T25" s="61">
        <f t="shared" si="9"/>
        <v>28434856</v>
      </c>
      <c r="U25" s="61">
        <f t="shared" si="10"/>
        <v>1995519708</v>
      </c>
      <c r="V25" s="61">
        <f t="shared" si="11"/>
        <v>1031890860</v>
      </c>
    </row>
    <row r="26" spans="1:22">
      <c r="B26" s="77"/>
      <c r="C26" s="77"/>
      <c r="D26" s="77"/>
      <c r="E26" s="80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61"/>
      <c r="T26" s="61"/>
      <c r="U26" s="61"/>
      <c r="V26" s="61"/>
    </row>
    <row r="27" spans="1:22" ht="19.5" thickBot="1">
      <c r="A27" s="88" t="s">
        <v>213</v>
      </c>
      <c r="B27" s="83"/>
      <c r="C27" s="83"/>
      <c r="D27" s="83"/>
      <c r="E27" s="119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93"/>
      <c r="T27" s="93"/>
      <c r="U27" s="93"/>
      <c r="V27" s="93"/>
    </row>
    <row r="28" spans="1:22">
      <c r="A28" s="15" t="s">
        <v>97</v>
      </c>
      <c r="B28" s="76"/>
      <c r="C28" s="76"/>
      <c r="D28" s="76">
        <v>1112099301</v>
      </c>
      <c r="E28" s="76"/>
      <c r="F28" s="76">
        <v>150540894</v>
      </c>
      <c r="G28" s="71">
        <v>2944872967</v>
      </c>
      <c r="H28" s="76"/>
      <c r="I28" s="76"/>
      <c r="J28" s="76">
        <v>589201007</v>
      </c>
      <c r="K28" s="76">
        <v>224663153</v>
      </c>
      <c r="L28" s="76"/>
      <c r="M28" s="76"/>
      <c r="N28" s="76">
        <v>415879088</v>
      </c>
      <c r="O28" s="76"/>
      <c r="P28" s="76"/>
      <c r="Q28" s="76"/>
      <c r="R28" s="76"/>
      <c r="S28" s="61">
        <f t="shared" si="8"/>
        <v>5437256410</v>
      </c>
      <c r="T28" s="61">
        <f t="shared" si="9"/>
        <v>150540894</v>
      </c>
      <c r="U28" s="61">
        <f t="shared" si="10"/>
        <v>2944872967</v>
      </c>
      <c r="V28" s="61">
        <f t="shared" si="11"/>
        <v>502540047.5</v>
      </c>
    </row>
    <row r="29" spans="1:22">
      <c r="A29" s="15" t="s">
        <v>98</v>
      </c>
      <c r="B29" s="76"/>
      <c r="C29" s="76"/>
      <c r="D29" s="76">
        <f>396373936+126704311</f>
        <v>523078247</v>
      </c>
      <c r="E29" s="76"/>
      <c r="F29" s="80">
        <v>2188813793</v>
      </c>
      <c r="G29" s="79">
        <v>1330085533</v>
      </c>
      <c r="H29" s="76"/>
      <c r="I29" s="76"/>
      <c r="J29" s="72">
        <v>248938918</v>
      </c>
      <c r="K29" s="76">
        <v>72108350</v>
      </c>
      <c r="L29" s="76"/>
      <c r="M29" s="76"/>
      <c r="N29" s="72">
        <v>164127295</v>
      </c>
      <c r="O29" s="76"/>
      <c r="P29" s="76"/>
      <c r="Q29" s="76"/>
      <c r="R29" s="76"/>
      <c r="S29" s="61">
        <f t="shared" si="8"/>
        <v>4527152136</v>
      </c>
      <c r="T29" s="61">
        <f t="shared" si="9"/>
        <v>72108350</v>
      </c>
      <c r="U29" s="61">
        <f t="shared" si="10"/>
        <v>2188813793</v>
      </c>
      <c r="V29" s="61">
        <f t="shared" si="11"/>
        <v>386008582.5</v>
      </c>
    </row>
    <row r="30" spans="1:22" ht="16.5" customHeight="1">
      <c r="A30" s="15" t="s">
        <v>99</v>
      </c>
      <c r="B30" s="76"/>
      <c r="C30" s="76"/>
      <c r="D30" s="76">
        <f>142589615+121710552+51536139</f>
        <v>315836306</v>
      </c>
      <c r="E30" s="76"/>
      <c r="F30" s="72">
        <f>57961141+18914725</f>
        <v>76875866</v>
      </c>
      <c r="G30" s="76">
        <v>4309536426</v>
      </c>
      <c r="H30" s="76"/>
      <c r="I30" s="76"/>
      <c r="J30" s="76"/>
      <c r="K30" s="72">
        <v>122919081</v>
      </c>
      <c r="L30" s="76"/>
      <c r="M30" s="76"/>
      <c r="N30" s="72">
        <v>11563</v>
      </c>
      <c r="O30" s="76"/>
      <c r="P30" s="76"/>
      <c r="Q30" s="76"/>
      <c r="R30" s="76"/>
      <c r="S30" s="61">
        <f t="shared" si="8"/>
        <v>4825179242</v>
      </c>
      <c r="T30" s="61">
        <f t="shared" si="9"/>
        <v>11563</v>
      </c>
      <c r="U30" s="61">
        <f t="shared" si="10"/>
        <v>4309536426</v>
      </c>
      <c r="V30" s="61">
        <f t="shared" si="11"/>
        <v>122919081</v>
      </c>
    </row>
    <row r="31" spans="1:22" ht="15.75" customHeight="1">
      <c r="B31" s="76"/>
      <c r="C31" s="76"/>
      <c r="D31" s="76"/>
      <c r="E31" s="76"/>
      <c r="F31" s="72"/>
      <c r="G31" s="76"/>
      <c r="H31" s="76"/>
      <c r="I31" s="76"/>
      <c r="J31" s="76"/>
      <c r="K31" s="72"/>
      <c r="L31" s="76"/>
      <c r="M31" s="76"/>
      <c r="N31" s="72"/>
      <c r="O31" s="76"/>
      <c r="P31" s="76"/>
      <c r="Q31" s="76"/>
      <c r="R31" s="76"/>
      <c r="S31" s="61"/>
      <c r="T31" s="61"/>
      <c r="U31" s="61"/>
      <c r="V31" s="61"/>
    </row>
    <row r="32" spans="1:22" ht="20.25" customHeight="1" thickBot="1">
      <c r="A32" s="88" t="s">
        <v>201</v>
      </c>
      <c r="B32" s="86"/>
      <c r="C32" s="86"/>
      <c r="D32" s="86"/>
      <c r="E32" s="86"/>
      <c r="F32" s="87"/>
      <c r="G32" s="86"/>
      <c r="H32" s="86"/>
      <c r="I32" s="86"/>
      <c r="J32" s="86"/>
      <c r="K32" s="87"/>
      <c r="L32" s="86"/>
      <c r="M32" s="86"/>
      <c r="N32" s="87"/>
      <c r="O32" s="86"/>
      <c r="P32" s="86"/>
      <c r="Q32" s="86"/>
      <c r="R32" s="86"/>
      <c r="S32" s="93"/>
      <c r="T32" s="93"/>
      <c r="U32" s="93"/>
      <c r="V32" s="93"/>
    </row>
    <row r="33" spans="1:22">
      <c r="A33" s="96" t="s">
        <v>29</v>
      </c>
      <c r="B33" s="90">
        <v>40297504.310000002</v>
      </c>
      <c r="C33" s="90">
        <v>21824991.52</v>
      </c>
      <c r="D33" s="90">
        <v>3471329.08</v>
      </c>
      <c r="E33" s="90">
        <v>9735042.2699999996</v>
      </c>
      <c r="F33" s="90">
        <v>84540120.560000002</v>
      </c>
      <c r="G33" s="90">
        <v>145441305.93000001</v>
      </c>
      <c r="H33" s="90">
        <v>29287948.390000001</v>
      </c>
      <c r="I33" s="90">
        <v>86806564.189999998</v>
      </c>
      <c r="J33" s="90">
        <v>65052099.310000002</v>
      </c>
      <c r="K33" s="90">
        <v>3569939.01</v>
      </c>
      <c r="L33" s="90">
        <v>5375271.8499999996</v>
      </c>
      <c r="M33" s="90">
        <v>131969125.03</v>
      </c>
      <c r="N33" s="90">
        <v>23318215.43</v>
      </c>
      <c r="O33" s="90">
        <v>20080.2</v>
      </c>
      <c r="P33" s="90">
        <v>6855132.5700000003</v>
      </c>
      <c r="Q33" s="90">
        <v>648526.24</v>
      </c>
      <c r="R33" s="90">
        <v>96119947.170000002</v>
      </c>
      <c r="S33" s="61">
        <f t="shared" si="0"/>
        <v>754333143.06000006</v>
      </c>
      <c r="T33" s="61">
        <f t="shared" si="1"/>
        <v>20080.2</v>
      </c>
      <c r="U33" s="61">
        <f t="shared" si="2"/>
        <v>145441305.93000001</v>
      </c>
      <c r="V33" s="61">
        <f t="shared" si="3"/>
        <v>23318215.43</v>
      </c>
    </row>
    <row r="34" spans="1:22">
      <c r="A34" s="96" t="s">
        <v>28</v>
      </c>
      <c r="B34" s="90">
        <v>16218708.800000001</v>
      </c>
      <c r="C34" s="90">
        <v>50880111.899999999</v>
      </c>
      <c r="D34" s="90">
        <v>2716233.37</v>
      </c>
      <c r="E34" s="90">
        <v>6766035.9400000004</v>
      </c>
      <c r="F34" s="90">
        <v>44554380.149999999</v>
      </c>
      <c r="G34" s="90">
        <v>103906211.44</v>
      </c>
      <c r="H34" s="90">
        <v>39198686.920000002</v>
      </c>
      <c r="I34" s="90">
        <v>146393349.43000001</v>
      </c>
      <c r="J34" s="90">
        <v>15127310.439999999</v>
      </c>
      <c r="K34" s="90">
        <v>3190738.06</v>
      </c>
      <c r="L34" s="90">
        <v>15038521.970000001</v>
      </c>
      <c r="M34" s="90">
        <v>77521706.489999995</v>
      </c>
      <c r="N34" s="90">
        <v>9599963.7699999996</v>
      </c>
      <c r="O34" s="90">
        <v>7938906.0300000003</v>
      </c>
      <c r="P34" s="90">
        <v>15801330.050000001</v>
      </c>
      <c r="Q34" s="90">
        <v>5686366.1699999999</v>
      </c>
      <c r="R34" s="90">
        <v>59771819.399999999</v>
      </c>
      <c r="S34" s="61">
        <f t="shared" si="0"/>
        <v>620310380.32999992</v>
      </c>
      <c r="T34" s="61">
        <f t="shared" si="1"/>
        <v>2716233.37</v>
      </c>
      <c r="U34" s="61">
        <f t="shared" si="2"/>
        <v>146393349.43000001</v>
      </c>
      <c r="V34" s="61">
        <f t="shared" si="3"/>
        <v>15801330.050000001</v>
      </c>
    </row>
    <row r="35" spans="1:22">
      <c r="A35" s="96" t="s">
        <v>27</v>
      </c>
      <c r="B35" s="90">
        <v>238644201.90000001</v>
      </c>
      <c r="C35" s="90">
        <v>376319290.32999998</v>
      </c>
      <c r="D35" s="90">
        <v>204205762.63</v>
      </c>
      <c r="E35" s="90">
        <v>171765287.44</v>
      </c>
      <c r="F35" s="90">
        <v>443655608.76999998</v>
      </c>
      <c r="G35" s="90">
        <v>1834630406.26</v>
      </c>
      <c r="H35" s="90">
        <v>320039647.57999998</v>
      </c>
      <c r="I35" s="90">
        <v>172675232.05000001</v>
      </c>
      <c r="J35" s="90">
        <v>48081623.420000002</v>
      </c>
      <c r="K35" s="90">
        <v>141902623.94999999</v>
      </c>
      <c r="L35" s="90">
        <v>56959206.219999999</v>
      </c>
      <c r="M35" s="90">
        <v>3585965213.7800002</v>
      </c>
      <c r="N35" s="90">
        <v>70662311.049999997</v>
      </c>
      <c r="O35" s="90">
        <v>386287679.33999997</v>
      </c>
      <c r="P35" s="90">
        <v>367291384.69999999</v>
      </c>
      <c r="Q35" s="90">
        <v>248367457.44999999</v>
      </c>
      <c r="R35" s="90">
        <v>1092217008.3800001</v>
      </c>
      <c r="S35" s="61">
        <f t="shared" si="0"/>
        <v>9759669945.25</v>
      </c>
      <c r="T35" s="61">
        <f t="shared" si="1"/>
        <v>48081623.420000002</v>
      </c>
      <c r="U35" s="61">
        <f t="shared" si="2"/>
        <v>3585965213.7800002</v>
      </c>
      <c r="V35" s="61">
        <f t="shared" si="3"/>
        <v>248367457.44999999</v>
      </c>
    </row>
    <row r="36" spans="1:22">
      <c r="A36" s="96" t="s">
        <v>26</v>
      </c>
      <c r="B36" s="90">
        <v>294704253.25</v>
      </c>
      <c r="C36" s="90">
        <v>157944826.63</v>
      </c>
      <c r="D36" s="90">
        <v>327694643.10000002</v>
      </c>
      <c r="E36" s="90">
        <v>518668880.18000001</v>
      </c>
      <c r="F36" s="90">
        <v>379050735.06</v>
      </c>
      <c r="G36" s="90">
        <v>677335266.53999996</v>
      </c>
      <c r="H36" s="90">
        <v>352843116.04000002</v>
      </c>
      <c r="I36" s="90">
        <v>814014204.90999997</v>
      </c>
      <c r="J36" s="90">
        <v>94572676.280000001</v>
      </c>
      <c r="K36" s="90">
        <v>69229651.569999993</v>
      </c>
      <c r="L36" s="90">
        <v>170126671.08000001</v>
      </c>
      <c r="M36" s="90">
        <v>897949627.37</v>
      </c>
      <c r="N36" s="90">
        <v>66110073.109999999</v>
      </c>
      <c r="O36" s="90">
        <v>954944908.72000003</v>
      </c>
      <c r="P36" s="90">
        <v>536750653.56</v>
      </c>
      <c r="Q36" s="90">
        <v>548914983.45000005</v>
      </c>
      <c r="R36" s="90">
        <v>404380343.69999999</v>
      </c>
      <c r="S36" s="61">
        <f t="shared" si="0"/>
        <v>7265235514.5500002</v>
      </c>
      <c r="T36" s="61">
        <f t="shared" si="1"/>
        <v>66110073.109999999</v>
      </c>
      <c r="U36" s="61">
        <f t="shared" si="2"/>
        <v>954944908.72000003</v>
      </c>
      <c r="V36" s="61">
        <f t="shared" si="3"/>
        <v>379050735.06</v>
      </c>
    </row>
    <row r="37" spans="1:22">
      <c r="A37" s="96" t="s">
        <v>25</v>
      </c>
      <c r="B37" s="90">
        <v>166118359.25999999</v>
      </c>
      <c r="C37" s="90">
        <v>82894351.569999993</v>
      </c>
      <c r="D37" s="90">
        <v>193343649.31999999</v>
      </c>
      <c r="E37" s="90">
        <v>417582771.11000001</v>
      </c>
      <c r="F37" s="90">
        <v>78929938.780000001</v>
      </c>
      <c r="G37" s="90">
        <v>486971570.33999997</v>
      </c>
      <c r="H37" s="90">
        <v>18103646.030000001</v>
      </c>
      <c r="I37" s="90">
        <v>274293432.23000002</v>
      </c>
      <c r="J37" s="90">
        <v>33447633.010000002</v>
      </c>
      <c r="K37" s="90">
        <v>49786941.520000003</v>
      </c>
      <c r="L37" s="90">
        <v>17475016.850000001</v>
      </c>
      <c r="M37" s="90">
        <v>42284677.420000002</v>
      </c>
      <c r="N37" s="90">
        <v>48684577.439999998</v>
      </c>
      <c r="O37" s="90">
        <v>407205570.37</v>
      </c>
      <c r="P37" s="90">
        <v>428874584.31999999</v>
      </c>
      <c r="Q37" s="90">
        <v>415639896.29000002</v>
      </c>
      <c r="R37" s="90">
        <v>126251707.2</v>
      </c>
      <c r="S37" s="61">
        <f t="shared" si="0"/>
        <v>3287888323.0599999</v>
      </c>
      <c r="T37" s="61">
        <f t="shared" si="1"/>
        <v>17475016.850000001</v>
      </c>
      <c r="U37" s="61">
        <f t="shared" si="2"/>
        <v>486971570.33999997</v>
      </c>
      <c r="V37" s="61">
        <f t="shared" si="3"/>
        <v>126251707.2</v>
      </c>
    </row>
    <row r="38" spans="1:22">
      <c r="A38" s="96" t="s">
        <v>109</v>
      </c>
      <c r="B38" s="90"/>
      <c r="C38" s="90"/>
      <c r="D38" s="90"/>
      <c r="E38" s="90"/>
      <c r="F38" s="90"/>
      <c r="G38" s="90"/>
      <c r="H38" s="90"/>
      <c r="I38" s="74"/>
      <c r="J38" s="90"/>
      <c r="K38" s="74"/>
      <c r="L38" s="90">
        <v>41923340.509999998</v>
      </c>
      <c r="M38" s="90"/>
      <c r="N38" s="90"/>
      <c r="O38" s="90"/>
      <c r="P38" s="90"/>
      <c r="Q38" s="90"/>
      <c r="R38" s="90"/>
      <c r="S38" s="61"/>
      <c r="T38" s="61"/>
      <c r="U38" s="61"/>
      <c r="V38" s="61"/>
    </row>
    <row r="39" spans="1:22">
      <c r="A39" s="96" t="s">
        <v>24</v>
      </c>
      <c r="B39" s="90">
        <v>5642628.0899999999</v>
      </c>
      <c r="C39" s="90">
        <v>3232687.43</v>
      </c>
      <c r="D39" s="90">
        <v>7478002</v>
      </c>
      <c r="E39" s="90">
        <v>71879616.489999995</v>
      </c>
      <c r="F39" s="90">
        <v>19125939.039999999</v>
      </c>
      <c r="G39" s="90">
        <v>50248675.640000001</v>
      </c>
      <c r="H39" s="90">
        <v>94678565.409999996</v>
      </c>
      <c r="I39" s="90">
        <v>23446712.489999998</v>
      </c>
      <c r="J39" s="90">
        <v>273973375.86000001</v>
      </c>
      <c r="K39" s="90">
        <v>923577.09</v>
      </c>
      <c r="L39" s="90">
        <v>1191563.1100000001</v>
      </c>
      <c r="M39" s="90">
        <v>69553280.790000007</v>
      </c>
      <c r="N39" s="90">
        <v>4329674.21</v>
      </c>
      <c r="O39" s="90">
        <v>39225576.369999997</v>
      </c>
      <c r="P39" s="90">
        <v>33409390.940000001</v>
      </c>
      <c r="Q39" s="90">
        <v>29862628.949999999</v>
      </c>
      <c r="R39" s="90">
        <v>19988413.460000001</v>
      </c>
      <c r="S39" s="61">
        <f t="shared" si="0"/>
        <v>748190307.37000024</v>
      </c>
      <c r="T39" s="61">
        <f t="shared" si="1"/>
        <v>923577.09</v>
      </c>
      <c r="U39" s="61">
        <f t="shared" si="2"/>
        <v>273973375.86000001</v>
      </c>
      <c r="V39" s="61">
        <f t="shared" si="3"/>
        <v>23446712.489999998</v>
      </c>
    </row>
    <row r="40" spans="1:22">
      <c r="A40" s="96" t="s">
        <v>23</v>
      </c>
      <c r="B40" s="90">
        <v>36996095.469999999</v>
      </c>
      <c r="C40" s="90">
        <v>39800860.359999999</v>
      </c>
      <c r="D40" s="90">
        <v>36526653.380000003</v>
      </c>
      <c r="E40" s="90">
        <v>99838985.120000005</v>
      </c>
      <c r="F40" s="90">
        <v>64242208.609999999</v>
      </c>
      <c r="G40" s="90">
        <v>231920021.53999999</v>
      </c>
      <c r="H40" s="90">
        <v>45706798.039999999</v>
      </c>
      <c r="I40" s="90">
        <v>138400401.53</v>
      </c>
      <c r="J40" s="90">
        <v>35643184.43</v>
      </c>
      <c r="K40" s="90">
        <v>4045741.11</v>
      </c>
      <c r="L40" s="90">
        <v>12276021.48</v>
      </c>
      <c r="M40" s="90">
        <v>67927064.950000003</v>
      </c>
      <c r="N40" s="90">
        <v>15762393.59</v>
      </c>
      <c r="O40" s="90">
        <v>61629064.579999998</v>
      </c>
      <c r="P40" s="90">
        <v>123379009.64</v>
      </c>
      <c r="Q40" s="90">
        <v>63654272.57</v>
      </c>
      <c r="R40" s="90">
        <v>79456495.870000005</v>
      </c>
      <c r="S40" s="61">
        <f t="shared" si="0"/>
        <v>1157205272.27</v>
      </c>
      <c r="T40" s="61">
        <f t="shared" si="1"/>
        <v>4045741.11</v>
      </c>
      <c r="U40" s="61">
        <f t="shared" si="2"/>
        <v>231920021.53999999</v>
      </c>
      <c r="V40" s="61">
        <f t="shared" si="3"/>
        <v>61629064.579999998</v>
      </c>
    </row>
    <row r="41" spans="1:22">
      <c r="A41" s="96" t="s">
        <v>22</v>
      </c>
      <c r="B41" s="90">
        <v>55030733.859999999</v>
      </c>
      <c r="C41" s="90">
        <v>13426301.109999999</v>
      </c>
      <c r="D41" s="90">
        <v>46922887.090000004</v>
      </c>
      <c r="E41" s="90">
        <v>53944284.950000003</v>
      </c>
      <c r="F41" s="90">
        <v>54687991.359999999</v>
      </c>
      <c r="G41" s="90">
        <v>97221704.819999993</v>
      </c>
      <c r="H41" s="90">
        <v>12858878.199999999</v>
      </c>
      <c r="I41" s="90">
        <v>52996829.609999999</v>
      </c>
      <c r="J41" s="90">
        <v>15597939.51</v>
      </c>
      <c r="K41" s="90">
        <v>6687587.3700000001</v>
      </c>
      <c r="L41" s="90">
        <v>10983181.49</v>
      </c>
      <c r="M41" s="90">
        <v>18161828.66</v>
      </c>
      <c r="N41" s="90">
        <v>14004781.380000001</v>
      </c>
      <c r="O41" s="90">
        <v>204912777.28999999</v>
      </c>
      <c r="P41" s="90">
        <v>33190919.739999998</v>
      </c>
      <c r="Q41" s="90">
        <v>14673064.810000001</v>
      </c>
      <c r="R41" s="90">
        <v>50344412.719999999</v>
      </c>
      <c r="S41" s="61">
        <f t="shared" si="0"/>
        <v>755646103.97000003</v>
      </c>
      <c r="T41" s="61">
        <f t="shared" si="1"/>
        <v>6687587.3700000001</v>
      </c>
      <c r="U41" s="61">
        <f t="shared" si="2"/>
        <v>204912777.28999999</v>
      </c>
      <c r="V41" s="61">
        <f t="shared" si="3"/>
        <v>33190919.739999998</v>
      </c>
    </row>
    <row r="42" spans="1:22">
      <c r="A42" s="96" t="s">
        <v>107</v>
      </c>
      <c r="B42" s="90"/>
      <c r="C42" s="90"/>
      <c r="D42" s="90"/>
      <c r="E42" s="90"/>
      <c r="F42" s="90"/>
      <c r="G42" s="90"/>
      <c r="H42" s="90"/>
      <c r="I42" s="74"/>
      <c r="J42" s="90"/>
      <c r="K42" s="74"/>
      <c r="L42" s="90">
        <v>50890618.789999999</v>
      </c>
      <c r="M42" s="90"/>
      <c r="N42" s="90"/>
      <c r="O42" s="90"/>
      <c r="P42" s="90"/>
      <c r="Q42" s="90"/>
      <c r="R42" s="90"/>
      <c r="S42" s="61"/>
      <c r="T42" s="61"/>
      <c r="U42" s="61"/>
      <c r="V42" s="61"/>
    </row>
    <row r="43" spans="1:22">
      <c r="A43" s="96" t="s">
        <v>108</v>
      </c>
      <c r="B43" s="90"/>
      <c r="C43" s="90"/>
      <c r="D43" s="90"/>
      <c r="E43" s="90"/>
      <c r="F43" s="90"/>
      <c r="G43" s="90"/>
      <c r="H43" s="90"/>
      <c r="I43" s="74"/>
      <c r="J43" s="90"/>
      <c r="K43" s="74"/>
      <c r="L43" s="90">
        <v>622996945.75999999</v>
      </c>
      <c r="M43" s="90"/>
      <c r="N43" s="90"/>
      <c r="O43" s="90"/>
      <c r="P43" s="90"/>
      <c r="Q43" s="90"/>
      <c r="R43" s="90"/>
      <c r="S43" s="61"/>
      <c r="T43" s="61"/>
      <c r="U43" s="61"/>
      <c r="V43" s="61"/>
    </row>
    <row r="44" spans="1:22">
      <c r="A44" s="96" t="s">
        <v>56</v>
      </c>
      <c r="B44" s="90"/>
      <c r="C44" s="90"/>
      <c r="D44" s="74"/>
      <c r="E44" s="90"/>
      <c r="F44" s="90"/>
      <c r="G44" s="90"/>
      <c r="H44" s="90"/>
      <c r="I44" s="74"/>
      <c r="J44" s="90"/>
      <c r="K44" s="74"/>
      <c r="L44" s="90">
        <v>149073164.38</v>
      </c>
      <c r="M44" s="90"/>
      <c r="N44" s="90"/>
      <c r="O44" s="90"/>
      <c r="P44" s="90"/>
      <c r="Q44" s="90"/>
      <c r="R44" s="90">
        <v>396</v>
      </c>
      <c r="S44" s="61">
        <f t="shared" si="0"/>
        <v>149073560.38</v>
      </c>
      <c r="T44" s="61">
        <f t="shared" si="1"/>
        <v>396</v>
      </c>
      <c r="U44" s="61">
        <f t="shared" si="2"/>
        <v>149073164.38</v>
      </c>
      <c r="V44" s="61">
        <f t="shared" si="3"/>
        <v>74536780.189999998</v>
      </c>
    </row>
    <row r="45" spans="1:22">
      <c r="A45" s="96" t="s">
        <v>21</v>
      </c>
      <c r="B45" s="90"/>
      <c r="C45" s="90"/>
      <c r="D45" s="74"/>
      <c r="E45" s="90"/>
      <c r="F45" s="90"/>
      <c r="G45" s="90">
        <v>718865633.65999997</v>
      </c>
      <c r="H45" s="74"/>
      <c r="I45" s="74"/>
      <c r="J45" s="74"/>
      <c r="K45" s="74"/>
      <c r="L45" s="90"/>
      <c r="M45" s="74"/>
      <c r="N45" s="74"/>
      <c r="O45" s="74"/>
      <c r="P45" s="74"/>
      <c r="Q45" s="74"/>
      <c r="R45" s="74"/>
      <c r="S45" s="61">
        <f t="shared" si="0"/>
        <v>718865633.65999997</v>
      </c>
      <c r="T45" s="61">
        <f t="shared" si="1"/>
        <v>718865633.65999997</v>
      </c>
      <c r="U45" s="61">
        <f t="shared" si="2"/>
        <v>718865633.65999997</v>
      </c>
      <c r="V45" s="61">
        <f t="shared" si="3"/>
        <v>718865633.65999997</v>
      </c>
    </row>
    <row r="46" spans="1:22">
      <c r="A46" s="96" t="s">
        <v>20</v>
      </c>
      <c r="B46" s="90">
        <v>29487966.800000001</v>
      </c>
      <c r="C46" s="90">
        <v>20001844.969999999</v>
      </c>
      <c r="D46" s="90">
        <v>21119825.829999998</v>
      </c>
      <c r="E46" s="90">
        <v>95233025.049999997</v>
      </c>
      <c r="F46" s="90">
        <v>41329973.329999998</v>
      </c>
      <c r="G46" s="90">
        <v>168488404.78999999</v>
      </c>
      <c r="H46" s="90">
        <v>38152882.079999998</v>
      </c>
      <c r="I46" s="90">
        <v>35778340.57</v>
      </c>
      <c r="J46" s="90">
        <v>12871674.4</v>
      </c>
      <c r="K46" s="90">
        <v>6666632.2599999998</v>
      </c>
      <c r="L46" s="90">
        <v>9122030</v>
      </c>
      <c r="M46" s="90">
        <v>49221519.530000001</v>
      </c>
      <c r="N46" s="90">
        <v>8134109.8499999996</v>
      </c>
      <c r="O46" s="90">
        <v>71964938.930000007</v>
      </c>
      <c r="P46" s="90">
        <v>42682018.020000003</v>
      </c>
      <c r="Q46" s="90">
        <v>28706799.82</v>
      </c>
      <c r="R46" s="90">
        <v>83853122.620000005</v>
      </c>
      <c r="S46" s="61">
        <f t="shared" si="0"/>
        <v>762815108.8499999</v>
      </c>
      <c r="T46" s="61">
        <f t="shared" si="1"/>
        <v>6666632.2599999998</v>
      </c>
      <c r="U46" s="61">
        <f t="shared" si="2"/>
        <v>168488404.78999999</v>
      </c>
      <c r="V46" s="61">
        <f t="shared" si="3"/>
        <v>35778340.57</v>
      </c>
    </row>
    <row r="47" spans="1:22">
      <c r="A47" s="96" t="s">
        <v>19</v>
      </c>
      <c r="B47" s="90">
        <v>55166792.810000002</v>
      </c>
      <c r="C47" s="90">
        <v>94141689.230000004</v>
      </c>
      <c r="D47" s="90">
        <v>162461577.43000001</v>
      </c>
      <c r="E47" s="90">
        <v>223698557.25</v>
      </c>
      <c r="F47" s="90">
        <v>51077159.479999997</v>
      </c>
      <c r="G47" s="90">
        <v>441722731.63</v>
      </c>
      <c r="H47" s="90">
        <v>157727077.15000001</v>
      </c>
      <c r="I47" s="90">
        <v>129308372.76000001</v>
      </c>
      <c r="J47" s="90">
        <v>33182416.649999999</v>
      </c>
      <c r="K47" s="90">
        <v>11556548.539999999</v>
      </c>
      <c r="L47" s="90">
        <v>26258352.350000001</v>
      </c>
      <c r="M47" s="90">
        <v>104387523.7</v>
      </c>
      <c r="N47" s="90">
        <v>47767834</v>
      </c>
      <c r="O47" s="90">
        <v>370211658.77999997</v>
      </c>
      <c r="P47" s="90">
        <v>92348831.420000002</v>
      </c>
      <c r="Q47" s="90">
        <v>446026346.50999999</v>
      </c>
      <c r="R47" s="90">
        <v>139060393.50999999</v>
      </c>
      <c r="S47" s="61">
        <f t="shared" si="0"/>
        <v>2586103863.1999998</v>
      </c>
      <c r="T47" s="61">
        <f t="shared" si="1"/>
        <v>11556548.539999999</v>
      </c>
      <c r="U47" s="61">
        <f t="shared" si="2"/>
        <v>446026346.50999999</v>
      </c>
      <c r="V47" s="61">
        <f t="shared" si="3"/>
        <v>104387523.7</v>
      </c>
    </row>
    <row r="48" spans="1:22">
      <c r="A48" s="96" t="s">
        <v>18</v>
      </c>
      <c r="B48" s="90">
        <v>21756229.5</v>
      </c>
      <c r="C48" s="90">
        <v>18367191.109999999</v>
      </c>
      <c r="D48" s="90">
        <v>11679659.76</v>
      </c>
      <c r="E48" s="90">
        <v>41322696.170000002</v>
      </c>
      <c r="F48" s="90">
        <v>22046294.969999999</v>
      </c>
      <c r="G48" s="90">
        <v>123849969.48999999</v>
      </c>
      <c r="H48" s="90">
        <v>31041582.579999998</v>
      </c>
      <c r="I48" s="90">
        <v>25226324.989999998</v>
      </c>
      <c r="J48" s="90">
        <v>15998722.460000001</v>
      </c>
      <c r="K48" s="90">
        <v>3808253.47</v>
      </c>
      <c r="L48" s="90">
        <v>5142430.38</v>
      </c>
      <c r="M48" s="90">
        <v>42119077.829999998</v>
      </c>
      <c r="N48" s="90">
        <v>11998627.470000001</v>
      </c>
      <c r="O48" s="90">
        <v>41012657.420000002</v>
      </c>
      <c r="P48" s="90">
        <v>38114807.189999998</v>
      </c>
      <c r="Q48" s="90">
        <v>26098622.699999999</v>
      </c>
      <c r="R48" s="90">
        <v>42563714.32</v>
      </c>
      <c r="S48" s="61">
        <f t="shared" si="0"/>
        <v>522146861.81</v>
      </c>
      <c r="T48" s="61">
        <f t="shared" si="1"/>
        <v>3808253.47</v>
      </c>
      <c r="U48" s="61">
        <f t="shared" si="2"/>
        <v>123849969.48999999</v>
      </c>
      <c r="V48" s="61">
        <f t="shared" si="3"/>
        <v>25226324.989999998</v>
      </c>
    </row>
    <row r="49" spans="1:22">
      <c r="A49" s="96" t="s">
        <v>17</v>
      </c>
      <c r="B49" s="90">
        <v>20726752.5</v>
      </c>
      <c r="C49" s="90">
        <v>2570988.75</v>
      </c>
      <c r="D49" s="90">
        <v>3068733.41</v>
      </c>
      <c r="E49" s="90">
        <v>30192107.809999999</v>
      </c>
      <c r="F49" s="90">
        <v>28873726.920000002</v>
      </c>
      <c r="G49" s="90">
        <v>156682031.80000001</v>
      </c>
      <c r="H49" s="90">
        <v>15897074.439999999</v>
      </c>
      <c r="I49" s="90">
        <v>56508837.560000002</v>
      </c>
      <c r="J49" s="90">
        <v>5883267.4000000004</v>
      </c>
      <c r="K49" s="90">
        <v>8754356.7200000007</v>
      </c>
      <c r="L49" s="74"/>
      <c r="M49" s="90">
        <v>29741048.030000001</v>
      </c>
      <c r="N49" s="90">
        <v>10127624.5</v>
      </c>
      <c r="O49" s="90">
        <v>53525907.880000003</v>
      </c>
      <c r="P49" s="90">
        <v>28088003.91</v>
      </c>
      <c r="Q49" s="90">
        <v>33605192.420000002</v>
      </c>
      <c r="R49" s="90">
        <v>27737321.140000001</v>
      </c>
      <c r="S49" s="61">
        <f t="shared" si="0"/>
        <v>511982975.19000006</v>
      </c>
      <c r="T49" s="61">
        <f t="shared" si="1"/>
        <v>2570988.75</v>
      </c>
      <c r="U49" s="61">
        <f t="shared" si="2"/>
        <v>156682031.80000001</v>
      </c>
      <c r="V49" s="61">
        <f t="shared" si="3"/>
        <v>27912662.524999999</v>
      </c>
    </row>
    <row r="50" spans="1:22">
      <c r="A50" s="96" t="s">
        <v>16</v>
      </c>
      <c r="B50" s="90">
        <v>28529611.41</v>
      </c>
      <c r="C50" s="90">
        <v>30119746.809999999</v>
      </c>
      <c r="D50" s="90">
        <v>13256074.720000001</v>
      </c>
      <c r="E50" s="90">
        <v>35296714.409999996</v>
      </c>
      <c r="F50" s="90">
        <v>49557282.549999997</v>
      </c>
      <c r="G50" s="90">
        <v>217389772.52000001</v>
      </c>
      <c r="H50" s="90">
        <v>89155356.290000007</v>
      </c>
      <c r="I50" s="90">
        <v>65029718.890000001</v>
      </c>
      <c r="J50" s="90">
        <v>45625700.369999997</v>
      </c>
      <c r="K50" s="90">
        <v>6426834.5300000003</v>
      </c>
      <c r="L50" s="90">
        <v>6433104.3600000003</v>
      </c>
      <c r="M50" s="90">
        <v>97743055.810000002</v>
      </c>
      <c r="N50" s="90">
        <v>12706848.199999999</v>
      </c>
      <c r="O50" s="90">
        <v>114792982.09</v>
      </c>
      <c r="P50" s="90">
        <v>37979101.700000003</v>
      </c>
      <c r="Q50" s="90">
        <v>10311638.26</v>
      </c>
      <c r="R50" s="90">
        <v>99852334.379999995</v>
      </c>
      <c r="S50" s="61">
        <f t="shared" si="0"/>
        <v>960205877.29999995</v>
      </c>
      <c r="T50" s="61">
        <f t="shared" si="1"/>
        <v>6426834.5300000003</v>
      </c>
      <c r="U50" s="61">
        <f t="shared" si="2"/>
        <v>217389772.52000001</v>
      </c>
      <c r="V50" s="61">
        <f t="shared" si="3"/>
        <v>37979101.700000003</v>
      </c>
    </row>
    <row r="51" spans="1:22">
      <c r="A51" s="96" t="s">
        <v>46</v>
      </c>
      <c r="B51" s="90"/>
      <c r="C51" s="90"/>
      <c r="D51" s="74"/>
      <c r="E51" s="90"/>
      <c r="F51" s="90"/>
      <c r="G51" s="90"/>
      <c r="H51" s="90">
        <v>265848870.30000001</v>
      </c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61">
        <f t="shared" si="0"/>
        <v>265848870.30000001</v>
      </c>
      <c r="T51" s="61">
        <f t="shared" si="1"/>
        <v>265848870.30000001</v>
      </c>
      <c r="U51" s="61">
        <f t="shared" si="2"/>
        <v>265848870.30000001</v>
      </c>
      <c r="V51" s="61">
        <f t="shared" si="3"/>
        <v>265848870.30000001</v>
      </c>
    </row>
    <row r="52" spans="1:22">
      <c r="A52" s="96" t="s">
        <v>15</v>
      </c>
      <c r="B52" s="90">
        <v>46181192.369999997</v>
      </c>
      <c r="C52" s="90">
        <v>49238557.780000001</v>
      </c>
      <c r="D52" s="74"/>
      <c r="E52" s="74"/>
      <c r="F52" s="90">
        <v>104382593.09999999</v>
      </c>
      <c r="G52" s="90">
        <v>276043879.97000003</v>
      </c>
      <c r="H52" s="90">
        <v>125574972.75</v>
      </c>
      <c r="I52" s="90">
        <v>359395224.45999998</v>
      </c>
      <c r="J52" s="74"/>
      <c r="K52" s="74"/>
      <c r="L52" s="90">
        <v>28213681.460000001</v>
      </c>
      <c r="M52" s="74"/>
      <c r="N52" s="74"/>
      <c r="O52" s="90">
        <v>120003211.70999999</v>
      </c>
      <c r="P52" s="90">
        <v>331792328.42000002</v>
      </c>
      <c r="Q52" s="90">
        <v>240198742.31</v>
      </c>
      <c r="R52" s="90">
        <v>384706760.56999999</v>
      </c>
      <c r="S52" s="61">
        <f t="shared" si="0"/>
        <v>2065731144.9000001</v>
      </c>
      <c r="T52" s="61">
        <f t="shared" si="1"/>
        <v>28213681.460000001</v>
      </c>
      <c r="U52" s="61">
        <f t="shared" si="2"/>
        <v>384706760.56999999</v>
      </c>
      <c r="V52" s="61">
        <f t="shared" si="3"/>
        <v>125574972.75</v>
      </c>
    </row>
    <row r="53" spans="1:22">
      <c r="A53" s="96" t="s">
        <v>110</v>
      </c>
      <c r="B53" s="90"/>
      <c r="C53" s="90"/>
      <c r="D53" s="74"/>
      <c r="E53" s="74"/>
      <c r="F53" s="90"/>
      <c r="G53" s="90"/>
      <c r="H53" s="90"/>
      <c r="I53" s="74"/>
      <c r="J53" s="74"/>
      <c r="K53" s="74"/>
      <c r="L53" s="90">
        <v>319155.58</v>
      </c>
      <c r="M53" s="74"/>
      <c r="N53" s="74"/>
      <c r="O53" s="90"/>
      <c r="P53" s="90"/>
      <c r="Q53" s="90"/>
      <c r="R53" s="90"/>
      <c r="S53" s="61"/>
      <c r="T53" s="61"/>
      <c r="U53" s="61"/>
      <c r="V53" s="61"/>
    </row>
    <row r="54" spans="1:22">
      <c r="A54" s="96" t="s">
        <v>14</v>
      </c>
      <c r="B54" s="90">
        <v>12030991.199999999</v>
      </c>
      <c r="C54" s="90">
        <v>12338286.300000001</v>
      </c>
      <c r="D54" s="90">
        <v>54570013.009999998</v>
      </c>
      <c r="E54" s="90">
        <v>100370683.73999999</v>
      </c>
      <c r="F54" s="90">
        <v>19381669.41</v>
      </c>
      <c r="G54" s="90">
        <v>138966586.49000001</v>
      </c>
      <c r="H54" s="90">
        <v>23927467.949999999</v>
      </c>
      <c r="I54" s="90">
        <v>73296948.5</v>
      </c>
      <c r="J54" s="90">
        <v>2929499.69</v>
      </c>
      <c r="K54" s="90">
        <v>-8789692.7100000009</v>
      </c>
      <c r="L54" s="90">
        <v>8024415.2599999998</v>
      </c>
      <c r="M54" s="90">
        <v>49356278.380000003</v>
      </c>
      <c r="N54" s="90">
        <v>3885129.49</v>
      </c>
      <c r="O54" s="90">
        <v>97576330.299999997</v>
      </c>
      <c r="P54" s="90">
        <v>46226012.990000002</v>
      </c>
      <c r="Q54" s="90">
        <v>25440656.870000001</v>
      </c>
      <c r="R54" s="90">
        <v>25207394.91</v>
      </c>
      <c r="S54" s="61">
        <f t="shared" si="0"/>
        <v>684738671.77999997</v>
      </c>
      <c r="T54" s="61">
        <f t="shared" si="1"/>
        <v>-8789692.7100000009</v>
      </c>
      <c r="U54" s="61">
        <f t="shared" si="2"/>
        <v>138966586.49000001</v>
      </c>
      <c r="V54" s="61">
        <f t="shared" si="3"/>
        <v>25207394.91</v>
      </c>
    </row>
    <row r="55" spans="1:22">
      <c r="A55" s="96" t="s">
        <v>13</v>
      </c>
      <c r="B55" s="90">
        <v>113973281.17</v>
      </c>
      <c r="C55" s="90">
        <v>98366463.109999999</v>
      </c>
      <c r="D55" s="90">
        <v>254512736.00999999</v>
      </c>
      <c r="E55" s="90">
        <v>92814551.290000007</v>
      </c>
      <c r="F55" s="90">
        <v>260852958.30000001</v>
      </c>
      <c r="G55" s="90">
        <v>513381876.61000001</v>
      </c>
      <c r="H55" s="90">
        <v>82466956.109999999</v>
      </c>
      <c r="I55" s="90">
        <v>182202090.37</v>
      </c>
      <c r="J55" s="90">
        <v>38026921.259999998</v>
      </c>
      <c r="K55" s="90">
        <v>21581139.760000002</v>
      </c>
      <c r="L55" s="74"/>
      <c r="M55" s="90">
        <v>234834456.06</v>
      </c>
      <c r="N55" s="90">
        <v>41207632.159999996</v>
      </c>
      <c r="O55" s="90">
        <v>805935109.75999999</v>
      </c>
      <c r="P55" s="90">
        <v>295383532.30000001</v>
      </c>
      <c r="Q55" s="90">
        <v>351923884.30000001</v>
      </c>
      <c r="R55" s="90">
        <v>414009368.87</v>
      </c>
      <c r="S55" s="61">
        <f t="shared" si="0"/>
        <v>3801472957.4400001</v>
      </c>
      <c r="T55" s="61">
        <f t="shared" si="1"/>
        <v>21581139.760000002</v>
      </c>
      <c r="U55" s="61">
        <f t="shared" si="2"/>
        <v>805935109.75999999</v>
      </c>
      <c r="V55" s="61">
        <f t="shared" si="3"/>
        <v>208518273.215</v>
      </c>
    </row>
    <row r="56" spans="1:22">
      <c r="A56" s="96" t="s">
        <v>12</v>
      </c>
      <c r="B56" s="90">
        <v>84460634.010000005</v>
      </c>
      <c r="C56" s="90">
        <v>57746828.969999999</v>
      </c>
      <c r="D56" s="90">
        <v>199563941.34999999</v>
      </c>
      <c r="E56" s="90">
        <v>218490950.24000001</v>
      </c>
      <c r="F56" s="90">
        <v>150179422.53999999</v>
      </c>
      <c r="G56" s="90">
        <v>331319385.19</v>
      </c>
      <c r="H56" s="90">
        <v>558977.27</v>
      </c>
      <c r="I56" s="90">
        <v>120895806.20999999</v>
      </c>
      <c r="J56" s="90">
        <v>25488529.469999999</v>
      </c>
      <c r="K56" s="90">
        <v>32834423.02</v>
      </c>
      <c r="L56" s="90">
        <v>12492373.529999999</v>
      </c>
      <c r="M56" s="90">
        <v>662777.89</v>
      </c>
      <c r="N56" s="90">
        <v>80663238.609999999</v>
      </c>
      <c r="O56" s="90">
        <v>197606335.69</v>
      </c>
      <c r="P56" s="90">
        <v>160810468.80000001</v>
      </c>
      <c r="Q56" s="90">
        <v>285427355.47000003</v>
      </c>
      <c r="R56" s="90">
        <v>20190315.34</v>
      </c>
      <c r="S56" s="61">
        <f t="shared" si="0"/>
        <v>1979391763.5999999</v>
      </c>
      <c r="T56" s="61">
        <f t="shared" si="1"/>
        <v>558977.27</v>
      </c>
      <c r="U56" s="61">
        <f t="shared" si="2"/>
        <v>331319385.19</v>
      </c>
      <c r="V56" s="61">
        <f t="shared" si="3"/>
        <v>84460634.010000005</v>
      </c>
    </row>
    <row r="57" spans="1:22">
      <c r="A57" s="96" t="s">
        <v>11</v>
      </c>
      <c r="B57" s="90">
        <v>333928533.11000001</v>
      </c>
      <c r="C57" s="90">
        <v>48295533.020000003</v>
      </c>
      <c r="D57" s="90">
        <v>366977635.23000002</v>
      </c>
      <c r="E57" s="90">
        <v>886894069.45000005</v>
      </c>
      <c r="F57" s="90">
        <v>336136868.55000001</v>
      </c>
      <c r="G57" s="90">
        <v>884274207.04999995</v>
      </c>
      <c r="H57" s="90">
        <v>5940381.2300000004</v>
      </c>
      <c r="I57" s="90">
        <v>666667787.95000005</v>
      </c>
      <c r="J57" s="90">
        <v>66063944.619999997</v>
      </c>
      <c r="K57" s="90">
        <v>45541544.729999997</v>
      </c>
      <c r="L57" s="90">
        <v>20790367.52</v>
      </c>
      <c r="M57" s="90">
        <v>10814931.68</v>
      </c>
      <c r="N57" s="90">
        <v>78791048.010000005</v>
      </c>
      <c r="O57" s="90">
        <v>1380947548.1900001</v>
      </c>
      <c r="P57" s="90">
        <v>549469207.89999998</v>
      </c>
      <c r="Q57" s="90">
        <v>992104593.49000001</v>
      </c>
      <c r="R57" s="90">
        <v>87519499.909999996</v>
      </c>
      <c r="S57" s="61">
        <f t="shared" si="0"/>
        <v>6761157701.6399994</v>
      </c>
      <c r="T57" s="61">
        <f t="shared" si="1"/>
        <v>5940381.2300000004</v>
      </c>
      <c r="U57" s="61">
        <f t="shared" si="2"/>
        <v>1380947548.1900001</v>
      </c>
      <c r="V57" s="61">
        <f t="shared" si="3"/>
        <v>333928533.11000001</v>
      </c>
    </row>
    <row r="58" spans="1:22">
      <c r="A58" s="96" t="s">
        <v>10</v>
      </c>
      <c r="B58" s="90">
        <v>57888435.270000003</v>
      </c>
      <c r="C58" s="90">
        <v>45782716.770000003</v>
      </c>
      <c r="D58" s="90">
        <v>41444500.689999998</v>
      </c>
      <c r="E58" s="90">
        <v>21424416.68</v>
      </c>
      <c r="F58" s="90">
        <v>183625682.91</v>
      </c>
      <c r="G58" s="90">
        <v>985835381.42999995</v>
      </c>
      <c r="H58" s="90">
        <v>37431236.369999997</v>
      </c>
      <c r="I58" s="90">
        <v>46747027.539999999</v>
      </c>
      <c r="J58" s="90">
        <v>10573407.050000001</v>
      </c>
      <c r="K58" s="90">
        <v>11973744.99</v>
      </c>
      <c r="L58" s="90">
        <v>7361009.6399999997</v>
      </c>
      <c r="M58" s="90">
        <v>174921578.58000001</v>
      </c>
      <c r="N58" s="90">
        <v>45633977.359999999</v>
      </c>
      <c r="O58" s="90">
        <v>65081503.630000003</v>
      </c>
      <c r="P58" s="90">
        <v>78005965.780000001</v>
      </c>
      <c r="Q58" s="90">
        <v>17097963.609999999</v>
      </c>
      <c r="R58" s="90">
        <v>76202566.700000003</v>
      </c>
      <c r="S58" s="61">
        <f t="shared" si="0"/>
        <v>1907031114.9999998</v>
      </c>
      <c r="T58" s="61">
        <f t="shared" si="1"/>
        <v>7361009.6399999997</v>
      </c>
      <c r="U58" s="61">
        <f t="shared" si="2"/>
        <v>985835381.42999995</v>
      </c>
      <c r="V58" s="61">
        <f t="shared" si="3"/>
        <v>45782716.770000003</v>
      </c>
    </row>
    <row r="59" spans="1:22">
      <c r="A59" s="96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61"/>
      <c r="T59" s="61"/>
      <c r="U59" s="61"/>
      <c r="V59" s="61"/>
    </row>
    <row r="60" spans="1:22" ht="19.5" thickBot="1">
      <c r="A60" s="120" t="s">
        <v>214</v>
      </c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93"/>
      <c r="T60" s="93"/>
      <c r="U60" s="93"/>
      <c r="V60" s="93"/>
    </row>
    <row r="61" spans="1:22">
      <c r="A61" s="96" t="s">
        <v>205</v>
      </c>
      <c r="B61" s="90">
        <f>B62-B63</f>
        <v>1338000000</v>
      </c>
      <c r="C61" s="90">
        <f t="shared" ref="C61:R61" si="12">C62-C63</f>
        <v>862129000</v>
      </c>
      <c r="D61" s="90">
        <f t="shared" si="12"/>
        <v>1057000000</v>
      </c>
      <c r="E61" s="90">
        <f t="shared" si="12"/>
        <v>2339000000</v>
      </c>
      <c r="F61" s="90">
        <f t="shared" si="12"/>
        <v>1279000000</v>
      </c>
      <c r="G61" s="90">
        <f t="shared" si="12"/>
        <v>3776000000</v>
      </c>
      <c r="H61" s="90">
        <f t="shared" si="12"/>
        <v>194000000</v>
      </c>
      <c r="I61" s="90">
        <f t="shared" si="12"/>
        <v>2176000000</v>
      </c>
      <c r="J61" s="90">
        <f t="shared" si="12"/>
        <v>348700000</v>
      </c>
      <c r="K61" s="90">
        <f t="shared" si="12"/>
        <v>229930000</v>
      </c>
      <c r="L61" s="90">
        <f t="shared" si="12"/>
        <v>151000000</v>
      </c>
      <c r="M61" s="90">
        <f t="shared" si="12"/>
        <v>457000000</v>
      </c>
      <c r="N61" s="90">
        <f t="shared" si="12"/>
        <v>785063000</v>
      </c>
      <c r="O61" s="90">
        <f t="shared" si="12"/>
        <v>2118000000</v>
      </c>
      <c r="P61" s="90">
        <f t="shared" si="12"/>
        <v>1117000000</v>
      </c>
      <c r="Q61" s="90">
        <f t="shared" si="12"/>
        <v>2311000000</v>
      </c>
      <c r="R61" s="90">
        <f t="shared" si="12"/>
        <v>1300000000</v>
      </c>
      <c r="S61" s="61">
        <f t="shared" ref="S61" si="13">SUM(B61:R61)</f>
        <v>21838822000</v>
      </c>
      <c r="T61" s="61">
        <f t="shared" ref="T61" si="14">MIN(B61:R61)</f>
        <v>151000000</v>
      </c>
      <c r="U61" s="61">
        <f t="shared" ref="U61" si="15">MAX(B61:R61)</f>
        <v>3776000000</v>
      </c>
      <c r="V61" s="61">
        <f t="shared" ref="V61" si="16">MEDIAN(B61:R61)</f>
        <v>1117000000</v>
      </c>
    </row>
    <row r="62" spans="1:22">
      <c r="A62" s="107" t="s">
        <v>206</v>
      </c>
      <c r="B62" s="76">
        <v>6828000000</v>
      </c>
      <c r="C62" s="76">
        <v>3293489000</v>
      </c>
      <c r="D62" s="76">
        <v>4730000000</v>
      </c>
      <c r="E62" s="76">
        <v>12188000000</v>
      </c>
      <c r="F62" s="76">
        <v>8791000000</v>
      </c>
      <c r="G62" s="76">
        <v>19624000000</v>
      </c>
      <c r="H62" s="76">
        <v>5636000000</v>
      </c>
      <c r="I62" s="76">
        <v>15303000000</v>
      </c>
      <c r="J62" s="76">
        <v>1579900000</v>
      </c>
      <c r="K62" s="76">
        <v>1185848000</v>
      </c>
      <c r="L62" s="76">
        <v>1646000000</v>
      </c>
      <c r="M62" s="76">
        <v>8422000000</v>
      </c>
      <c r="N62" s="76">
        <v>2979177000</v>
      </c>
      <c r="O62" s="76">
        <v>15035000000</v>
      </c>
      <c r="P62" s="76">
        <v>6626000000</v>
      </c>
      <c r="Q62" s="76">
        <v>11851000000</v>
      </c>
      <c r="R62" s="76">
        <v>11220000000</v>
      </c>
      <c r="S62" s="19">
        <f t="shared" si="0"/>
        <v>136938414000</v>
      </c>
      <c r="T62" s="19">
        <f t="shared" si="1"/>
        <v>1185848000</v>
      </c>
      <c r="U62" s="19">
        <f t="shared" si="2"/>
        <v>19624000000</v>
      </c>
      <c r="V62" s="19">
        <f t="shared" si="3"/>
        <v>6828000000</v>
      </c>
    </row>
    <row r="63" spans="1:22">
      <c r="A63" s="107" t="s">
        <v>207</v>
      </c>
      <c r="B63" s="76">
        <v>5490000000</v>
      </c>
      <c r="C63" s="76">
        <v>2431360000</v>
      </c>
      <c r="D63" s="76">
        <v>3673000000</v>
      </c>
      <c r="E63" s="76">
        <v>9849000000</v>
      </c>
      <c r="F63" s="76">
        <v>7512000000</v>
      </c>
      <c r="G63" s="76">
        <v>15848000000</v>
      </c>
      <c r="H63" s="76">
        <v>5442000000</v>
      </c>
      <c r="I63" s="76">
        <v>13127000000</v>
      </c>
      <c r="J63" s="76">
        <v>1231200000</v>
      </c>
      <c r="K63" s="76">
        <v>955918000</v>
      </c>
      <c r="L63" s="76">
        <v>1495000000</v>
      </c>
      <c r="M63" s="76">
        <v>7965000000</v>
      </c>
      <c r="N63" s="76">
        <v>2194114000</v>
      </c>
      <c r="O63" s="76">
        <v>12917000000</v>
      </c>
      <c r="P63" s="76">
        <v>5509000000</v>
      </c>
      <c r="Q63" s="76">
        <v>9540000000</v>
      </c>
      <c r="R63" s="76">
        <v>9920000000</v>
      </c>
      <c r="S63" s="19">
        <f t="shared" si="0"/>
        <v>115099592000</v>
      </c>
      <c r="T63" s="19">
        <f t="shared" si="1"/>
        <v>955918000</v>
      </c>
      <c r="U63" s="19">
        <f t="shared" si="2"/>
        <v>15848000000</v>
      </c>
      <c r="V63" s="19">
        <f t="shared" si="3"/>
        <v>5509000000</v>
      </c>
    </row>
    <row r="64" spans="1:22">
      <c r="A64" s="97" t="s">
        <v>208</v>
      </c>
      <c r="B64" s="76">
        <v>21835000000</v>
      </c>
      <c r="C64" s="76">
        <v>13242542000</v>
      </c>
      <c r="D64" s="76">
        <v>21900000000</v>
      </c>
      <c r="E64" s="76">
        <v>41209000000</v>
      </c>
      <c r="F64" s="76">
        <v>26339000000</v>
      </c>
      <c r="G64" s="76">
        <v>113856000000</v>
      </c>
      <c r="H64" s="76">
        <v>40970000000</v>
      </c>
      <c r="I64" s="76">
        <v>50406000000</v>
      </c>
      <c r="J64" s="76">
        <v>6703800000</v>
      </c>
      <c r="K64" s="76">
        <v>4821800000</v>
      </c>
      <c r="L64" s="76">
        <v>6006000000</v>
      </c>
      <c r="M64" s="76">
        <v>35110000000</v>
      </c>
      <c r="N64" s="76">
        <v>11984136000</v>
      </c>
      <c r="O64" s="76">
        <v>49242000000</v>
      </c>
      <c r="P64" s="76">
        <v>19223000000</v>
      </c>
      <c r="Q64" s="76">
        <v>44034000000</v>
      </c>
      <c r="R64" s="76">
        <v>47334000000</v>
      </c>
      <c r="S64" s="19">
        <f t="shared" si="0"/>
        <v>554216278000</v>
      </c>
      <c r="T64" s="19">
        <f t="shared" si="1"/>
        <v>4821800000</v>
      </c>
      <c r="U64" s="19">
        <f t="shared" si="2"/>
        <v>113856000000</v>
      </c>
      <c r="V64" s="19">
        <f t="shared" si="3"/>
        <v>26339000000</v>
      </c>
    </row>
    <row r="65" spans="1:22">
      <c r="A65" s="97" t="s">
        <v>209</v>
      </c>
      <c r="B65" s="98">
        <v>3300000</v>
      </c>
      <c r="C65" s="99">
        <v>1145232</v>
      </c>
      <c r="D65" s="99">
        <v>1900000</v>
      </c>
      <c r="E65" s="75">
        <v>4800000</v>
      </c>
      <c r="F65" s="75">
        <v>3300000</v>
      </c>
      <c r="G65" s="75">
        <v>7700000</v>
      </c>
      <c r="H65" s="75">
        <v>1750000</v>
      </c>
      <c r="I65" s="75">
        <v>2600000</v>
      </c>
      <c r="J65" s="75">
        <v>511800</v>
      </c>
      <c r="K65" s="75">
        <v>1100000</v>
      </c>
      <c r="L65" s="75">
        <v>394585</v>
      </c>
      <c r="M65" s="75">
        <f>2088000+122000</f>
        <v>2210000</v>
      </c>
      <c r="N65" s="75">
        <f>850000+324000+153000</f>
        <v>1327000</v>
      </c>
      <c r="O65" s="75">
        <v>9400000</v>
      </c>
      <c r="P65" s="75">
        <v>4000000</v>
      </c>
      <c r="Q65" s="75">
        <v>5000000</v>
      </c>
      <c r="R65" s="75">
        <v>9000000</v>
      </c>
      <c r="S65" s="61">
        <f>SUM(B65:R65)</f>
        <v>59438617</v>
      </c>
      <c r="T65" s="61">
        <f t="shared" ref="T65:T67" si="17">MIN(B65:R65)</f>
        <v>394585</v>
      </c>
      <c r="U65" s="61">
        <f t="shared" ref="U65:U67" si="18">MAX(B65:R65)</f>
        <v>9400000</v>
      </c>
      <c r="V65" s="61">
        <f t="shared" ref="V65:V67" si="19">MEDIAN(B65:R65)</f>
        <v>2600000</v>
      </c>
    </row>
    <row r="66" spans="1:22">
      <c r="A66" s="97" t="s">
        <v>210</v>
      </c>
      <c r="B66" s="98">
        <v>99971000</v>
      </c>
      <c r="C66" s="75">
        <v>32448000</v>
      </c>
      <c r="D66" s="75">
        <v>57083000</v>
      </c>
      <c r="E66" s="75">
        <f>57201000+5731000</f>
        <v>62932000</v>
      </c>
      <c r="F66" s="75">
        <v>48642000</v>
      </c>
      <c r="G66" s="75">
        <v>236116000</v>
      </c>
      <c r="H66" s="75">
        <v>70490000</v>
      </c>
      <c r="I66" s="75">
        <v>99700000</v>
      </c>
      <c r="J66" s="75">
        <v>21979000</v>
      </c>
      <c r="K66" s="100"/>
      <c r="L66" s="101">
        <v>18734335</v>
      </c>
      <c r="M66" s="75">
        <f>53451000+5734000</f>
        <v>59185000</v>
      </c>
      <c r="N66" s="75">
        <v>29185000</v>
      </c>
      <c r="O66" s="75">
        <v>86113000</v>
      </c>
      <c r="P66" s="75">
        <v>41641000</v>
      </c>
      <c r="Q66" s="75">
        <v>88215000</v>
      </c>
      <c r="R66" s="75">
        <v>165255000</v>
      </c>
      <c r="S66" s="61">
        <f>SUM(B66:R66)</f>
        <v>1217689335</v>
      </c>
      <c r="T66" s="61">
        <f t="shared" si="17"/>
        <v>18734335</v>
      </c>
      <c r="U66" s="61">
        <f t="shared" si="18"/>
        <v>236116000</v>
      </c>
      <c r="V66" s="61">
        <f t="shared" si="19"/>
        <v>61058500</v>
      </c>
    </row>
    <row r="67" spans="1:22">
      <c r="A67" s="97" t="s">
        <v>211</v>
      </c>
      <c r="B67" s="98">
        <v>9097</v>
      </c>
      <c r="C67" s="75">
        <v>6613</v>
      </c>
      <c r="D67" s="102">
        <v>6194</v>
      </c>
      <c r="E67" s="75">
        <f>13130+1096+303</f>
        <v>14529</v>
      </c>
      <c r="F67" s="75">
        <v>9973</v>
      </c>
      <c r="G67" s="75">
        <v>27780</v>
      </c>
      <c r="H67" s="75">
        <v>9100</v>
      </c>
      <c r="I67" s="75">
        <v>16495</v>
      </c>
      <c r="J67" s="75">
        <v>3090</v>
      </c>
      <c r="K67" s="75">
        <v>2000</v>
      </c>
      <c r="L67" s="75">
        <v>2361</v>
      </c>
      <c r="M67" s="75">
        <v>8792</v>
      </c>
      <c r="N67" s="75">
        <v>2699</v>
      </c>
      <c r="O67" s="75">
        <v>20593</v>
      </c>
      <c r="P67" s="75">
        <v>9798</v>
      </c>
      <c r="Q67" s="75">
        <v>16515</v>
      </c>
      <c r="R67" s="75">
        <v>12762</v>
      </c>
      <c r="S67" s="61">
        <f>SUM(B67:R67)</f>
        <v>178391</v>
      </c>
      <c r="T67" s="61">
        <f t="shared" si="17"/>
        <v>2000</v>
      </c>
      <c r="U67" s="61">
        <f t="shared" si="18"/>
        <v>27780</v>
      </c>
      <c r="V67" s="61">
        <f t="shared" si="19"/>
        <v>9100</v>
      </c>
    </row>
    <row r="68" spans="1:22">
      <c r="A68" s="97"/>
      <c r="B68" s="98"/>
      <c r="C68" s="75"/>
      <c r="D68" s="102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61"/>
      <c r="T68" s="61"/>
      <c r="U68" s="61"/>
      <c r="V68" s="61"/>
    </row>
    <row r="69" spans="1:22" ht="19.5" thickBot="1">
      <c r="A69" s="103" t="s">
        <v>212</v>
      </c>
      <c r="B69" s="104"/>
      <c r="C69" s="89"/>
      <c r="D69" s="105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93"/>
      <c r="T69" s="93"/>
      <c r="U69" s="93"/>
      <c r="V69" s="93"/>
    </row>
    <row r="70" spans="1:22">
      <c r="A70" s="97" t="s">
        <v>61</v>
      </c>
      <c r="B70" s="75">
        <v>9585.6</v>
      </c>
      <c r="C70" s="81">
        <v>1753.1</v>
      </c>
      <c r="D70" s="81"/>
      <c r="E70" s="74"/>
      <c r="F70" s="106">
        <v>7301.12</v>
      </c>
      <c r="G70" s="106">
        <v>21279.07</v>
      </c>
      <c r="H70" s="74"/>
      <c r="I70" s="106">
        <v>14793.28</v>
      </c>
      <c r="J70" s="106">
        <v>2759.94</v>
      </c>
      <c r="K70" s="106">
        <v>1185.9000000000001</v>
      </c>
      <c r="L70" s="106">
        <v>490</v>
      </c>
      <c r="M70" s="106">
        <v>7717.22</v>
      </c>
      <c r="N70" s="106">
        <v>895.38</v>
      </c>
      <c r="O70" s="98"/>
      <c r="P70" s="74"/>
      <c r="Q70" s="106">
        <v>739.2</v>
      </c>
      <c r="R70" s="106">
        <v>15028</v>
      </c>
      <c r="S70" s="61">
        <f t="shared" si="0"/>
        <v>83527.81</v>
      </c>
      <c r="T70" s="61">
        <f t="shared" si="1"/>
        <v>490</v>
      </c>
      <c r="U70" s="61">
        <f t="shared" si="2"/>
        <v>21279.07</v>
      </c>
      <c r="V70" s="61">
        <f t="shared" si="3"/>
        <v>5030.5300000000007</v>
      </c>
    </row>
    <row r="71" spans="1:22">
      <c r="A71" s="97" t="s">
        <v>62</v>
      </c>
      <c r="B71" s="75">
        <v>1240</v>
      </c>
      <c r="C71" s="106">
        <v>1145.67</v>
      </c>
      <c r="D71" s="106"/>
      <c r="E71" s="74"/>
      <c r="F71" s="106">
        <v>1120</v>
      </c>
      <c r="G71" s="106">
        <v>7316.44</v>
      </c>
      <c r="H71" s="74"/>
      <c r="I71" s="106">
        <v>2723.01</v>
      </c>
      <c r="J71" s="106">
        <v>566.35</v>
      </c>
      <c r="K71" s="106"/>
      <c r="L71" s="106">
        <v>635</v>
      </c>
      <c r="M71" s="106">
        <v>1126.4000000000001</v>
      </c>
      <c r="N71" s="74"/>
      <c r="O71" s="106">
        <v>2240</v>
      </c>
      <c r="P71" s="74"/>
      <c r="Q71" s="106">
        <v>2303.56</v>
      </c>
      <c r="R71" s="106">
        <v>6912.6</v>
      </c>
      <c r="S71" s="61">
        <f t="shared" si="0"/>
        <v>27329.030000000006</v>
      </c>
      <c r="T71" s="61">
        <f t="shared" si="1"/>
        <v>566.35</v>
      </c>
      <c r="U71" s="61">
        <f t="shared" si="2"/>
        <v>7316.44</v>
      </c>
      <c r="V71" s="61">
        <f t="shared" si="3"/>
        <v>1240</v>
      </c>
    </row>
    <row r="72" spans="1:22">
      <c r="A72" s="97" t="s">
        <v>63</v>
      </c>
      <c r="B72" s="75">
        <v>4526.8</v>
      </c>
      <c r="C72" s="106">
        <v>3494.99</v>
      </c>
      <c r="D72" s="106">
        <v>1035.5</v>
      </c>
      <c r="E72" s="74">
        <v>355.2</v>
      </c>
      <c r="F72" s="106">
        <v>2198.29</v>
      </c>
      <c r="G72" s="106">
        <v>16983.96</v>
      </c>
      <c r="H72" s="74"/>
      <c r="I72" s="106">
        <v>1447</v>
      </c>
      <c r="J72" s="106">
        <v>936</v>
      </c>
      <c r="K72" s="106">
        <v>1718</v>
      </c>
      <c r="L72" s="106"/>
      <c r="M72" s="106">
        <v>12690.63</v>
      </c>
      <c r="N72" s="106">
        <v>5443.52</v>
      </c>
      <c r="O72" s="106">
        <v>1421.8</v>
      </c>
      <c r="P72" s="74"/>
      <c r="Q72" s="106">
        <v>1288</v>
      </c>
      <c r="R72" s="106">
        <v>10675.8</v>
      </c>
      <c r="S72" s="61">
        <f t="shared" si="0"/>
        <v>64215.490000000005</v>
      </c>
      <c r="T72" s="61">
        <f t="shared" si="1"/>
        <v>355.2</v>
      </c>
      <c r="U72" s="61">
        <f t="shared" si="2"/>
        <v>16983.96</v>
      </c>
      <c r="V72" s="61">
        <f t="shared" si="3"/>
        <v>1958.145</v>
      </c>
    </row>
    <row r="73" spans="1:22">
      <c r="A73" s="97" t="s">
        <v>64</v>
      </c>
      <c r="B73" s="75">
        <v>456</v>
      </c>
      <c r="C73" s="106">
        <v>19</v>
      </c>
      <c r="D73" s="106">
        <v>180.5</v>
      </c>
      <c r="E73" s="106">
        <v>435.3</v>
      </c>
      <c r="F73" s="106">
        <v>322.39999999999998</v>
      </c>
      <c r="G73" s="106">
        <v>1967.89</v>
      </c>
      <c r="H73" s="74"/>
      <c r="I73" s="106">
        <v>212</v>
      </c>
      <c r="J73" s="106">
        <v>522</v>
      </c>
      <c r="K73" s="98">
        <v>204</v>
      </c>
      <c r="L73" s="106">
        <v>2142</v>
      </c>
      <c r="M73" s="106">
        <v>3815.8</v>
      </c>
      <c r="N73" s="106">
        <v>11.4</v>
      </c>
      <c r="O73" s="106">
        <v>0.59</v>
      </c>
      <c r="P73" s="74"/>
      <c r="Q73" s="106">
        <v>9.3000000000000007</v>
      </c>
      <c r="R73" s="106">
        <v>26.6</v>
      </c>
      <c r="S73" s="61">
        <f t="shared" si="0"/>
        <v>10324.779999999999</v>
      </c>
      <c r="T73" s="61">
        <f t="shared" si="1"/>
        <v>0.59</v>
      </c>
      <c r="U73" s="61">
        <f t="shared" si="2"/>
        <v>3815.8</v>
      </c>
      <c r="V73" s="61">
        <f t="shared" si="3"/>
        <v>212</v>
      </c>
    </row>
    <row r="74" spans="1:22">
      <c r="A74" s="97" t="s">
        <v>65</v>
      </c>
      <c r="B74" s="75">
        <v>828</v>
      </c>
      <c r="C74" s="74"/>
      <c r="D74" s="106">
        <v>11123.5</v>
      </c>
      <c r="E74" s="74"/>
      <c r="F74" s="106">
        <v>917.28</v>
      </c>
      <c r="G74" s="106">
        <v>3437.35</v>
      </c>
      <c r="H74" s="74"/>
      <c r="I74" s="106">
        <v>1965.81</v>
      </c>
      <c r="J74" s="74"/>
      <c r="K74" s="98">
        <v>299.89999999999998</v>
      </c>
      <c r="L74" s="106">
        <v>891.8</v>
      </c>
      <c r="M74" s="74"/>
      <c r="N74" s="106">
        <v>7.5</v>
      </c>
      <c r="O74" s="106">
        <v>3835.41</v>
      </c>
      <c r="P74" s="74"/>
      <c r="Q74" s="106">
        <v>1138.92</v>
      </c>
      <c r="R74" s="106">
        <v>5505.8</v>
      </c>
      <c r="S74" s="61">
        <f t="shared" si="0"/>
        <v>29951.27</v>
      </c>
      <c r="T74" s="61">
        <f t="shared" si="1"/>
        <v>7.5</v>
      </c>
      <c r="U74" s="61">
        <f t="shared" si="2"/>
        <v>11123.5</v>
      </c>
      <c r="V74" s="61">
        <f t="shared" si="3"/>
        <v>1138.92</v>
      </c>
    </row>
    <row r="75" spans="1:22">
      <c r="A75" s="97" t="s">
        <v>66</v>
      </c>
      <c r="B75" s="75">
        <v>13.8</v>
      </c>
      <c r="C75" s="106">
        <v>78.239999999999995</v>
      </c>
      <c r="D75" s="106"/>
      <c r="E75" s="106">
        <v>80.209999999999994</v>
      </c>
      <c r="F75" s="106">
        <v>343.64</v>
      </c>
      <c r="G75" s="106">
        <v>1687.55</v>
      </c>
      <c r="H75" s="74"/>
      <c r="I75" s="106">
        <v>1</v>
      </c>
      <c r="J75" s="106">
        <v>148</v>
      </c>
      <c r="K75" s="106"/>
      <c r="L75" s="106"/>
      <c r="M75" s="106">
        <v>693.16</v>
      </c>
      <c r="N75" s="106">
        <v>0.25</v>
      </c>
      <c r="O75" s="106">
        <v>102.56</v>
      </c>
      <c r="P75" s="106">
        <v>29.29</v>
      </c>
      <c r="Q75" s="106">
        <v>68.5</v>
      </c>
      <c r="R75" s="106">
        <v>2.1</v>
      </c>
      <c r="S75" s="61">
        <f t="shared" si="0"/>
        <v>3248.2999999999997</v>
      </c>
      <c r="T75" s="61">
        <f t="shared" si="1"/>
        <v>0.25</v>
      </c>
      <c r="U75" s="61">
        <f t="shared" si="2"/>
        <v>1687.55</v>
      </c>
      <c r="V75" s="61">
        <f t="shared" si="3"/>
        <v>78.239999999999995</v>
      </c>
    </row>
    <row r="76" spans="1:22">
      <c r="A76" s="97" t="s">
        <v>67</v>
      </c>
      <c r="B76" s="75">
        <f t="shared" ref="B76:G76" si="20">SUM(B70:B75)</f>
        <v>16650.2</v>
      </c>
      <c r="C76" s="75">
        <f t="shared" si="20"/>
        <v>6491</v>
      </c>
      <c r="D76" s="75">
        <f t="shared" si="20"/>
        <v>12339.5</v>
      </c>
      <c r="E76" s="75">
        <f t="shared" si="20"/>
        <v>870.71</v>
      </c>
      <c r="F76" s="75">
        <f t="shared" si="20"/>
        <v>12202.73</v>
      </c>
      <c r="G76" s="75">
        <f t="shared" si="20"/>
        <v>52672.26</v>
      </c>
      <c r="H76" s="74">
        <v>16246</v>
      </c>
      <c r="I76" s="82">
        <f t="shared" ref="I76" si="21">SUM(I70:I75)</f>
        <v>21142.100000000002</v>
      </c>
      <c r="J76" s="82">
        <f>SUM(J70:J75)</f>
        <v>4932.29</v>
      </c>
      <c r="K76" s="82">
        <f t="shared" ref="K76:L76" si="22">SUM(K70:K75)</f>
        <v>3407.8</v>
      </c>
      <c r="L76" s="82">
        <f t="shared" si="22"/>
        <v>4158.8</v>
      </c>
      <c r="M76" s="82">
        <f t="shared" ref="M76" si="23">SUM(M70:M75)</f>
        <v>26043.21</v>
      </c>
      <c r="N76" s="82">
        <f t="shared" ref="N76" si="24">SUM(N70:N75)</f>
        <v>6358.05</v>
      </c>
      <c r="O76" s="82">
        <f t="shared" ref="O76" si="25">SUM(O70:O75)</f>
        <v>7600.3600000000006</v>
      </c>
      <c r="P76" s="82">
        <f t="shared" ref="P76" si="26">SUM(P70:P75)</f>
        <v>29.29</v>
      </c>
      <c r="Q76" s="82">
        <f t="shared" ref="Q76" si="27">SUM(Q70:Q75)</f>
        <v>5547.4800000000005</v>
      </c>
      <c r="R76" s="82">
        <f t="shared" ref="R76" si="28">SUM(R70:R75)</f>
        <v>38150.899999999994</v>
      </c>
      <c r="S76" s="61">
        <f t="shared" si="0"/>
        <v>234842.67999999996</v>
      </c>
      <c r="T76" s="61">
        <f t="shared" si="1"/>
        <v>29.29</v>
      </c>
      <c r="U76" s="61">
        <f t="shared" si="2"/>
        <v>52672.26</v>
      </c>
      <c r="V76" s="61">
        <f t="shared" si="3"/>
        <v>7600.3600000000006</v>
      </c>
    </row>
    <row r="77" spans="1:22">
      <c r="A77" s="97"/>
      <c r="B77" s="75"/>
      <c r="C77" s="75"/>
      <c r="D77" s="75"/>
      <c r="E77" s="75"/>
      <c r="F77" s="75"/>
      <c r="G77" s="75"/>
      <c r="H77" s="74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61"/>
      <c r="T77" s="61"/>
      <c r="U77" s="61"/>
      <c r="V77" s="61"/>
    </row>
    <row r="78" spans="1:22">
      <c r="A78" s="97"/>
      <c r="B78" s="75"/>
      <c r="C78" s="75"/>
      <c r="D78" s="75"/>
      <c r="E78" s="75"/>
      <c r="F78" s="75"/>
      <c r="G78" s="75"/>
      <c r="H78" s="74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61"/>
      <c r="T78" s="61"/>
      <c r="U78" s="61"/>
      <c r="V78" s="61"/>
    </row>
    <row r="79" spans="1:22">
      <c r="A79" s="97" t="s">
        <v>68</v>
      </c>
      <c r="B79" s="75">
        <v>55414530</v>
      </c>
      <c r="C79" s="98">
        <v>11801172</v>
      </c>
      <c r="D79" s="98"/>
      <c r="E79" s="74"/>
      <c r="F79" s="98">
        <v>32852216</v>
      </c>
      <c r="G79" s="98">
        <v>86461826</v>
      </c>
      <c r="H79" s="74"/>
      <c r="I79" s="98">
        <v>68828699</v>
      </c>
      <c r="J79" s="98">
        <v>17099085</v>
      </c>
      <c r="K79" s="98">
        <v>5286446</v>
      </c>
      <c r="L79" s="98"/>
      <c r="M79" s="98">
        <v>38141648</v>
      </c>
      <c r="N79" s="98">
        <v>3561263</v>
      </c>
      <c r="O79" s="98"/>
      <c r="P79" s="74"/>
      <c r="Q79" s="98">
        <v>4836968</v>
      </c>
      <c r="R79" s="98">
        <v>63800982</v>
      </c>
      <c r="S79" s="61">
        <f t="shared" si="0"/>
        <v>388084835</v>
      </c>
      <c r="T79" s="61">
        <f t="shared" si="1"/>
        <v>3561263</v>
      </c>
      <c r="U79" s="61">
        <f t="shared" si="2"/>
        <v>86461826</v>
      </c>
      <c r="V79" s="61">
        <f t="shared" si="3"/>
        <v>32852216</v>
      </c>
    </row>
    <row r="80" spans="1:22">
      <c r="A80" s="97" t="s">
        <v>69</v>
      </c>
      <c r="B80" s="98">
        <v>10718329</v>
      </c>
      <c r="C80" s="98">
        <v>9292770</v>
      </c>
      <c r="D80" s="98"/>
      <c r="E80" s="74"/>
      <c r="F80" s="98">
        <v>5122292</v>
      </c>
      <c r="G80" s="98">
        <v>53499054</v>
      </c>
      <c r="H80" s="74"/>
      <c r="I80" s="98">
        <v>21374048</v>
      </c>
      <c r="J80" s="98">
        <v>3893914</v>
      </c>
      <c r="K80" s="98"/>
      <c r="L80" s="98"/>
      <c r="M80" s="98">
        <v>8159401</v>
      </c>
      <c r="N80" s="74"/>
      <c r="O80" s="98">
        <v>17712468</v>
      </c>
      <c r="P80" s="74"/>
      <c r="Q80" s="98">
        <v>5667282</v>
      </c>
      <c r="R80" s="98">
        <v>51180336</v>
      </c>
      <c r="S80" s="61">
        <f t="shared" si="0"/>
        <v>186619894</v>
      </c>
      <c r="T80" s="61">
        <f t="shared" si="1"/>
        <v>3893914</v>
      </c>
      <c r="U80" s="61">
        <f t="shared" si="2"/>
        <v>53499054</v>
      </c>
      <c r="V80" s="61">
        <f t="shared" si="3"/>
        <v>10005549.5</v>
      </c>
    </row>
    <row r="81" spans="1:22">
      <c r="A81" s="97" t="s">
        <v>70</v>
      </c>
      <c r="B81" s="98">
        <v>1924529</v>
      </c>
      <c r="C81" s="98">
        <v>7308860</v>
      </c>
      <c r="D81" s="98"/>
      <c r="E81" s="98">
        <v>2331584</v>
      </c>
      <c r="F81" s="98">
        <v>1014016</v>
      </c>
      <c r="G81" s="98">
        <v>41594078</v>
      </c>
      <c r="H81" s="74"/>
      <c r="I81" s="98">
        <v>3315881</v>
      </c>
      <c r="J81" s="98">
        <v>284667</v>
      </c>
      <c r="K81" s="98">
        <v>4283111</v>
      </c>
      <c r="L81" s="98"/>
      <c r="M81" s="98">
        <v>15781210</v>
      </c>
      <c r="N81" s="98">
        <v>18316581</v>
      </c>
      <c r="O81" s="98">
        <v>6284856</v>
      </c>
      <c r="P81" s="74"/>
      <c r="Q81" s="98">
        <v>6679718</v>
      </c>
      <c r="R81" s="98">
        <v>21449676</v>
      </c>
      <c r="S81" s="61">
        <f t="shared" si="0"/>
        <v>130568767</v>
      </c>
      <c r="T81" s="61">
        <f t="shared" si="1"/>
        <v>284667</v>
      </c>
      <c r="U81" s="61">
        <f t="shared" si="2"/>
        <v>41594078</v>
      </c>
      <c r="V81" s="61">
        <f t="shared" si="3"/>
        <v>6284856</v>
      </c>
    </row>
    <row r="82" spans="1:22">
      <c r="A82" s="97" t="s">
        <v>71</v>
      </c>
      <c r="B82" s="98">
        <v>4492</v>
      </c>
      <c r="C82" s="98">
        <v>131</v>
      </c>
      <c r="D82" s="98"/>
      <c r="E82" s="98">
        <v>746231</v>
      </c>
      <c r="F82" s="98">
        <v>2908</v>
      </c>
      <c r="G82" s="98">
        <v>1149287</v>
      </c>
      <c r="H82" s="74"/>
      <c r="I82" s="98">
        <v>1540</v>
      </c>
      <c r="J82" s="98">
        <v>0</v>
      </c>
      <c r="K82" s="98"/>
      <c r="L82" s="98"/>
      <c r="M82" s="106">
        <v>4188.72</v>
      </c>
      <c r="N82" s="98">
        <v>0</v>
      </c>
      <c r="O82" s="98">
        <v>0</v>
      </c>
      <c r="P82" s="74"/>
      <c r="Q82" s="98">
        <v>27077</v>
      </c>
      <c r="R82" s="98"/>
      <c r="S82" s="61">
        <f t="shared" si="0"/>
        <v>1935854.72</v>
      </c>
      <c r="T82" s="61">
        <f t="shared" si="1"/>
        <v>0</v>
      </c>
      <c r="U82" s="61">
        <f t="shared" si="2"/>
        <v>1149287</v>
      </c>
      <c r="V82" s="61">
        <f t="shared" si="3"/>
        <v>2908</v>
      </c>
    </row>
    <row r="83" spans="1:22">
      <c r="A83" s="97" t="s">
        <v>72</v>
      </c>
      <c r="B83" s="98">
        <v>1317309</v>
      </c>
      <c r="C83" s="74"/>
      <c r="D83" s="74"/>
      <c r="E83" s="74"/>
      <c r="F83" s="98">
        <v>899910</v>
      </c>
      <c r="G83" s="98">
        <v>4750642</v>
      </c>
      <c r="H83" s="74"/>
      <c r="I83" s="98">
        <v>2329629</v>
      </c>
      <c r="J83" s="74"/>
      <c r="K83" s="98">
        <v>20349</v>
      </c>
      <c r="L83" s="74"/>
      <c r="M83" s="74"/>
      <c r="N83" s="98">
        <v>13048</v>
      </c>
      <c r="O83" s="98">
        <v>8363898</v>
      </c>
      <c r="P83" s="74"/>
      <c r="Q83" s="98">
        <v>2817369</v>
      </c>
      <c r="R83" s="98">
        <v>11018285</v>
      </c>
      <c r="S83" s="61">
        <f t="shared" si="0"/>
        <v>31530439</v>
      </c>
      <c r="T83" s="61">
        <f t="shared" si="1"/>
        <v>13048</v>
      </c>
      <c r="U83" s="61">
        <f t="shared" si="2"/>
        <v>11018285</v>
      </c>
      <c r="V83" s="61">
        <f t="shared" si="3"/>
        <v>2329629</v>
      </c>
    </row>
    <row r="84" spans="1:22">
      <c r="A84" s="97" t="s">
        <v>73</v>
      </c>
      <c r="B84" s="98">
        <v>37451</v>
      </c>
      <c r="C84" s="98">
        <v>142349</v>
      </c>
      <c r="D84" s="98"/>
      <c r="E84" s="74"/>
      <c r="F84" s="98">
        <v>165539</v>
      </c>
      <c r="G84" s="98">
        <v>3088129</v>
      </c>
      <c r="H84" s="74"/>
      <c r="I84" s="98"/>
      <c r="J84" s="98">
        <v>413996</v>
      </c>
      <c r="K84" s="98"/>
      <c r="L84" s="98"/>
      <c r="M84" s="106">
        <v>736.75</v>
      </c>
      <c r="N84" s="98">
        <v>439</v>
      </c>
      <c r="O84" s="98">
        <v>165307</v>
      </c>
      <c r="P84" s="74"/>
      <c r="Q84" s="98">
        <v>24764</v>
      </c>
      <c r="R84" s="98">
        <v>0</v>
      </c>
      <c r="S84" s="61">
        <f t="shared" si="0"/>
        <v>4038710.75</v>
      </c>
      <c r="T84" s="61">
        <f t="shared" si="1"/>
        <v>0</v>
      </c>
      <c r="U84" s="61">
        <f t="shared" si="2"/>
        <v>3088129</v>
      </c>
      <c r="V84" s="61">
        <f t="shared" si="3"/>
        <v>89900</v>
      </c>
    </row>
    <row r="85" spans="1:22">
      <c r="A85" s="97" t="s">
        <v>74</v>
      </c>
      <c r="B85" s="75">
        <f>SUM(B79:B84)</f>
        <v>69416640</v>
      </c>
      <c r="C85" s="75">
        <f>SUM(C79:C84)</f>
        <v>28545282</v>
      </c>
      <c r="D85" s="75"/>
      <c r="E85" s="75">
        <f>SUM(E79:E84)</f>
        <v>3077815</v>
      </c>
      <c r="F85" s="75">
        <f>SUM(F79:F84)</f>
        <v>40056881</v>
      </c>
      <c r="G85" s="75">
        <f>SUM(G79:G84)</f>
        <v>190543016</v>
      </c>
      <c r="H85" s="74"/>
      <c r="I85" s="82">
        <f t="shared" ref="I85" si="29">SUM(I79:I84)</f>
        <v>95849797</v>
      </c>
      <c r="J85" s="82">
        <f>SUM(J79:J84)</f>
        <v>21691662</v>
      </c>
      <c r="K85" s="82">
        <f>SUM(K79:K84)</f>
        <v>9589906</v>
      </c>
      <c r="L85" s="82">
        <v>0</v>
      </c>
      <c r="M85" s="82">
        <f t="shared" ref="M85:R85" si="30">SUM(M79:M84)</f>
        <v>62087184.469999999</v>
      </c>
      <c r="N85" s="82">
        <f t="shared" si="30"/>
        <v>21891331</v>
      </c>
      <c r="O85" s="82">
        <f t="shared" si="30"/>
        <v>32526529</v>
      </c>
      <c r="P85" s="82">
        <f t="shared" si="30"/>
        <v>0</v>
      </c>
      <c r="Q85" s="82">
        <f t="shared" si="30"/>
        <v>20053178</v>
      </c>
      <c r="R85" s="82">
        <f t="shared" si="30"/>
        <v>147449279</v>
      </c>
      <c r="S85" s="61">
        <f t="shared" si="0"/>
        <v>742778500.47000003</v>
      </c>
      <c r="T85" s="61">
        <f t="shared" si="1"/>
        <v>0</v>
      </c>
      <c r="U85" s="61">
        <f t="shared" si="2"/>
        <v>190543016</v>
      </c>
      <c r="V85" s="61">
        <f t="shared" si="3"/>
        <v>28545282</v>
      </c>
    </row>
    <row r="86" spans="1:22">
      <c r="A86" s="97"/>
      <c r="B86" s="75"/>
      <c r="C86" s="75"/>
      <c r="D86" s="75"/>
      <c r="E86" s="75"/>
      <c r="F86" s="75"/>
      <c r="G86" s="75"/>
      <c r="H86" s="74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61"/>
      <c r="T86" s="61"/>
      <c r="U86" s="61"/>
      <c r="V86" s="61"/>
    </row>
    <row r="87" spans="1:22">
      <c r="A87" s="97"/>
      <c r="B87" s="75"/>
      <c r="C87" s="75"/>
      <c r="D87" s="75"/>
      <c r="E87" s="75"/>
      <c r="F87" s="75"/>
      <c r="G87" s="75"/>
      <c r="H87" s="74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61"/>
      <c r="T87" s="61"/>
      <c r="U87" s="61"/>
      <c r="V87" s="61"/>
    </row>
    <row r="88" spans="1:22">
      <c r="Q88" s="61">
        <v>21000000000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V97"/>
  <sheetViews>
    <sheetView zoomScaleNormal="100" workbookViewId="0">
      <pane ySplit="1" topLeftCell="A5" activePane="bottomLeft" state="frozen"/>
      <selection pane="bottomLeft" activeCell="B32" sqref="B32:B33"/>
    </sheetView>
  </sheetViews>
  <sheetFormatPr defaultRowHeight="15"/>
  <cols>
    <col min="1" max="1" width="41" customWidth="1"/>
    <col min="2" max="18" width="10.7109375" customWidth="1"/>
    <col min="20" max="20" width="12" customWidth="1"/>
    <col min="21" max="21" width="10.140625" customWidth="1"/>
  </cols>
  <sheetData>
    <row r="1" spans="1:18"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</row>
    <row r="2" spans="1:18">
      <c r="A2" s="34" t="s">
        <v>75</v>
      </c>
      <c r="B2" s="17">
        <f>Analysis!B2-Analysis!$V2</f>
        <v>-1.5560717337641743E-2</v>
      </c>
      <c r="C2" s="17">
        <f>Analysis!C2-Analysis!$V2</f>
        <v>-2.4474938958958681E-2</v>
      </c>
      <c r="D2" s="17">
        <f>Analysis!D2-Analysis!$V2</f>
        <v>-9.5446343978234371E-3</v>
      </c>
      <c r="E2" s="17">
        <f>Analysis!E2-Analysis!$V2</f>
        <v>1.3944844764839578E-2</v>
      </c>
      <c r="F2" s="17">
        <f>Analysis!F2-Analysis!$V2</f>
        <v>0</v>
      </c>
      <c r="G2" s="17">
        <f>Analysis!G2-Analysis!$V2</f>
        <v>0.12655141056950162</v>
      </c>
      <c r="H2" s="17">
        <f>Analysis!H2-Analysis!$V2</f>
        <v>-1.2921117130436845E-2</v>
      </c>
      <c r="I2" s="17">
        <f>Analysis!I2-Analysis!$V2</f>
        <v>2.1621404253935009E-2</v>
      </c>
      <c r="J2" s="17">
        <f>Analysis!J2-Analysis!$V2</f>
        <v>-3.2376950775679189E-2</v>
      </c>
      <c r="K2" s="17">
        <f>Analysis!K2-Analysis!$V2</f>
        <v>-4.0962081095261824E-2</v>
      </c>
      <c r="L2" s="17">
        <f>Analysis!L2-Analysis!$V2</f>
        <v>-2.334297659399881E-2</v>
      </c>
      <c r="M2" s="17">
        <f>Analysis!M2-Analysis!$V2</f>
        <v>6.7066586046762147E-2</v>
      </c>
      <c r="N2" s="17">
        <f>Analysis!N2-Analysis!$V2</f>
        <v>-3.739841087012525E-2</v>
      </c>
      <c r="O2" s="17">
        <f>Analysis!O2-Analysis!$V2</f>
        <v>6.0823157903537567E-2</v>
      </c>
      <c r="P2" s="17">
        <f>Analysis!P2-Analysis!$V2</f>
        <v>1.7033280935686776E-2</v>
      </c>
      <c r="Q2" s="17">
        <f>Analysis!Q2-Analysis!$V2</f>
        <v>2.8069869734033526E-2</v>
      </c>
      <c r="R2" s="17">
        <f>Analysis!R2-Analysis!$V2</f>
        <v>1.8735756346982879E-2</v>
      </c>
    </row>
    <row r="3" spans="1:18">
      <c r="A3" s="35" t="s">
        <v>9</v>
      </c>
      <c r="B3" s="18">
        <f>Analysis!B5-Analysis!$V5</f>
        <v>-0.11112413111011632</v>
      </c>
      <c r="C3" s="18">
        <f>Analysis!C5-Analysis!$V5</f>
        <v>1.7511764277980235E-2</v>
      </c>
      <c r="D3" s="18">
        <f>Analysis!D5-Analysis!$V5</f>
        <v>5.8560499063357307E-2</v>
      </c>
      <c r="E3" s="18">
        <f>Analysis!E5-Analysis!$V5</f>
        <v>-9.9902328175516641E-2</v>
      </c>
      <c r="F3" s="18">
        <f>Analysis!F5-Analysis!$V5</f>
        <v>-7.9063250245567651E-2</v>
      </c>
      <c r="G3" s="18">
        <f>Analysis!G5-Analysis!$V5</f>
        <v>8.3532784818194761E-2</v>
      </c>
      <c r="H3" s="18">
        <f>Analysis!H5-Analysis!$V5</f>
        <v>-3.6946500166070095E-2</v>
      </c>
      <c r="I3" s="18">
        <f>Analysis!I5-Analysis!$V5</f>
        <v>-0.12715764204689264</v>
      </c>
      <c r="J3" s="18">
        <f>Analysis!J5-Analysis!$V5</f>
        <v>0.17658587986900964</v>
      </c>
      <c r="K3" s="18">
        <f>Analysis!K5-Analysis!$V5</f>
        <v>0</v>
      </c>
      <c r="L3" s="18">
        <f>Analysis!L5-Analysis!$V5</f>
        <v>0.42279508001805044</v>
      </c>
      <c r="M3" s="18">
        <f>Analysis!M5-Analysis!$V5</f>
        <v>0.32111780930835587</v>
      </c>
      <c r="N3" s="18">
        <f>Analysis!N5-Analysis!$V5</f>
        <v>-0.15473748559042566</v>
      </c>
      <c r="O3" s="18">
        <f>Analysis!O5-Analysis!$V5</f>
        <v>3.9704445460969628E-3</v>
      </c>
      <c r="P3" s="18">
        <f>Analysis!P5-Analysis!$V5</f>
        <v>0.136040634524496</v>
      </c>
      <c r="Q3" s="18">
        <f>Analysis!Q5-Analysis!$V5</f>
        <v>-3.4585230487162999E-2</v>
      </c>
      <c r="R3" s="18">
        <f>Analysis!R5-Analysis!$V5</f>
        <v>-5.7175064507736684E-2</v>
      </c>
    </row>
    <row r="4" spans="1:18">
      <c r="A4" s="35" t="s">
        <v>8</v>
      </c>
      <c r="B4" s="18">
        <f>Analysis!B6-Analysis!$V6</f>
        <v>-0.11460497613838655</v>
      </c>
      <c r="C4" s="18">
        <f>Analysis!C6-Analysis!$V6</f>
        <v>8.6562204051147063E-2</v>
      </c>
      <c r="D4" s="18">
        <f>Analysis!D6-Analysis!$V6</f>
        <v>0.11460812506660262</v>
      </c>
      <c r="E4" s="18">
        <f>Analysis!E6-Analysis!$V6</f>
        <v>-0.10223069837368987</v>
      </c>
      <c r="F4" s="18">
        <f>Analysis!F6-Analysis!$V6</f>
        <v>-9.4919640603232602E-2</v>
      </c>
      <c r="G4" s="18">
        <f>Analysis!G6-Analysis!$V6</f>
        <v>0.12510779377750253</v>
      </c>
      <c r="H4" s="18">
        <f>Analysis!H6-Analysis!$V6</f>
        <v>-8.8300034424712459E-2</v>
      </c>
      <c r="I4" s="18">
        <f>Analysis!I6-Analysis!$V6</f>
        <v>-0.15222206497139473</v>
      </c>
      <c r="J4" s="18">
        <f>Analysis!J6-Analysis!$V6</f>
        <v>0.2641813514987687</v>
      </c>
      <c r="K4" s="18">
        <f>Analysis!K6-Analysis!$V6</f>
        <v>2.2475471271337533E-2</v>
      </c>
      <c r="L4" s="18">
        <f>Analysis!L6-Analysis!$V6</f>
        <v>0.43859242528953651</v>
      </c>
      <c r="M4" s="18">
        <f>Analysis!M6-Analysis!$V6</f>
        <v>0.29719549104964921</v>
      </c>
      <c r="N4" s="18">
        <f>Analysis!N6-Analysis!$V6</f>
        <v>-0.14612366573917451</v>
      </c>
      <c r="O4" s="18">
        <f>Analysis!O6-Analysis!$V6</f>
        <v>0</v>
      </c>
      <c r="P4" s="18">
        <f>Analysis!P6-Analysis!$V6</f>
        <v>0.17273074013925577</v>
      </c>
      <c r="Q4" s="18">
        <f>Analysis!Q6-Analysis!$V6</f>
        <v>-1.9882598309830357E-2</v>
      </c>
      <c r="R4" s="18">
        <f>Analysis!R6-Analysis!$V6</f>
        <v>-8.0940714925174462E-2</v>
      </c>
    </row>
    <row r="5" spans="1:18">
      <c r="A5" s="34" t="s">
        <v>141</v>
      </c>
      <c r="B5" s="31">
        <f>Analysis!B3-Analysis!$V3</f>
        <v>0.27776515778716449</v>
      </c>
      <c r="C5" s="31">
        <f>Analysis!C3-Analysis!$V3</f>
        <v>0.17542378037288653</v>
      </c>
      <c r="D5" s="31">
        <f>Analysis!D3-Analysis!$V3</f>
        <v>1.2432697892798439E-2</v>
      </c>
      <c r="E5" s="31">
        <f>Analysis!E3-Analysis!$V3</f>
        <v>0.22617389792687936</v>
      </c>
      <c r="F5" s="31">
        <f>Analysis!F3-Analysis!$V3</f>
        <v>0</v>
      </c>
      <c r="G5" s="31">
        <f>Analysis!G3-Analysis!$V3</f>
        <v>-8.9474105615992117E-2</v>
      </c>
      <c r="H5" s="31">
        <f>Analysis!H3-Analysis!$V3</f>
        <v>-0.4207410443051483</v>
      </c>
      <c r="I5" s="31">
        <f>Analysis!I3-Analysis!$V3</f>
        <v>9.7737397140392979E-2</v>
      </c>
      <c r="J5" s="31">
        <f>Analysis!J3-Analysis!$V3</f>
        <v>-0.11329658699852618</v>
      </c>
      <c r="K5" s="31">
        <f>Analysis!K3-Analysis!$V3</f>
        <v>1.8519084194461577E-2</v>
      </c>
      <c r="L5" s="31">
        <f>Analysis!L3-Analysis!$V3</f>
        <v>-0.41122664675047377</v>
      </c>
      <c r="M5" s="31">
        <f>Analysis!M3-Analysis!$V3</f>
        <v>-0.44895182594852084</v>
      </c>
      <c r="N5" s="31">
        <f>Analysis!N3-Analysis!$V3</f>
        <v>0.79368095506815139</v>
      </c>
      <c r="O5" s="31">
        <f>Analysis!O3-Analysis!$V3</f>
        <v>-0.13571680132664843</v>
      </c>
      <c r="P5" s="31">
        <f>Analysis!P3-Analysis!$V3</f>
        <v>-0.18526905207020627</v>
      </c>
      <c r="Q5" s="31">
        <f>Analysis!Q3-Analysis!$V3</f>
        <v>8.1329707349444891E-2</v>
      </c>
      <c r="R5" s="31">
        <f>Analysis!R3-Analysis!$V3</f>
        <v>-0.13888006941788439</v>
      </c>
    </row>
    <row r="6" spans="1:18">
      <c r="A6" s="34" t="s">
        <v>140</v>
      </c>
      <c r="B6" s="31">
        <f>Analysis!B4-Analysis!$V4</f>
        <v>1.3012924873454186E-2</v>
      </c>
      <c r="C6" s="31">
        <f>Analysis!C4-Analysis!$V4</f>
        <v>1.6838143821480106E-2</v>
      </c>
      <c r="D6" s="31">
        <f>Analysis!D4-Analysis!$V4</f>
        <v>0</v>
      </c>
      <c r="E6" s="31">
        <f>Analysis!E4-Analysis!$V4</f>
        <v>8.4946055694931216E-3</v>
      </c>
      <c r="F6" s="31">
        <f>Analysis!F4-Analysis!$V4</f>
        <v>2.9433062869599347E-4</v>
      </c>
      <c r="G6" s="31">
        <f>Analysis!G4-Analysis!$V4</f>
        <v>-1.510014091339601E-2</v>
      </c>
      <c r="H6" s="31">
        <f>Analysis!H4-Analysis!$V4</f>
        <v>-4.3529668105518796E-2</v>
      </c>
      <c r="I6" s="31">
        <f>Analysis!I4-Analysis!$V4</f>
        <v>-5.0953762299443539E-3</v>
      </c>
      <c r="J6" s="31">
        <f>Analysis!J4-Analysis!$V4</f>
        <v>3.7504347360544227E-3</v>
      </c>
      <c r="K6" s="31">
        <f>Analysis!K4-Analysis!$V4</f>
        <v>-5.7932854798914413E-4</v>
      </c>
      <c r="L6" s="31">
        <f>Analysis!L4-Analysis!$V4</f>
        <v>-2.312331504112326E-2</v>
      </c>
      <c r="M6" s="31">
        <f>Analysis!M4-Analysis!$V4</f>
        <v>-3.5248605491677167E-2</v>
      </c>
      <c r="N6" s="31">
        <f>Analysis!N4-Analysis!$V4</f>
        <v>1.724367874604199E-2</v>
      </c>
      <c r="O6" s="31">
        <f>Analysis!O4-Analysis!$V4</f>
        <v>-5.2527773094913355E-3</v>
      </c>
      <c r="P6" s="31">
        <f>Analysis!P4-Analysis!$V4</f>
        <v>9.8426352374213072E-3</v>
      </c>
      <c r="Q6" s="31">
        <f>Analysis!Q4-Analysis!$V4</f>
        <v>4.2173326837730007E-3</v>
      </c>
      <c r="R6" s="31">
        <f>Analysis!R4-Analysis!$V4</f>
        <v>-2.0800438272816142E-2</v>
      </c>
    </row>
    <row r="7" spans="1:18">
      <c r="A7" s="2" t="s">
        <v>84</v>
      </c>
      <c r="B7" s="19">
        <f>Analysis!B9-Analysis!$V9</f>
        <v>-21.334253334125872</v>
      </c>
      <c r="C7" s="19">
        <f>Analysis!C9-Analysis!$V9</f>
        <v>-0.21677831781429546</v>
      </c>
      <c r="D7" s="19">
        <f>Analysis!D9-Analysis!$V9</f>
        <v>-3.7383468199802437</v>
      </c>
      <c r="E7" s="19">
        <f>Analysis!E9-Analysis!$V9</f>
        <v>11.277773932953387</v>
      </c>
      <c r="F7" s="19">
        <f>Analysis!F9-Analysis!$V9</f>
        <v>11.756858791596642</v>
      </c>
      <c r="G7" s="19">
        <f>Analysis!G9-Analysis!$V9</f>
        <v>-1.5597828815858392</v>
      </c>
      <c r="H7" s="19">
        <f>Analysis!H9-Analysis!$V9</f>
        <v>-12.573720387786338</v>
      </c>
      <c r="I7" s="19">
        <f>Analysis!I9-Analysis!$V9</f>
        <v>-3.1116435442330399</v>
      </c>
      <c r="J7" s="19">
        <f>Analysis!J9-Analysis!$V9</f>
        <v>0.21677831781428836</v>
      </c>
      <c r="K7" s="19"/>
      <c r="L7" s="19">
        <f>Analysis!L9-Analysis!$V9</f>
        <v>30.324999465396118</v>
      </c>
      <c r="M7" s="19">
        <f>Analysis!M9-Analysis!$V9</f>
        <v>58.140129381215871</v>
      </c>
      <c r="N7" s="19">
        <f>Analysis!N9-Analysis!$V9</f>
        <v>-17.584937962008688</v>
      </c>
      <c r="O7" s="19">
        <f>Analysis!O9-Analysis!$V9</f>
        <v>24.568711837389266</v>
      </c>
      <c r="P7" s="19">
        <f>Analysis!P9-Analysis!$V9</f>
        <v>40.045998204715247</v>
      </c>
      <c r="Q7" s="19">
        <f>Analysis!Q9-Analysis!$V9</f>
        <v>4.9827174657971511</v>
      </c>
      <c r="R7" s="19">
        <f>Analysis!R9-Analysis!$V9</f>
        <v>-17.769644149239621</v>
      </c>
    </row>
    <row r="8" spans="1:18">
      <c r="A8" s="34" t="s">
        <v>106</v>
      </c>
      <c r="B8" s="31"/>
      <c r="C8" s="31"/>
      <c r="D8" s="31">
        <f>Analysis!D7-Analysis!$V7</f>
        <v>4.4650987987424305E-3</v>
      </c>
      <c r="E8" s="31"/>
      <c r="F8" s="31">
        <f>Analysis!F7-Analysis!$V7</f>
        <v>6.3681875835220281E-2</v>
      </c>
      <c r="G8" s="31">
        <f>Analysis!G7-Analysis!$V7</f>
        <v>-7.7375792767646282E-3</v>
      </c>
      <c r="H8" s="31"/>
      <c r="I8" s="31"/>
      <c r="J8" s="31">
        <f>Analysis!J7-Analysis!$V7</f>
        <v>1.7714248650243541E-2</v>
      </c>
      <c r="K8" s="31">
        <f>Analysis!K7-Analysis!$V7</f>
        <v>-4.465098798742434E-3</v>
      </c>
      <c r="L8" s="31"/>
      <c r="M8" s="31"/>
      <c r="N8" s="31">
        <f>Analysis!N7-Analysis!$V7</f>
        <v>-5.724372786916003E-3</v>
      </c>
      <c r="O8" s="31"/>
      <c r="P8" s="31"/>
      <c r="Q8" s="31"/>
      <c r="R8" s="31"/>
    </row>
    <row r="9" spans="1:18">
      <c r="A9" s="2" t="s">
        <v>7</v>
      </c>
      <c r="B9" s="18">
        <f>Analysis!B8-Analysis!$V8</f>
        <v>-1.1117038468737614E-2</v>
      </c>
      <c r="C9" s="18">
        <f>Analysis!C8-Analysis!$V8</f>
        <v>5.3357848731531016E-3</v>
      </c>
      <c r="D9" s="18">
        <f>Analysis!D8-Analysis!$V8</f>
        <v>2.0471599247267463E-3</v>
      </c>
      <c r="E9" s="18">
        <f>Analysis!E8-Analysis!$V8</f>
        <v>-1.1912984941650134E-2</v>
      </c>
      <c r="F9" s="18">
        <f>Analysis!F8-Analysis!$V8</f>
        <v>4.6956192224901494E-3</v>
      </c>
      <c r="G9" s="18">
        <f>Analysis!G8-Analysis!$V8</f>
        <v>-1.1642403541529012E-2</v>
      </c>
      <c r="H9" s="18">
        <f>Analysis!H8-Analysis!$V8</f>
        <v>-4.3436615468718173E-2</v>
      </c>
      <c r="I9" s="18">
        <f>Analysis!I8-Analysis!$V8</f>
        <v>-1.8197569112887335E-2</v>
      </c>
      <c r="J9" s="18">
        <f>Analysis!J8-Analysis!$V8</f>
        <v>3.7984370987816582E-2</v>
      </c>
      <c r="K9" s="18">
        <f>Analysis!K8-Analysis!$V8</f>
        <v>0</v>
      </c>
      <c r="L9" s="18">
        <f>Analysis!L8-Analysis!$V8</f>
        <v>0.12582464489469236</v>
      </c>
      <c r="M9" s="18">
        <f>Analysis!M8-Analysis!$V8</f>
        <v>7.4883288741916923E-2</v>
      </c>
      <c r="N9" s="18">
        <f>Analysis!N8-Analysis!$V8</f>
        <v>-3.7525767735217506E-2</v>
      </c>
      <c r="O9" s="18">
        <f>Analysis!O8-Analysis!$V8</f>
        <v>2.2232803318622749E-2</v>
      </c>
      <c r="P9" s="18">
        <f>Analysis!P8-Analysis!$V8</f>
        <v>8.184353778332927E-2</v>
      </c>
      <c r="Q9" s="18">
        <f>Analysis!Q8-Analysis!$V8</f>
        <v>-1.097800164416643E-3</v>
      </c>
      <c r="R9" s="18">
        <f>Analysis!R8-Analysis!$V8</f>
        <v>-1.6701080611844846E-2</v>
      </c>
    </row>
    <row r="10" spans="1:18">
      <c r="A10" s="2" t="s">
        <v>82</v>
      </c>
      <c r="B10" s="19">
        <f>Analysis!B10-Analysis!$V10</f>
        <v>-309.25471489962115</v>
      </c>
      <c r="C10" s="19">
        <f>Analysis!C10-Analysis!$V10</f>
        <v>256.54879765291537</v>
      </c>
      <c r="D10" s="19">
        <f>Analysis!D10-Analysis!$V10</f>
        <v>215.23622764934214</v>
      </c>
      <c r="E10" s="19">
        <f>Analysis!E10-Analysis!$V10</f>
        <v>-166.63011357291657</v>
      </c>
      <c r="F10" s="19">
        <f>Analysis!F10-Analysis!$V10</f>
        <v>-79.422093899621245</v>
      </c>
      <c r="G10" s="19">
        <f>Analysis!G10-Analysis!$V10</f>
        <v>303.2563125371754</v>
      </c>
      <c r="H10" s="19">
        <f>Analysis!H10-Analysis!$V10</f>
        <v>209.20975537250013</v>
      </c>
      <c r="I10" s="19">
        <f>Analysis!I10-Analysis!$V10</f>
        <v>523.03421602788455</v>
      </c>
      <c r="J10" s="19">
        <f>Analysis!J10-Analysis!$V10</f>
        <v>826.01857115786936</v>
      </c>
      <c r="K10" s="19">
        <f>Analysis!K10-Analysis!$V10</f>
        <v>-430.07627554204544</v>
      </c>
      <c r="L10" s="19">
        <f>Analysis!L10-Analysis!$V10</f>
        <v>2428.4148168224774</v>
      </c>
      <c r="M10" s="19">
        <f>Analysis!M10-Analysis!$V10</f>
        <v>1760.8460018541291</v>
      </c>
      <c r="N10" s="19">
        <f>Analysis!N10-Analysis!$V10</f>
        <v>-364.4480921404766</v>
      </c>
      <c r="O10" s="19">
        <f>Analysis!O10-Analysis!$V10</f>
        <v>-239.18521914920211</v>
      </c>
      <c r="P10" s="19">
        <f>Analysis!P10-Analysis!$V10</f>
        <v>0</v>
      </c>
      <c r="Q10" s="19">
        <f>Analysis!Q10-Analysis!$V10</f>
        <v>-54.735372649499936</v>
      </c>
      <c r="R10" s="19">
        <f>Analysis!R10-Analysis!$V10</f>
        <v>-441.67613363527778</v>
      </c>
    </row>
    <row r="11" spans="1:18">
      <c r="A11" s="2" t="s">
        <v>83</v>
      </c>
      <c r="B11" s="19">
        <f>Analysis!B11-Analysis!$V11</f>
        <v>-60043.181124853931</v>
      </c>
      <c r="C11" s="19">
        <f>Analysis!C11-Analysis!$V11</f>
        <v>-57294.099750684138</v>
      </c>
      <c r="D11" s="19">
        <f>Analysis!D11-Analysis!$V11</f>
        <v>72707.274219959159</v>
      </c>
      <c r="E11" s="19">
        <f>Analysis!E11-Analysis!$V11</f>
        <v>-29191.742013942392</v>
      </c>
      <c r="F11" s="19">
        <f>Analysis!F11-Analysis!$V11</f>
        <v>0</v>
      </c>
      <c r="G11" s="19">
        <f>Analysis!G11-Analysis!$V11</f>
        <v>66739.895575581177</v>
      </c>
      <c r="H11" s="19">
        <f>Analysis!H11-Analysis!$V11</f>
        <v>-45965.102666424704</v>
      </c>
      <c r="I11" s="19">
        <f>Analysis!I11-Analysis!$V11</f>
        <v>-31905.381747034233</v>
      </c>
      <c r="J11" s="19">
        <f>Analysis!J11-Analysis!$V11</f>
        <v>28965.490489139163</v>
      </c>
      <c r="K11" s="19">
        <f>Analysis!K11-Analysis!$V11</f>
        <v>-32431.911394501629</v>
      </c>
      <c r="L11" s="19">
        <f>Analysis!L11-Analysis!$V11</f>
        <v>299216.41896945646</v>
      </c>
      <c r="M11" s="19">
        <f>Analysis!M11-Analysis!$V11</f>
        <v>404348.68009366479</v>
      </c>
      <c r="N11" s="19">
        <f>Analysis!N11-Analysis!$V11</f>
        <v>-22422.420773532765</v>
      </c>
      <c r="O11" s="19">
        <f>Analysis!O11-Analysis!$V11</f>
        <v>19016.572990020533</v>
      </c>
      <c r="P11" s="19">
        <f>Analysis!P11-Analysis!$V11</f>
        <v>89061.098207865143</v>
      </c>
      <c r="Q11" s="19">
        <f>Analysis!Q11-Analysis!$V11</f>
        <v>-13128.612203761382</v>
      </c>
      <c r="R11" s="19">
        <f>Analysis!R11-Analysis!$V11</f>
        <v>18609.282254519698</v>
      </c>
    </row>
    <row r="12" spans="1:18">
      <c r="A12" s="34" t="s">
        <v>76</v>
      </c>
      <c r="B12" s="21">
        <f>Analysis!B23-Analysis!$V23</f>
        <v>-1090.8045746504226</v>
      </c>
      <c r="C12" s="21">
        <f>Analysis!C23-Analysis!$V23</f>
        <v>-2394.0479443341465</v>
      </c>
      <c r="D12" s="21">
        <f>Analysis!D23-Analysis!$V23</f>
        <v>927.73140217427317</v>
      </c>
      <c r="E12" s="21">
        <f>Analysis!E23-Analysis!$V23</f>
        <v>2578.0822306679902</v>
      </c>
      <c r="F12" s="21">
        <f>Analysis!F23-Analysis!$V23</f>
        <v>-1642.6005708403848</v>
      </c>
      <c r="G12" s="21">
        <f>Analysis!G23-Analysis!$V23</f>
        <v>-1209.1307136666856</v>
      </c>
      <c r="H12" s="21">
        <f>Analysis!H23-Analysis!$V23</f>
        <v>-685.69590543761205</v>
      </c>
      <c r="I12" s="21">
        <f>Analysis!I23-Analysis!$V23</f>
        <v>-60.352605550924636</v>
      </c>
      <c r="J12" s="21">
        <f>Analysis!J23-Analysis!$V23</f>
        <v>-254.49890091746829</v>
      </c>
      <c r="K12" s="21">
        <f>Analysis!K23-Analysis!$V23</f>
        <v>0</v>
      </c>
      <c r="L12" s="21">
        <f>Analysis!L23-Analysis!$V23</f>
        <v>6778.3400157739497</v>
      </c>
      <c r="M12" s="21">
        <f>Analysis!M23-Analysis!$V23</f>
        <v>6710.7195167538875</v>
      </c>
      <c r="N12" s="21">
        <f>Analysis!N23-Analysis!$V23</f>
        <v>806.07191226384884</v>
      </c>
      <c r="O12" s="21">
        <f>Analysis!O23-Analysis!$V23</f>
        <v>364.94084982892537</v>
      </c>
      <c r="P12" s="21">
        <f>Analysis!P23-Analysis!$V23</f>
        <v>2130.2339558580306</v>
      </c>
      <c r="Q12" s="21">
        <f>Analysis!Q23-Analysis!$V23</f>
        <v>-919.71588385100449</v>
      </c>
      <c r="R12" s="21">
        <f>Analysis!R23-Analysis!$V23</f>
        <v>2187.8253637706148</v>
      </c>
    </row>
    <row r="13" spans="1:18">
      <c r="A13" s="34" t="s">
        <v>115</v>
      </c>
      <c r="B13" s="31">
        <f>Analysis!B27-Analysis!$V27</f>
        <v>-4.7014833302666356E-2</v>
      </c>
      <c r="C13" s="31">
        <f>Analysis!C27-Analysis!$V27</f>
        <v>-7.3198689653471385E-2</v>
      </c>
      <c r="D13" s="31">
        <f>Analysis!D27-Analysis!$V27</f>
        <v>-7.7673498240806715E-2</v>
      </c>
      <c r="E13" s="31">
        <f>Analysis!E27-Analysis!$V27</f>
        <v>8.2730908566000946E-2</v>
      </c>
      <c r="F13" s="31">
        <f>Analysis!F27-Analysis!$V27</f>
        <v>-2.9646321483071017E-2</v>
      </c>
      <c r="G13" s="31">
        <f>Analysis!G27-Analysis!$V27</f>
        <v>-4.4078592883614084E-2</v>
      </c>
      <c r="H13" s="31">
        <f>Analysis!H27-Analysis!$V27</f>
        <v>2.5262000074042015E-2</v>
      </c>
      <c r="I13" s="31">
        <f>Analysis!I27-Analysis!$V27</f>
        <v>0</v>
      </c>
      <c r="J13" s="31">
        <f>Analysis!J27-Analysis!$V27</f>
        <v>3.4861078508068577E-3</v>
      </c>
      <c r="K13" s="31">
        <f>Analysis!K27-Analysis!$V27</f>
        <v>-6.4439043126850962E-2</v>
      </c>
      <c r="L13" s="31">
        <f>Analysis!L27-Analysis!$V27</f>
        <v>4.2024484127293496E-2</v>
      </c>
      <c r="M13" s="31">
        <f>Analysis!M27-Analysis!$V27</f>
        <v>-4.4253451162352457E-2</v>
      </c>
      <c r="N13" s="31">
        <f>Analysis!N27-Analysis!$V27</f>
        <v>6.7286637398915605E-3</v>
      </c>
      <c r="O13" s="31">
        <f>Analysis!O27-Analysis!$V27</f>
        <v>5.094216037545797E-2</v>
      </c>
      <c r="P13" s="31">
        <f>Analysis!P27-Analysis!$V27</f>
        <v>4.4504545553801511E-4</v>
      </c>
      <c r="Q13" s="31">
        <f>Analysis!Q27-Analysis!$V27</f>
        <v>-3.4837522584945574E-2</v>
      </c>
      <c r="R13" s="31">
        <f>Analysis!R27-Analysis!$V27</f>
        <v>0.10596782602844833</v>
      </c>
    </row>
    <row r="14" spans="1:18">
      <c r="A14" s="2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>
      <c r="A15" s="34" t="s">
        <v>118</v>
      </c>
      <c r="B15" s="20">
        <f>Analysis!B13-Analysis!$V13</f>
        <v>0</v>
      </c>
      <c r="C15" s="20">
        <f>Analysis!C13-Analysis!$V13</f>
        <v>-4.2249852985765113E-4</v>
      </c>
      <c r="D15" s="20">
        <f>Analysis!D13-Analysis!$V13</f>
        <v>-1.5636279721165103E-4</v>
      </c>
      <c r="E15" s="20">
        <f>Analysis!E13-Analysis!$V13</f>
        <v>0.11016523864269451</v>
      </c>
      <c r="F15" s="20">
        <f>Analysis!F13-Analysis!$V13</f>
        <v>3.0102497223501612E-2</v>
      </c>
      <c r="G15" s="20">
        <f>Analysis!G13-Analysis!$V13</f>
        <v>-3.2536395353352843E-2</v>
      </c>
      <c r="H15" s="20">
        <f>Analysis!H13-Analysis!$V13</f>
        <v>-3.1116724765012788E-2</v>
      </c>
      <c r="I15" s="20">
        <f>Analysis!I13-Analysis!$V13</f>
        <v>7.0013032896156402E-2</v>
      </c>
      <c r="J15" s="20">
        <f>Analysis!J13-Analysis!$V13</f>
        <v>5.229884484567604E-2</v>
      </c>
      <c r="K15" s="20">
        <f>Analysis!K13-Analysis!$V13</f>
        <v>9.2412871677996E-2</v>
      </c>
      <c r="L15" s="20">
        <f>Analysis!L13-Analysis!$V13</f>
        <v>-1.7576634786551693E-2</v>
      </c>
      <c r="M15" s="20">
        <f>Analysis!M13-Analysis!$V13</f>
        <v>-5.3384635678225906E-2</v>
      </c>
      <c r="N15" s="20">
        <f>Analysis!N13-Analysis!$V13</f>
        <v>-2.5962078203208422E-2</v>
      </c>
      <c r="O15" s="20">
        <f>Analysis!O13-Analysis!$V13</f>
        <v>4.3817286407549727E-2</v>
      </c>
      <c r="P15" s="20">
        <f>Analysis!P13-Analysis!$V13</f>
        <v>3.6392087529714179E-2</v>
      </c>
      <c r="Q15" s="20">
        <f>Analysis!Q13-Analysis!$V13</f>
        <v>1.3381406822392417E-2</v>
      </c>
      <c r="R15" s="20">
        <f>Analysis!R13-Analysis!$V13</f>
        <v>-5.3377617426088708E-2</v>
      </c>
    </row>
    <row r="16" spans="1:18">
      <c r="A16" s="34" t="s">
        <v>119</v>
      </c>
      <c r="B16" s="20">
        <f>Analysis!B14-Analysis!$V14</f>
        <v>2.9540555540410629E-2</v>
      </c>
      <c r="C16" s="20">
        <f>Analysis!C14-Analysis!$V14</f>
        <v>3.106389781067892E-3</v>
      </c>
      <c r="D16" s="20">
        <f>Analysis!D14-Analysis!$V14</f>
        <v>4.1895637245172979E-2</v>
      </c>
      <c r="E16" s="20">
        <f>Analysis!E14-Analysis!$V14</f>
        <v>-8.3478307999029222E-3</v>
      </c>
      <c r="F16" s="20">
        <f>Analysis!F14-Analysis!$V14</f>
        <v>-1.6208584211132193E-2</v>
      </c>
      <c r="G16" s="20">
        <f>Analysis!G14-Analysis!$V14</f>
        <v>-1.6852541726944115E-3</v>
      </c>
      <c r="H16" s="20">
        <f>Analysis!H14-Analysis!$V14</f>
        <v>-2.791545756246061E-2</v>
      </c>
      <c r="I16" s="20">
        <f>Analysis!I14-Analysis!$V14</f>
        <v>-1.6013357570070497E-3</v>
      </c>
      <c r="J16" s="20">
        <f>Analysis!J14-Analysis!$V14</f>
        <v>1.4489805332991545E-2</v>
      </c>
      <c r="K16" s="20">
        <f>Analysis!K14-Analysis!$V14</f>
        <v>4.5104855126129773E-2</v>
      </c>
      <c r="L16" s="20">
        <f>Analysis!L14-Analysis!$V14</f>
        <v>-0.11573271850947588</v>
      </c>
      <c r="M16" s="20">
        <f>Analysis!M14-Analysis!$V14</f>
        <v>3.8461094500998327E-2</v>
      </c>
      <c r="N16" s="20">
        <f>Analysis!N14-Analysis!$V14</f>
        <v>2.1977764902375796E-2</v>
      </c>
      <c r="O16" s="20">
        <f>Analysis!O14-Analysis!$V14</f>
        <v>1.3551014018799046E-2</v>
      </c>
      <c r="P16" s="20">
        <f>Analysis!P14-Analysis!$V14</f>
        <v>-2.5057504755497534E-2</v>
      </c>
      <c r="Q16" s="20">
        <f>Analysis!Q14-Analysis!$V14</f>
        <v>-3.710274994234819E-3</v>
      </c>
      <c r="R16" s="20">
        <f>Analysis!R14-Analysis!$V14</f>
        <v>0</v>
      </c>
    </row>
    <row r="17" spans="1:18">
      <c r="A17" s="34" t="s">
        <v>120</v>
      </c>
      <c r="B17" s="20">
        <f>Analysis!B15-Analysis!$V15</f>
        <v>-4.5900987382329062E-3</v>
      </c>
      <c r="C17" s="20">
        <f>Analysis!C15-Analysis!$V15</f>
        <v>0</v>
      </c>
      <c r="D17" s="20">
        <f>Analysis!D15-Analysis!$V15</f>
        <v>3.3805768373847411E-3</v>
      </c>
      <c r="E17" s="20">
        <f>Analysis!E15-Analysis!$V15</f>
        <v>-3.2474233082624648E-2</v>
      </c>
      <c r="F17" s="20">
        <f>Analysis!F15-Analysis!$V15</f>
        <v>1.0144345678415601E-2</v>
      </c>
      <c r="G17" s="20">
        <f>Analysis!G15-Analysis!$V15</f>
        <v>3.1597424082944969E-2</v>
      </c>
      <c r="H17" s="20">
        <f>Analysis!H15-Analysis!$V15</f>
        <v>5.2540801631710654E-2</v>
      </c>
      <c r="I17" s="20">
        <f>Analysis!I15-Analysis!$V15</f>
        <v>-2.4227505108649627E-2</v>
      </c>
      <c r="J17" s="20">
        <f>Analysis!J15-Analysis!$V15</f>
        <v>1.3621654877058187E-2</v>
      </c>
      <c r="K17" s="20">
        <f>Analysis!K15-Analysis!$V15</f>
        <v>-1.8302968076767623E-2</v>
      </c>
      <c r="L17" s="20">
        <f>Analysis!L15-Analysis!$V15</f>
        <v>6.2909848580000316E-2</v>
      </c>
      <c r="M17" s="20">
        <f>Analysis!M15-Analysis!$V15</f>
        <v>6.7387604358196462E-2</v>
      </c>
      <c r="N17" s="20">
        <f>Analysis!N15-Analysis!$V15</f>
        <v>1.4245097067699442E-2</v>
      </c>
      <c r="O17" s="20">
        <f>Analysis!O15-Analysis!$V15</f>
        <v>-6.5098518874279754E-3</v>
      </c>
      <c r="P17" s="20">
        <f>Analysis!P15-Analysis!$V15</f>
        <v>-5.429465066501632E-3</v>
      </c>
      <c r="Q17" s="20">
        <f>Analysis!Q15-Analysis!$V15</f>
        <v>-1.7819624636875031E-4</v>
      </c>
      <c r="R17" s="20">
        <f>Analysis!R15-Analysis!$V15</f>
        <v>-2.211407110984967E-2</v>
      </c>
    </row>
    <row r="18" spans="1:18">
      <c r="A18" s="34" t="s">
        <v>121</v>
      </c>
      <c r="B18" s="20">
        <f>Analysis!B16-Analysis!$V16</f>
        <v>-9.1219811139284235E-4</v>
      </c>
      <c r="C18" s="20">
        <f>Analysis!C16-Analysis!$V16</f>
        <v>2.1354367439574667E-2</v>
      </c>
      <c r="D18" s="20">
        <f>Analysis!D16-Analysis!$V16</f>
        <v>-2.1081592594561077E-2</v>
      </c>
      <c r="E18" s="20">
        <f>Analysis!E16-Analysis!$V16</f>
        <v>-4.5304916069382029E-2</v>
      </c>
      <c r="F18" s="20">
        <f>Analysis!F16-Analysis!$V16</f>
        <v>0</v>
      </c>
      <c r="G18" s="20">
        <f>Analysis!G16-Analysis!$V16</f>
        <v>2.6662484133887249E-2</v>
      </c>
      <c r="H18" s="20">
        <f>Analysis!H16-Analysis!$V16</f>
        <v>3.0529639386547652E-2</v>
      </c>
      <c r="I18" s="20">
        <f>Analysis!I16-Analysis!$V16</f>
        <v>-2.0145933339714706E-2</v>
      </c>
      <c r="J18" s="20">
        <f>Analysis!J16-Analysis!$V16</f>
        <v>-5.6372046364940781E-2</v>
      </c>
      <c r="K18" s="20">
        <f>Analysis!K16-Analysis!$V16</f>
        <v>-9.5176500036573214E-2</v>
      </c>
      <c r="L18" s="20">
        <f>Analysis!L16-Analysis!$V16</f>
        <v>9.4437763406812342E-2</v>
      </c>
      <c r="M18" s="20">
        <f>Analysis!M16-Analysis!$V16</f>
        <v>-2.8425804490183809E-2</v>
      </c>
      <c r="N18" s="20">
        <f>Analysis!N16-Analysis!$V16</f>
        <v>1.3777474923918204E-2</v>
      </c>
      <c r="O18" s="20">
        <f>Analysis!O16-Analysis!$V16</f>
        <v>-2.6820189848135778E-2</v>
      </c>
      <c r="P18" s="20">
        <f>Analysis!P16-Analysis!$V16</f>
        <v>1.8133140983070034E-2</v>
      </c>
      <c r="Q18" s="20">
        <f>Analysis!Q16-Analysis!$V16</f>
        <v>1.4545323108996144E-2</v>
      </c>
      <c r="R18" s="20">
        <f>Analysis!R16-Analysis!$V16</f>
        <v>9.9529947226723342E-2</v>
      </c>
    </row>
    <row r="19" spans="1:18">
      <c r="A19" s="3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>
      <c r="A20" s="34" t="s">
        <v>122</v>
      </c>
      <c r="B20" s="20">
        <f>Analysis!B18-Analysis!$V18</f>
        <v>2.0848310478085497E-2</v>
      </c>
      <c r="C20" s="20">
        <f>Analysis!C18-Analysis!$V18</f>
        <v>-8.7786375434891206E-3</v>
      </c>
      <c r="D20" s="20">
        <f>Analysis!D18-Analysis!$V18</f>
        <v>-1.5213795974180711E-2</v>
      </c>
      <c r="E20" s="20">
        <f>Analysis!E18-Analysis!$V18</f>
        <v>-6.611878603285104E-3</v>
      </c>
      <c r="F20" s="20">
        <f>Analysis!F18-Analysis!$V18</f>
        <v>0</v>
      </c>
      <c r="G20" s="20">
        <f>Analysis!G18-Analysis!$V18</f>
        <v>-4.6268786212627977E-2</v>
      </c>
      <c r="H20" s="20">
        <f>Analysis!H18-Analysis!$V18</f>
        <v>-5.4066980417233068E-2</v>
      </c>
      <c r="I20" s="20">
        <f>Analysis!I18-Analysis!$V18</f>
        <v>-0.12347596628617857</v>
      </c>
      <c r="J20" s="20">
        <f>Analysis!J18-Analysis!$V18</f>
        <v>2.2801508386303626E-2</v>
      </c>
      <c r="K20" s="20">
        <f>Analysis!K18-Analysis!$V18</f>
        <v>-1.2452636181765286E-2</v>
      </c>
      <c r="L20" s="20">
        <f>Analysis!L18-Analysis!$V18</f>
        <v>6.3657129144371882E-2</v>
      </c>
      <c r="M20" s="20">
        <f>Analysis!M18-Analysis!$V18</f>
        <v>4.8687649781474718E-2</v>
      </c>
      <c r="N20" s="20">
        <f>Analysis!N18-Analysis!$V18</f>
        <v>-6.3020216947145713E-2</v>
      </c>
      <c r="O20" s="20">
        <f>Analysis!O18-Analysis!$V18</f>
        <v>0.11775204538212208</v>
      </c>
      <c r="P20" s="20">
        <f>Analysis!P18-Analysis!$V18</f>
        <v>5.4484887456098308E-2</v>
      </c>
      <c r="Q20" s="20">
        <f>Analysis!Q18-Analysis!$V18</f>
        <v>0.18373210220303754</v>
      </c>
      <c r="R20" s="20">
        <f>Analysis!R18-Analysis!$V18</f>
        <v>5.1837180957843454E-2</v>
      </c>
    </row>
    <row r="21" spans="1:18">
      <c r="A21" s="34" t="s">
        <v>123</v>
      </c>
      <c r="B21" s="20">
        <f>Analysis!B19-Analysis!$V19</f>
        <v>7.3013150537292182E-3</v>
      </c>
      <c r="C21" s="20">
        <f>Analysis!C19-Analysis!$V19</f>
        <v>-1.0042870120780201E-2</v>
      </c>
      <c r="D21" s="20">
        <f>Analysis!D19-Analysis!$V19</f>
        <v>-2.1410959906607629E-2</v>
      </c>
      <c r="E21" s="20">
        <f>Analysis!E19-Analysis!$V19</f>
        <v>-0.10972300321502865</v>
      </c>
      <c r="F21" s="20">
        <f>Analysis!F19-Analysis!$V19</f>
        <v>-3.1517194447488128E-2</v>
      </c>
      <c r="G21" s="20">
        <f>Analysis!G19-Analysis!$V19</f>
        <v>-2.7001244494698928E-2</v>
      </c>
      <c r="H21" s="20">
        <f>Analysis!H19-Analysis!$V19</f>
        <v>-3.4774777084894792E-2</v>
      </c>
      <c r="I21" s="20">
        <f>Analysis!I19-Analysis!$V19</f>
        <v>7.5224966627069567E-2</v>
      </c>
      <c r="J21" s="20">
        <f>Analysis!J19-Analysis!$V19</f>
        <v>-1.4009645760993394E-2</v>
      </c>
      <c r="K21" s="20">
        <f>Analysis!K19-Analysis!$V19</f>
        <v>-1.449550805171923E-2</v>
      </c>
      <c r="L21" s="20">
        <f>Analysis!L19-Analysis!$V19</f>
        <v>4.6049147450100358E-2</v>
      </c>
      <c r="M21" s="20">
        <f>Analysis!M19-Analysis!$V19</f>
        <v>4.8116012060905211E-2</v>
      </c>
      <c r="N21" s="20">
        <f>Analysis!N19-Analysis!$V19</f>
        <v>1.579004791714389E-2</v>
      </c>
      <c r="O21" s="20">
        <f>Analysis!O19-Analysis!$V19</f>
        <v>6.6380455366499502E-2</v>
      </c>
      <c r="P21" s="20">
        <f>Analysis!P19-Analysis!$V19</f>
        <v>0</v>
      </c>
      <c r="Q21" s="20">
        <f>Analysis!Q19-Analysis!$V19</f>
        <v>0.13837663455135418</v>
      </c>
      <c r="R21" s="20">
        <f>Analysis!R19-Analysis!$V19</f>
        <v>2.617314214663391E-2</v>
      </c>
    </row>
    <row r="22" spans="1:18">
      <c r="A22" s="34" t="s">
        <v>124</v>
      </c>
      <c r="B22" s="20">
        <f>Analysis!B20-Analysis!$V20</f>
        <v>1.8236432119298485E-3</v>
      </c>
      <c r="C22" s="20">
        <f>Analysis!C20-Analysis!$V20</f>
        <v>-3.7365714509324244E-4</v>
      </c>
      <c r="D22" s="20">
        <f>Analysis!D20-Analysis!$V20</f>
        <v>6.4331114971071246E-3</v>
      </c>
      <c r="E22" s="20">
        <f>Analysis!E20-Analysis!$V20</f>
        <v>-1.7959186450893228E-2</v>
      </c>
      <c r="F22" s="20">
        <f>Analysis!F20-Analysis!$V20</f>
        <v>-2.1283237359193019E-2</v>
      </c>
      <c r="G22" s="20">
        <f>Analysis!G20-Analysis!$V20</f>
        <v>0</v>
      </c>
      <c r="H22" s="20">
        <f>Analysis!H20-Analysis!$V20</f>
        <v>-9.2107422803536787E-3</v>
      </c>
      <c r="I22" s="20">
        <f>Analysis!I20-Analysis!$V20</f>
        <v>5.1080799031474222E-2</v>
      </c>
      <c r="J22" s="20">
        <f>Analysis!J20-Analysis!$V20</f>
        <v>-4.2261999712356724E-2</v>
      </c>
      <c r="K22" s="20">
        <f>Analysis!K20-Analysis!$V20</f>
        <v>-2.7365833830694741E-2</v>
      </c>
      <c r="L22" s="20">
        <f>Analysis!L20-Analysis!$V20</f>
        <v>6.5256627215518948E-2</v>
      </c>
      <c r="M22" s="20">
        <f>Analysis!M20-Analysis!$V20</f>
        <v>4.7603117329209077E-2</v>
      </c>
      <c r="N22" s="20">
        <f>Analysis!N20-Analysis!$V20</f>
        <v>-1.5983150201536345E-2</v>
      </c>
      <c r="O22" s="20">
        <f>Analysis!O20-Analysis!$V20</f>
        <v>-9.3418873598529739E-3</v>
      </c>
      <c r="P22" s="20">
        <f>Analysis!P20-Analysis!$V20</f>
        <v>8.0271969570371304E-3</v>
      </c>
      <c r="Q22" s="20">
        <f>Analysis!Q20-Analysis!$V20</f>
        <v>0.16049769833999916</v>
      </c>
      <c r="R22" s="20">
        <f>Analysis!R20-Analysis!$V20</f>
        <v>3.399463335637487E-2</v>
      </c>
    </row>
    <row r="23" spans="1:18">
      <c r="A23" s="34" t="s">
        <v>125</v>
      </c>
      <c r="B23" s="20">
        <f>Analysis!B21-Analysis!$V21</f>
        <v>7.4821023476273063E-3</v>
      </c>
      <c r="C23" s="20">
        <f>Analysis!C21-Analysis!$V21</f>
        <v>-2.8221403284192648E-2</v>
      </c>
      <c r="D23" s="20">
        <f>Analysis!D21-Analysis!$V21</f>
        <v>4.5845651276319455E-2</v>
      </c>
      <c r="E23" s="20">
        <f>Analysis!E21-Analysis!$V21</f>
        <v>2.915841896236504E-3</v>
      </c>
      <c r="F23" s="20">
        <f>Analysis!F21-Analysis!$V21</f>
        <v>-4.6107532338707236E-4</v>
      </c>
      <c r="G23" s="20">
        <f>Analysis!G21-Analysis!$V21</f>
        <v>-3.8374881126211624E-2</v>
      </c>
      <c r="H23" s="20">
        <f>Analysis!H21-Analysis!$V21</f>
        <v>-2.9780452001947566E-2</v>
      </c>
      <c r="I23" s="20">
        <f>Analysis!I21-Analysis!$V21</f>
        <v>4.524756263620533E-3</v>
      </c>
      <c r="J23" s="20">
        <f>Analysis!J21-Analysis!$V21</f>
        <v>-2.0631858022540694E-2</v>
      </c>
      <c r="K23" s="20">
        <f>Analysis!K21-Analysis!$V21</f>
        <v>-1.5200777751209149E-2</v>
      </c>
      <c r="L23" s="20">
        <f>Analysis!L21-Analysis!$V21</f>
        <v>3.8063956957876677E-2</v>
      </c>
      <c r="M23" s="20">
        <f>Analysis!M21-Analysis!$V21</f>
        <v>4.071156084594163E-2</v>
      </c>
      <c r="N23" s="20">
        <f>Analysis!N21-Analysis!$V21</f>
        <v>-3.032424667946787E-3</v>
      </c>
      <c r="O23" s="20">
        <f>Analysis!O21-Analysis!$V21</f>
        <v>-9.539657437022675E-2</v>
      </c>
      <c r="P23" s="20">
        <f>Analysis!P21-Analysis!$V21</f>
        <v>0</v>
      </c>
      <c r="Q23" s="20">
        <f>Analysis!Q21-Analysis!$V21</f>
        <v>0.1884873712747942</v>
      </c>
      <c r="R23" s="20">
        <f>Analysis!R21-Analysis!$V21</f>
        <v>0.10474981379917392</v>
      </c>
    </row>
    <row r="24" spans="1:18">
      <c r="A24" s="34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>
      <c r="A25" s="34" t="s">
        <v>87</v>
      </c>
      <c r="B25" s="22">
        <f>Analysis!B24-Analysis!$V24</f>
        <v>5.7102027483145363</v>
      </c>
      <c r="C25" s="22">
        <f>Analysis!C24-Analysis!$V24</f>
        <v>59.194271705179972</v>
      </c>
      <c r="D25" s="22">
        <f>Analysis!D24-Analysis!$V24</f>
        <v>-29.5180660893927</v>
      </c>
      <c r="E25" s="22">
        <f>Analysis!E24-Analysis!$V24</f>
        <v>18.117807098279016</v>
      </c>
      <c r="F25" s="22">
        <f>Analysis!F24-Analysis!$V24</f>
        <v>63.490809491404221</v>
      </c>
      <c r="G25" s="22">
        <f>Analysis!G24-Analysis!$V24</f>
        <v>18.996462885545014</v>
      </c>
      <c r="H25" s="22">
        <f>Analysis!H24-Analysis!$V24</f>
        <v>-15.746370017619796</v>
      </c>
      <c r="I25" s="22">
        <f>Analysis!I24-Analysis!$V24</f>
        <v>-19.593237298850369</v>
      </c>
      <c r="J25" s="22">
        <f>Analysis!J24-Analysis!$V24</f>
        <v>-17.705833454035833</v>
      </c>
      <c r="K25" s="22">
        <f>Analysis!K24-Analysis!$V24</f>
        <v>-32.729849092385422</v>
      </c>
      <c r="L25" s="22">
        <f>Analysis!L24-Analysis!$V24</f>
        <v>-25.142132739621157</v>
      </c>
      <c r="M25" s="22">
        <f>Analysis!M24-Analysis!$V24</f>
        <v>-29.880535040473944</v>
      </c>
      <c r="N25" s="22">
        <f>Analysis!N24-Analysis!$V24</f>
        <v>-28.863465075628636</v>
      </c>
      <c r="O25" s="22">
        <f>Analysis!O24-Analysis!$V24</f>
        <v>0.45947979032510489</v>
      </c>
      <c r="P25" s="22">
        <f>Analysis!P24-Analysis!$V24</f>
        <v>0</v>
      </c>
      <c r="Q25" s="22">
        <f>Analysis!Q24-Analysis!$V24</f>
        <v>499.08524907033529</v>
      </c>
      <c r="R25" s="22">
        <f>Analysis!R24-Analysis!$V24</f>
        <v>9.2694000101564171</v>
      </c>
    </row>
    <row r="26" spans="1:18">
      <c r="A26" s="34" t="s">
        <v>100</v>
      </c>
      <c r="B26" s="31">
        <f>Analysis!B25-Analysis!$V25</f>
        <v>-0.21698688897526885</v>
      </c>
      <c r="C26" s="31">
        <f>Analysis!C25-Analysis!$V25</f>
        <v>0.2058526886957619</v>
      </c>
      <c r="D26" s="31">
        <f>Analysis!D25-Analysis!$V25</f>
        <v>-0.60305022295693378</v>
      </c>
      <c r="E26" s="31">
        <f>Analysis!E25-Analysis!$V25</f>
        <v>0</v>
      </c>
      <c r="F26" s="31">
        <f>Analysis!F25-Analysis!$V25</f>
        <v>0.19387420314633941</v>
      </c>
      <c r="G26" s="31">
        <f>Analysis!G25-Analysis!$V25</f>
        <v>-0.29137378851056445</v>
      </c>
      <c r="H26" s="31">
        <f>Analysis!H25-Analysis!$V25</f>
        <v>-6.4587436391041364E-2</v>
      </c>
      <c r="I26" s="31">
        <f>Analysis!I25-Analysis!$V25</f>
        <v>-0.58959936908823096</v>
      </c>
      <c r="J26" s="31">
        <f>Analysis!J25-Analysis!$V25</f>
        <v>-0.38530781484967469</v>
      </c>
      <c r="K26" s="31">
        <f>Analysis!K25-Analysis!$V25</f>
        <v>0.21462287581912742</v>
      </c>
      <c r="L26" s="31">
        <f>Analysis!L25-Analysis!$V25</f>
        <v>-0.54233209195701115</v>
      </c>
      <c r="M26" s="31">
        <f>Analysis!M25-Analysis!$V25</f>
        <v>0.17193293241216789</v>
      </c>
      <c r="N26" s="31">
        <f>Analysis!N25-Analysis!$V25</f>
        <v>0.15712494352652406</v>
      </c>
      <c r="O26" s="31">
        <f>Analysis!O25-Analysis!$V25</f>
        <v>7.8529707602488341E-2</v>
      </c>
      <c r="P26" s="31">
        <f>Analysis!P25-Analysis!$V25</f>
        <v>3.2935233011814669E-2</v>
      </c>
      <c r="Q26" s="31"/>
      <c r="R26" s="31"/>
    </row>
    <row r="27" spans="1:18">
      <c r="A27" s="34" t="s">
        <v>114</v>
      </c>
      <c r="B27" s="31">
        <f>Analysis!B26-Analysis!V26</f>
        <v>3.0736647056980981E-2</v>
      </c>
      <c r="C27" s="31">
        <f>Analysis!C26-Analysis!$V26</f>
        <v>4.7634342835246479E-2</v>
      </c>
      <c r="D27" s="31">
        <f>Analysis!D26-Analysis!$V26</f>
        <v>1.6525207576066903E-3</v>
      </c>
      <c r="E27" s="31">
        <f>Analysis!E26-Analysis!$V26</f>
        <v>5.538557076603623E-2</v>
      </c>
      <c r="F27" s="31">
        <f>Analysis!F26-Analysis!$V26</f>
        <v>9.5466293310096151E-2</v>
      </c>
      <c r="G27" s="31">
        <f>Analysis!G26-Analysis!$V26</f>
        <v>-0.87271726166137542</v>
      </c>
      <c r="H27" s="31">
        <f>Analysis!H26-Analysis!$V26</f>
        <v>-0.16299534648292868</v>
      </c>
      <c r="I27" s="31">
        <f>Analysis!I26-Analysis!$V26</f>
        <v>-5.3252989252419058E-2</v>
      </c>
      <c r="J27" s="31">
        <f>Analysis!J26-Analysis!$V26</f>
        <v>-1.6525207576066903E-3</v>
      </c>
      <c r="K27" s="31">
        <f>Analysis!K26-Analysis!$V26</f>
        <v>0.11621496742327109</v>
      </c>
      <c r="L27" s="31">
        <f>Analysis!L26-Analysis!$V26</f>
        <v>-0.50410346583576993</v>
      </c>
      <c r="M27" s="31">
        <f>Analysis!M26-Analysis!$V26</f>
        <v>-0.74176170265521535</v>
      </c>
      <c r="N27" s="31">
        <f>Analysis!N26-Analysis!$V26</f>
        <v>6.4675440201947043E-2</v>
      </c>
      <c r="O27" s="31">
        <f>Analysis!O26-Analysis!$V26</f>
        <v>-0.87271726166137542</v>
      </c>
      <c r="P27" s="31">
        <f>Analysis!P26-Analysis!$V26</f>
        <v>-6.5472676928545082E-2</v>
      </c>
      <c r="Q27" s="31">
        <f>Analysis!Q26-Analysis!$V26</f>
        <v>-6.8931383735743035E-3</v>
      </c>
      <c r="R27" s="31">
        <f>Analysis!R26-Analysis!$V26</f>
        <v>-0.87271726166137542</v>
      </c>
    </row>
    <row r="28" spans="1:18">
      <c r="A28" s="34" t="s">
        <v>103</v>
      </c>
      <c r="B28" s="31">
        <f>Analysis!B28-Analysis!$V28</f>
        <v>0</v>
      </c>
      <c r="C28" s="31">
        <f>Analysis!C28-Analysis!$V28</f>
        <v>2.8836982869355661E-3</v>
      </c>
      <c r="D28" s="31">
        <f>Analysis!D28-Analysis!$V28</f>
        <v>9.460794366260742E-3</v>
      </c>
      <c r="E28" s="31">
        <f>Analysis!E28-Analysis!$V28</f>
        <v>-1.2414896574154986E-2</v>
      </c>
      <c r="F28" s="31">
        <f>Analysis!F28-Analysis!$V28</f>
        <v>-9.1260655305400173E-3</v>
      </c>
      <c r="G28" s="31">
        <f>Analysis!G28-Analysis!$V28</f>
        <v>0.24791308695137163</v>
      </c>
      <c r="H28" s="31">
        <f>Analysis!H28-Analysis!$V28</f>
        <v>-1.6954260967285167E-2</v>
      </c>
      <c r="I28" s="31">
        <f>Analysis!I28-Analysis!$V28</f>
        <v>-5.3277316876844758E-3</v>
      </c>
      <c r="J28" s="31">
        <f>Analysis!J28-Analysis!$V28</f>
        <v>-1.5389778761030197E-2</v>
      </c>
      <c r="K28" s="31">
        <f>Analysis!K28-Analysis!$V28</f>
        <v>2.3359247615241489E-2</v>
      </c>
      <c r="L28" s="31">
        <f>Analysis!L28-Analysis!$V28</f>
        <v>-1.094835362523643E-2</v>
      </c>
      <c r="M28" s="31">
        <f>Analysis!M28-Analysis!$V28</f>
        <v>-1.4676641786853616E-2</v>
      </c>
      <c r="N28" s="31">
        <f>Analysis!N28-Analysis!$V28</f>
        <v>6.4650101385796757E-4</v>
      </c>
      <c r="O28" s="31">
        <f>Analysis!O28-Analysis!$V28</f>
        <v>8.6669156584807741E-3</v>
      </c>
      <c r="P28" s="31">
        <f>Analysis!P28-Analysis!$V28</f>
        <v>4.0713650452118902E-3</v>
      </c>
      <c r="Q28" s="31"/>
      <c r="R28" s="31"/>
    </row>
    <row r="29" spans="1:18">
      <c r="A29" s="34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spans="1:18">
      <c r="A30" s="34" t="s">
        <v>93</v>
      </c>
      <c r="B30" s="25">
        <f>Analysis!B34-Analysis!$V34</f>
        <v>1.1536499068722748</v>
      </c>
      <c r="C30" s="25">
        <f>Analysis!C34-Analysis!$V34</f>
        <v>0.77259253298399955</v>
      </c>
      <c r="D30" s="25">
        <f>Analysis!D34-Analysis!$V34</f>
        <v>-0.36488198915988068</v>
      </c>
      <c r="E30" s="25">
        <f>Analysis!E34-Analysis!$V34</f>
        <v>1.7904307419967607</v>
      </c>
      <c r="F30" s="25">
        <f>Analysis!F34-Analysis!$V34</f>
        <v>-0.98500637183850026</v>
      </c>
      <c r="G30" s="25">
        <f>Analysis!G34-Analysis!$V34</f>
        <v>1.1529596380204641</v>
      </c>
      <c r="H30" s="25">
        <f>Analysis!H34-Analysis!$V34</f>
        <v>0</v>
      </c>
      <c r="I30" s="25">
        <f>Analysis!I34-Analysis!$V34</f>
        <v>3.1591757328618479</v>
      </c>
      <c r="J30" s="25">
        <f>Analysis!J34-Analysis!$V34</f>
        <v>-4.1914887643453156</v>
      </c>
      <c r="K30" s="25">
        <f>Analysis!K34-Analysis!$V34</f>
        <v>-3.8433900221341024</v>
      </c>
      <c r="L30" s="25">
        <f>Analysis!L34-Analysis!$V34</f>
        <v>-2.7680762320870227</v>
      </c>
      <c r="M30" s="25">
        <f>Analysis!M34-Analysis!$V34</f>
        <v>-3.5388151664616965</v>
      </c>
      <c r="N30" s="25">
        <f>Analysis!N34-Analysis!$V34</f>
        <v>-1.6215869369916067</v>
      </c>
      <c r="O30" s="25">
        <f>Analysis!O34-Analysis!$V34</f>
        <v>3.4811662247140216</v>
      </c>
      <c r="P30" s="25">
        <f>Analysis!P34-Analysis!$V34</f>
        <v>2.230933029738174</v>
      </c>
      <c r="Q30" s="25">
        <f>Analysis!Q34-Analysis!$V34</f>
        <v>1.3848738366404367</v>
      </c>
      <c r="R30" s="25">
        <f>Analysis!R34-Analysis!$V34</f>
        <v>-1.3867590401057335</v>
      </c>
    </row>
    <row r="31" spans="1:18">
      <c r="A31" s="34" t="s">
        <v>92</v>
      </c>
      <c r="B31" s="25">
        <f>Analysis!B35-Analysis!$V35</f>
        <v>-1.5942689422884655</v>
      </c>
      <c r="C31" s="25">
        <f>Analysis!C35-Analysis!$V35</f>
        <v>23.074076231988386</v>
      </c>
      <c r="D31" s="25">
        <f>Analysis!D35-Analysis!$V35</f>
        <v>29.236783021340472</v>
      </c>
      <c r="E31" s="25">
        <f>Analysis!E35-Analysis!$V35</f>
        <v>0</v>
      </c>
      <c r="F31" s="25">
        <f>Analysis!F35-Analysis!$V35</f>
        <v>16.041906057050937</v>
      </c>
      <c r="G31" s="25">
        <f>Analysis!G35-Analysis!$V35</f>
        <v>147.16732893333682</v>
      </c>
      <c r="H31" s="25">
        <f>Analysis!H35-Analysis!$V35</f>
        <v>37.015843256954128</v>
      </c>
      <c r="I31" s="25">
        <f>Analysis!I35-Analysis!$V35</f>
        <v>141.99905858571418</v>
      </c>
      <c r="J31" s="25">
        <f>Analysis!J35-Analysis!$V35</f>
        <v>-106.9798873287104</v>
      </c>
      <c r="K31" s="25">
        <f>Analysis!K35-Analysis!$V35</f>
        <v>-144.57828628714771</v>
      </c>
      <c r="L31" s="25">
        <f>Analysis!L35-Analysis!$V35</f>
        <v>-144.82238512444025</v>
      </c>
      <c r="M31" s="25">
        <f>Analysis!M35-Analysis!$V35</f>
        <v>-65.920549123765312</v>
      </c>
      <c r="N31" s="25">
        <f>Analysis!N35-Analysis!$V35</f>
        <v>-11.187810550475916</v>
      </c>
      <c r="O31" s="25">
        <f>Analysis!O35-Analysis!$V35</f>
        <v>36.090123915349324</v>
      </c>
      <c r="P31" s="25">
        <f>Analysis!P35-Analysis!$V35</f>
        <v>2.0072285400300984</v>
      </c>
      <c r="Q31" s="25">
        <f>Analysis!Q35-Analysis!$V35</f>
        <v>-32.371609793587254</v>
      </c>
      <c r="R31" s="25">
        <f>Analysis!R35-Analysis!$V35</f>
        <v>-35.708661211756805</v>
      </c>
    </row>
    <row r="32" spans="1:18">
      <c r="A32" s="3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1:18">
      <c r="A33" s="34" t="s">
        <v>33</v>
      </c>
      <c r="B33" s="17">
        <f>Analysis!B30-Analysis!$V30</f>
        <v>0.18252126633813293</v>
      </c>
      <c r="C33" s="17"/>
      <c r="D33" s="17"/>
      <c r="E33" s="17">
        <f>Analysis!E30-Analysis!$V30</f>
        <v>0.17691240850222761</v>
      </c>
      <c r="F33" s="17">
        <f>Analysis!F30-Analysis!$V30</f>
        <v>1.3668056905348502E-3</v>
      </c>
      <c r="G33" s="17">
        <f>Analysis!G30-Analysis!$V30</f>
        <v>-9.7586095713072668E-3</v>
      </c>
      <c r="H33" s="17">
        <f>Analysis!H30-Analysis!$V30</f>
        <v>-2.8913486225000395E-3</v>
      </c>
      <c r="I33" s="17">
        <f>Analysis!I30-Analysis!$V30</f>
        <v>-7.278569274991048E-2</v>
      </c>
      <c r="J33" s="17">
        <f>Analysis!J30-Analysis!$V30</f>
        <v>7.2955952785574749E-2</v>
      </c>
      <c r="K33" s="17"/>
      <c r="L33" s="17"/>
      <c r="M33" s="17">
        <f>Analysis!M30-Analysis!$V30</f>
        <v>-8.0238947495663127E-2</v>
      </c>
      <c r="N33" s="17">
        <f>Analysis!N30-Analysis!$V30</f>
        <v>0</v>
      </c>
      <c r="O33" s="17">
        <f>Analysis!O30-Analysis!$V30</f>
        <v>0.20191314595476073</v>
      </c>
      <c r="P33" s="17">
        <f>Analysis!P30-Analysis!$V30</f>
        <v>-2.9982449161450736E-2</v>
      </c>
      <c r="Q33" s="17">
        <f>Analysis!Q30-Analysis!$V30</f>
        <v>0.14323871513968783</v>
      </c>
      <c r="R33" s="17">
        <f>Analysis!R30-Analysis!$V30</f>
        <v>-2.6168514586077662E-3</v>
      </c>
    </row>
    <row r="34" spans="1:18">
      <c r="A34" s="34" t="s">
        <v>77</v>
      </c>
      <c r="B34" s="17">
        <f>Analysis!B31-Analysis!$V31</f>
        <v>0</v>
      </c>
      <c r="C34" s="17">
        <f>Analysis!C31-Analysis!$V31</f>
        <v>-3.9814433902293223E-3</v>
      </c>
      <c r="D34" s="17">
        <f>Analysis!D31-Analysis!$V31</f>
        <v>1.5376847185313847E-3</v>
      </c>
      <c r="E34" s="17">
        <f>Analysis!E31-Analysis!$V31</f>
        <v>-1.5070895003957863E-2</v>
      </c>
      <c r="F34" s="17">
        <f>Analysis!F31-Analysis!$V31</f>
        <v>-6.05666746880551E-3</v>
      </c>
      <c r="G34" s="17">
        <f>Analysis!G31-Analysis!$V31</f>
        <v>-2.5348229171893666E-2</v>
      </c>
      <c r="H34" s="17">
        <f>Analysis!H31-Analysis!$V31</f>
        <v>-1.2620181358774019E-2</v>
      </c>
      <c r="I34" s="17">
        <f>Analysis!I31-Analysis!$V31</f>
        <v>-5.442080031719948E-2</v>
      </c>
      <c r="J34" s="17">
        <f>Analysis!J31-Analysis!$V31</f>
        <v>0.18398337155614231</v>
      </c>
      <c r="K34" s="17">
        <f>Analysis!K31-Analysis!$V31</f>
        <v>0.28795114150506218</v>
      </c>
      <c r="L34" s="17">
        <f>Analysis!L31-Analysis!$V31</f>
        <v>0.26740057117728655</v>
      </c>
      <c r="M34" s="17">
        <f>Analysis!M31-Analysis!$V31</f>
        <v>0.2372050094478374</v>
      </c>
      <c r="N34" s="17">
        <f>Analysis!N31-Analysis!$V31</f>
        <v>2.570769801322903E-2</v>
      </c>
      <c r="O34" s="17">
        <f>Analysis!O31-Analysis!$V31</f>
        <v>-4.8740563711715368E-2</v>
      </c>
      <c r="P34" s="17">
        <f>Analysis!P31-Analysis!$V31</f>
        <v>-4.0208790933625171E-3</v>
      </c>
      <c r="Q34" s="17">
        <f>Analysis!Q31-Analysis!$V31</f>
        <v>8.2698569772256536E-3</v>
      </c>
      <c r="R34" s="17">
        <f>Analysis!R31-Analysis!$V31</f>
        <v>8.927427844256286E-2</v>
      </c>
    </row>
    <row r="35" spans="1:18">
      <c r="A35" s="34" t="s">
        <v>78</v>
      </c>
      <c r="B35" s="17">
        <f>Analysis!B32-Analysis!$V32</f>
        <v>-9.5646400424460598E-3</v>
      </c>
      <c r="C35" s="17">
        <f>Analysis!C32-Analysis!$V32</f>
        <v>0</v>
      </c>
      <c r="D35" s="17">
        <f>Analysis!D32-Analysis!$V32</f>
        <v>-4.7113460312991906E-3</v>
      </c>
      <c r="E35" s="17">
        <f>Analysis!E32-Analysis!$V32</f>
        <v>-1.0096894207633711E-2</v>
      </c>
      <c r="F35" s="17">
        <f>Analysis!F32-Analysis!$V32</f>
        <v>1.7861056062987712E-3</v>
      </c>
      <c r="G35" s="17">
        <f>Analysis!G32-Analysis!$V32</f>
        <v>-8.202832429727247E-3</v>
      </c>
      <c r="H35" s="17">
        <f>Analysis!H32-Analysis!$V32</f>
        <v>-3.4086667289157102E-5</v>
      </c>
      <c r="I35" s="17">
        <f>Analysis!I32-Analysis!$V32</f>
        <v>-5.5461622870559057E-2</v>
      </c>
      <c r="J35" s="17">
        <f>Analysis!J32-Analysis!$V32</f>
        <v>0.21044138923385569</v>
      </c>
      <c r="K35" s="17">
        <f>Analysis!K32-Analysis!$V32</f>
        <v>0.3004013861392888</v>
      </c>
      <c r="L35" s="17">
        <f>Analysis!L32-Analysis!$V32</f>
        <v>0.24967863616039754</v>
      </c>
      <c r="M35" s="17">
        <f>Analysis!M32-Analysis!$V32</f>
        <v>0.29143680100705704</v>
      </c>
      <c r="N35" s="17">
        <f>Analysis!N32-Analysis!$V32</f>
        <v>3.8487373957590165E-2</v>
      </c>
      <c r="O35" s="17">
        <f>Analysis!O32-Analysis!$V32</f>
        <v>-4.9302982625855529E-2</v>
      </c>
      <c r="P35" s="17">
        <f>Analysis!P32-Analysis!$V32</f>
        <v>-2.4138712159811004E-2</v>
      </c>
      <c r="Q35" s="17">
        <f>Analysis!Q32-Analysis!$V32</f>
        <v>1.180706747526683E-3</v>
      </c>
      <c r="R35" s="17">
        <f>Analysis!R32-Analysis!$V32</f>
        <v>8.2261041017244019E-2</v>
      </c>
    </row>
    <row r="36" spans="1:18">
      <c r="A36" s="34" t="s">
        <v>79</v>
      </c>
      <c r="B36" s="17">
        <f>Analysis!B33-Analysis!$V33</f>
        <v>-3.101731998329077E-2</v>
      </c>
      <c r="C36" s="17">
        <f>Analysis!C33-Analysis!$V33</f>
        <v>-1.7334763892315641E-2</v>
      </c>
      <c r="D36" s="17">
        <f>Analysis!D33-Analysis!$V33</f>
        <v>1.5017219147814009E-3</v>
      </c>
      <c r="E36" s="17">
        <f>Analysis!E33-Analysis!$V33</f>
        <v>-3.9927565984214514E-2</v>
      </c>
      <c r="F36" s="17">
        <f>Analysis!F33-Analysis!$V33</f>
        <v>2.1500046848324711E-2</v>
      </c>
      <c r="G36" s="17">
        <f>Analysis!G33-Analysis!$V33</f>
        <v>-2.6410069932884667E-2</v>
      </c>
      <c r="H36" s="17">
        <f>Analysis!H33-Analysis!$V33</f>
        <v>0</v>
      </c>
      <c r="I36" s="17">
        <f>Analysis!I33-Analysis!$V33</f>
        <v>-6.4746371038935047E-2</v>
      </c>
      <c r="J36" s="17">
        <f>Analysis!J33-Analysis!$V33</f>
        <v>0.24079361333824384</v>
      </c>
      <c r="K36" s="17">
        <f>Analysis!K33-Analysis!$V33</f>
        <v>0.25950002512766018</v>
      </c>
      <c r="L36" s="17">
        <f>Analysis!L33-Analysis!$V33</f>
        <v>0.13970437103241223</v>
      </c>
      <c r="M36" s="17">
        <f>Analysis!M33-Analysis!$V33</f>
        <v>0.29892631166787376</v>
      </c>
      <c r="N36" s="17">
        <f>Analysis!N33-Analysis!$V33</f>
        <v>3.8717822080416242E-2</v>
      </c>
      <c r="O36" s="17">
        <f>Analysis!O33-Analysis!$V33</f>
        <v>-6.7247950904404108E-2</v>
      </c>
      <c r="P36" s="17">
        <f>Analysis!P33-Analysis!$V33</f>
        <v>-5.4737566589947245E-2</v>
      </c>
      <c r="Q36" s="17">
        <f>Analysis!Q33-Analysis!$V33</f>
        <v>-2.9417496306311908E-2</v>
      </c>
      <c r="R36" s="17">
        <f>Analysis!R33-Analysis!$V33</f>
        <v>4.3164329377859079E-2</v>
      </c>
    </row>
    <row r="37" spans="1:18">
      <c r="A37" s="34" t="s">
        <v>81</v>
      </c>
      <c r="B37" s="21">
        <f>Analysis!B36-Analysis!$V36</f>
        <v>-19891.081882500468</v>
      </c>
      <c r="C37" s="21">
        <f>Analysis!C36-Analysis!$V36</f>
        <v>-53537.708587255125</v>
      </c>
      <c r="D37" s="21">
        <f>Analysis!D36-Analysis!$V36</f>
        <v>-44118.830911425423</v>
      </c>
      <c r="E37" s="21">
        <f>Analysis!E36-Analysis!$V36</f>
        <v>275770.62229852908</v>
      </c>
      <c r="F37" s="21">
        <f>Analysis!F36-Analysis!$V36</f>
        <v>39301.816825302696</v>
      </c>
      <c r="G37" s="21">
        <f>Analysis!G36-Analysis!$V36</f>
        <v>0</v>
      </c>
      <c r="H37" s="21">
        <f>Analysis!H36-Analysis!$V36</f>
        <v>-50215.364801703501</v>
      </c>
      <c r="I37" s="21">
        <f>Analysis!I36-Analysis!$V36</f>
        <v>-37825.283896306442</v>
      </c>
      <c r="J37" s="21">
        <f>Analysis!J36-Analysis!$V36</f>
        <v>-39081.882375305751</v>
      </c>
      <c r="K37" s="21">
        <f>Analysis!K36-Analysis!$V36</f>
        <v>-78351.725288974718</v>
      </c>
      <c r="L37" s="21">
        <f>Analysis!L36-Analysis!$V36</f>
        <v>149846.37779505673</v>
      </c>
      <c r="M37" s="21">
        <f>Analysis!M36-Analysis!$V36</f>
        <v>100625.19870868069</v>
      </c>
      <c r="N37" s="21">
        <f>Analysis!N36-Analysis!$V36</f>
        <v>-44585.72623555809</v>
      </c>
      <c r="O37" s="21">
        <f>Analysis!O36-Analysis!$V36</f>
        <v>49764.345166734449</v>
      </c>
      <c r="P37" s="21">
        <f>Analysis!P36-Analysis!$V36</f>
        <v>145498.05907193763</v>
      </c>
      <c r="Q37" s="21">
        <f>Analysis!Q36-Analysis!$V36</f>
        <v>1139466.6580948606</v>
      </c>
      <c r="R37" s="21">
        <f>Analysis!R36-Analysis!$V36</f>
        <v>199066.52085920976</v>
      </c>
    </row>
    <row r="38" spans="1:18">
      <c r="A38" s="34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 spans="1:18">
      <c r="A39" s="34" t="s">
        <v>105</v>
      </c>
      <c r="B39" s="31"/>
      <c r="C39" s="31"/>
      <c r="D39" s="31">
        <f>Analysis!D38-Analysis!$V38</f>
        <v>1.7352169546519747E-2</v>
      </c>
      <c r="E39" s="31"/>
      <c r="F39" s="31">
        <f>Analysis!F38-Analysis!$V38</f>
        <v>-0.49035477315168297</v>
      </c>
      <c r="G39" s="31">
        <f>Analysis!G38-Analysis!$V38</f>
        <v>-0.20961323276626265</v>
      </c>
      <c r="H39" s="31"/>
      <c r="I39" s="31"/>
      <c r="J39" s="31">
        <f>Analysis!J38-Analysis!$V38</f>
        <v>0.15032764504443019</v>
      </c>
      <c r="K39" s="31">
        <f>Analysis!K38-Analysis!$V38</f>
        <v>-1.7352169546519636E-2</v>
      </c>
      <c r="L39" s="31"/>
      <c r="M39" s="31"/>
      <c r="N39" s="31">
        <f>Analysis!N38-Analysis!$V38</f>
        <v>0.14819636735098085</v>
      </c>
      <c r="O39" s="31"/>
      <c r="P39" s="31"/>
      <c r="Q39" s="31"/>
      <c r="R39" s="31"/>
    </row>
    <row r="40" spans="1:18">
      <c r="A40" s="34" t="s">
        <v>104</v>
      </c>
      <c r="B40" s="31"/>
      <c r="C40" s="31"/>
      <c r="D40" s="31">
        <f>Analysis!D39-Analysis!$V39</f>
        <v>-4.2438326958976758E-3</v>
      </c>
      <c r="E40" s="31"/>
      <c r="F40" s="31">
        <f>Analysis!F39-Analysis!$V39</f>
        <v>0.63352983539854113</v>
      </c>
      <c r="G40" s="31">
        <f>Analysis!G39-Analysis!$V39</f>
        <v>-0.11740924083342594</v>
      </c>
      <c r="H40" s="31"/>
      <c r="I40" s="31"/>
      <c r="J40" s="31">
        <f>Analysis!J39-Analysis!$V39</f>
        <v>2.4663861802108555E-2</v>
      </c>
      <c r="K40" s="31">
        <f>Analysis!K39-Analysis!$V39</f>
        <v>-0.10053656936576014</v>
      </c>
      <c r="L40" s="31"/>
      <c r="M40" s="31"/>
      <c r="N40" s="31">
        <f>Analysis!N39-Analysis!$V39</f>
        <v>4.2438326958976202E-3</v>
      </c>
      <c r="O40" s="31"/>
      <c r="P40" s="31"/>
      <c r="Q40" s="31"/>
      <c r="R40" s="31"/>
    </row>
    <row r="41" spans="1:18">
      <c r="A41" s="3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>
      <c r="A42" s="34" t="s">
        <v>85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>
      <c r="A43" s="9" t="s">
        <v>29</v>
      </c>
      <c r="B43" s="17">
        <f>Analysis!B42-Analysis!$V42</f>
        <v>7.3657456995586228E-3</v>
      </c>
      <c r="C43" s="17">
        <f>Analysis!C42-Analysis!$V42</f>
        <v>8.9885169359914599E-4</v>
      </c>
      <c r="D43" s="17">
        <f>Analysis!D42-Analysis!$V42</f>
        <v>-1.5163081467567426E-2</v>
      </c>
      <c r="E43" s="17">
        <f>Analysis!E42-Analysis!$V42</f>
        <v>-1.3797849054109265E-2</v>
      </c>
      <c r="F43" s="17">
        <f>Analysis!F42-Analysis!$V42</f>
        <v>1.8046107723911041E-2</v>
      </c>
      <c r="G43" s="17">
        <f>Analysis!G42-Analysis!$V42</f>
        <v>0</v>
      </c>
      <c r="H43" s="17">
        <f>Analysis!H42-Analysis!$V42</f>
        <v>-5.4773792387015699E-4</v>
      </c>
      <c r="I43" s="17">
        <f>Analysis!I42-Analysis!$V42</f>
        <v>8.0733759242977016E-3</v>
      </c>
      <c r="J43" s="17">
        <f>Analysis!J42-Analysis!$V42</f>
        <v>6.0672518530380345E-2</v>
      </c>
      <c r="K43" s="17">
        <f>Analysis!K42-Analysis!$V42</f>
        <v>-8.4362038842248025E-3</v>
      </c>
      <c r="L43" s="17">
        <f>Analysis!L42-Analysis!$V42</f>
        <v>-1.2737856681450596E-2</v>
      </c>
      <c r="M43" s="17">
        <f>Analysis!M42-Analysis!$V42</f>
        <v>6.2706909566405226E-3</v>
      </c>
      <c r="N43" s="17">
        <f>Analysis!N42-Analysis!$V42</f>
        <v>2.2354413386634693E-2</v>
      </c>
      <c r="O43" s="17">
        <f>Analysis!O42-Analysis!$V42</f>
        <v>-1.6938593341442862E-2</v>
      </c>
      <c r="P43" s="17">
        <f>Analysis!P42-Analysis!$V42</f>
        <v>-1.4830748842692122E-2</v>
      </c>
      <c r="Q43" s="17">
        <f>Analysis!Q42-Analysis!$V42</f>
        <v>-1.6770956339424176E-2</v>
      </c>
      <c r="R43" s="17">
        <f>Analysis!R42-Analysis!$V42</f>
        <v>1.1927436597745887E-2</v>
      </c>
    </row>
    <row r="44" spans="1:18">
      <c r="A44" s="9" t="s">
        <v>28</v>
      </c>
      <c r="B44" s="17">
        <f>Analysis!B43-Analysis!$V43</f>
        <v>-2.3205666815340927E-3</v>
      </c>
      <c r="C44" s="17">
        <f>Analysis!C43-Analysis!$V43</f>
        <v>2.9488794483932337E-2</v>
      </c>
      <c r="D44" s="17">
        <f>Analysis!D43-Analysis!$V43</f>
        <v>-1.0711723515293344E-2</v>
      </c>
      <c r="E44" s="17">
        <f>Analysis!E43-Analysis!$V43</f>
        <v>-9.9184703220374752E-3</v>
      </c>
      <c r="F44" s="17">
        <f>Analysis!F43-Analysis!$V43</f>
        <v>6.335682999133542E-3</v>
      </c>
      <c r="G44" s="17">
        <f>Analysis!G43-Analysis!$V43</f>
        <v>0</v>
      </c>
      <c r="H44" s="17">
        <f>Analysis!H43-Analysis!$V43</f>
        <v>9.8384059631052637E-3</v>
      </c>
      <c r="I44" s="17">
        <f>Analysis!I43-Analysis!$V43</f>
        <v>3.0083333686172907E-2</v>
      </c>
      <c r="J44" s="17">
        <f>Analysis!J43-Analysis!$V43</f>
        <v>5.9447295592142783E-3</v>
      </c>
      <c r="K44" s="17">
        <f>Analysis!K43-Analysis!$V43</f>
        <v>-4.5013436224649308E-3</v>
      </c>
      <c r="L44" s="17">
        <f>Analysis!L43-Analysis!$V43</f>
        <v>-3.4100149515906529E-4</v>
      </c>
      <c r="M44" s="17">
        <f>Analysis!M43-Analysis!$V43</f>
        <v>1.531920965012144E-3</v>
      </c>
      <c r="N44" s="17">
        <f>Analysis!N43-Analysis!$V43</f>
        <v>4.0742821610873156E-3</v>
      </c>
      <c r="O44" s="17">
        <f>Analysis!O43-Analysis!$V43</f>
        <v>-1.0628532392908042E-2</v>
      </c>
      <c r="P44" s="17">
        <f>Analysis!P43-Analysis!$V43</f>
        <v>-7.2366796203907147E-3</v>
      </c>
      <c r="Q44" s="17">
        <f>Analysis!Q43-Analysis!$V43</f>
        <v>-1.0601354844587511E-2</v>
      </c>
      <c r="R44" s="17">
        <f>Analysis!R43-Analysis!$V43</f>
        <v>5.8486104342162226E-3</v>
      </c>
    </row>
    <row r="45" spans="1:18">
      <c r="A45" s="9" t="s">
        <v>27</v>
      </c>
      <c r="B45" s="17">
        <f>Analysis!B44-Analysis!$V44</f>
        <v>2.4871033026105119E-2</v>
      </c>
      <c r="C45" s="17">
        <f>Analysis!C44-Analysis!$V44</f>
        <v>0.18854522466567608</v>
      </c>
      <c r="D45" s="17">
        <f>Analysis!D44-Analysis!$V44</f>
        <v>-1.4416314032940816E-2</v>
      </c>
      <c r="E45" s="17">
        <f>Analysis!E44-Analysis!$V44</f>
        <v>-6.3601597665353407E-2</v>
      </c>
      <c r="F45" s="17">
        <f>Analysis!F44-Analysis!$V44</f>
        <v>6.4531967355160855E-2</v>
      </c>
      <c r="G45" s="17">
        <f>Analysis!G44-Analysis!$V44</f>
        <v>9.4631624630278785E-2</v>
      </c>
      <c r="H45" s="17">
        <f>Analysis!H44-Analysis!$V44</f>
        <v>6.0066585155763921E-2</v>
      </c>
      <c r="I45" s="17">
        <f>Analysis!I44-Analysis!$V44</f>
        <v>-6.9321677524453812E-2</v>
      </c>
      <c r="J45" s="17">
        <f>Analysis!J44-Analysis!$V44</f>
        <v>-6.1715739005637683E-2</v>
      </c>
      <c r="K45" s="17">
        <f>Analysis!K44-Analysis!$V44</f>
        <v>0.21902967960613212</v>
      </c>
      <c r="L45" s="17">
        <f>Analysis!L44-Analysis!$V44</f>
        <v>-7.4530040910940995E-2</v>
      </c>
      <c r="M45" s="17">
        <f>Analysis!M44-Analysis!$V44</f>
        <v>0.51167889046774606</v>
      </c>
      <c r="N45" s="17">
        <f>Analysis!N44-Analysis!$V44</f>
        <v>0</v>
      </c>
      <c r="O45" s="17">
        <f>Analysis!O44-Analysis!$V44</f>
        <v>-4.7293093719436949E-2</v>
      </c>
      <c r="P45" s="17">
        <f>Analysis!P44-Analysis!$V44</f>
        <v>-5.9465791413653296E-3</v>
      </c>
      <c r="Q45" s="17">
        <f>Analysis!Q44-Analysis!$V44</f>
        <v>-5.3453325419766912E-2</v>
      </c>
      <c r="R45" s="17">
        <f>Analysis!R44-Analysis!$V44</f>
        <v>0.20896612044351121</v>
      </c>
    </row>
    <row r="46" spans="1:18">
      <c r="A46" s="9" t="s">
        <v>26</v>
      </c>
      <c r="B46" s="17">
        <f>Analysis!B45-Analysis!$V45</f>
        <v>1.9823174674569649E-2</v>
      </c>
      <c r="C46" s="17">
        <f>Analysis!C45-Analysis!$V45</f>
        <v>-2.8832496491449228E-2</v>
      </c>
      <c r="D46" s="17">
        <f>Analysis!D45-Analysis!$V45</f>
        <v>1.0014269725633851E-2</v>
      </c>
      <c r="E46" s="17">
        <f>Analysis!E45-Analysis!$V45</f>
        <v>9.5861711054083532E-3</v>
      </c>
      <c r="F46" s="17">
        <f>Analysis!F45-Analysis!$V45</f>
        <v>-1.0700475834401479E-3</v>
      </c>
      <c r="G46" s="17">
        <f>Analysis!G45-Analysis!$V45</f>
        <v>-7.9044769881042184E-2</v>
      </c>
      <c r="H46" s="17">
        <f>Analysis!H45-Analysis!$V45</f>
        <v>3.9564925112142907E-2</v>
      </c>
      <c r="I46" s="17">
        <f>Analysis!I45-Analysis!$V45</f>
        <v>7.66336635993288E-2</v>
      </c>
      <c r="J46" s="17">
        <f>Analysis!J45-Analysis!$V45</f>
        <v>-4.5110556293151916E-2</v>
      </c>
      <c r="K46" s="17">
        <f>Analysis!K45-Analysis!$V45</f>
        <v>7.0070881141045538E-3</v>
      </c>
      <c r="L46" s="17">
        <f>Analysis!L45-Analysis!$V45</f>
        <v>-2.4876044836351641E-2</v>
      </c>
      <c r="M46" s="17">
        <f>Analysis!M45-Analysis!$V45</f>
        <v>0</v>
      </c>
      <c r="N46" s="17">
        <f>Analysis!N45-Analysis!$V45</f>
        <v>-4.6535742166283436E-2</v>
      </c>
      <c r="O46" s="17">
        <f>Analysis!O45-Analysis!$V45</f>
        <v>1.9524975766017277E-2</v>
      </c>
      <c r="P46" s="17">
        <f>Analysis!P45-Analysis!$V45</f>
        <v>7.3875692131125659E-3</v>
      </c>
      <c r="Q46" s="17">
        <f>Analysis!Q45-Analysis!$V45</f>
        <v>-1.2899749147479489E-2</v>
      </c>
      <c r="R46" s="17">
        <f>Analysis!R45-Analysis!$V45</f>
        <v>-3.6490730882887318E-2</v>
      </c>
    </row>
    <row r="47" spans="1:18">
      <c r="A47" s="9" t="s">
        <v>25</v>
      </c>
      <c r="B47" s="17">
        <f>Analysis!B46-Analysis!$V46</f>
        <v>2.4527940030965756E-2</v>
      </c>
      <c r="C47" s="17">
        <f>Analysis!C46-Analysis!$V46</f>
        <v>-7.9139249804542899E-3</v>
      </c>
      <c r="D47" s="17">
        <f>Analysis!D46-Analysis!$V46</f>
        <v>2.3421870487294327E-2</v>
      </c>
      <c r="E47" s="17">
        <f>Analysis!E46-Analysis!$V46</f>
        <v>5.9204504418192194E-2</v>
      </c>
      <c r="F47" s="17">
        <f>Analysis!F46-Analysis!$V46</f>
        <v>-4.3010635301837449E-2</v>
      </c>
      <c r="G47" s="17">
        <f>Analysis!G46-Analysis!$V46</f>
        <v>-1.8950320312955675E-2</v>
      </c>
      <c r="H47" s="17">
        <f>Analysis!H46-Analysis!$V46</f>
        <v>-6.5543271976922432E-2</v>
      </c>
      <c r="I47" s="17">
        <f>Analysis!I46-Analysis!$V46</f>
        <v>3.368008580566309E-3</v>
      </c>
      <c r="J47" s="17">
        <f>Analysis!J46-Analysis!$V46</f>
        <v>-3.5770214925674289E-2</v>
      </c>
      <c r="K47" s="17">
        <f>Analysis!K46-Analysis!$V46</f>
        <v>4.2950535646414753E-2</v>
      </c>
      <c r="L47" s="17">
        <f>Analysis!L46-Analysis!$V46</f>
        <v>-6.20084613402632E-2</v>
      </c>
      <c r="M47" s="17">
        <f>Analysis!M46-Analysis!$V46</f>
        <v>-6.8239432983475762E-2</v>
      </c>
      <c r="N47" s="17">
        <f>Analysis!N46-Analysis!$V46</f>
        <v>6.3678965104248253E-3</v>
      </c>
      <c r="O47" s="17">
        <f>Analysis!O46-Analysis!$V46</f>
        <v>0</v>
      </c>
      <c r="P47" s="17">
        <f>Analysis!P46-Analysis!$V46</f>
        <v>5.6428406787626284E-2</v>
      </c>
      <c r="Q47" s="17">
        <f>Analysis!Q46-Analysis!$V46</f>
        <v>3.4152925150053151E-2</v>
      </c>
      <c r="R47" s="17">
        <f>Analysis!R46-Analysis!$V46</f>
        <v>-3.7757316254698602E-2</v>
      </c>
    </row>
    <row r="48" spans="1:18">
      <c r="A48" s="9" t="s">
        <v>109</v>
      </c>
      <c r="B48" s="17">
        <f>Analysis!B47-Analysis!$V47</f>
        <v>0</v>
      </c>
      <c r="C48" s="17">
        <f>Analysis!C47-Analysis!$V47</f>
        <v>0</v>
      </c>
      <c r="D48" s="17">
        <f>Analysis!D47-Analysis!$V47</f>
        <v>0</v>
      </c>
      <c r="E48" s="17">
        <f>Analysis!E47-Analysis!$V47</f>
        <v>0</v>
      </c>
      <c r="F48" s="17">
        <f>Analysis!F47-Analysis!$V47</f>
        <v>0</v>
      </c>
      <c r="G48" s="17">
        <f>Analysis!G47-Analysis!$V47</f>
        <v>0</v>
      </c>
      <c r="H48" s="17">
        <f>Analysis!H47-Analysis!$V47</f>
        <v>0</v>
      </c>
      <c r="I48" s="17">
        <f>Analysis!I47-Analysis!$V47</f>
        <v>0</v>
      </c>
      <c r="J48" s="17">
        <f>Analysis!J47-Analysis!$V47</f>
        <v>0</v>
      </c>
      <c r="K48" s="17">
        <f>Analysis!K47-Analysis!$V47</f>
        <v>0</v>
      </c>
      <c r="L48" s="17">
        <f>Analysis!L47-Analysis!$V47</f>
        <v>3.2791897449363575E-2</v>
      </c>
      <c r="M48" s="17">
        <f>Analysis!M47-Analysis!$V47</f>
        <v>0</v>
      </c>
      <c r="N48" s="17">
        <f>Analysis!N47-Analysis!$V47</f>
        <v>0</v>
      </c>
      <c r="O48" s="17">
        <f>Analysis!O47-Analysis!$V47</f>
        <v>0</v>
      </c>
      <c r="P48" s="17">
        <f>Analysis!P47-Analysis!$V47</f>
        <v>0</v>
      </c>
      <c r="Q48" s="17">
        <f>Analysis!Q47-Analysis!$V47</f>
        <v>0</v>
      </c>
      <c r="R48" s="17">
        <f>Analysis!R47-Analysis!$V47</f>
        <v>0</v>
      </c>
    </row>
    <row r="49" spans="1:18">
      <c r="A49" s="9" t="s">
        <v>24</v>
      </c>
      <c r="B49" s="17">
        <f>Analysis!B48-Analysis!$V48</f>
        <v>-3.8861649512901561E-3</v>
      </c>
      <c r="C49" s="17">
        <f>Analysis!C48-Analysis!$V48</f>
        <v>-4.6472741716213784E-3</v>
      </c>
      <c r="D49" s="17">
        <f>Analysis!D48-Analysis!$V48</f>
        <v>-3.4570045019008569E-3</v>
      </c>
      <c r="E49" s="17">
        <f>Analysis!E48-Analysis!$V48</f>
        <v>1.5927655754206446E-2</v>
      </c>
      <c r="F49" s="17">
        <f>Analysis!F48-Analysis!$V48</f>
        <v>6.2572561964125296E-4</v>
      </c>
      <c r="G49" s="17">
        <f>Analysis!G48-Analysis!$V48</f>
        <v>-1.4364620842483196E-3</v>
      </c>
      <c r="H49" s="17">
        <f>Analysis!H48-Analysis!$V48</f>
        <v>4.5708569957588804E-2</v>
      </c>
      <c r="I49" s="17">
        <f>Analysis!I48-Analysis!$V48</f>
        <v>-5.330688622090787E-4</v>
      </c>
      <c r="J49" s="17">
        <f>Analysis!J48-Analysis!$V48</f>
        <v>0.3195927367398877</v>
      </c>
      <c r="K49" s="17">
        <f>Analysis!K48-Analysis!$V48</f>
        <v>-5.0892702358313179E-3</v>
      </c>
      <c r="L49" s="17">
        <f>Analysis!L48-Analysis!$V48</f>
        <v>-6.3578591742722915E-3</v>
      </c>
      <c r="M49" s="17">
        <f>Analysis!M48-Analysis!$V48</f>
        <v>4.9443515472965523E-3</v>
      </c>
      <c r="N49" s="17">
        <f>Analysis!N48-Analysis!$V48</f>
        <v>6.6462217050014885E-6</v>
      </c>
      <c r="O49" s="17">
        <f>Analysis!O48-Analysis!$V48</f>
        <v>0</v>
      </c>
      <c r="P49" s="17">
        <f>Analysis!P48-Analysis!$V48</f>
        <v>3.0011605808866878E-3</v>
      </c>
      <c r="Q49" s="17">
        <f>Analysis!Q48-Analysis!$V48</f>
        <v>6.0111956864474046E-4</v>
      </c>
      <c r="R49" s="17">
        <f>Analysis!R48-Analysis!$V48</f>
        <v>-1.2863363208174289E-3</v>
      </c>
    </row>
    <row r="50" spans="1:18">
      <c r="A50" s="9" t="s">
        <v>23</v>
      </c>
      <c r="B50" s="17">
        <f>Analysis!B49-Analysis!$V49</f>
        <v>-3.2687967069633637E-3</v>
      </c>
      <c r="C50" s="17">
        <f>Analysis!C49-Analysis!$V49</f>
        <v>6.950421567895864E-3</v>
      </c>
      <c r="D50" s="17">
        <f>Analysis!D49-Analysis!$V49</f>
        <v>-6.8635241496263974E-3</v>
      </c>
      <c r="E50" s="17">
        <f>Analysis!E49-Analysis!$V49</f>
        <v>6.6631740465306379E-3</v>
      </c>
      <c r="F50" s="17">
        <f>Analysis!F49-Analysis!$V49</f>
        <v>1.0023736533969346E-3</v>
      </c>
      <c r="G50" s="17">
        <f>Analysis!G49-Analysis!$V49</f>
        <v>1.4307446438105893E-3</v>
      </c>
      <c r="H50" s="17">
        <f>Analysis!H49-Analysis!$V49</f>
        <v>0</v>
      </c>
      <c r="I50" s="17">
        <f>Analysis!I49-Analysis!$V49</f>
        <v>1.429847831665788E-2</v>
      </c>
      <c r="J50" s="17">
        <f>Analysis!J49-Analysis!$V49</f>
        <v>1.6941124816872852E-2</v>
      </c>
      <c r="K50" s="17">
        <f>Analysis!K49-Analysis!$V49</f>
        <v>-1.5945588651240766E-2</v>
      </c>
      <c r="L50" s="17">
        <f>Analysis!L49-Analysis!$V49</f>
        <v>-1.5983261231751908E-2</v>
      </c>
      <c r="M50" s="17">
        <f>Analysis!M49-Analysis!$V49</f>
        <v>-1.3637218221493382E-2</v>
      </c>
      <c r="N50" s="17">
        <f>Analysis!N49-Analysis!$V49</f>
        <v>9.7797455357158738E-4</v>
      </c>
      <c r="O50" s="17">
        <f>Analysis!O49-Analysis!$V49</f>
        <v>-1.4131942336749271E-2</v>
      </c>
      <c r="P50" s="17">
        <f>Analysis!P49-Analysis!$V49</f>
        <v>1.2418845892536712E-2</v>
      </c>
      <c r="Q50" s="17">
        <f>Analysis!Q49-Analysis!$V49</f>
        <v>-8.7651827218344323E-3</v>
      </c>
      <c r="R50" s="17">
        <f>Analysis!R49-Analysis!$V49</f>
        <v>-1.7205366180217709E-3</v>
      </c>
    </row>
    <row r="51" spans="1:18">
      <c r="A51" s="9" t="s">
        <v>22</v>
      </c>
      <c r="B51" s="17">
        <f>Analysis!B50-Analysis!$V50</f>
        <v>1.7922884878174325E-2</v>
      </c>
      <c r="C51" s="17">
        <f>Analysis!C50-Analysis!$V50</f>
        <v>-4.2969578624751925E-3</v>
      </c>
      <c r="D51" s="17">
        <f>Analysis!D50-Analysis!$V50</f>
        <v>8.7780191677852924E-3</v>
      </c>
      <c r="E51" s="17">
        <f>Analysis!E50-Analysis!$V50</f>
        <v>2.151826998785281E-3</v>
      </c>
      <c r="F51" s="17">
        <f>Analysis!F50-Analysis!$V50</f>
        <v>7.3611027872095437E-3</v>
      </c>
      <c r="G51" s="17">
        <f>Analysis!G50-Analysis!$V50</f>
        <v>-3.947227572348869E-3</v>
      </c>
      <c r="H51" s="17">
        <f>Analysis!H50-Analysis!$V50</f>
        <v>-8.0744493259943782E-3</v>
      </c>
      <c r="I51" s="17">
        <f>Analysis!I50-Analysis!$V50</f>
        <v>0</v>
      </c>
      <c r="J51" s="17">
        <f>Analysis!J50-Analysis!$V50</f>
        <v>3.337690178923049E-3</v>
      </c>
      <c r="K51" s="17">
        <f>Analysis!K50-Analysis!$V50</f>
        <v>6.620707607675521E-4</v>
      </c>
      <c r="L51" s="17">
        <f>Analysis!L50-Analysis!$V50</f>
        <v>-6.6815921212693748E-3</v>
      </c>
      <c r="M51" s="17">
        <f>Analysis!M50-Analysis!$V50</f>
        <v>-1.2077878261132468E-2</v>
      </c>
      <c r="N51" s="17">
        <f>Analysis!N50-Analysis!$V50</f>
        <v>8.3288918979912124E-3</v>
      </c>
      <c r="O51" s="17">
        <f>Analysis!O50-Analysis!$V50</f>
        <v>2.2809557701605837E-2</v>
      </c>
      <c r="P51" s="17">
        <f>Analysis!P50-Analysis!$V50</f>
        <v>-5.0487456172148351E-3</v>
      </c>
      <c r="Q51" s="17">
        <f>Analysis!Q50-Analysis!$V50</f>
        <v>-1.139523408918007E-2</v>
      </c>
      <c r="R51" s="17">
        <f>Analysis!R50-Analysis!$V50</f>
        <v>-1.5147995268946501E-4</v>
      </c>
    </row>
    <row r="52" spans="1:18">
      <c r="A52" s="9" t="s">
        <v>107</v>
      </c>
      <c r="B52" s="17">
        <f>Analysis!B51-Analysis!$V51</f>
        <v>0</v>
      </c>
      <c r="C52" s="17">
        <f>Analysis!C51-Analysis!$V51</f>
        <v>0</v>
      </c>
      <c r="D52" s="17">
        <f>Analysis!D51-Analysis!$V51</f>
        <v>0</v>
      </c>
      <c r="E52" s="17">
        <f>Analysis!E51-Analysis!$V51</f>
        <v>0</v>
      </c>
      <c r="F52" s="17">
        <f>Analysis!F51-Analysis!$V51</f>
        <v>0</v>
      </c>
      <c r="G52" s="17">
        <f>Analysis!G51-Analysis!$V51</f>
        <v>0</v>
      </c>
      <c r="H52" s="17">
        <f>Analysis!H51-Analysis!$V51</f>
        <v>0</v>
      </c>
      <c r="I52" s="17">
        <f>Analysis!I51-Analysis!$V51</f>
        <v>0</v>
      </c>
      <c r="J52" s="17">
        <f>Analysis!J51-Analysis!$V51</f>
        <v>0</v>
      </c>
      <c r="K52" s="17">
        <f>Analysis!K51-Analysis!$V51</f>
        <v>0</v>
      </c>
      <c r="L52" s="17">
        <f>Analysis!L51-Analysis!$V51</f>
        <v>3.9805987123050821E-2</v>
      </c>
      <c r="M52" s="17">
        <f>Analysis!M51-Analysis!$V51</f>
        <v>0</v>
      </c>
      <c r="N52" s="17">
        <f>Analysis!N51-Analysis!$V51</f>
        <v>0</v>
      </c>
      <c r="O52" s="17">
        <f>Analysis!O51-Analysis!$V51</f>
        <v>0</v>
      </c>
      <c r="P52" s="17">
        <f>Analysis!P51-Analysis!$V51</f>
        <v>0</v>
      </c>
      <c r="Q52" s="17">
        <f>Analysis!Q51-Analysis!$V51</f>
        <v>0</v>
      </c>
      <c r="R52" s="17">
        <f>Analysis!R51-Analysis!$V51</f>
        <v>0</v>
      </c>
    </row>
    <row r="53" spans="1:18">
      <c r="A53" s="9" t="s">
        <v>108</v>
      </c>
      <c r="B53" s="17">
        <f>Analysis!B52-Analysis!$V52</f>
        <v>0</v>
      </c>
      <c r="C53" s="17">
        <f>Analysis!C52-Analysis!$V52</f>
        <v>0</v>
      </c>
      <c r="D53" s="17">
        <f>Analysis!D52-Analysis!$V52</f>
        <v>0</v>
      </c>
      <c r="E53" s="17">
        <f>Analysis!E52-Analysis!$V52</f>
        <v>0</v>
      </c>
      <c r="F53" s="17">
        <f>Analysis!F52-Analysis!$V52</f>
        <v>0</v>
      </c>
      <c r="G53" s="17">
        <f>Analysis!G52-Analysis!$V52</f>
        <v>0</v>
      </c>
      <c r="H53" s="17">
        <f>Analysis!H52-Analysis!$V52</f>
        <v>0</v>
      </c>
      <c r="I53" s="17">
        <f>Analysis!I52-Analysis!$V52</f>
        <v>0</v>
      </c>
      <c r="J53" s="17">
        <f>Analysis!J52-Analysis!$V52</f>
        <v>0</v>
      </c>
      <c r="K53" s="17">
        <f>Analysis!K52-Analysis!$V52</f>
        <v>0</v>
      </c>
      <c r="L53" s="17">
        <f>Analysis!L52-Analysis!$V52</f>
        <v>0.48730019383249384</v>
      </c>
      <c r="M53" s="17">
        <f>Analysis!M52-Analysis!$V52</f>
        <v>0</v>
      </c>
      <c r="N53" s="17">
        <f>Analysis!N52-Analysis!$V52</f>
        <v>0</v>
      </c>
      <c r="O53" s="17">
        <f>Analysis!O52-Analysis!$V52</f>
        <v>0</v>
      </c>
      <c r="P53" s="17">
        <f>Analysis!P52-Analysis!$V52</f>
        <v>0</v>
      </c>
      <c r="Q53" s="17">
        <f>Analysis!Q52-Analysis!$V52</f>
        <v>0</v>
      </c>
      <c r="R53" s="17">
        <f>Analysis!R52-Analysis!$V52</f>
        <v>0</v>
      </c>
    </row>
    <row r="54" spans="1:18">
      <c r="A54" s="9" t="s">
        <v>56</v>
      </c>
      <c r="B54" s="17">
        <f>Analysis!B53-Analysis!$V53</f>
        <v>0</v>
      </c>
      <c r="C54" s="17">
        <f>Analysis!C53-Analysis!$V53</f>
        <v>0</v>
      </c>
      <c r="D54" s="17">
        <f>Analysis!D53-Analysis!$V53</f>
        <v>0</v>
      </c>
      <c r="E54" s="17">
        <f>Analysis!E53-Analysis!$V53</f>
        <v>0</v>
      </c>
      <c r="F54" s="17">
        <f>Analysis!F53-Analysis!$V53</f>
        <v>0</v>
      </c>
      <c r="G54" s="17">
        <f>Analysis!G53-Analysis!$V53</f>
        <v>0</v>
      </c>
      <c r="H54" s="17">
        <f>Analysis!H53-Analysis!$V53</f>
        <v>0</v>
      </c>
      <c r="I54" s="17">
        <f>Analysis!I53-Analysis!$V53</f>
        <v>0</v>
      </c>
      <c r="J54" s="17">
        <f>Analysis!J53-Analysis!$V53</f>
        <v>0</v>
      </c>
      <c r="K54" s="17">
        <f>Analysis!K53-Analysis!$V53</f>
        <v>0</v>
      </c>
      <c r="L54" s="17">
        <f>Analysis!L53-Analysis!$V53</f>
        <v>0.1166031108049476</v>
      </c>
      <c r="M54" s="17">
        <f>Analysis!M53-Analysis!$V53</f>
        <v>0</v>
      </c>
      <c r="N54" s="17">
        <f>Analysis!N53-Analysis!$V53</f>
        <v>0</v>
      </c>
      <c r="O54" s="17">
        <f>Analysis!O53-Analysis!$V53</f>
        <v>0</v>
      </c>
      <c r="P54" s="17">
        <f>Analysis!P53-Analysis!$V53</f>
        <v>0</v>
      </c>
      <c r="Q54" s="17">
        <f>Analysis!Q53-Analysis!$V53</f>
        <v>0</v>
      </c>
      <c r="R54" s="17">
        <f>Analysis!R53-Analysis!$V53</f>
        <v>1.1893915871447872E-7</v>
      </c>
    </row>
    <row r="55" spans="1:18">
      <c r="A55" s="9" t="s">
        <v>21</v>
      </c>
      <c r="B55" s="17">
        <f>Analysis!B54-Analysis!$V54</f>
        <v>0</v>
      </c>
      <c r="C55" s="17">
        <f>Analysis!C54-Analysis!$V54</f>
        <v>0</v>
      </c>
      <c r="D55" s="17">
        <f>Analysis!D54-Analysis!$V54</f>
        <v>0</v>
      </c>
      <c r="E55" s="17">
        <f>Analysis!E54-Analysis!$V54</f>
        <v>0</v>
      </c>
      <c r="F55" s="17">
        <f>Analysis!F54-Analysis!$V54</f>
        <v>0</v>
      </c>
      <c r="G55" s="17">
        <f>Analysis!G54-Analysis!$V54</f>
        <v>8.374000237897003E-2</v>
      </c>
      <c r="H55" s="17">
        <f>Analysis!H54-Analysis!$V54</f>
        <v>0</v>
      </c>
      <c r="I55" s="17">
        <f>Analysis!I54-Analysis!$V54</f>
        <v>0</v>
      </c>
      <c r="J55" s="17">
        <f>Analysis!J54-Analysis!$V54</f>
        <v>0</v>
      </c>
      <c r="K55" s="17">
        <f>Analysis!K54-Analysis!$V54</f>
        <v>0</v>
      </c>
      <c r="L55" s="17">
        <f>Analysis!L54-Analysis!$V54</f>
        <v>0</v>
      </c>
      <c r="M55" s="17">
        <f>Analysis!M54-Analysis!$V54</f>
        <v>0</v>
      </c>
      <c r="N55" s="17">
        <f>Analysis!N54-Analysis!$V54</f>
        <v>0</v>
      </c>
      <c r="O55" s="17">
        <f>Analysis!O54-Analysis!$V54</f>
        <v>0</v>
      </c>
      <c r="P55" s="17">
        <f>Analysis!P54-Analysis!$V54</f>
        <v>0</v>
      </c>
      <c r="Q55" s="17">
        <f>Analysis!Q54-Analysis!$V54</f>
        <v>0</v>
      </c>
      <c r="R55" s="17">
        <f>Analysis!R54-Analysis!$V54</f>
        <v>0</v>
      </c>
    </row>
    <row r="56" spans="1:18">
      <c r="A56" s="9" t="s">
        <v>20</v>
      </c>
      <c r="B56" s="17">
        <f>Analysis!B55-Analysis!$V55</f>
        <v>2.4301635184888516E-3</v>
      </c>
      <c r="C56" s="17">
        <f>Analysis!C55-Analysis!$V55</f>
        <v>9.9338850101700696E-4</v>
      </c>
      <c r="D56" s="17">
        <f>Analysis!D55-Analysis!$V55</f>
        <v>-4.5323773225766049E-3</v>
      </c>
      <c r="E56" s="17">
        <f>Analysis!E55-Analysis!$V55</f>
        <v>1.5403400023257584E-2</v>
      </c>
      <c r="F56" s="17">
        <f>Analysis!F55-Analysis!$V55</f>
        <v>1.7477157283045351E-3</v>
      </c>
      <c r="G56" s="17">
        <f>Analysis!G55-Analysis!$V55</f>
        <v>4.2696316873313336E-3</v>
      </c>
      <c r="H56" s="17">
        <f>Analysis!H55-Analysis!$V55</f>
        <v>5.999504058418554E-3</v>
      </c>
      <c r="I56" s="17">
        <f>Analysis!I55-Analysis!$V55</f>
        <v>-5.0469152620687824E-3</v>
      </c>
      <c r="J56" s="17">
        <f>Analysis!J55-Analysis!$V55</f>
        <v>0</v>
      </c>
      <c r="K56" s="17">
        <f>Analysis!K55-Analysis!$V55</f>
        <v>5.2720720198388624E-4</v>
      </c>
      <c r="L56" s="17">
        <f>Analysis!L55-Analysis!$V55</f>
        <v>-8.2222945224631853E-3</v>
      </c>
      <c r="M56" s="17">
        <f>Analysis!M55-Analysis!$V55</f>
        <v>-6.6994953706853606E-3</v>
      </c>
      <c r="N56" s="17">
        <f>Analysis!N55-Analysis!$V55</f>
        <v>-1.6495194491725779E-3</v>
      </c>
      <c r="O56" s="17">
        <f>Analysis!O55-Analysis!$V55</f>
        <v>-1.9830915966882103E-3</v>
      </c>
      <c r="P56" s="17">
        <f>Analysis!P55-Analysis!$V55</f>
        <v>-2.2101503623857943E-3</v>
      </c>
      <c r="Q56" s="17">
        <f>Analysis!Q55-Analysis!$V55</f>
        <v>-7.7718452022690777E-3</v>
      </c>
      <c r="R56" s="17">
        <f>Analysis!R55-Analysis!$V55</f>
        <v>9.8279746867949748E-3</v>
      </c>
    </row>
    <row r="57" spans="1:18">
      <c r="A57" s="9" t="s">
        <v>19</v>
      </c>
      <c r="B57" s="17">
        <f>Analysis!B56-Analysis!$V56</f>
        <v>-8.4895323290377009E-3</v>
      </c>
      <c r="C57" s="17">
        <f>Analysis!C56-Analysis!$V56</f>
        <v>3.5190594380603228E-2</v>
      </c>
      <c r="D57" s="17">
        <f>Analysis!D56-Analysis!$V56</f>
        <v>4.1503349575719779E-2</v>
      </c>
      <c r="E57" s="17">
        <f>Analysis!E56-Analysis!$V56</f>
        <v>3.0488968557577482E-2</v>
      </c>
      <c r="F57" s="17">
        <f>Analysis!F56-Analysis!$V56</f>
        <v>-2.06277942700459E-2</v>
      </c>
      <c r="G57" s="17">
        <f>Analysis!G56-Analysis!$V56</f>
        <v>9.6888929623311082E-3</v>
      </c>
      <c r="H57" s="17">
        <f>Analysis!H56-Analysis!$V56</f>
        <v>4.6524290250172219E-2</v>
      </c>
      <c r="I57" s="17">
        <f>Analysis!I56-Analysis!$V56</f>
        <v>-4.503218190926965E-3</v>
      </c>
      <c r="J57" s="17">
        <f>Analysis!J56-Analysis!$V56</f>
        <v>-2.1764401421361726E-3</v>
      </c>
      <c r="K57" s="17">
        <f>Analysis!K56-Analysis!$V56</f>
        <v>-1.423110788128009E-2</v>
      </c>
      <c r="L57" s="17">
        <f>Analysis!L56-Analysis!$V56</f>
        <v>-2.1228040092216616E-2</v>
      </c>
      <c r="M57" s="17">
        <f>Analysis!M56-Analysis!$V56</f>
        <v>-2.3405499183476799E-2</v>
      </c>
      <c r="N57" s="17">
        <f>Analysis!N56-Analysis!$V56</f>
        <v>3.8733175043915109E-2</v>
      </c>
      <c r="O57" s="17">
        <f>Analysis!O56-Analysis!$V56</f>
        <v>2.7035068899037527E-2</v>
      </c>
      <c r="P57" s="17">
        <f>Analysis!P56-Analysis!$V56</f>
        <v>-1.3320911964879417E-2</v>
      </c>
      <c r="Q57" s="17">
        <f>Analysis!Q56-Analysis!$V56</f>
        <v>7.6092554812669161E-2</v>
      </c>
      <c r="R57" s="17">
        <f>Analysis!R56-Analysis!$V56</f>
        <v>0</v>
      </c>
    </row>
    <row r="58" spans="1:18">
      <c r="A58" s="9" t="s">
        <v>18</v>
      </c>
      <c r="B58" s="17">
        <f>Analysis!B57-Analysis!$V57</f>
        <v>1.3832428746054348E-3</v>
      </c>
      <c r="C58" s="17">
        <f>Analysis!C57-Analysis!$V57</f>
        <v>3.2740969561782327E-3</v>
      </c>
      <c r="D58" s="17">
        <f>Analysis!D57-Analysis!$V57</f>
        <v>-5.7539908789803673E-3</v>
      </c>
      <c r="E58" s="17">
        <f>Analysis!E57-Analysis!$V57</f>
        <v>1.6070272247053208E-3</v>
      </c>
      <c r="F58" s="17">
        <f>Analysis!F57-Analysis!$V57</f>
        <v>-2.6161960871155191E-3</v>
      </c>
      <c r="G58" s="17">
        <f>Analysis!G57-Analysis!$V57</f>
        <v>2.6867225827464231E-3</v>
      </c>
      <c r="H58" s="17">
        <f>Analysis!H57-Analysis!$V57</f>
        <v>5.6357759019499427E-3</v>
      </c>
      <c r="I58" s="17">
        <f>Analysis!I57-Analysis!$V57</f>
        <v>-4.4707874932407082E-3</v>
      </c>
      <c r="J58" s="17">
        <f>Analysis!J57-Analysis!$V57</f>
        <v>7.3479194879311743E-3</v>
      </c>
      <c r="K58" s="17">
        <f>Analysis!K57-Analysis!$V57</f>
        <v>-2.6664924958804438E-3</v>
      </c>
      <c r="L58" s="17">
        <f>Analysis!L57-Analysis!$V57</f>
        <v>-7.7181045999892813E-3</v>
      </c>
      <c r="M58" s="17">
        <f>Analysis!M57-Analysis!$V57</f>
        <v>-4.3318143352722976E-3</v>
      </c>
      <c r="N58" s="17">
        <f>Analysis!N57-Analysis!$V57</f>
        <v>8.4800933330365699E-3</v>
      </c>
      <c r="O58" s="17">
        <f>Analysis!O57-Analysis!$V57</f>
        <v>-4.1184425532052489E-3</v>
      </c>
      <c r="P58" s="17">
        <f>Analysis!P57-Analysis!$V57</f>
        <v>0</v>
      </c>
      <c r="Q58" s="17">
        <f>Analysis!Q57-Analysis!$V57</f>
        <v>-4.8440573872994726E-3</v>
      </c>
      <c r="R58" s="17">
        <f>Analysis!R57-Analysis!$V57</f>
        <v>1.0436241819549944E-3</v>
      </c>
    </row>
    <row r="59" spans="1:18">
      <c r="A59" s="9" t="s">
        <v>17</v>
      </c>
      <c r="B59" s="17">
        <f>Analysis!B58-Analysis!$V58</f>
        <v>3.6039494389661659E-3</v>
      </c>
      <c r="C59" s="17">
        <f>Analysis!C58-Analysis!$V58</f>
        <v>-6.7970501186888658E-3</v>
      </c>
      <c r="D59" s="17">
        <f>Analysis!D58-Analysis!$V58</f>
        <v>-7.3258529805733203E-3</v>
      </c>
      <c r="E59" s="17">
        <f>Analysis!E58-Analysis!$V58</f>
        <v>8.5348434129221135E-4</v>
      </c>
      <c r="F59" s="17">
        <f>Analysis!F58-Analysis!$V58</f>
        <v>3.0511609203629012E-3</v>
      </c>
      <c r="G59" s="17">
        <f>Analysis!G58-Analysis!$V58</f>
        <v>9.3530024270246162E-3</v>
      </c>
      <c r="H59" s="17">
        <f>Analysis!H58-Analysis!$V58</f>
        <v>0</v>
      </c>
      <c r="I59" s="17">
        <f>Analysis!I58-Analysis!$V58</f>
        <v>7.3858324798895363E-3</v>
      </c>
      <c r="J59" s="17">
        <f>Analysis!J58-Analysis!$V58</f>
        <v>-1.8793112184469635E-3</v>
      </c>
      <c r="K59" s="17">
        <f>Analysis!K58-Analysis!$V58</f>
        <v>1.1960328772775183E-2</v>
      </c>
      <c r="L59" s="17">
        <f>Analysis!L58-Analysis!$V58</f>
        <v>-8.8987446329544008E-3</v>
      </c>
      <c r="M59" s="17">
        <f>Analysis!M58-Analysis!$V58</f>
        <v>-3.6673738347486988E-3</v>
      </c>
      <c r="N59" s="17">
        <f>Analysis!N58-Analysis!$V58</f>
        <v>8.1687112007793605E-3</v>
      </c>
      <c r="O59" s="17">
        <f>Analysis!O58-Analysis!$V58</f>
        <v>1.0487876300359182E-3</v>
      </c>
      <c r="P59" s="17">
        <f>Analysis!P58-Analysis!$V58</f>
        <v>-2.4683849279622319E-4</v>
      </c>
      <c r="Q59" s="17">
        <f>Analysis!Q58-Analysis!$V58</f>
        <v>-1.8792679338531723E-5</v>
      </c>
      <c r="R59" s="17">
        <f>Analysis!R58-Analysis!$V58</f>
        <v>-5.6780109410357882E-4</v>
      </c>
    </row>
    <row r="60" spans="1:18">
      <c r="A60" s="9" t="s">
        <v>16</v>
      </c>
      <c r="B60" s="17">
        <f>Analysis!B59-Analysis!$V59</f>
        <v>-1.5306057384236391E-3</v>
      </c>
      <c r="C60" s="17">
        <f>Analysis!C59-Analysis!$V59</f>
        <v>5.8817492043977126E-3</v>
      </c>
      <c r="D60" s="17">
        <f>Analysis!D59-Analysis!$V59</f>
        <v>-1.1945649213665602E-2</v>
      </c>
      <c r="E60" s="17">
        <f>Analysis!E59-Analysis!$V59</f>
        <v>-7.3390566037985546E-3</v>
      </c>
      <c r="F60" s="17">
        <f>Analysis!F59-Analysis!$V59</f>
        <v>1.7700593839242405E-3</v>
      </c>
      <c r="G60" s="17">
        <f>Analysis!G59-Analysis!$V59</f>
        <v>6.5834328078653477E-3</v>
      </c>
      <c r="H60" s="17">
        <f>Analysis!H59-Analysis!$V59</f>
        <v>3.1166610418400631E-2</v>
      </c>
      <c r="I60" s="17">
        <f>Analysis!I59-Analysis!$V59</f>
        <v>0</v>
      </c>
      <c r="J60" s="17">
        <f>Analysis!J59-Analysis!$V59</f>
        <v>3.5696749900897863E-2</v>
      </c>
      <c r="K60" s="17">
        <f>Analysis!K59-Analysis!$V59</f>
        <v>-3.4268353323276979E-3</v>
      </c>
      <c r="L60" s="17">
        <f>Analysis!L59-Analysis!$V59</f>
        <v>-1.3708212185191344E-2</v>
      </c>
      <c r="M60" s="17">
        <f>Analysis!M59-Analysis!$V59</f>
        <v>-1.5473615526821437E-3</v>
      </c>
      <c r="N60" s="17">
        <f>Analysis!N59-Analysis!$V59</f>
        <v>2.6739575290079948E-3</v>
      </c>
      <c r="O60" s="17">
        <f>Analysis!O59-Analysis!$V59</f>
        <v>2.5936193861504434E-3</v>
      </c>
      <c r="P60" s="17">
        <f>Analysis!P59-Analysis!$V59</f>
        <v>-7.0414573236960657E-3</v>
      </c>
      <c r="Q60" s="17">
        <f>Analysis!Q59-Analysis!$V59</f>
        <v>-1.6015320770132149E-2</v>
      </c>
      <c r="R60" s="17">
        <f>Analysis!R59-Analysis!$V59</f>
        <v>1.1250685882109212E-2</v>
      </c>
    </row>
    <row r="61" spans="1:18">
      <c r="A61" s="9" t="s">
        <v>46</v>
      </c>
      <c r="B61" s="17">
        <f>Analysis!B60-Analysis!$V60</f>
        <v>0</v>
      </c>
      <c r="C61" s="17">
        <f>Analysis!C60-Analysis!$V60</f>
        <v>0</v>
      </c>
      <c r="D61" s="17">
        <f>Analysis!D60-Analysis!$V60</f>
        <v>0</v>
      </c>
      <c r="E61" s="17">
        <f>Analysis!E60-Analysis!$V60</f>
        <v>0</v>
      </c>
      <c r="F61" s="17">
        <f>Analysis!F60-Analysis!$V60</f>
        <v>0</v>
      </c>
      <c r="G61" s="17">
        <f>Analysis!G60-Analysis!$V60</f>
        <v>0</v>
      </c>
      <c r="H61" s="17">
        <f>Analysis!H60-Analysis!$V60</f>
        <v>0.14881487890668241</v>
      </c>
      <c r="I61" s="17">
        <f>Analysis!I60-Analysis!$V60</f>
        <v>0</v>
      </c>
      <c r="J61" s="17">
        <f>Analysis!J60-Analysis!$V60</f>
        <v>0</v>
      </c>
      <c r="K61" s="17">
        <f>Analysis!K60-Analysis!$V60</f>
        <v>0</v>
      </c>
      <c r="L61" s="17">
        <f>Analysis!L60-Analysis!$V60</f>
        <v>0</v>
      </c>
      <c r="M61" s="17">
        <f>Analysis!M60-Analysis!$V60</f>
        <v>0</v>
      </c>
      <c r="N61" s="17">
        <f>Analysis!N60-Analysis!$V60</f>
        <v>0</v>
      </c>
      <c r="O61" s="17">
        <f>Analysis!O60-Analysis!$V60</f>
        <v>0</v>
      </c>
      <c r="P61" s="17">
        <f>Analysis!P60-Analysis!$V60</f>
        <v>0</v>
      </c>
      <c r="Q61" s="17">
        <f>Analysis!Q60-Analysis!$V60</f>
        <v>0</v>
      </c>
      <c r="R61" s="17">
        <f>Analysis!R60-Analysis!$V60</f>
        <v>0</v>
      </c>
    </row>
    <row r="62" spans="1:18">
      <c r="A62" s="9" t="s">
        <v>15</v>
      </c>
      <c r="B62" s="17">
        <f>Analysis!B61-Analysis!$V61</f>
        <v>0</v>
      </c>
      <c r="C62" s="17">
        <f>Analysis!C61-Analysis!$V61</f>
        <v>1.2393619072498856E-2</v>
      </c>
      <c r="D62" s="17">
        <f>Analysis!D61-Analysis!$V61</f>
        <v>-2.7857201463597457E-2</v>
      </c>
      <c r="E62" s="17">
        <f>Analysis!E61-Analysis!$V61</f>
        <v>-2.7857201463597457E-2</v>
      </c>
      <c r="F62" s="17">
        <f>Analysis!F61-Analysis!$V61</f>
        <v>1.5343391671171658E-2</v>
      </c>
      <c r="G62" s="17">
        <f>Analysis!G61-Analysis!$V61</f>
        <v>4.2988984847288983E-3</v>
      </c>
      <c r="H62" s="17">
        <f>Analysis!H61-Analysis!$V61</f>
        <v>4.2436211265270522E-2</v>
      </c>
      <c r="I62" s="17">
        <f>Analysis!I61-Analysis!$V61</f>
        <v>7.5712425862261901E-2</v>
      </c>
      <c r="J62" s="17">
        <f>Analysis!J61-Analysis!$V61</f>
        <v>-2.7857201463597457E-2</v>
      </c>
      <c r="K62" s="17">
        <f>Analysis!K61-Analysis!$V61</f>
        <v>-2.7857201463597457E-2</v>
      </c>
      <c r="L62" s="17">
        <f>Analysis!L61-Analysis!$V61</f>
        <v>-5.7888228980905732E-3</v>
      </c>
      <c r="M62" s="17">
        <f>Analysis!M61-Analysis!$V61</f>
        <v>-2.7857201463597457E-2</v>
      </c>
      <c r="N62" s="17">
        <f>Analysis!N61-Analysis!$V61</f>
        <v>-2.7857201463597457E-2</v>
      </c>
      <c r="O62" s="17">
        <f>Analysis!O61-Analysis!$V61</f>
        <v>-5.5551823586824159E-3</v>
      </c>
      <c r="P62" s="17">
        <f>Analysis!P61-Analysis!$V61</f>
        <v>7.434429682415955E-2</v>
      </c>
      <c r="Q62" s="17">
        <f>Analysis!Q61-Analysis!$V61</f>
        <v>3.5613742680211107E-2</v>
      </c>
      <c r="R62" s="17">
        <f>Analysis!R61-Analysis!$V61</f>
        <v>8.7690016854504033E-2</v>
      </c>
    </row>
    <row r="63" spans="1:18">
      <c r="A63" s="9" t="s">
        <v>110</v>
      </c>
      <c r="B63" s="17">
        <f>Analysis!B62-Analysis!$V62</f>
        <v>0</v>
      </c>
      <c r="C63" s="17">
        <f>Analysis!C62-Analysis!$V62</f>
        <v>0</v>
      </c>
      <c r="D63" s="17">
        <f>Analysis!D62-Analysis!$V62</f>
        <v>0</v>
      </c>
      <c r="E63" s="17">
        <f>Analysis!E62-Analysis!$V62</f>
        <v>0</v>
      </c>
      <c r="F63" s="17">
        <f>Analysis!F62-Analysis!$V62</f>
        <v>0</v>
      </c>
      <c r="G63" s="17">
        <f>Analysis!G62-Analysis!$V62</f>
        <v>0</v>
      </c>
      <c r="H63" s="17">
        <f>Analysis!H62-Analysis!$V62</f>
        <v>0</v>
      </c>
      <c r="I63" s="17">
        <f>Analysis!I62-Analysis!$V62</f>
        <v>0</v>
      </c>
      <c r="J63" s="17">
        <f>Analysis!J62-Analysis!$V62</f>
        <v>0</v>
      </c>
      <c r="K63" s="17">
        <f>Analysis!K62-Analysis!$V62</f>
        <v>0</v>
      </c>
      <c r="L63" s="17">
        <f>Analysis!L62-Analysis!$V62</f>
        <v>2.4963938756874008E-4</v>
      </c>
      <c r="M63" s="17">
        <f>Analysis!M62-Analysis!$V62</f>
        <v>0</v>
      </c>
      <c r="N63" s="17">
        <f>Analysis!N62-Analysis!$V62</f>
        <v>0</v>
      </c>
      <c r="O63" s="17">
        <f>Analysis!O62-Analysis!$V62</f>
        <v>0</v>
      </c>
      <c r="P63" s="17">
        <f>Analysis!P62-Analysis!$V62</f>
        <v>0</v>
      </c>
      <c r="Q63" s="17">
        <f>Analysis!Q62-Analysis!$V62</f>
        <v>0</v>
      </c>
      <c r="R63" s="17">
        <f>Analysis!R62-Analysis!$V62</f>
        <v>0</v>
      </c>
    </row>
    <row r="64" spans="1:18">
      <c r="A64" s="9" t="s">
        <v>14</v>
      </c>
      <c r="B64" s="17">
        <f>Analysis!B63-Analysis!$V63</f>
        <v>-1.4243594748609093E-3</v>
      </c>
      <c r="C64" s="17">
        <f>Analysis!C63-Analysis!$V63</f>
        <v>1.4044855980026028E-3</v>
      </c>
      <c r="D64" s="17">
        <f>Analysis!D63-Analysis!$V63</f>
        <v>1.9288442309577734E-2</v>
      </c>
      <c r="E64" s="17">
        <f>Analysis!E63-Analysis!$V63</f>
        <v>2.3738685744825974E-2</v>
      </c>
      <c r="F64" s="17">
        <f>Analysis!F63-Analysis!$V63</f>
        <v>-6.6018866284013426E-4</v>
      </c>
      <c r="G64" s="17">
        <f>Analysis!G63-Analysis!$V63</f>
        <v>7.5064536337652189E-3</v>
      </c>
      <c r="H64" s="17">
        <f>Analysis!H63-Analysis!$V63</f>
        <v>4.7123004964431479E-3</v>
      </c>
      <c r="I64" s="17">
        <f>Analysis!I63-Analysis!$V63</f>
        <v>1.2440896071065867E-2</v>
      </c>
      <c r="J64" s="17">
        <f>Analysis!J63-Analysis!$V63</f>
        <v>-5.1863979515921997E-3</v>
      </c>
      <c r="K64" s="17">
        <f>Analysis!K63-Analysis!$V63</f>
        <v>-2.9624906092827689E-2</v>
      </c>
      <c r="L64" s="17">
        <f>Analysis!L63-Analysis!$V63</f>
        <v>-2.4050429978328758E-3</v>
      </c>
      <c r="M64" s="17">
        <f>Analysis!M63-Analysis!$V63</f>
        <v>0</v>
      </c>
      <c r="N64" s="17">
        <f>Analysis!N63-Analysis!$V63</f>
        <v>-2.1342701986851384E-3</v>
      </c>
      <c r="O64" s="17">
        <f>Analysis!O63-Analysis!$V63</f>
        <v>9.4524538251336086E-3</v>
      </c>
      <c r="P64" s="17">
        <f>Analysis!P63-Analysis!$V63</f>
        <v>5.5572927956226044E-3</v>
      </c>
      <c r="Q64" s="17">
        <f>Analysis!Q63-Analysis!$V63</f>
        <v>-1.9591104312984076E-3</v>
      </c>
      <c r="R64" s="17">
        <f>Analysis!R63-Analysis!$V63</f>
        <v>-1.1105607244577993E-3</v>
      </c>
    </row>
    <row r="65" spans="1:22">
      <c r="A65" s="9" t="s">
        <v>13</v>
      </c>
      <c r="B65" s="17">
        <f>Analysis!B64-Analysis!$V64</f>
        <v>0</v>
      </c>
      <c r="C65" s="17">
        <f>Analysis!C64-Analysis!$V64</f>
        <v>1.1660760377224771E-2</v>
      </c>
      <c r="D65" s="17">
        <f>Analysis!D64-Analysis!$V64</f>
        <v>6.1701100406748491E-2</v>
      </c>
      <c r="E65" s="17">
        <f>Analysis!E64-Analysis!$V64</f>
        <v>-3.8770778410053011E-2</v>
      </c>
      <c r="F65" s="17">
        <f>Analysis!F64-Analysis!$V64</f>
        <v>3.9208211263111428E-2</v>
      </c>
      <c r="G65" s="17">
        <f>Analysis!G64-Analysis!$V64</f>
        <v>-8.9470393083544847E-3</v>
      </c>
      <c r="H65" s="17">
        <f>Analysis!H64-Analysis!$V64</f>
        <v>-2.2587694382398028E-2</v>
      </c>
      <c r="I65" s="17">
        <f>Analysis!I64-Analysis!$V64</f>
        <v>-1.6243878156457212E-2</v>
      </c>
      <c r="J65" s="17">
        <f>Analysis!J64-Analysis!$V64</f>
        <v>-2.337981426668654E-2</v>
      </c>
      <c r="K65" s="17">
        <f>Analysis!K64-Analysis!$V64</f>
        <v>-1.7328877664809783E-2</v>
      </c>
      <c r="L65" s="17">
        <f>Analysis!L64-Analysis!$V64</f>
        <v>-6.8750426138465007E-2</v>
      </c>
      <c r="M65" s="17">
        <f>Analysis!M64-Analysis!$V64</f>
        <v>-2.7443673444155062E-2</v>
      </c>
      <c r="N65" s="17">
        <f>Analysis!N64-Analysis!$V64</f>
        <v>6.9423404848671655E-4</v>
      </c>
      <c r="O65" s="17">
        <f>Analysis!O64-Analysis!$V64</f>
        <v>8.1028733594570121E-2</v>
      </c>
      <c r="P65" s="17">
        <f>Analysis!P64-Analysis!$V64</f>
        <v>2.2236124739154178E-2</v>
      </c>
      <c r="Q65" s="17">
        <f>Analysis!Q64-Analysis!$V64</f>
        <v>2.4243154878913667E-2</v>
      </c>
      <c r="R65" s="17">
        <f>Analysis!R64-Analysis!$V64</f>
        <v>5.5597871925449377E-2</v>
      </c>
    </row>
    <row r="66" spans="1:22">
      <c r="A66" s="9" t="s">
        <v>12</v>
      </c>
      <c r="B66" s="17">
        <f>Analysis!B65-Analysis!$V65</f>
        <v>3.7419076477536589E-3</v>
      </c>
      <c r="C66" s="17">
        <f>Analysis!C65-Analysis!$V65</f>
        <v>0</v>
      </c>
      <c r="D66" s="17">
        <f>Analysis!D65-Analysis!$V65</f>
        <v>5.5081262425161877E-2</v>
      </c>
      <c r="E66" s="17">
        <f>Analysis!E65-Analysis!$V65</f>
        <v>2.3367827754133187E-2</v>
      </c>
      <c r="F66" s="17">
        <f>Analysis!F65-Analysis!$V65</f>
        <v>1.4948387328692338E-2</v>
      </c>
      <c r="G66" s="17">
        <f>Analysis!G65-Analysis!$V65</f>
        <v>-8.610945236859173E-3</v>
      </c>
      <c r="H66" s="17">
        <f>Analysis!H65-Analysis!$V65</f>
        <v>-4.689313831418053E-2</v>
      </c>
      <c r="I66" s="17">
        <f>Analysis!I65-Analysis!$V65</f>
        <v>-1.2366583833842044E-2</v>
      </c>
      <c r="J66" s="17">
        <f>Analysis!J65-Analysis!$V65</f>
        <v>-1.6795209981900757E-2</v>
      </c>
      <c r="K66" s="17">
        <f>Analysis!K65-Analysis!$V65</f>
        <v>3.1028795055050164E-2</v>
      </c>
      <c r="L66" s="17">
        <f>Analysis!L65-Analysis!$V65</f>
        <v>-3.7434664586603994E-2</v>
      </c>
      <c r="M66" s="17">
        <f>Analysis!M65-Analysis!$V65</f>
        <v>-4.7089457543483274E-2</v>
      </c>
      <c r="N66" s="17">
        <f>Analysis!N65-Analysis!$V65</f>
        <v>8.8730701984312488E-2</v>
      </c>
      <c r="O66" s="17">
        <f>Analysis!O65-Analysis!$V65</f>
        <v>-1.0481852348434746E-2</v>
      </c>
      <c r="P66" s="17">
        <f>Analysis!P65-Analysis!$V65</f>
        <v>2.3281715362665004E-3</v>
      </c>
      <c r="Q66" s="17">
        <f>Analysis!Q65-Analysis!$V65</f>
        <v>2.8216270482848797E-2</v>
      </c>
      <c r="R66" s="17">
        <f>Analysis!R65-Analysis!$V65</f>
        <v>-4.1141848702773175E-2</v>
      </c>
    </row>
    <row r="67" spans="1:22">
      <c r="A67" s="9" t="s">
        <v>11</v>
      </c>
      <c r="B67" s="17">
        <f>Analysis!B66-Analysis!$V66</f>
        <v>6.8649143794395739E-2</v>
      </c>
      <c r="C67" s="17">
        <f>Analysis!C66-Analysis!$V66</f>
        <v>-9.3301723618513188E-2</v>
      </c>
      <c r="D67" s="17">
        <f>Analysis!D66-Analysis!$V66</f>
        <v>5.5314209017114507E-2</v>
      </c>
      <c r="E67" s="17">
        <f>Analysis!E66-Analysis!$V66</f>
        <v>0.15369036366083086</v>
      </c>
      <c r="F67" s="17">
        <f>Analysis!F66-Analysis!$V66</f>
        <v>6.3345689888189283E-3</v>
      </c>
      <c r="G67" s="17">
        <f>Analysis!G66-Analysis!$V66</f>
        <v>-2.9773357666543446E-2</v>
      </c>
      <c r="H67" s="17">
        <f>Analysis!H66-Analysis!$V66</f>
        <v>-0.12945639210377119</v>
      </c>
      <c r="I67" s="17">
        <f>Analysis!I66-Analysis!$V66</f>
        <v>5.9337021084954561E-2</v>
      </c>
      <c r="J67" s="17">
        <f>Analysis!J66-Analysis!$V66</f>
        <v>-5.3959559244620647E-2</v>
      </c>
      <c r="K67" s="17">
        <f>Analysis!K66-Analysis!$V66</f>
        <v>-2.4269463431716459E-2</v>
      </c>
      <c r="L67" s="17">
        <f>Analysis!L66-Analysis!$V66</f>
        <v>-0.1165196960507798</v>
      </c>
      <c r="M67" s="17">
        <f>Analysis!M66-Analysis!$V66</f>
        <v>-0.13087933642545574</v>
      </c>
      <c r="N67" s="17">
        <f>Analysis!N66-Analysis!$V66</f>
        <v>0</v>
      </c>
      <c r="O67" s="17">
        <f>Analysis!O66-Analysis!$V66</f>
        <v>0.1238607988651402</v>
      </c>
      <c r="P67" s="17">
        <f>Analysis!P66-Analysis!$V66</f>
        <v>3.6470530293193332E-2</v>
      </c>
      <c r="Q67" s="17">
        <f>Analysis!Q66-Analysis!$V66</f>
        <v>0.12937548569732196</v>
      </c>
      <c r="R67" s="17">
        <f>Analysis!R66-Analysis!$V66</f>
        <v>-0.10649504870177634</v>
      </c>
    </row>
    <row r="68" spans="1:22">
      <c r="A68" s="9" t="s">
        <v>10</v>
      </c>
      <c r="B68" s="17">
        <f>Analysis!B67-Analysis!$V67</f>
        <v>1.2031640991745602E-2</v>
      </c>
      <c r="C68" s="17">
        <f>Analysis!C67-Analysis!$V67</f>
        <v>1.4538241435395356E-2</v>
      </c>
      <c r="D68" s="17">
        <f>Analysis!D67-Analysis!$V67</f>
        <v>-1.6450028950945432E-3</v>
      </c>
      <c r="E68" s="17">
        <f>Analysis!E67-Analysis!$V67</f>
        <v>-1.5967335417577267E-2</v>
      </c>
      <c r="F68" s="17">
        <f>Analysis!F67-Analysis!$V67</f>
        <v>5.3109207175659104E-2</v>
      </c>
      <c r="G68" s="17">
        <f>Analysis!G67-Analysis!$V67</f>
        <v>9.1951516516718873E-2</v>
      </c>
      <c r="H68" s="17">
        <f>Analysis!H67-Analysis!$V67</f>
        <v>-1.9345727655824957E-3</v>
      </c>
      <c r="I68" s="17">
        <f>Analysis!I67-Analysis!$V67</f>
        <v>-9.4161055887776648E-3</v>
      </c>
      <c r="J68" s="17">
        <f>Analysis!J67-Analysis!$V67</f>
        <v>-1.0272224027443455E-2</v>
      </c>
      <c r="K68" s="17">
        <f>Analysis!K67-Analysis!$V67</f>
        <v>5.6423862921922731E-3</v>
      </c>
      <c r="L68" s="17">
        <f>Analysis!L67-Analysis!$V67</f>
        <v>-1.7129861408159242E-2</v>
      </c>
      <c r="M68" s="17">
        <f>Analysis!M67-Analysis!$V67</f>
        <v>7.880689376182342E-3</v>
      </c>
      <c r="N68" s="17">
        <f>Analysis!N67-Analysis!$V67</f>
        <v>5.4016556100004873E-2</v>
      </c>
      <c r="O68" s="17">
        <f>Analysis!O67-Analysis!$V67</f>
        <v>-1.0792464326923993E-2</v>
      </c>
      <c r="P68" s="17">
        <f>Analysis!P67-Analysis!$V67</f>
        <v>1.1405133960812955E-3</v>
      </c>
      <c r="Q68" s="17">
        <f>Analysis!Q67-Analysis!$V67</f>
        <v>-1.8369523544833226E-2</v>
      </c>
      <c r="R68" s="17">
        <f>Analysis!R67-Analysis!$V67</f>
        <v>0</v>
      </c>
    </row>
    <row r="69" spans="1:22">
      <c r="A69" s="3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22">
      <c r="A70" s="2" t="s">
        <v>86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36" t="str">
        <f>Analysis!S1</f>
        <v>Average</v>
      </c>
      <c r="T70" s="36" t="str">
        <f>Analysis!T1</f>
        <v>Min</v>
      </c>
      <c r="U70" s="36" t="str">
        <f>Analysis!U1</f>
        <v>Max</v>
      </c>
      <c r="V70" s="36" t="str">
        <f>Analysis!V1</f>
        <v>Median</v>
      </c>
    </row>
    <row r="71" spans="1:22">
      <c r="A71" s="9" t="s">
        <v>29</v>
      </c>
      <c r="B71" s="17">
        <f>Analysis!B70-Analysis!$V70</f>
        <v>8.1136989833611962E-4</v>
      </c>
      <c r="C71" s="17">
        <f>Analysis!C70-Analysis!$V70</f>
        <v>-1.1776615084377069E-4</v>
      </c>
      <c r="D71" s="17">
        <f>Analysis!D70-Analysis!$V70</f>
        <v>-2.7238142926854685E-3</v>
      </c>
      <c r="E71" s="17">
        <f>Analysis!E70-Analysis!$V70</f>
        <v>2.0084473302653958E-4</v>
      </c>
      <c r="F71" s="17">
        <f>Analysis!F70-Analysis!$V70</f>
        <v>2.6080023529547456E-3</v>
      </c>
      <c r="G71" s="17">
        <f>Analysis!G70-Analysis!$V70</f>
        <v>-1.0540904887698494E-3</v>
      </c>
      <c r="H71" s="17">
        <f>Analysis!H70-Analysis!$V70</f>
        <v>-2.8853311071376985E-4</v>
      </c>
      <c r="I71" s="17">
        <f>Analysis!I70-Analysis!$V70</f>
        <v>6.3120687356578876E-4</v>
      </c>
      <c r="J71" s="17">
        <f>Analysis!J70-Analysis!$V70</f>
        <v>4.3933427024572414E-3</v>
      </c>
      <c r="K71" s="17">
        <f>Analysis!K70-Analysis!$V70</f>
        <v>-1.0966222187503076E-3</v>
      </c>
      <c r="L71" s="17">
        <f>Analysis!L70-Analysis!$V70</f>
        <v>-1.6560591278079982E-3</v>
      </c>
      <c r="M71" s="17">
        <f>Analysis!M70-Analysis!$V70</f>
        <v>3.0588789209301513E-3</v>
      </c>
      <c r="N71" s="17">
        <f>Analysis!N70-Analysis!$V70</f>
        <v>1.0468537059791434E-2</v>
      </c>
      <c r="O71" s="17">
        <f>Analysis!O70-Analysis!$V70</f>
        <v>-2.7589219466939707E-3</v>
      </c>
      <c r="P71" s="17">
        <f>Analysis!P70-Analysis!$V70</f>
        <v>0</v>
      </c>
      <c r="Q71" s="17">
        <f>Analysis!Q70-Analysis!$V70</f>
        <v>-2.1515097854850093E-3</v>
      </c>
      <c r="R71" s="17">
        <f>Analysis!R70-Analysis!$V70</f>
        <v>3.1638367218805971E-3</v>
      </c>
      <c r="S71" s="23">
        <f>Analysis!S42</f>
        <v>1.9082684736871112E-2</v>
      </c>
      <c r="T71" s="23">
        <f>Analysis!T42</f>
        <v>3.7318084878656376E-6</v>
      </c>
      <c r="U71" s="23">
        <f>Analysis!U42</f>
        <v>7.7614843680311074E-2</v>
      </c>
      <c r="V71" s="23">
        <f>Analysis!V42</f>
        <v>1.6942325149930729E-2</v>
      </c>
    </row>
    <row r="72" spans="1:22">
      <c r="A72" s="9" t="s">
        <v>28</v>
      </c>
      <c r="B72" s="17">
        <f>Analysis!B71-Analysis!$V71</f>
        <v>2.0767166078717279E-4</v>
      </c>
      <c r="C72" s="17">
        <f>Analysis!C71-Analysis!$V71</f>
        <v>0</v>
      </c>
      <c r="D72" s="17">
        <f>Analysis!D71-Analysis!$V71</f>
        <v>-2.7109680112871667E-3</v>
      </c>
      <c r="E72" s="17">
        <f>Analysis!E71-Analysis!$V71</f>
        <v>-9.9567278426446974E-4</v>
      </c>
      <c r="F72" s="17">
        <f>Analysis!F71-Analysis!$V71</f>
        <v>1.5296181980046482E-3</v>
      </c>
      <c r="G72" s="17">
        <f>Analysis!G71-Analysis!$V71</f>
        <v>-1.5695024386105996E-3</v>
      </c>
      <c r="H72" s="17">
        <f>Analysis!H71-Analysis!$V71</f>
        <v>-1.1526306720419199E-3</v>
      </c>
      <c r="I72" s="17">
        <f>Analysis!I71-Analysis!$V71</f>
        <v>-8.7781846329629655E-4</v>
      </c>
      <c r="J72" s="17">
        <f>Analysis!J71-Analysis!$V71</f>
        <v>1.1975266545600155E-3</v>
      </c>
      <c r="K72" s="17">
        <f>Analysis!K71-Analysis!$V71</f>
        <v>-9.750681829694941E-4</v>
      </c>
      <c r="L72" s="17">
        <f>Analysis!L71-Analysis!$V71</f>
        <v>1.0376653299514179E-2</v>
      </c>
      <c r="M72" s="17">
        <f>Analysis!M71-Analysis!$V71</f>
        <v>1.6508724469522732E-3</v>
      </c>
      <c r="N72" s="17">
        <f>Analysis!N71-Analysis!$V71</f>
        <v>7.03125389260921E-3</v>
      </c>
      <c r="O72" s="17">
        <f>Analysis!O71-Analysis!$V71</f>
        <v>-3.0444907243679384E-3</v>
      </c>
      <c r="P72" s="17">
        <f>Analysis!P71-Analysis!$V71</f>
        <v>-3.7220937885565656E-4</v>
      </c>
      <c r="Q72" s="17">
        <f>Analysis!Q71-Analysis!$V71</f>
        <v>2.3848606870626229E-3</v>
      </c>
      <c r="R72" s="17">
        <f>Analysis!R71-Analysis!$V71</f>
        <v>2.7692755496493814E-3</v>
      </c>
      <c r="S72" s="23">
        <f>Analysis!S43</f>
        <v>1.4273709722431938E-2</v>
      </c>
      <c r="T72" s="23">
        <f>Analysis!T43</f>
        <v>1.3922163390504259E-3</v>
      </c>
      <c r="U72" s="23">
        <f>Analysis!U43</f>
        <v>4.2187273540516677E-2</v>
      </c>
      <c r="V72" s="23">
        <f>Analysis!V43</f>
        <v>1.210393985434377E-2</v>
      </c>
    </row>
    <row r="73" spans="1:22">
      <c r="A73" s="9" t="s">
        <v>27</v>
      </c>
      <c r="B73" s="17">
        <f>Analysis!B72-Analysis!$V72</f>
        <v>0</v>
      </c>
      <c r="C73" s="17">
        <f>Analysis!C72-Analysis!$V72</f>
        <v>3.457248943570905E-3</v>
      </c>
      <c r="D73" s="17">
        <f>Analysis!D72-Analysis!$V72</f>
        <v>-1.1401957386129018E-2</v>
      </c>
      <c r="E73" s="17">
        <f>Analysis!E72-Analysis!$V72</f>
        <v>-5.1777692770096709E-3</v>
      </c>
      <c r="F73" s="17">
        <f>Analysis!F72-Analysis!$V72</f>
        <v>1.502422173006647E-3</v>
      </c>
      <c r="G73" s="17">
        <f>Analysis!G72-Analysis!$V72</f>
        <v>-1.2137842767644718E-2</v>
      </c>
      <c r="H73" s="17">
        <f>Analysis!H72-Analysis!$V72</f>
        <v>-2.049784206115942E-2</v>
      </c>
      <c r="I73" s="17">
        <f>Analysis!I72-Analysis!$V72</f>
        <v>-1.836723677971764E-2</v>
      </c>
      <c r="J73" s="17">
        <f>Analysis!J72-Analysis!$V72</f>
        <v>-1.0405672991105515E-2</v>
      </c>
      <c r="K73" s="17">
        <f>Analysis!K72-Analysis!$V72</f>
        <v>-7.127683324675782E-3</v>
      </c>
      <c r="L73" s="17">
        <f>Analysis!L72-Analysis!$V72</f>
        <v>1.8854325838880331E-2</v>
      </c>
      <c r="M73" s="17">
        <f>Analysis!M72-Analysis!$V72</f>
        <v>6.2784447541166313E-3</v>
      </c>
      <c r="N73" s="17">
        <f>Analysis!N72-Analysis!$V72</f>
        <v>1.4069498694253661E-2</v>
      </c>
      <c r="O73" s="17">
        <f>Analysis!O72-Analysis!$V72</f>
        <v>-2.1243344230118894E-2</v>
      </c>
      <c r="P73" s="17">
        <f>Analysis!P72-Analysis!$V72</f>
        <v>2.8866573762085096E-3</v>
      </c>
      <c r="Q73" s="17">
        <f>Analysis!Q72-Analysis!$V72</f>
        <v>2.9244491625281338E-2</v>
      </c>
      <c r="R73" s="17">
        <f>Analysis!R72-Analysis!$V72</f>
        <v>3.9692020575538799E-2</v>
      </c>
      <c r="S73" s="23">
        <f>Analysis!S44</f>
        <v>0.17685002008183379</v>
      </c>
      <c r="T73" s="23">
        <f>Analysis!T44</f>
        <v>4.4552758116158803E-2</v>
      </c>
      <c r="U73" s="23">
        <f>Analysis!U44</f>
        <v>0.6307616894948459</v>
      </c>
      <c r="V73" s="23">
        <f>Analysis!V44</f>
        <v>0.1190827990270998</v>
      </c>
    </row>
    <row r="74" spans="1:22">
      <c r="A74" s="9" t="s">
        <v>26</v>
      </c>
      <c r="B74" s="17">
        <f>Analysis!B73-Analysis!$V73</f>
        <v>2.2770074988981925E-2</v>
      </c>
      <c r="C74" s="17">
        <f>Analysis!C73-Analysis!$V73</f>
        <v>1.6885808297807336E-2</v>
      </c>
      <c r="D74" s="17">
        <f>Analysis!D73-Analysis!$V73</f>
        <v>-7.341335013825305E-2</v>
      </c>
      <c r="E74" s="17">
        <f>Analysis!E73-Analysis!$V73</f>
        <v>-1.2448461543069E-2</v>
      </c>
      <c r="F74" s="17">
        <f>Analysis!F73-Analysis!$V73</f>
        <v>-0.10430389502506618</v>
      </c>
      <c r="G74" s="17">
        <f>Analysis!G73-Analysis!$V73</f>
        <v>0.28982264210448705</v>
      </c>
      <c r="H74" s="17">
        <f>Analysis!H73-Analysis!$V73</f>
        <v>0.36383499098438599</v>
      </c>
      <c r="I74" s="17">
        <f>Analysis!I73-Analysis!$V73</f>
        <v>0.22455650127804064</v>
      </c>
      <c r="J74" s="17">
        <f>Analysis!J73-Analysis!$V73</f>
        <v>0.19334866612436066</v>
      </c>
      <c r="K74" s="17">
        <f>Analysis!K73-Analysis!$V73</f>
        <v>0</v>
      </c>
      <c r="L74" s="17">
        <f>Analysis!L73-Analysis!$V73</f>
        <v>-6.7844826478830042E-2</v>
      </c>
      <c r="M74" s="17">
        <f>Analysis!M73-Analysis!$V73</f>
        <v>-4.3683042382993295E-2</v>
      </c>
      <c r="N74" s="17">
        <f>Analysis!N73-Analysis!$V73</f>
        <v>-6.131956185485811E-2</v>
      </c>
      <c r="O74" s="17">
        <f>Analysis!O73-Analysis!$V73</f>
        <v>0.26368257500082282</v>
      </c>
      <c r="P74" s="17">
        <f>Analysis!P73-Analysis!$V73</f>
        <v>-4.54801705514533E-2</v>
      </c>
      <c r="Q74" s="17">
        <f>Analysis!Q73-Analysis!$V73</f>
        <v>3.2924921342568664E-2</v>
      </c>
      <c r="R74" s="17">
        <f>Analysis!R73-Analysis!$V73</f>
        <v>-6.6160234444497076E-2</v>
      </c>
      <c r="S74" s="23">
        <f>Analysis!S45</f>
        <v>0.15292821412369625</v>
      </c>
      <c r="T74" s="23">
        <f>Analysis!T45</f>
        <v>7.890216777040511E-2</v>
      </c>
      <c r="U74" s="23">
        <f>Analysis!U45</f>
        <v>0.23458060125077609</v>
      </c>
      <c r="V74" s="23">
        <f>Analysis!V45</f>
        <v>0.15794693765144729</v>
      </c>
    </row>
    <row r="75" spans="1:22">
      <c r="A75" s="9" t="s">
        <v>25</v>
      </c>
      <c r="B75" s="17">
        <f>Analysis!B74-Analysis!$V74</f>
        <v>0</v>
      </c>
      <c r="C75" s="17">
        <f>Analysis!C74-Analysis!$V74</f>
        <v>2.8187962537829982E-3</v>
      </c>
      <c r="D75" s="17">
        <f>Analysis!D74-Analysis!$V74</f>
        <v>-6.662310557324116E-3</v>
      </c>
      <c r="E75" s="17">
        <f>Analysis!E74-Analysis!$V74</f>
        <v>2.5528170938302636E-3</v>
      </c>
      <c r="F75" s="17">
        <f>Analysis!F74-Analysis!$V74</f>
        <v>-1.558789563408939E-3</v>
      </c>
      <c r="G75" s="17">
        <f>Analysis!G74-Analysis!$V74</f>
        <v>-6.7669716691988917E-3</v>
      </c>
      <c r="H75" s="17">
        <f>Analysis!H74-Analysis!$V74</f>
        <v>-5.6312339720908785E-3</v>
      </c>
      <c r="I75" s="17">
        <f>Analysis!I74-Analysis!$V74</f>
        <v>-5.1087191827802296E-3</v>
      </c>
      <c r="J75" s="17">
        <f>Analysis!J74-Analysis!$V74</f>
        <v>2.7670975339100096E-3</v>
      </c>
      <c r="K75" s="17">
        <f>Analysis!K74-Analysis!$V74</f>
        <v>-6.1568676677493418E-3</v>
      </c>
      <c r="L75" s="17">
        <f>Analysis!L74-Analysis!$V74</f>
        <v>2.3154821579067994E-3</v>
      </c>
      <c r="M75" s="17">
        <f>Analysis!M74-Analysis!$V74</f>
        <v>-4.7826927685350844E-3</v>
      </c>
      <c r="N75" s="17">
        <f>Analysis!N74-Analysis!$V74</f>
        <v>1.6902727524198399E-2</v>
      </c>
      <c r="O75" s="17">
        <f>Analysis!O74-Analysis!$V74</f>
        <v>-8.3866371180954524E-3</v>
      </c>
      <c r="P75" s="17">
        <f>Analysis!P74-Analysis!$V74</f>
        <v>3.0560006026243147E-3</v>
      </c>
      <c r="Q75" s="17">
        <f>Analysis!Q74-Analysis!$V74</f>
        <v>2.2031012511810222E-2</v>
      </c>
      <c r="R75" s="17">
        <f>Analysis!R74-Analysis!$V74</f>
        <v>1.1863684387456178E-2</v>
      </c>
      <c r="S75" s="23">
        <f>Analysis!S46</f>
        <v>7.0455342259860679E-2</v>
      </c>
      <c r="T75" s="23">
        <f>Analysis!T46</f>
        <v>7.4377616566639873E-3</v>
      </c>
      <c r="U75" s="23">
        <f>Analysis!U46</f>
        <v>0.13488169905833194</v>
      </c>
      <c r="V75" s="23">
        <f>Analysis!V46</f>
        <v>7.567719464013975E-2</v>
      </c>
    </row>
    <row r="76" spans="1:22">
      <c r="A76" s="9" t="s">
        <v>109</v>
      </c>
      <c r="B76" s="17">
        <f>Analysis!B75-Analysis!$V75</f>
        <v>0</v>
      </c>
      <c r="C76" s="17">
        <f>Analysis!C75-Analysis!$V75</f>
        <v>0</v>
      </c>
      <c r="D76" s="17">
        <f>Analysis!D75-Analysis!$V75</f>
        <v>0</v>
      </c>
      <c r="E76" s="17">
        <f>Analysis!E75-Analysis!$V75</f>
        <v>0</v>
      </c>
      <c r="F76" s="17">
        <f>Analysis!F75-Analysis!$V75</f>
        <v>0</v>
      </c>
      <c r="G76" s="17">
        <f>Analysis!G75-Analysis!$V75</f>
        <v>0</v>
      </c>
      <c r="H76" s="17">
        <f>Analysis!H75-Analysis!$V75</f>
        <v>0</v>
      </c>
      <c r="I76" s="17">
        <f>Analysis!I75-Analysis!$V75</f>
        <v>0</v>
      </c>
      <c r="J76" s="17">
        <f>Analysis!J75-Analysis!$V75</f>
        <v>0</v>
      </c>
      <c r="K76" s="17">
        <f>Analysis!K75-Analysis!$V75</f>
        <v>0</v>
      </c>
      <c r="L76" s="17">
        <f>Analysis!L75-Analysis!$V75</f>
        <v>2.5200188412623645E-2</v>
      </c>
      <c r="M76" s="17">
        <f>Analysis!M75-Analysis!$V75</f>
        <v>0</v>
      </c>
      <c r="N76" s="17">
        <f>Analysis!N75-Analysis!$V75</f>
        <v>0</v>
      </c>
      <c r="O76" s="17">
        <f>Analysis!O75-Analysis!$V75</f>
        <v>0</v>
      </c>
      <c r="P76" s="17">
        <f>Analysis!P75-Analysis!$V75</f>
        <v>0</v>
      </c>
      <c r="Q76" s="17">
        <f>Analysis!Q75-Analysis!$V75</f>
        <v>0</v>
      </c>
      <c r="R76" s="17">
        <f>Analysis!R75-Analysis!$V75</f>
        <v>0</v>
      </c>
      <c r="S76" s="23">
        <f>Analysis!S47</f>
        <v>1.9289351440802103E-3</v>
      </c>
      <c r="T76" s="23">
        <f>Analysis!T47</f>
        <v>0</v>
      </c>
      <c r="U76" s="23">
        <f>Analysis!U47</f>
        <v>3.2791897449363575E-2</v>
      </c>
      <c r="V76" s="23">
        <f>Analysis!V47</f>
        <v>0</v>
      </c>
    </row>
    <row r="77" spans="1:22">
      <c r="A77" s="9" t="s">
        <v>24</v>
      </c>
      <c r="B77" s="17">
        <f>Analysis!B76-Analysis!$V76</f>
        <v>2.3235802837549314E-4</v>
      </c>
      <c r="C77" s="17">
        <f>Analysis!C76-Analysis!$V76</f>
        <v>-9.3961018374556955E-4</v>
      </c>
      <c r="D77" s="17">
        <f>Analysis!D76-Analysis!$V76</f>
        <v>-1.6985685871799161E-3</v>
      </c>
      <c r="E77" s="17">
        <f>Analysis!E76-Analysis!$V76</f>
        <v>1.8111328248124571E-3</v>
      </c>
      <c r="F77" s="17">
        <f>Analysis!F76-Analysis!$V76</f>
        <v>-3.3506536946579851E-4</v>
      </c>
      <c r="G77" s="17">
        <f>Analysis!G76-Analysis!$V76</f>
        <v>-1.4483372357735726E-3</v>
      </c>
      <c r="H77" s="17">
        <f>Analysis!H76-Analysis!$V76</f>
        <v>-9.8036945017979105E-4</v>
      </c>
      <c r="I77" s="17">
        <f>Analysis!I76-Analysis!$V76</f>
        <v>-1.4801542286829901E-3</v>
      </c>
      <c r="J77" s="17">
        <f>Analysis!J76-Analysis!$V76</f>
        <v>9.9853591127778939E-4</v>
      </c>
      <c r="K77" s="17">
        <f>Analysis!K76-Analysis!$V76</f>
        <v>-1.9742438979777899E-3</v>
      </c>
      <c r="L77" s="17">
        <f>Analysis!L76-Analysis!$V76</f>
        <v>9.8731487038882047E-4</v>
      </c>
      <c r="M77" s="17">
        <f>Analysis!M76-Analysis!$V76</f>
        <v>1.1481826553090199E-3</v>
      </c>
      <c r="N77" s="17">
        <f>Analysis!N76-Analysis!$V76</f>
        <v>2.7358385467312922E-3</v>
      </c>
      <c r="O77" s="17">
        <f>Analysis!O76-Analysis!$V76</f>
        <v>-2.4187247508826604E-3</v>
      </c>
      <c r="P77" s="17">
        <f>Analysis!P76-Analysis!$V76</f>
        <v>0</v>
      </c>
      <c r="Q77" s="17">
        <f>Analysis!Q76-Analysis!$V76</f>
        <v>3.1227007788981699E-3</v>
      </c>
      <c r="R77" s="17">
        <f>Analysis!R76-Analysis!$V76</f>
        <v>6.6620655057583788E-4</v>
      </c>
      <c r="S77" s="23">
        <f>Analysis!S48</f>
        <v>2.8684856604358488E-2</v>
      </c>
      <c r="T77" s="23">
        <f>Analysis!T48</f>
        <v>9.3202533081171044E-4</v>
      </c>
      <c r="U77" s="23">
        <f>Analysis!U48</f>
        <v>0.32688262124497169</v>
      </c>
      <c r="V77" s="23">
        <f>Analysis!V48</f>
        <v>7.2898845050840015E-3</v>
      </c>
    </row>
    <row r="78" spans="1:22">
      <c r="A78" s="9" t="s">
        <v>23</v>
      </c>
      <c r="B78" s="17">
        <f>Analysis!B77-Analysis!$V77</f>
        <v>2.4787134965312312E-2</v>
      </c>
      <c r="C78" s="17">
        <f>Analysis!C77-Analysis!$V77</f>
        <v>0</v>
      </c>
      <c r="D78" s="17">
        <f>Analysis!D77-Analysis!$V77</f>
        <v>-1.000578072513131E-2</v>
      </c>
      <c r="E78" s="17">
        <f>Analysis!E77-Analysis!$V77</f>
        <v>4.6977311727553414E-3</v>
      </c>
      <c r="F78" s="17">
        <f>Analysis!F77-Analysis!$V77</f>
        <v>-1.1423645522528163E-3</v>
      </c>
      <c r="G78" s="17">
        <f>Analysis!G77-Analysis!$V77</f>
        <v>-7.9569138776844125E-3</v>
      </c>
      <c r="H78" s="17">
        <f>Analysis!H77-Analysis!$V77</f>
        <v>-1.067486633596725E-2</v>
      </c>
      <c r="I78" s="17">
        <f>Analysis!I77-Analysis!$V77</f>
        <v>-8.7683332977061233E-3</v>
      </c>
      <c r="J78" s="17">
        <f>Analysis!J77-Analysis!$V77</f>
        <v>1.1409648768561292E-2</v>
      </c>
      <c r="K78" s="17">
        <f>Analysis!K77-Analysis!$V77</f>
        <v>-1.4004226863338649E-2</v>
      </c>
      <c r="L78" s="17">
        <f>Analysis!L77-Analysis!$V77</f>
        <v>6.6147971334160859E-3</v>
      </c>
      <c r="M78" s="17">
        <f>Analysis!M77-Analysis!$V77</f>
        <v>-2.3302739421388087E-3</v>
      </c>
      <c r="N78" s="17">
        <f>Analysis!N77-Analysis!$V77</f>
        <v>1.5023764632746538E-2</v>
      </c>
      <c r="O78" s="17">
        <f>Analysis!O77-Analysis!$V77</f>
        <v>-1.5333587746386403E-2</v>
      </c>
      <c r="P78" s="17">
        <f>Analysis!P77-Analysis!$V77</f>
        <v>8.608845085634368E-3</v>
      </c>
      <c r="Q78" s="17">
        <f>Analysis!Q77-Analysis!$V77</f>
        <v>1.2800379712060043E-2</v>
      </c>
      <c r="R78" s="17">
        <f>Analysis!R77-Analysis!$V77</f>
        <v>4.2536405270050134E-2</v>
      </c>
      <c r="S78" s="23">
        <f>Analysis!S49</f>
        <v>2.4430530013454424E-2</v>
      </c>
      <c r="T78" s="23">
        <f>Analysis!T49</f>
        <v>9.6021460256088854E-3</v>
      </c>
      <c r="U78" s="23">
        <f>Analysis!U49</f>
        <v>4.2526532074233646E-2</v>
      </c>
      <c r="V78" s="23">
        <f>Analysis!V49</f>
        <v>2.5585407257360793E-2</v>
      </c>
    </row>
    <row r="79" spans="1:22">
      <c r="A79" s="9" t="s">
        <v>22</v>
      </c>
      <c r="B79" s="17">
        <f>Analysis!B78-Analysis!$V78</f>
        <v>-9.1668904153167363E-3</v>
      </c>
      <c r="C79" s="17">
        <f>Analysis!C78-Analysis!$V78</f>
        <v>0</v>
      </c>
      <c r="D79" s="17">
        <f>Analysis!D78-Analysis!$V78</f>
        <v>-1.2356586721366764E-2</v>
      </c>
      <c r="E79" s="17">
        <f>Analysis!E78-Analysis!$V78</f>
        <v>4.9605482425334191E-3</v>
      </c>
      <c r="F79" s="17">
        <f>Analysis!F78-Analysis!$V78</f>
        <v>6.5403167626847558E-2</v>
      </c>
      <c r="G79" s="17">
        <f>Analysis!G78-Analysis!$V78</f>
        <v>-6.5987752742267727E-3</v>
      </c>
      <c r="H79" s="17">
        <f>Analysis!H78-Analysis!$V78</f>
        <v>-1.1321624906512215E-2</v>
      </c>
      <c r="I79" s="17">
        <f>Analysis!I78-Analysis!$V78</f>
        <v>-4.5349798081700896E-3</v>
      </c>
      <c r="J79" s="17">
        <f>Analysis!J78-Analysis!$V78</f>
        <v>2.3096584839865687E-3</v>
      </c>
      <c r="K79" s="17">
        <f>Analysis!K78-Analysis!$V78</f>
        <v>2.777298048394268E-2</v>
      </c>
      <c r="L79" s="17">
        <f>Analysis!L78-Analysis!$V78</f>
        <v>1.4628974509851948E-2</v>
      </c>
      <c r="M79" s="17">
        <f>Analysis!M78-Analysis!$V78</f>
        <v>-1.1510981443866128E-2</v>
      </c>
      <c r="N79" s="17">
        <f>Analysis!N78-Analysis!$V78</f>
        <v>7.9323756489811936E-3</v>
      </c>
      <c r="O79" s="17">
        <f>Analysis!O78-Analysis!$V78</f>
        <v>-5.5595112882095288E-4</v>
      </c>
      <c r="P79" s="17">
        <f>Analysis!P78-Analysis!$V78</f>
        <v>3.8721034338591448E-3</v>
      </c>
      <c r="Q79" s="17">
        <f>Analysis!Q78-Analysis!$V78</f>
        <v>-1.687802888858593E-3</v>
      </c>
      <c r="R79" s="17">
        <f>Analysis!R78-Analysis!$V78</f>
        <v>3.2547800071164555E-2</v>
      </c>
      <c r="S79" s="23">
        <f>Analysis!S50</f>
        <v>1.6430052965531315E-2</v>
      </c>
      <c r="T79" s="23">
        <f>Analysis!T50</f>
        <v>3.1946170826966445E-3</v>
      </c>
      <c r="U79" s="23">
        <f>Analysis!U50</f>
        <v>3.8082053045434952E-2</v>
      </c>
      <c r="V79" s="23">
        <f>Analysis!V50</f>
        <v>1.5272495343829113E-2</v>
      </c>
    </row>
    <row r="80" spans="1:22">
      <c r="A80" s="9" t="s">
        <v>107</v>
      </c>
      <c r="B80" s="17">
        <f>Analysis!B79-Analysis!$V79</f>
        <v>0</v>
      </c>
      <c r="C80" s="17">
        <f>Analysis!C79-Analysis!$V79</f>
        <v>0</v>
      </c>
      <c r="D80" s="17">
        <f>Analysis!D79-Analysis!$V79</f>
        <v>0</v>
      </c>
      <c r="E80" s="17">
        <f>Analysis!E79-Analysis!$V79</f>
        <v>0</v>
      </c>
      <c r="F80" s="17">
        <f>Analysis!F79-Analysis!$V79</f>
        <v>0</v>
      </c>
      <c r="G80" s="17">
        <f>Analysis!G79-Analysis!$V79</f>
        <v>0</v>
      </c>
      <c r="H80" s="17">
        <f>Analysis!H79-Analysis!$V79</f>
        <v>0</v>
      </c>
      <c r="I80" s="17">
        <f>Analysis!I79-Analysis!$V79</f>
        <v>0</v>
      </c>
      <c r="J80" s="17">
        <f>Analysis!J79-Analysis!$V79</f>
        <v>0</v>
      </c>
      <c r="K80" s="17">
        <f>Analysis!K79-Analysis!$V79</f>
        <v>0</v>
      </c>
      <c r="L80" s="17">
        <f>Analysis!L79-Analysis!$V79</f>
        <v>4.9458313707018368E-3</v>
      </c>
      <c r="M80" s="17">
        <f>Analysis!M79-Analysis!$V79</f>
        <v>0</v>
      </c>
      <c r="N80" s="17">
        <f>Analysis!N79-Analysis!$V79</f>
        <v>0</v>
      </c>
      <c r="O80" s="17">
        <f>Analysis!O79-Analysis!$V79</f>
        <v>0</v>
      </c>
      <c r="P80" s="17">
        <f>Analysis!P79-Analysis!$V79</f>
        <v>0</v>
      </c>
      <c r="Q80" s="17">
        <f>Analysis!Q79-Analysis!$V79</f>
        <v>0</v>
      </c>
      <c r="R80" s="17">
        <f>Analysis!R79-Analysis!$V79</f>
        <v>0</v>
      </c>
      <c r="S80" s="23">
        <f>Analysis!S51</f>
        <v>2.3415286542971072E-3</v>
      </c>
      <c r="T80" s="23">
        <f>Analysis!T51</f>
        <v>0</v>
      </c>
      <c r="U80" s="23">
        <f>Analysis!U51</f>
        <v>3.9805987123050821E-2</v>
      </c>
      <c r="V80" s="23">
        <f>Analysis!V51</f>
        <v>0</v>
      </c>
    </row>
    <row r="81" spans="1:22">
      <c r="A81" s="9" t="s">
        <v>108</v>
      </c>
      <c r="B81" s="17">
        <f>Analysis!B80-Analysis!$V80</f>
        <v>0</v>
      </c>
      <c r="C81" s="17">
        <f>Analysis!C80-Analysis!$V80</f>
        <v>0</v>
      </c>
      <c r="D81" s="17">
        <f>Analysis!D80-Analysis!$V80</f>
        <v>0</v>
      </c>
      <c r="E81" s="17">
        <f>Analysis!E80-Analysis!$V80</f>
        <v>0</v>
      </c>
      <c r="F81" s="17">
        <f>Analysis!F80-Analysis!$V80</f>
        <v>0</v>
      </c>
      <c r="G81" s="17">
        <f>Analysis!G80-Analysis!$V80</f>
        <v>0</v>
      </c>
      <c r="H81" s="17">
        <f>Analysis!H80-Analysis!$V80</f>
        <v>0</v>
      </c>
      <c r="I81" s="17">
        <f>Analysis!I80-Analysis!$V80</f>
        <v>0</v>
      </c>
      <c r="J81" s="17">
        <f>Analysis!J80-Analysis!$V80</f>
        <v>0</v>
      </c>
      <c r="K81" s="17">
        <f>Analysis!K80-Analysis!$V80</f>
        <v>0</v>
      </c>
      <c r="L81" s="17">
        <f>Analysis!L80-Analysis!$V80</f>
        <v>1.0833725859632595E-2</v>
      </c>
      <c r="M81" s="17">
        <f>Analysis!M80-Analysis!$V80</f>
        <v>0</v>
      </c>
      <c r="N81" s="17">
        <f>Analysis!N80-Analysis!$V80</f>
        <v>0</v>
      </c>
      <c r="O81" s="17">
        <f>Analysis!O80-Analysis!$V80</f>
        <v>0</v>
      </c>
      <c r="P81" s="17">
        <f>Analysis!P80-Analysis!$V80</f>
        <v>0</v>
      </c>
      <c r="Q81" s="17">
        <f>Analysis!Q80-Analysis!$V80</f>
        <v>0</v>
      </c>
      <c r="R81" s="17">
        <f>Analysis!R80-Analysis!$V80</f>
        <v>0</v>
      </c>
      <c r="S81" s="23">
        <f>Analysis!S52</f>
        <v>2.8664717284264344E-2</v>
      </c>
      <c r="T81" s="23">
        <f>Analysis!T52</f>
        <v>0</v>
      </c>
      <c r="U81" s="23">
        <f>Analysis!U52</f>
        <v>0.48730019383249384</v>
      </c>
      <c r="V81" s="23">
        <f>Analysis!V52</f>
        <v>0</v>
      </c>
    </row>
    <row r="82" spans="1:22">
      <c r="A82" s="9" t="s">
        <v>56</v>
      </c>
      <c r="B82" s="17">
        <f>Analysis!B81-Analysis!$V81</f>
        <v>0</v>
      </c>
      <c r="C82" s="17">
        <f>Analysis!C81-Analysis!$V81</f>
        <v>0</v>
      </c>
      <c r="D82" s="17">
        <f>Analysis!D81-Analysis!$V81</f>
        <v>0</v>
      </c>
      <c r="E82" s="17">
        <f>Analysis!E81-Analysis!$V81</f>
        <v>0</v>
      </c>
      <c r="F82" s="17">
        <f>Analysis!F81-Analysis!$V81</f>
        <v>0</v>
      </c>
      <c r="G82" s="17">
        <f>Analysis!G81-Analysis!$V81</f>
        <v>0</v>
      </c>
      <c r="H82" s="17">
        <f>Analysis!H81-Analysis!$V81</f>
        <v>0</v>
      </c>
      <c r="I82" s="17">
        <f>Analysis!I81-Analysis!$V81</f>
        <v>0</v>
      </c>
      <c r="J82" s="17">
        <f>Analysis!J81-Analysis!$V81</f>
        <v>0</v>
      </c>
      <c r="K82" s="17">
        <f>Analysis!K81-Analysis!$V81</f>
        <v>0</v>
      </c>
      <c r="L82" s="17">
        <f>Analysis!L81-Analysis!$V81</f>
        <v>8.9495996231747522E-3</v>
      </c>
      <c r="M82" s="17">
        <f>Analysis!M81-Analysis!$V81</f>
        <v>0</v>
      </c>
      <c r="N82" s="17">
        <f>Analysis!N81-Analysis!$V81</f>
        <v>0</v>
      </c>
      <c r="O82" s="17">
        <f>Analysis!O81-Analysis!$V81</f>
        <v>0</v>
      </c>
      <c r="P82" s="17">
        <f>Analysis!P81-Analysis!$V81</f>
        <v>0</v>
      </c>
      <c r="Q82" s="17">
        <f>Analysis!Q81-Analysis!$V81</f>
        <v>0</v>
      </c>
      <c r="R82" s="17">
        <f>Analysis!R81-Analysis!$V81</f>
        <v>1.0521885521885521E-4</v>
      </c>
      <c r="S82" s="23">
        <f>Analysis!S53</f>
        <v>6.8590135143591956E-3</v>
      </c>
      <c r="T82" s="23">
        <f>Analysis!T53</f>
        <v>0</v>
      </c>
      <c r="U82" s="23">
        <f>Analysis!U53</f>
        <v>0.1166031108049476</v>
      </c>
      <c r="V82" s="23">
        <f>Analysis!V53</f>
        <v>0</v>
      </c>
    </row>
    <row r="83" spans="1:22">
      <c r="A83" s="9" t="s">
        <v>21</v>
      </c>
      <c r="B83" s="17">
        <f>Analysis!B82-Analysis!$V82</f>
        <v>0</v>
      </c>
      <c r="C83" s="17">
        <f>Analysis!C82-Analysis!$V82</f>
        <v>0</v>
      </c>
      <c r="D83" s="17">
        <f>Analysis!D82-Analysis!$V82</f>
        <v>0</v>
      </c>
      <c r="E83" s="17">
        <f>Analysis!E82-Analysis!$V82</f>
        <v>0</v>
      </c>
      <c r="F83" s="17">
        <f>Analysis!F82-Analysis!$V82</f>
        <v>0</v>
      </c>
      <c r="G83" s="17">
        <f>Analysis!G82-Analysis!$V82</f>
        <v>0</v>
      </c>
      <c r="H83" s="17">
        <f>Analysis!H82-Analysis!$V82</f>
        <v>0</v>
      </c>
      <c r="I83" s="17">
        <f>Analysis!I82-Analysis!$V82</f>
        <v>0</v>
      </c>
      <c r="J83" s="17">
        <f>Analysis!J82-Analysis!$V82</f>
        <v>0</v>
      </c>
      <c r="K83" s="17">
        <f>Analysis!K82-Analysis!$V82</f>
        <v>0</v>
      </c>
      <c r="L83" s="17">
        <f>Analysis!L82-Analysis!$V82</f>
        <v>0</v>
      </c>
      <c r="M83" s="17">
        <f>Analysis!M82-Analysis!$V82</f>
        <v>0</v>
      </c>
      <c r="N83" s="17">
        <f>Analysis!N82-Analysis!$V82</f>
        <v>0</v>
      </c>
      <c r="O83" s="17">
        <f>Analysis!O82-Analysis!$V82</f>
        <v>0</v>
      </c>
      <c r="P83" s="17">
        <f>Analysis!P82-Analysis!$V82</f>
        <v>0</v>
      </c>
      <c r="Q83" s="17">
        <f>Analysis!Q82-Analysis!$V82</f>
        <v>0</v>
      </c>
      <c r="R83" s="17">
        <f>Analysis!R82-Analysis!$V82</f>
        <v>0</v>
      </c>
      <c r="S83" s="23">
        <f>Analysis!S54</f>
        <v>4.92588249288059E-3</v>
      </c>
      <c r="T83" s="23">
        <f>Analysis!T54</f>
        <v>0</v>
      </c>
      <c r="U83" s="23">
        <f>Analysis!U54</f>
        <v>8.374000237897003E-2</v>
      </c>
      <c r="V83" s="23">
        <f>Analysis!V54</f>
        <v>0</v>
      </c>
    </row>
    <row r="84" spans="1:22">
      <c r="A84" s="9" t="s">
        <v>20</v>
      </c>
      <c r="B84" s="17">
        <f>Analysis!B83-Analysis!$V83</f>
        <v>1.8738060917593363E-2</v>
      </c>
      <c r="C84" s="17">
        <f>Analysis!C83-Analysis!$V83</f>
        <v>-5.0080636735036071E-3</v>
      </c>
      <c r="D84" s="17">
        <f>Analysis!D83-Analysis!$V83</f>
        <v>-2.8528111345021812E-2</v>
      </c>
      <c r="E84" s="17">
        <f>Analysis!E83-Analysis!$V83</f>
        <v>1.4357821560251435E-2</v>
      </c>
      <c r="F84" s="17">
        <f>Analysis!F83-Analysis!$V83</f>
        <v>5.9305399329262903E-3</v>
      </c>
      <c r="G84" s="17">
        <f>Analysis!G83-Analysis!$V83</f>
        <v>-3.0517941840731845E-2</v>
      </c>
      <c r="H84" s="17">
        <f>Analysis!H83-Analysis!$V83</f>
        <v>2.4691540397343267E-2</v>
      </c>
      <c r="I84" s="17">
        <f>Analysis!I83-Analysis!$V83</f>
        <v>-2.5823770577684112E-2</v>
      </c>
      <c r="J84" s="17">
        <f>Analysis!J83-Analysis!$V83</f>
        <v>1.2403158634754864E-2</v>
      </c>
      <c r="K84" s="17">
        <f>Analysis!K83-Analysis!$V83</f>
        <v>-2.6106333022175958E-2</v>
      </c>
      <c r="L84" s="17">
        <f>Analysis!L83-Analysis!$V83</f>
        <v>0</v>
      </c>
      <c r="M84" s="17">
        <f>Analysis!M83-Analysis!$V83</f>
        <v>-2.1702542746098338E-2</v>
      </c>
      <c r="N84" s="17">
        <f>Analysis!N83-Analysis!$V83</f>
        <v>2.679524369045902E-2</v>
      </c>
      <c r="O84" s="17">
        <f>Analysis!O83-Analysis!$V83</f>
        <v>-2.9811345948044628E-2</v>
      </c>
      <c r="P84" s="17">
        <f>Analysis!P83-Analysis!$V83</f>
        <v>1.1899144134795973E-2</v>
      </c>
      <c r="Q84" s="17">
        <f>Analysis!Q83-Analysis!$V83</f>
        <v>-1.3361423864785026E-2</v>
      </c>
      <c r="R84" s="17">
        <f>Analysis!R83-Analysis!$V83</f>
        <v>2.5213272622599051E-2</v>
      </c>
      <c r="S84" s="23">
        <f>Analysis!S55</f>
        <v>1.5538799371691026E-2</v>
      </c>
      <c r="T84" s="23">
        <f>Analysis!T55</f>
        <v>7.1351344776227135E-3</v>
      </c>
      <c r="U84" s="23">
        <f>Analysis!U55</f>
        <v>3.0760829023343483E-2</v>
      </c>
      <c r="V84" s="23">
        <f>Analysis!V55</f>
        <v>1.5357429000085899E-2</v>
      </c>
    </row>
    <row r="85" spans="1:22">
      <c r="A85" s="9" t="s">
        <v>19</v>
      </c>
      <c r="B85" s="17">
        <f>Analysis!B84-Analysis!$V84</f>
        <v>-6.8865703130076283E-5</v>
      </c>
      <c r="C85" s="17">
        <f>Analysis!C84-Analysis!$V84</f>
        <v>1.3901639224467136E-2</v>
      </c>
      <c r="D85" s="17">
        <f>Analysis!D84-Analysis!$V84</f>
        <v>-9.1291800792220584E-3</v>
      </c>
      <c r="E85" s="17">
        <f>Analysis!E84-Analysis!$V84</f>
        <v>1.5910040248014793E-2</v>
      </c>
      <c r="F85" s="17">
        <f>Analysis!F84-Analysis!$V84</f>
        <v>0</v>
      </c>
      <c r="G85" s="17">
        <f>Analysis!G84-Analysis!$V84</f>
        <v>-4.788392972474121E-3</v>
      </c>
      <c r="H85" s="17">
        <f>Analysis!H84-Analysis!$V84</f>
        <v>-3.8607403873448052E-3</v>
      </c>
      <c r="I85" s="17">
        <f>Analysis!I84-Analysis!$V84</f>
        <v>-8.0291119357730218E-3</v>
      </c>
      <c r="J85" s="17">
        <f>Analysis!J84-Analysis!$V84</f>
        <v>6.4458521065394944E-3</v>
      </c>
      <c r="K85" s="17">
        <f>Analysis!K84-Analysis!$V84</f>
        <v>-6.5157682130490974E-3</v>
      </c>
      <c r="L85" s="17">
        <f>Analysis!L84-Analysis!$V84</f>
        <v>1.1702608207241998E-3</v>
      </c>
      <c r="M85" s="17">
        <f>Analysis!M84-Analysis!$V84</f>
        <v>-6.5761955229393897E-3</v>
      </c>
      <c r="N85" s="17">
        <f>Analysis!N84-Analysis!$V84</f>
        <v>1.4227098149048097E-2</v>
      </c>
      <c r="O85" s="17">
        <f>Analysis!O84-Analysis!$V84</f>
        <v>-4.6151674111562166E-3</v>
      </c>
      <c r="P85" s="17">
        <f>Analysis!P84-Analysis!$V84</f>
        <v>8.5737230318513949E-3</v>
      </c>
      <c r="Q85" s="17">
        <f>Analysis!Q84-Analysis!$V84</f>
        <v>7.2215539612929883E-2</v>
      </c>
      <c r="R85" s="17">
        <f>Analysis!R84-Analysis!$V84</f>
        <v>3.8786922856323507E-3</v>
      </c>
      <c r="S85" s="23">
        <f>Analysis!S56</f>
        <v>5.3371358944952769E-2</v>
      </c>
      <c r="T85" s="23">
        <f>Analysis!T56</f>
        <v>1.836148620688622E-2</v>
      </c>
      <c r="U85" s="23">
        <f>Analysis!U56</f>
        <v>0.11785954020303219</v>
      </c>
      <c r="V85" s="23">
        <f>Analysis!V56</f>
        <v>4.1766985390363019E-2</v>
      </c>
    </row>
    <row r="86" spans="1:22">
      <c r="A86" s="9" t="s">
        <v>18</v>
      </c>
      <c r="B86" s="17">
        <f>Analysis!B85-Analysis!$V85</f>
        <v>0</v>
      </c>
      <c r="C86" s="17">
        <f>Analysis!C85-Analysis!$V85</f>
        <v>6.9258467224905321E-3</v>
      </c>
      <c r="D86" s="17">
        <f>Analysis!D85-Analysis!$V85</f>
        <v>-1.2320286558140745E-2</v>
      </c>
      <c r="E86" s="17">
        <f>Analysis!E85-Analysis!$V85</f>
        <v>5.328925077873109E-3</v>
      </c>
      <c r="F86" s="17">
        <f>Analysis!F85-Analysis!$V85</f>
        <v>-8.6850775145355316E-4</v>
      </c>
      <c r="G86" s="17">
        <f>Analysis!G85-Analysis!$V85</f>
        <v>1.0936967198201253E-3</v>
      </c>
      <c r="H86" s="17">
        <f>Analysis!H85-Analysis!$V85</f>
        <v>-7.2631306843029281E-3</v>
      </c>
      <c r="I86" s="17">
        <f>Analysis!I85-Analysis!$V85</f>
        <v>-1.0209779403769638E-2</v>
      </c>
      <c r="J86" s="17">
        <f>Analysis!J85-Analysis!$V85</f>
        <v>2.3939771342860149E-3</v>
      </c>
      <c r="K86" s="17">
        <f>Analysis!K85-Analysis!$V85</f>
        <v>-9.7562066657912762E-3</v>
      </c>
      <c r="L86" s="17">
        <f>Analysis!L85-Analysis!$V85</f>
        <v>-1.8049615821882879E-3</v>
      </c>
      <c r="M86" s="17">
        <f>Analysis!M85-Analysis!$V85</f>
        <v>-3.4093613103669124E-3</v>
      </c>
      <c r="N86" s="17">
        <f>Analysis!N85-Analysis!$V85</f>
        <v>3.3095064657732653E-2</v>
      </c>
      <c r="O86" s="17">
        <f>Analysis!O85-Analysis!$V85</f>
        <v>-1.0190882412284981E-2</v>
      </c>
      <c r="P86" s="17">
        <f>Analysis!P85-Analysis!$V85</f>
        <v>8.6247707564963208E-3</v>
      </c>
      <c r="Q86" s="17">
        <f>Analysis!Q85-Analysis!$V85</f>
        <v>6.9965169299688879E-3</v>
      </c>
      <c r="R86" s="17">
        <f>Analysis!R85-Analysis!$V85</f>
        <v>1.8054688458808903E-2</v>
      </c>
      <c r="S86" s="23">
        <f>Analysis!S57</f>
        <v>1.1442719038296486E-2</v>
      </c>
      <c r="T86" s="23">
        <f>Analysis!T57</f>
        <v>4.022342867005751E-3</v>
      </c>
      <c r="U86" s="23">
        <f>Analysis!U57</f>
        <v>2.0220540800031602E-2</v>
      </c>
      <c r="V86" s="23">
        <f>Analysis!V57</f>
        <v>1.1740447466995032E-2</v>
      </c>
    </row>
    <row r="87" spans="1:22">
      <c r="A87" s="9" t="s">
        <v>17</v>
      </c>
      <c r="B87" s="17">
        <f>Analysis!B86-Analysis!$V86</f>
        <v>-1.5094153366736569E-3</v>
      </c>
      <c r="C87" s="17">
        <f>Analysis!C86-Analysis!$V86</f>
        <v>-8.3842256739452992E-4</v>
      </c>
      <c r="D87" s="17">
        <f>Analysis!D86-Analysis!$V86</f>
        <v>-4.2084075429306336E-3</v>
      </c>
      <c r="E87" s="17">
        <f>Analysis!E86-Analysis!$V86</f>
        <v>4.5860907929872775E-5</v>
      </c>
      <c r="F87" s="17">
        <f>Analysis!F86-Analysis!$V86</f>
        <v>2.3361905065375091E-3</v>
      </c>
      <c r="G87" s="17">
        <f>Analysis!G86-Analysis!$V86</f>
        <v>5.3116204448222211E-3</v>
      </c>
      <c r="H87" s="17">
        <f>Analysis!H86-Analysis!$V86</f>
        <v>1.6982100666564217E-2</v>
      </c>
      <c r="I87" s="17">
        <f>Analysis!I86-Analysis!$V86</f>
        <v>-1.7605147455113188E-4</v>
      </c>
      <c r="J87" s="17">
        <f>Analysis!J86-Analysis!$V86</f>
        <v>4.0433330449390403E-2</v>
      </c>
      <c r="K87" s="17">
        <f>Analysis!K86-Analysis!$V86</f>
        <v>3.170075779507775E-2</v>
      </c>
      <c r="L87" s="17">
        <f>Analysis!L86-Analysis!$V86</f>
        <v>-5.4713804713804716E-3</v>
      </c>
      <c r="M87" s="17">
        <f>Analysis!M86-Analysis!$V86</f>
        <v>-4.2065166007392799E-4</v>
      </c>
      <c r="N87" s="17">
        <f>Analysis!N86-Analysis!$V86</f>
        <v>3.6963347901690516E-3</v>
      </c>
      <c r="O87" s="17">
        <f>Analysis!O86-Analysis!$V86</f>
        <v>-4.201207130077423E-3</v>
      </c>
      <c r="P87" s="17">
        <f>Analysis!P86-Analysis!$V86</f>
        <v>1.3084378212348962E-2</v>
      </c>
      <c r="Q87" s="17">
        <f>Analysis!Q86-Analysis!$V86</f>
        <v>-2.4018033908893392E-3</v>
      </c>
      <c r="R87" s="17">
        <f>Analysis!R86-Analysis!$V86</f>
        <v>0</v>
      </c>
      <c r="S87" s="23">
        <f>Analysis!S58</f>
        <v>9.841302995276479E-3</v>
      </c>
      <c r="T87" s="23">
        <f>Analysis!T58</f>
        <v>0</v>
      </c>
      <c r="U87" s="23">
        <f>Analysis!U58</f>
        <v>2.0859073405729584E-2</v>
      </c>
      <c r="V87" s="23">
        <f>Analysis!V58</f>
        <v>8.8987446329544008E-3</v>
      </c>
    </row>
    <row r="88" spans="1:22">
      <c r="A88" s="9" t="s">
        <v>16</v>
      </c>
      <c r="B88" s="17">
        <f>Analysis!B87-Analysis!$V87</f>
        <v>5.2566653501777263E-2</v>
      </c>
      <c r="C88" s="17">
        <f>Analysis!C87-Analysis!$V87</f>
        <v>1.6561199216937883E-3</v>
      </c>
      <c r="D88" s="17">
        <f>Analysis!D87-Analysis!$V87</f>
        <v>-1.9561936687830541E-2</v>
      </c>
      <c r="E88" s="17">
        <f>Analysis!E87-Analysis!$V87</f>
        <v>-4.4274991841618608E-3</v>
      </c>
      <c r="F88" s="17">
        <f>Analysis!F87-Analysis!$V87</f>
        <v>0</v>
      </c>
      <c r="G88" s="17">
        <f>Analysis!G87-Analysis!$V87</f>
        <v>-1.4024092951553309E-2</v>
      </c>
      <c r="H88" s="17">
        <f>Analysis!H87-Analysis!$V87</f>
        <v>-7.1802378535693115E-3</v>
      </c>
      <c r="I88" s="17">
        <f>Analysis!I87-Analysis!$V87</f>
        <v>-1.0045859029833116E-2</v>
      </c>
      <c r="J88" s="17">
        <f>Analysis!J87-Analysis!$V87</f>
        <v>7.0601328028424941E-3</v>
      </c>
      <c r="K88" s="17">
        <f>Analysis!K87-Analysis!$V87</f>
        <v>-1.067960606454137E-2</v>
      </c>
      <c r="L88" s="17">
        <f>Analysis!L87-Analysis!$V87</f>
        <v>-6.7000153048109093E-3</v>
      </c>
      <c r="M88" s="17">
        <f>Analysis!M87-Analysis!$V87</f>
        <v>3.0422262340204578E-3</v>
      </c>
      <c r="N88" s="17">
        <f>Analysis!N87-Analysis!$V87</f>
        <v>3.4696317659887801E-2</v>
      </c>
      <c r="O88" s="17">
        <f>Analysis!O87-Analysis!$V87</f>
        <v>-1.818014258750502E-2</v>
      </c>
      <c r="P88" s="17">
        <f>Analysis!P87-Analysis!$V87</f>
        <v>3.8705528866948488E-3</v>
      </c>
      <c r="Q88" s="17">
        <f>Analysis!Q87-Analysis!$V87</f>
        <v>2.7347532503303046E-3</v>
      </c>
      <c r="R88" s="17">
        <f>Analysis!R87-Analysis!$V87</f>
        <v>3.1843341405644252E-2</v>
      </c>
      <c r="S88" s="23">
        <f>Analysis!S59</f>
        <v>2.080259573555886E-2</v>
      </c>
      <c r="T88" s="23">
        <f>Analysis!T59</f>
        <v>2.7247828599657555E-3</v>
      </c>
      <c r="U88" s="23">
        <f>Analysis!U59</f>
        <v>5.4436853530995769E-2</v>
      </c>
      <c r="V88" s="23">
        <f>Analysis!V59</f>
        <v>1.8740103630097905E-2</v>
      </c>
    </row>
    <row r="89" spans="1:22">
      <c r="A89" s="9" t="s">
        <v>46</v>
      </c>
      <c r="B89" s="17">
        <f>Analysis!B88-Analysis!$V88</f>
        <v>0</v>
      </c>
      <c r="C89" s="17">
        <f>Analysis!C88-Analysis!$V88</f>
        <v>0</v>
      </c>
      <c r="D89" s="17">
        <f>Analysis!D88-Analysis!$V88</f>
        <v>0</v>
      </c>
      <c r="E89" s="17">
        <f>Analysis!E88-Analysis!$V88</f>
        <v>0</v>
      </c>
      <c r="F89" s="17">
        <f>Analysis!F88-Analysis!$V88</f>
        <v>0</v>
      </c>
      <c r="G89" s="17">
        <f>Analysis!G88-Analysis!$V88</f>
        <v>1.5170202269363591E-2</v>
      </c>
      <c r="H89" s="17">
        <f>Analysis!H88-Analysis!$V88</f>
        <v>1.2612408800407216E-2</v>
      </c>
      <c r="I89" s="17">
        <f>Analysis!I88-Analysis!$V88</f>
        <v>0</v>
      </c>
      <c r="J89" s="17">
        <f>Analysis!J88-Analysis!$V88</f>
        <v>0</v>
      </c>
      <c r="K89" s="17">
        <f>Analysis!K88-Analysis!$V88</f>
        <v>0</v>
      </c>
      <c r="L89" s="17">
        <f>Analysis!L88-Analysis!$V88</f>
        <v>0</v>
      </c>
      <c r="M89" s="17">
        <f>Analysis!M88-Analysis!$V88</f>
        <v>0</v>
      </c>
      <c r="N89" s="17">
        <f>Analysis!N88-Analysis!$V88</f>
        <v>0</v>
      </c>
      <c r="O89" s="17">
        <f>Analysis!O88-Analysis!$V88</f>
        <v>0</v>
      </c>
      <c r="P89" s="17">
        <f>Analysis!P88-Analysis!$V88</f>
        <v>0</v>
      </c>
      <c r="Q89" s="17">
        <f>Analysis!Q88-Analysis!$V88</f>
        <v>0</v>
      </c>
      <c r="R89" s="17">
        <f>Analysis!R88-Analysis!$V88</f>
        <v>0</v>
      </c>
      <c r="S89" s="23">
        <f>Analysis!S60</f>
        <v>8.7538164062754362E-3</v>
      </c>
      <c r="T89" s="23">
        <f>Analysis!T60</f>
        <v>0</v>
      </c>
      <c r="U89" s="23">
        <f>Analysis!U60</f>
        <v>0.14881487890668241</v>
      </c>
      <c r="V89" s="23">
        <f>Analysis!V60</f>
        <v>0</v>
      </c>
    </row>
    <row r="90" spans="1:22">
      <c r="A90" s="9" t="s">
        <v>15</v>
      </c>
      <c r="B90" s="17">
        <f>Analysis!B89-Analysis!$V89</f>
        <v>9.0999684558424427E-4</v>
      </c>
      <c r="C90" s="17">
        <f>Analysis!C89-Analysis!$V89</f>
        <v>1.3324039152060895E-3</v>
      </c>
      <c r="D90" s="17">
        <f>Analysis!D89-Analysis!$V89</f>
        <v>-1.9426180514046623E-3</v>
      </c>
      <c r="E90" s="17">
        <f>Analysis!E89-Analysis!$V89</f>
        <v>-1.9426180514046623E-3</v>
      </c>
      <c r="F90" s="17">
        <f>Analysis!F89-Analysis!$V89</f>
        <v>1.2908204343997543E-3</v>
      </c>
      <c r="G90" s="17">
        <f>Analysis!G89-Analysis!$V89</f>
        <v>-8.1498396866451148E-4</v>
      </c>
      <c r="H90" s="17">
        <f>Analysis!H89-Analysis!$V89</f>
        <v>3.762553154863504E-4</v>
      </c>
      <c r="I90" s="17">
        <f>Analysis!I89-Analysis!$V89</f>
        <v>-1.7750838579488242E-4</v>
      </c>
      <c r="J90" s="17">
        <f>Analysis!J89-Analysis!$V89</f>
        <v>-1.9426180514046623E-3</v>
      </c>
      <c r="K90" s="17">
        <f>Analysis!K89-Analysis!$V89</f>
        <v>-1.9426180514046623E-3</v>
      </c>
      <c r="L90" s="17">
        <f>Analysis!L89-Analysis!$V89</f>
        <v>3.4742448784116351E-3</v>
      </c>
      <c r="M90" s="17">
        <f>Analysis!M89-Analysis!$V89</f>
        <v>-1.9426180514046623E-3</v>
      </c>
      <c r="N90" s="17">
        <f>Analysis!N89-Analysis!$V89</f>
        <v>-1.9426180514046623E-3</v>
      </c>
      <c r="O90" s="17">
        <f>Analysis!O89-Analysis!$V89</f>
        <v>0</v>
      </c>
      <c r="P90" s="17">
        <f>Analysis!P89-Analysis!$V89</f>
        <v>2.9933965738238567E-3</v>
      </c>
      <c r="Q90" s="17">
        <f>Analysis!Q89-Analysis!$V89</f>
        <v>6.5839849499595947E-3</v>
      </c>
      <c r="R90" s="17">
        <f>Analysis!R89-Analysis!$V89</f>
        <v>3.7392001304135196E-3</v>
      </c>
      <c r="S90" s="23">
        <f>Analysis!S61</f>
        <v>3.7818694915153266E-2</v>
      </c>
      <c r="T90" s="23">
        <f>Analysis!T61</f>
        <v>0</v>
      </c>
      <c r="U90" s="23">
        <f>Analysis!U61</f>
        <v>0.1155472183181015</v>
      </c>
      <c r="V90" s="23">
        <f>Analysis!V61</f>
        <v>2.7857201463597457E-2</v>
      </c>
    </row>
    <row r="91" spans="1:22">
      <c r="A91" s="9" t="s">
        <v>110</v>
      </c>
      <c r="B91" s="17">
        <f>Analysis!B90-Analysis!$V90</f>
        <v>0</v>
      </c>
      <c r="C91" s="17">
        <f>Analysis!C90-Analysis!$V90</f>
        <v>0</v>
      </c>
      <c r="D91" s="17">
        <f>Analysis!D90-Analysis!$V90</f>
        <v>0</v>
      </c>
      <c r="E91" s="17">
        <f>Analysis!E90-Analysis!$V90</f>
        <v>0</v>
      </c>
      <c r="F91" s="17">
        <f>Analysis!F90-Analysis!$V90</f>
        <v>0</v>
      </c>
      <c r="G91" s="17">
        <f>Analysis!G90-Analysis!$V90</f>
        <v>0</v>
      </c>
      <c r="H91" s="17">
        <f>Analysis!H90-Analysis!$V90</f>
        <v>0</v>
      </c>
      <c r="I91" s="17">
        <f>Analysis!I90-Analysis!$V90</f>
        <v>0</v>
      </c>
      <c r="J91" s="17">
        <f>Analysis!J90-Analysis!$V90</f>
        <v>0</v>
      </c>
      <c r="K91" s="17">
        <f>Analysis!K90-Analysis!$V90</f>
        <v>0</v>
      </c>
      <c r="L91" s="17">
        <f>Analysis!L90-Analysis!$V90</f>
        <v>4.7103155911446069E-4</v>
      </c>
      <c r="M91" s="17">
        <f>Analysis!M90-Analysis!$V90</f>
        <v>0</v>
      </c>
      <c r="N91" s="17">
        <f>Analysis!N90-Analysis!$V90</f>
        <v>0</v>
      </c>
      <c r="O91" s="17">
        <f>Analysis!O90-Analysis!$V90</f>
        <v>0</v>
      </c>
      <c r="P91" s="17">
        <f>Analysis!P90-Analysis!$V90</f>
        <v>0</v>
      </c>
      <c r="Q91" s="17">
        <f>Analysis!Q90-Analysis!$V90</f>
        <v>0</v>
      </c>
      <c r="R91" s="17">
        <f>Analysis!R90-Analysis!$V90</f>
        <v>0</v>
      </c>
      <c r="S91" s="23">
        <f>Analysis!S62</f>
        <v>1.4684669856984711E-5</v>
      </c>
      <c r="T91" s="23">
        <f>Analysis!T62</f>
        <v>0</v>
      </c>
      <c r="U91" s="23">
        <f>Analysis!U62</f>
        <v>2.4963938756874008E-4</v>
      </c>
      <c r="V91" s="23">
        <f>Analysis!V62</f>
        <v>0</v>
      </c>
    </row>
    <row r="92" spans="1:22">
      <c r="A92" s="9" t="s">
        <v>14</v>
      </c>
      <c r="B92" s="17">
        <f>Analysis!B91-Analysis!$V91</f>
        <v>3.2435963923663769E-3</v>
      </c>
      <c r="C92" s="17">
        <f>Analysis!C91-Analysis!$V91</f>
        <v>1.0657708874831973E-2</v>
      </c>
      <c r="D92" s="17">
        <f>Analysis!D91-Analysis!$V91</f>
        <v>0.19451827485989193</v>
      </c>
      <c r="E92" s="17">
        <f>Analysis!E91-Analysis!$V91</f>
        <v>3.5491395070286202E-4</v>
      </c>
      <c r="F92" s="17">
        <f>Analysis!F91-Analysis!$V91</f>
        <v>7.5253750021626375E-2</v>
      </c>
      <c r="G92" s="17">
        <f>Analysis!G91-Analysis!$V91</f>
        <v>-0.16370821411596359</v>
      </c>
      <c r="H92" s="17">
        <f>Analysis!H91-Analysis!$V91</f>
        <v>-0.19322798918513939</v>
      </c>
      <c r="I92" s="17">
        <f>Analysis!I91-Analysis!$V91</f>
        <v>-6.795947394736257E-2</v>
      </c>
      <c r="J92" s="17">
        <f>Analysis!J91-Analysis!$V91</f>
        <v>-0.22644250907226099</v>
      </c>
      <c r="K92" s="17">
        <f>Analysis!K91-Analysis!$V91</f>
        <v>0.10302045455194997</v>
      </c>
      <c r="L92" s="17">
        <f>Analysis!L91-Analysis!$V91</f>
        <v>8.3589114090388161E-2</v>
      </c>
      <c r="M92" s="17">
        <f>Analysis!M91-Analysis!$V91</f>
        <v>0.13347348691356797</v>
      </c>
      <c r="N92" s="17">
        <f>Analysis!N91-Analysis!$V91</f>
        <v>-3.5881334003294851E-3</v>
      </c>
      <c r="O92" s="17">
        <f>Analysis!O91-Analysis!$V91</f>
        <v>-0.12267067501811213</v>
      </c>
      <c r="P92" s="17">
        <f>Analysis!P91-Analysis!$V91</f>
        <v>0</v>
      </c>
      <c r="Q92" s="17">
        <f>Analysis!Q91-Analysis!$V91</f>
        <v>-0.19614129906148131</v>
      </c>
      <c r="R92" s="17">
        <f>Analysis!R91-Analysis!$V91</f>
        <v>-3.5071041001114134E-2</v>
      </c>
      <c r="S92" s="23">
        <f>Analysis!S63</f>
        <v>1.1010824053022865E-2</v>
      </c>
      <c r="T92" s="23">
        <f>Analysis!T63</f>
        <v>-2.0943268742160213E-2</v>
      </c>
      <c r="U92" s="23">
        <f>Analysis!U63</f>
        <v>3.2420323095493454E-2</v>
      </c>
      <c r="V92" s="23">
        <f>Analysis!V63</f>
        <v>8.6816373506674784E-3</v>
      </c>
    </row>
    <row r="93" spans="1:22">
      <c r="A93" s="9" t="s">
        <v>13</v>
      </c>
      <c r="B93" s="17">
        <f>Analysis!B92-Analysis!$V92</f>
        <v>-2.9930767507300934E-3</v>
      </c>
      <c r="C93" s="17">
        <f>Analysis!C92-Analysis!$V92</f>
        <v>-1.7698710471712939E-3</v>
      </c>
      <c r="D93" s="17">
        <f>Analysis!D92-Analysis!$V92</f>
        <v>-4.5532960535826159E-3</v>
      </c>
      <c r="E93" s="17">
        <f>Analysis!E92-Analysis!$V92</f>
        <v>9.1673691752767877E-3</v>
      </c>
      <c r="F93" s="17">
        <f>Analysis!F92-Analysis!$V92</f>
        <v>1.7829612186263409E-2</v>
      </c>
      <c r="G93" s="17">
        <f>Analysis!G92-Analysis!$V92</f>
        <v>1.8663054273738197E-2</v>
      </c>
      <c r="H93" s="17">
        <f>Analysis!H92-Analysis!$V92</f>
        <v>1.5300573521430522E-3</v>
      </c>
      <c r="I93" s="17">
        <f>Analysis!I92-Analysis!$V92</f>
        <v>-2.3998063079340843E-2</v>
      </c>
      <c r="J93" s="17">
        <f>Analysis!J92-Analysis!$V92</f>
        <v>-3.4105677663166523E-3</v>
      </c>
      <c r="K93" s="17">
        <f>Analysis!K92-Analysis!$V92</f>
        <v>-1.4052350905944463E-3</v>
      </c>
      <c r="L93" s="17">
        <f>Analysis!L92-Analysis!$V92</f>
        <v>-3.5798148066102521E-2</v>
      </c>
      <c r="M93" s="17">
        <f>Analysis!M92-Analysis!$V92</f>
        <v>0</v>
      </c>
      <c r="N93" s="17">
        <f>Analysis!N92-Analysis!$V92</f>
        <v>1.6152238416011447E-2</v>
      </c>
      <c r="O93" s="17">
        <f>Analysis!O92-Analysis!$V92</f>
        <v>-1.5624806763054104E-2</v>
      </c>
      <c r="P93" s="17">
        <f>Analysis!P92-Analysis!$V92</f>
        <v>3.0788484066164579E-4</v>
      </c>
      <c r="Q93" s="17">
        <f>Analysis!Q92-Analysis!$V92</f>
        <v>8.3233229832942512E-2</v>
      </c>
      <c r="R93" s="17">
        <f>Analysis!R92-Analysis!$V92</f>
        <v>1.2497306479352023E-2</v>
      </c>
      <c r="S93" s="23">
        <f>Analysis!S64</f>
        <v>7.3039720812716757E-2</v>
      </c>
      <c r="T93" s="23">
        <f>Analysis!T64</f>
        <v>0</v>
      </c>
      <c r="U93" s="23">
        <f>Analysis!U64</f>
        <v>0.14977915973303513</v>
      </c>
      <c r="V93" s="23">
        <f>Analysis!V64</f>
        <v>6.8750426138465007E-2</v>
      </c>
    </row>
    <row r="94" spans="1:22">
      <c r="A94" s="9" t="s">
        <v>12</v>
      </c>
      <c r="B94" s="17">
        <f>Analysis!B93-Analysis!$V93</f>
        <v>4.0801689830823225E-3</v>
      </c>
      <c r="C94" s="17">
        <f>Analysis!C93-Analysis!$V93</f>
        <v>0</v>
      </c>
      <c r="D94" s="17">
        <f>Analysis!D93-Analysis!$V93</f>
        <v>-1.5179913736655406E-3</v>
      </c>
      <c r="E94" s="17">
        <f>Analysis!E93-Analysis!$V93</f>
        <v>1.0140062966360098E-2</v>
      </c>
      <c r="F94" s="17">
        <f>Analysis!F93-Analysis!$V93</f>
        <v>3.8793210975468697E-3</v>
      </c>
      <c r="G94" s="17">
        <f>Analysis!G93-Analysis!$V93</f>
        <v>-1.9665956642935657E-3</v>
      </c>
      <c r="H94" s="17">
        <f>Analysis!H93-Analysis!$V93</f>
        <v>-3.8446351997991732E-3</v>
      </c>
      <c r="I94" s="17">
        <f>Analysis!I93-Analysis!$V93</f>
        <v>-2.1231886000901948E-3</v>
      </c>
      <c r="J94" s="17">
        <f>Analysis!J93-Analysis!$V93</f>
        <v>1.8656086004091764E-2</v>
      </c>
      <c r="K94" s="17">
        <f>Analysis!K93-Analysis!$V93</f>
        <v>-2.2531255357932027E-3</v>
      </c>
      <c r="L94" s="17">
        <f>Analysis!L93-Analysis!$V93</f>
        <v>3.4462172373169418E-3</v>
      </c>
      <c r="M94" s="17">
        <f>Analysis!M93-Analysis!$V93</f>
        <v>-4.9437415493520081E-3</v>
      </c>
      <c r="N94" s="17">
        <f>Analysis!N93-Analysis!$V93</f>
        <v>7.3710286447648283E-3</v>
      </c>
      <c r="O94" s="17">
        <f>Analysis!O93-Analysis!$V93</f>
        <v>-1.2965468817343847E-3</v>
      </c>
      <c r="P94" s="17">
        <f>Analysis!P93-Analysis!$V93</f>
        <v>9.8671007271871804E-3</v>
      </c>
      <c r="Q94" s="17">
        <f>Analysis!Q93-Analysis!$V93</f>
        <v>8.2691498553848896E-3</v>
      </c>
      <c r="R94" s="17">
        <f>Analysis!R93-Analysis!$V93</f>
        <v>-1.5601286045211285E-3</v>
      </c>
      <c r="S94" s="23">
        <f>Analysis!S65</f>
        <v>4.8772486852509622E-2</v>
      </c>
      <c r="T94" s="23">
        <f>Analysis!T65</f>
        <v>1.1658085807685611E-4</v>
      </c>
      <c r="U94" s="23">
        <f>Analysis!U65</f>
        <v>0.13593674038587261</v>
      </c>
      <c r="V94" s="23">
        <f>Analysis!V65</f>
        <v>4.7206038401560131E-2</v>
      </c>
    </row>
    <row r="95" spans="1:22">
      <c r="A95" s="9" t="s">
        <v>11</v>
      </c>
      <c r="B95" s="17">
        <f>Analysis!B94-Analysis!$V94</f>
        <v>1.4891352638105142E-3</v>
      </c>
      <c r="C95" s="17">
        <f>Analysis!C94-Analysis!$V94</f>
        <v>-4.240834266642738E-4</v>
      </c>
      <c r="D95" s="17">
        <f>Analysis!D94-Analysis!$V94</f>
        <v>1.0053380537626231E-2</v>
      </c>
      <c r="E95" s="17">
        <f>Analysis!E94-Analysis!$V94</f>
        <v>2.1315683162602801E-2</v>
      </c>
      <c r="F95" s="17">
        <f>Analysis!F94-Analysis!$V94</f>
        <v>-6.8932064464184359E-4</v>
      </c>
      <c r="G95" s="17">
        <f>Analysis!G94-Analysis!$V94</f>
        <v>-4.0459106898472538E-3</v>
      </c>
      <c r="H95" s="17">
        <f>Analysis!H94-Analysis!$V94</f>
        <v>-7.5338241011851364E-3</v>
      </c>
      <c r="I95" s="17">
        <f>Analysis!I94-Analysis!$V94</f>
        <v>4.2817346708923891E-3</v>
      </c>
      <c r="J95" s="17">
        <f>Analysis!J94-Analysis!$V94</f>
        <v>-2.7348964726331172E-3</v>
      </c>
      <c r="K95" s="17">
        <f>Analysis!K94-Analysis!$V94</f>
        <v>-5.9382865174868078E-3</v>
      </c>
      <c r="L95" s="17">
        <f>Analysis!L94-Analysis!$V94</f>
        <v>4.7687018251980195E-3</v>
      </c>
      <c r="M95" s="17">
        <f>Analysis!M94-Analysis!$V94</f>
        <v>-7.7835974217295538E-3</v>
      </c>
      <c r="N95" s="17">
        <f>Analysis!N94-Analysis!$V94</f>
        <v>7.2871076606719366E-3</v>
      </c>
      <c r="O95" s="17">
        <f>Analysis!O94-Analysis!$V94</f>
        <v>0</v>
      </c>
      <c r="P95" s="17">
        <f>Analysis!P94-Analysis!$V94</f>
        <v>2.1364728109964586E-2</v>
      </c>
      <c r="Q95" s="17">
        <f>Analysis!Q94-Analysis!$V94</f>
        <v>2.3850942136117402E-2</v>
      </c>
      <c r="R95" s="17">
        <f>Analysis!R94-Analysis!$V94</f>
        <v>-2.3676443655523162E-3</v>
      </c>
      <c r="S95" s="23">
        <f>Analysis!S66</f>
        <v>0.12974503893108813</v>
      </c>
      <c r="T95" s="23">
        <f>Analysis!T66</f>
        <v>1.9023175551269142E-3</v>
      </c>
      <c r="U95" s="23">
        <f>Analysis!U66</f>
        <v>0.2864720176414135</v>
      </c>
      <c r="V95" s="23">
        <f>Analysis!V66</f>
        <v>0.13278165398058264</v>
      </c>
    </row>
    <row r="96" spans="1:22">
      <c r="A96" s="9" t="s">
        <v>10</v>
      </c>
      <c r="B96" s="17">
        <f>Analysis!B95-Analysis!$V95</f>
        <v>5.7669640411073947E-4</v>
      </c>
      <c r="C96" s="17">
        <f>Analysis!C95-Analysis!$V95</f>
        <v>4.4059266372955793E-4</v>
      </c>
      <c r="D96" s="17">
        <f>Analysis!D95-Analysis!$V95</f>
        <v>-1.5863916652115325E-3</v>
      </c>
      <c r="E96" s="17">
        <f>Analysis!E95-Analysis!$V95</f>
        <v>-9.7584745074471733E-4</v>
      </c>
      <c r="F96" s="17">
        <f>Analysis!F95-Analysis!$V95</f>
        <v>-5.4127766938933818E-4</v>
      </c>
      <c r="G96" s="17">
        <f>Analysis!G95-Analysis!$V95</f>
        <v>-3.4655958569140962E-4</v>
      </c>
      <c r="H96" s="17">
        <f>Analysis!H95-Analysis!$V95</f>
        <v>-1.2240000556254678E-3</v>
      </c>
      <c r="I96" s="17">
        <f>Analysis!I95-Analysis!$V95</f>
        <v>-1.0149819383500631E-3</v>
      </c>
      <c r="J96" s="17">
        <f>Analysis!J95-Analysis!$V95</f>
        <v>8.5683363911720403E-4</v>
      </c>
      <c r="K96" s="17">
        <f>Analysis!K95-Analysis!$V95</f>
        <v>-1.1392467307816138E-3</v>
      </c>
      <c r="L96" s="17">
        <f>Analysis!L95-Analysis!$V95</f>
        <v>0</v>
      </c>
      <c r="M96" s="17">
        <f>Analysis!M95-Analysis!$V95</f>
        <v>1.720868964429469E-3</v>
      </c>
      <c r="N96" s="17">
        <f>Analysis!N95-Analysis!$V95</f>
        <v>7.0074729161087113E-4</v>
      </c>
      <c r="O96" s="17">
        <f>Analysis!O95-Analysis!$V95</f>
        <v>-1.197058572619524E-3</v>
      </c>
      <c r="P96" s="17">
        <f>Analysis!P95-Analysis!$V95</f>
        <v>2.0324107601863801E-3</v>
      </c>
      <c r="Q96" s="17">
        <f>Analysis!Q95-Analysis!$V95</f>
        <v>3.2291044809688342E-5</v>
      </c>
      <c r="R96" s="17">
        <f>Analysis!R95-Analysis!$V95</f>
        <v>1.6431587027441949E-3</v>
      </c>
      <c r="S96" s="23">
        <f>Analysis!S67</f>
        <v>3.1992469675681812E-2</v>
      </c>
      <c r="T96" s="23">
        <f>Analysis!T67</f>
        <v>4.5180248773434191E-3</v>
      </c>
      <c r="U96" s="23">
        <f>Analysis!U67</f>
        <v>0.11483906493889552</v>
      </c>
      <c r="V96" s="23">
        <f>Analysis!V67</f>
        <v>2.2887548422176645E-2</v>
      </c>
    </row>
    <row r="97" spans="2:18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</sheetData>
  <conditionalFormatting sqref="B15:R96 B2:R13">
    <cfRule type="cellIs" dxfId="13" priority="26" operator="greaterThan">
      <formula>0</formula>
    </cfRule>
    <cfRule type="cellIs" dxfId="12" priority="27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V40"/>
  <sheetViews>
    <sheetView zoomScaleNormal="100" workbookViewId="0">
      <pane xSplit="1" topLeftCell="B1" activePane="topRight" state="frozen"/>
      <selection pane="topRight"/>
    </sheetView>
  </sheetViews>
  <sheetFormatPr defaultRowHeight="15"/>
  <cols>
    <col min="1" max="1" width="36.85546875" customWidth="1"/>
    <col min="2" max="2" width="14.28515625" customWidth="1"/>
    <col min="3" max="3" width="19.28515625" customWidth="1"/>
    <col min="4" max="4" width="14.5703125" customWidth="1"/>
    <col min="5" max="5" width="9.85546875" customWidth="1"/>
    <col min="6" max="6" width="10.7109375" customWidth="1"/>
    <col min="7" max="7" width="15.5703125" customWidth="1"/>
    <col min="8" max="8" width="12.7109375" customWidth="1"/>
    <col min="9" max="9" width="14.42578125" customWidth="1"/>
    <col min="10" max="12" width="13.140625" customWidth="1"/>
    <col min="13" max="13" width="12.7109375" customWidth="1"/>
    <col min="14" max="15" width="13.7109375" customWidth="1"/>
    <col min="17" max="17" width="12.5703125" customWidth="1"/>
    <col min="18" max="18" width="14.140625" customWidth="1"/>
    <col min="19" max="19" width="14.7109375" customWidth="1"/>
  </cols>
  <sheetData>
    <row r="1" spans="1:22">
      <c r="B1" t="s">
        <v>45</v>
      </c>
      <c r="C1" t="s">
        <v>44</v>
      </c>
      <c r="D1" t="s">
        <v>94</v>
      </c>
      <c r="E1" t="s">
        <v>43</v>
      </c>
      <c r="F1" t="s">
        <v>42</v>
      </c>
      <c r="G1" t="s">
        <v>41</v>
      </c>
      <c r="H1" t="s">
        <v>40</v>
      </c>
      <c r="I1" t="s">
        <v>47</v>
      </c>
      <c r="J1" t="s">
        <v>49</v>
      </c>
      <c r="K1" t="s">
        <v>95</v>
      </c>
      <c r="L1" t="s">
        <v>96</v>
      </c>
      <c r="M1" t="s">
        <v>50</v>
      </c>
      <c r="N1" t="s">
        <v>51</v>
      </c>
      <c r="O1" t="s">
        <v>53</v>
      </c>
      <c r="P1" t="s">
        <v>52</v>
      </c>
      <c r="Q1" t="s">
        <v>54</v>
      </c>
      <c r="R1" t="s">
        <v>55</v>
      </c>
      <c r="S1" t="s">
        <v>57</v>
      </c>
      <c r="T1" t="s">
        <v>58</v>
      </c>
      <c r="U1" t="s">
        <v>59</v>
      </c>
      <c r="V1" t="s">
        <v>60</v>
      </c>
    </row>
    <row r="2" spans="1:22">
      <c r="A2">
        <v>2012</v>
      </c>
      <c r="B2" s="7">
        <v>12620</v>
      </c>
      <c r="C2" s="1">
        <v>12519</v>
      </c>
      <c r="D2" s="7">
        <v>18211</v>
      </c>
      <c r="E2" s="7">
        <v>7250</v>
      </c>
      <c r="F2" s="7">
        <v>12680</v>
      </c>
      <c r="G2" s="7">
        <v>56756</v>
      </c>
      <c r="H2" s="7">
        <v>17681</v>
      </c>
      <c r="I2" s="7">
        <v>30593</v>
      </c>
      <c r="J2" s="7">
        <v>7472</v>
      </c>
      <c r="K2" s="7">
        <v>5757</v>
      </c>
      <c r="L2" s="7">
        <v>4246</v>
      </c>
      <c r="M2" s="7">
        <v>22571</v>
      </c>
      <c r="N2" s="7">
        <v>5563</v>
      </c>
      <c r="O2" s="7">
        <v>26768</v>
      </c>
      <c r="P2" s="7">
        <v>10940</v>
      </c>
      <c r="Q2" s="7">
        <v>2932</v>
      </c>
      <c r="R2" s="7">
        <v>9504</v>
      </c>
      <c r="S2" s="1">
        <f>SUM(B2:R2)</f>
        <v>264063</v>
      </c>
      <c r="T2" s="1">
        <f>MIN(B2:R2)</f>
        <v>2932</v>
      </c>
      <c r="U2" s="1">
        <f>MAX(B2:R2)</f>
        <v>56756</v>
      </c>
      <c r="V2" s="1">
        <f>MEDIAN(B2:R2)</f>
        <v>12519</v>
      </c>
    </row>
    <row r="3" spans="1:22">
      <c r="A3" t="s">
        <v>38</v>
      </c>
      <c r="B3" s="7">
        <v>6385</v>
      </c>
      <c r="C3" s="1">
        <v>5963</v>
      </c>
      <c r="D3" s="7">
        <v>8557</v>
      </c>
      <c r="E3" s="7">
        <v>3469</v>
      </c>
      <c r="F3" s="7">
        <v>6151</v>
      </c>
      <c r="G3" s="7">
        <v>24906</v>
      </c>
      <c r="H3" s="7">
        <v>7621</v>
      </c>
      <c r="I3" s="7">
        <v>11063</v>
      </c>
      <c r="J3" s="7">
        <v>3795</v>
      </c>
      <c r="K3" s="7">
        <v>2721</v>
      </c>
      <c r="L3" s="7">
        <v>2330</v>
      </c>
      <c r="M3" s="7">
        <v>12048</v>
      </c>
      <c r="N3" s="7">
        <v>2348</v>
      </c>
      <c r="O3" s="7">
        <v>16137</v>
      </c>
      <c r="P3" s="7">
        <v>5903</v>
      </c>
      <c r="Q3" s="7">
        <v>1961</v>
      </c>
      <c r="R3" s="7">
        <v>5103</v>
      </c>
      <c r="S3" s="1">
        <f t="shared" ref="S3:S40" si="0">SUM(B3:R3)</f>
        <v>126461</v>
      </c>
      <c r="T3" s="1">
        <f t="shared" ref="T3:T40" si="1">MIN(B3:R3)</f>
        <v>1961</v>
      </c>
      <c r="U3" s="1">
        <f t="shared" ref="U3:U40" si="2">MAX(B3:R3)</f>
        <v>24906</v>
      </c>
      <c r="V3" s="1">
        <f t="shared" ref="V3:V40" si="3">MEDIAN(B3:R3)</f>
        <v>5963</v>
      </c>
    </row>
    <row r="4" spans="1:22">
      <c r="A4" t="s">
        <v>37</v>
      </c>
      <c r="B4" s="7">
        <v>6356</v>
      </c>
      <c r="C4" s="1">
        <v>6088</v>
      </c>
      <c r="D4" s="7">
        <v>8649</v>
      </c>
      <c r="E4" s="7">
        <v>2803</v>
      </c>
      <c r="F4" s="7">
        <v>5894</v>
      </c>
      <c r="G4" s="7">
        <v>26638</v>
      </c>
      <c r="H4" s="7">
        <v>8161</v>
      </c>
      <c r="I4" s="7">
        <v>17486</v>
      </c>
      <c r="J4" s="7">
        <v>3604</v>
      </c>
      <c r="K4" s="7">
        <v>2774</v>
      </c>
      <c r="L4" s="7">
        <v>2303</v>
      </c>
      <c r="M4" s="7">
        <v>12289</v>
      </c>
      <c r="N4" s="7">
        <v>2849</v>
      </c>
      <c r="O4" s="7">
        <v>15063</v>
      </c>
      <c r="P4" s="7">
        <v>5430</v>
      </c>
      <c r="Q4" s="7">
        <v>1861</v>
      </c>
      <c r="R4" s="7">
        <v>4966</v>
      </c>
      <c r="S4" s="1">
        <f t="shared" si="0"/>
        <v>133214</v>
      </c>
      <c r="T4" s="1">
        <f t="shared" si="1"/>
        <v>1861</v>
      </c>
      <c r="U4" s="1">
        <f t="shared" si="2"/>
        <v>26638</v>
      </c>
      <c r="V4" s="1">
        <f t="shared" si="3"/>
        <v>5894</v>
      </c>
    </row>
    <row r="5" spans="1:22">
      <c r="A5" t="s">
        <v>36</v>
      </c>
      <c r="B5" s="7">
        <v>6309</v>
      </c>
      <c r="C5" s="1">
        <v>6231</v>
      </c>
      <c r="D5" s="7">
        <v>9188</v>
      </c>
      <c r="E5" s="7">
        <v>3481</v>
      </c>
      <c r="F5" s="7">
        <v>6046</v>
      </c>
      <c r="G5" s="7">
        <v>28270</v>
      </c>
      <c r="H5" s="7">
        <v>8644</v>
      </c>
      <c r="I5" s="7">
        <v>16801</v>
      </c>
      <c r="J5" s="7">
        <v>3406</v>
      </c>
      <c r="K5" s="7">
        <v>2710</v>
      </c>
      <c r="L5" s="7">
        <v>2392</v>
      </c>
      <c r="M5" s="7">
        <v>12317</v>
      </c>
      <c r="N5" s="7">
        <v>2682</v>
      </c>
      <c r="O5" s="7">
        <v>13083</v>
      </c>
      <c r="P5" s="7">
        <v>5537</v>
      </c>
      <c r="Q5" s="7">
        <v>1931</v>
      </c>
      <c r="R5" s="7">
        <v>5057</v>
      </c>
      <c r="S5" s="1">
        <f t="shared" si="0"/>
        <v>134085</v>
      </c>
      <c r="T5" s="1">
        <f t="shared" si="1"/>
        <v>1931</v>
      </c>
      <c r="U5" s="1">
        <f t="shared" si="2"/>
        <v>28270</v>
      </c>
      <c r="V5" s="1">
        <f t="shared" si="3"/>
        <v>6046</v>
      </c>
    </row>
    <row r="6" spans="1:22">
      <c r="A6" t="s">
        <v>35</v>
      </c>
      <c r="B6" s="7">
        <v>6251</v>
      </c>
      <c r="C6" s="1">
        <v>5754</v>
      </c>
      <c r="D6" s="7">
        <v>9719</v>
      </c>
      <c r="E6" s="7">
        <v>3558</v>
      </c>
      <c r="F6" s="7">
        <v>6180</v>
      </c>
      <c r="G6" s="7">
        <v>25510</v>
      </c>
      <c r="H6" s="7">
        <v>8099</v>
      </c>
      <c r="I6" s="7">
        <v>15063</v>
      </c>
      <c r="J6" s="7">
        <v>3491</v>
      </c>
      <c r="K6" s="7">
        <v>2721</v>
      </c>
      <c r="L6" s="7">
        <v>2233</v>
      </c>
      <c r="M6" s="7">
        <v>11930</v>
      </c>
      <c r="N6" s="7">
        <v>2697</v>
      </c>
      <c r="O6" s="7">
        <v>10505</v>
      </c>
      <c r="P6" s="7">
        <v>5337</v>
      </c>
      <c r="Q6" s="7">
        <v>1983</v>
      </c>
      <c r="R6" s="7">
        <v>5632</v>
      </c>
      <c r="S6" s="1">
        <f t="shared" si="0"/>
        <v>126663</v>
      </c>
      <c r="T6" s="1">
        <f t="shared" si="1"/>
        <v>1983</v>
      </c>
      <c r="U6" s="1">
        <f t="shared" si="2"/>
        <v>25510</v>
      </c>
      <c r="V6" s="1">
        <f t="shared" si="3"/>
        <v>5754</v>
      </c>
    </row>
    <row r="7" spans="1:22">
      <c r="A7" t="s">
        <v>33</v>
      </c>
      <c r="B7">
        <v>1760</v>
      </c>
      <c r="C7" s="1">
        <v>1729</v>
      </c>
      <c r="D7" s="1"/>
      <c r="E7" s="12">
        <v>393</v>
      </c>
      <c r="F7" s="11">
        <v>144</v>
      </c>
      <c r="G7" s="11">
        <v>759</v>
      </c>
      <c r="I7" s="12">
        <v>520</v>
      </c>
      <c r="J7" s="12">
        <v>471</v>
      </c>
      <c r="K7" s="12"/>
      <c r="L7" s="12"/>
      <c r="N7" s="12">
        <v>328</v>
      </c>
      <c r="O7" s="12">
        <v>135</v>
      </c>
      <c r="P7" s="12">
        <v>1178</v>
      </c>
      <c r="Q7" s="12">
        <v>407</v>
      </c>
      <c r="R7" s="12">
        <v>814</v>
      </c>
      <c r="S7" s="1">
        <f t="shared" si="0"/>
        <v>8638</v>
      </c>
      <c r="T7" s="1">
        <f t="shared" si="1"/>
        <v>135</v>
      </c>
      <c r="U7" s="1">
        <f t="shared" si="2"/>
        <v>1760</v>
      </c>
      <c r="V7" s="1">
        <f t="shared" si="3"/>
        <v>495.5</v>
      </c>
    </row>
    <row r="8" spans="1:22">
      <c r="A8" s="9" t="s">
        <v>29</v>
      </c>
      <c r="B8" s="7">
        <v>46</v>
      </c>
      <c r="C8" s="7">
        <v>34</v>
      </c>
      <c r="D8" s="7">
        <v>2</v>
      </c>
      <c r="E8" s="7">
        <v>22</v>
      </c>
      <c r="F8" s="7">
        <v>69</v>
      </c>
      <c r="G8" s="7">
        <v>101</v>
      </c>
      <c r="H8" s="7">
        <v>45</v>
      </c>
      <c r="I8" s="7">
        <v>106</v>
      </c>
      <c r="J8" s="7">
        <v>54</v>
      </c>
      <c r="K8" s="7">
        <v>10</v>
      </c>
      <c r="L8" s="7">
        <v>5</v>
      </c>
      <c r="M8" s="7">
        <v>133</v>
      </c>
      <c r="N8" s="7">
        <v>74</v>
      </c>
      <c r="O8" s="7">
        <v>2</v>
      </c>
      <c r="P8" s="7">
        <v>31</v>
      </c>
      <c r="Q8" s="7">
        <v>2</v>
      </c>
      <c r="R8" s="7">
        <v>57</v>
      </c>
      <c r="S8" s="1">
        <f t="shared" si="0"/>
        <v>793</v>
      </c>
      <c r="T8" s="1">
        <f t="shared" si="1"/>
        <v>2</v>
      </c>
      <c r="U8" s="1">
        <f t="shared" si="2"/>
        <v>133</v>
      </c>
      <c r="V8" s="1">
        <f t="shared" si="3"/>
        <v>45</v>
      </c>
    </row>
    <row r="9" spans="1:22">
      <c r="A9" s="9" t="s">
        <v>28</v>
      </c>
      <c r="B9" s="7">
        <v>50</v>
      </c>
      <c r="C9" s="7">
        <v>47</v>
      </c>
      <c r="D9" s="7">
        <v>19</v>
      </c>
      <c r="E9" s="7">
        <v>20</v>
      </c>
      <c r="F9" s="7">
        <v>67</v>
      </c>
      <c r="G9" s="7">
        <v>124</v>
      </c>
      <c r="H9" s="7">
        <v>46</v>
      </c>
      <c r="I9" s="7">
        <v>88</v>
      </c>
      <c r="J9" s="7">
        <v>37</v>
      </c>
      <c r="K9" s="7">
        <v>16</v>
      </c>
      <c r="L9" s="7">
        <v>60</v>
      </c>
      <c r="M9" s="7">
        <v>122</v>
      </c>
      <c r="N9" s="7">
        <v>60</v>
      </c>
      <c r="O9" s="7">
        <v>19</v>
      </c>
      <c r="P9" s="7">
        <v>37</v>
      </c>
      <c r="Q9" s="7">
        <v>18</v>
      </c>
      <c r="R9" s="7">
        <v>62</v>
      </c>
      <c r="S9" s="1">
        <f t="shared" si="0"/>
        <v>892</v>
      </c>
      <c r="T9" s="1">
        <f t="shared" si="1"/>
        <v>16</v>
      </c>
      <c r="U9" s="1">
        <f t="shared" si="2"/>
        <v>124</v>
      </c>
      <c r="V9" s="1">
        <f t="shared" si="3"/>
        <v>47</v>
      </c>
    </row>
    <row r="10" spans="1:22">
      <c r="A10" s="9" t="s">
        <v>27</v>
      </c>
      <c r="B10" s="7">
        <v>410</v>
      </c>
      <c r="C10" s="7">
        <v>450</v>
      </c>
      <c r="D10" s="7">
        <v>384</v>
      </c>
      <c r="E10" s="7">
        <v>198</v>
      </c>
      <c r="F10" s="7">
        <v>431</v>
      </c>
      <c r="G10" s="7">
        <v>1155</v>
      </c>
      <c r="H10" s="7">
        <v>212</v>
      </c>
      <c r="I10" s="7">
        <v>432</v>
      </c>
      <c r="J10" s="7">
        <v>165</v>
      </c>
      <c r="K10" s="7">
        <v>146</v>
      </c>
      <c r="L10" s="7">
        <v>218</v>
      </c>
      <c r="M10" s="7">
        <v>875</v>
      </c>
      <c r="N10" s="7">
        <v>259</v>
      </c>
      <c r="O10" s="7">
        <v>301</v>
      </c>
      <c r="P10" s="7">
        <v>387</v>
      </c>
      <c r="Q10" s="7">
        <v>181</v>
      </c>
      <c r="R10" s="7">
        <v>686</v>
      </c>
      <c r="S10" s="1">
        <f t="shared" si="0"/>
        <v>6890</v>
      </c>
      <c r="T10" s="1">
        <f t="shared" si="1"/>
        <v>146</v>
      </c>
      <c r="U10" s="1">
        <f t="shared" si="2"/>
        <v>1155</v>
      </c>
      <c r="V10" s="1">
        <f t="shared" si="3"/>
        <v>384</v>
      </c>
    </row>
    <row r="11" spans="1:22">
      <c r="A11" s="9" t="s">
        <v>26</v>
      </c>
      <c r="B11" s="7">
        <v>2166</v>
      </c>
      <c r="C11" s="7">
        <v>2075</v>
      </c>
      <c r="D11" s="7">
        <v>1374</v>
      </c>
      <c r="E11" s="7">
        <v>989</v>
      </c>
      <c r="F11" s="7">
        <v>565</v>
      </c>
      <c r="G11" s="7">
        <v>24898</v>
      </c>
      <c r="H11" s="7">
        <v>9065</v>
      </c>
      <c r="I11" s="7">
        <v>11424</v>
      </c>
      <c r="J11" s="7">
        <v>2557</v>
      </c>
      <c r="K11" s="7">
        <v>857</v>
      </c>
      <c r="L11" s="7">
        <v>344</v>
      </c>
      <c r="M11" s="7">
        <v>2374</v>
      </c>
      <c r="N11" s="7">
        <v>487</v>
      </c>
      <c r="O11" s="7">
        <v>11043</v>
      </c>
      <c r="P11" s="7">
        <v>1131</v>
      </c>
      <c r="Q11" s="7">
        <v>533</v>
      </c>
      <c r="R11" s="7">
        <v>786</v>
      </c>
      <c r="S11" s="1">
        <f t="shared" si="0"/>
        <v>72668</v>
      </c>
      <c r="T11" s="1">
        <f t="shared" si="1"/>
        <v>344</v>
      </c>
      <c r="U11" s="1">
        <f t="shared" si="2"/>
        <v>24898</v>
      </c>
      <c r="V11" s="1">
        <f t="shared" si="3"/>
        <v>1374</v>
      </c>
    </row>
    <row r="12" spans="1:22">
      <c r="A12" s="9" t="s">
        <v>25</v>
      </c>
      <c r="B12" s="7">
        <v>161</v>
      </c>
      <c r="C12" s="7">
        <v>195</v>
      </c>
      <c r="D12" s="7">
        <v>111</v>
      </c>
      <c r="E12" s="7">
        <v>111</v>
      </c>
      <c r="F12" s="7">
        <v>142</v>
      </c>
      <c r="G12" s="7">
        <v>340</v>
      </c>
      <c r="H12" s="7">
        <v>126</v>
      </c>
      <c r="I12" s="7">
        <v>234</v>
      </c>
      <c r="J12" s="7">
        <v>116</v>
      </c>
      <c r="K12" s="7">
        <v>38</v>
      </c>
      <c r="L12" s="7">
        <v>64</v>
      </c>
      <c r="M12" s="7">
        <v>180</v>
      </c>
      <c r="N12" s="7">
        <v>165</v>
      </c>
      <c r="O12" s="7">
        <v>117</v>
      </c>
      <c r="P12" s="7">
        <v>173</v>
      </c>
      <c r="Q12" s="7">
        <v>102</v>
      </c>
      <c r="R12" s="7">
        <v>234</v>
      </c>
      <c r="S12" s="1">
        <f t="shared" si="0"/>
        <v>2609</v>
      </c>
      <c r="T12" s="1">
        <f t="shared" si="1"/>
        <v>38</v>
      </c>
      <c r="U12" s="1">
        <f t="shared" si="2"/>
        <v>340</v>
      </c>
      <c r="V12" s="1">
        <f t="shared" si="3"/>
        <v>142</v>
      </c>
    </row>
    <row r="13" spans="1:22">
      <c r="A13" s="9" t="s">
        <v>109</v>
      </c>
      <c r="B13" s="7"/>
      <c r="C13" s="7"/>
      <c r="D13" s="7"/>
      <c r="E13" s="7"/>
      <c r="F13" s="7"/>
      <c r="G13" s="7"/>
      <c r="H13" s="7"/>
      <c r="I13" s="7"/>
      <c r="J13" s="7"/>
      <c r="L13" s="7">
        <v>107</v>
      </c>
      <c r="M13" s="7"/>
      <c r="N13" s="7"/>
      <c r="O13" s="7"/>
      <c r="P13" s="7"/>
      <c r="Q13" s="7"/>
      <c r="R13" s="7"/>
      <c r="S13" s="1"/>
      <c r="T13" s="1"/>
      <c r="U13" s="1"/>
      <c r="V13" s="1"/>
    </row>
    <row r="14" spans="1:22">
      <c r="A14" s="9" t="s">
        <v>24</v>
      </c>
      <c r="B14" s="7">
        <v>41</v>
      </c>
      <c r="C14" s="7">
        <v>26</v>
      </c>
      <c r="D14" s="7">
        <v>24</v>
      </c>
      <c r="E14" s="7">
        <v>35</v>
      </c>
      <c r="F14" s="7">
        <v>34</v>
      </c>
      <c r="G14" s="7">
        <v>89</v>
      </c>
      <c r="H14" s="7">
        <v>36</v>
      </c>
      <c r="I14" s="7">
        <v>47</v>
      </c>
      <c r="J14" s="7">
        <v>30</v>
      </c>
      <c r="K14" s="7">
        <v>6</v>
      </c>
      <c r="L14" s="7">
        <v>17</v>
      </c>
      <c r="M14" s="7">
        <v>94</v>
      </c>
      <c r="N14" s="7">
        <v>32</v>
      </c>
      <c r="O14" s="7">
        <v>16</v>
      </c>
      <c r="P14" s="7">
        <v>33</v>
      </c>
      <c r="Q14" s="7">
        <v>18</v>
      </c>
      <c r="R14" s="7">
        <v>35</v>
      </c>
      <c r="S14" s="1">
        <f t="shared" si="0"/>
        <v>613</v>
      </c>
      <c r="T14" s="1">
        <f t="shared" si="1"/>
        <v>6</v>
      </c>
      <c r="U14" s="1">
        <f t="shared" si="2"/>
        <v>94</v>
      </c>
      <c r="V14" s="1">
        <f t="shared" si="3"/>
        <v>33</v>
      </c>
    </row>
    <row r="15" spans="1:22">
      <c r="A15" s="9" t="s">
        <v>23</v>
      </c>
      <c r="B15" s="7">
        <v>586</v>
      </c>
      <c r="C15" s="7">
        <v>271</v>
      </c>
      <c r="D15" s="7">
        <v>212</v>
      </c>
      <c r="E15" s="7">
        <v>191</v>
      </c>
      <c r="F15" s="7">
        <v>260</v>
      </c>
      <c r="G15" s="7">
        <v>777</v>
      </c>
      <c r="H15" s="7">
        <v>194</v>
      </c>
      <c r="I15" s="7">
        <v>394</v>
      </c>
      <c r="J15" s="7">
        <v>247</v>
      </c>
      <c r="K15" s="7">
        <v>44</v>
      </c>
      <c r="L15" s="7">
        <v>120</v>
      </c>
      <c r="M15" s="7">
        <v>436</v>
      </c>
      <c r="N15" s="7">
        <v>204</v>
      </c>
      <c r="O15" s="7">
        <v>169</v>
      </c>
      <c r="P15" s="7">
        <v>331</v>
      </c>
      <c r="Q15" s="7">
        <v>101</v>
      </c>
      <c r="R15" s="7">
        <v>610</v>
      </c>
      <c r="S15" s="1">
        <f t="shared" si="0"/>
        <v>5147</v>
      </c>
      <c r="T15" s="1">
        <f t="shared" si="1"/>
        <v>44</v>
      </c>
      <c r="U15" s="1">
        <f t="shared" si="2"/>
        <v>777</v>
      </c>
      <c r="V15" s="1">
        <f t="shared" si="3"/>
        <v>247</v>
      </c>
    </row>
    <row r="16" spans="1:22">
      <c r="A16" s="9" t="s">
        <v>22</v>
      </c>
      <c r="B16" s="7">
        <v>95</v>
      </c>
      <c r="C16" s="7">
        <v>209</v>
      </c>
      <c r="D16" s="7">
        <v>79</v>
      </c>
      <c r="E16" s="7">
        <v>157</v>
      </c>
      <c r="F16" s="7">
        <v>1041</v>
      </c>
      <c r="G16" s="7">
        <v>573</v>
      </c>
      <c r="H16" s="7">
        <v>95</v>
      </c>
      <c r="I16" s="7">
        <v>372</v>
      </c>
      <c r="J16" s="7">
        <v>142</v>
      </c>
      <c r="K16" s="7">
        <v>256</v>
      </c>
      <c r="L16" s="7">
        <v>133</v>
      </c>
      <c r="M16" s="7">
        <v>117</v>
      </c>
      <c r="N16" s="7">
        <v>137</v>
      </c>
      <c r="O16" s="7">
        <v>432</v>
      </c>
      <c r="P16" s="7">
        <v>225</v>
      </c>
      <c r="Q16" s="7">
        <v>44</v>
      </c>
      <c r="R16" s="7">
        <v>468</v>
      </c>
      <c r="S16" s="1">
        <f t="shared" si="0"/>
        <v>4575</v>
      </c>
      <c r="T16" s="1">
        <f t="shared" si="1"/>
        <v>44</v>
      </c>
      <c r="U16" s="1">
        <f t="shared" si="2"/>
        <v>1041</v>
      </c>
      <c r="V16" s="1">
        <f t="shared" si="3"/>
        <v>157</v>
      </c>
    </row>
    <row r="17" spans="1:22">
      <c r="A17" s="9" t="s">
        <v>107</v>
      </c>
      <c r="B17" s="7"/>
      <c r="C17" s="7"/>
      <c r="D17" s="7"/>
      <c r="E17" s="7"/>
      <c r="F17" s="7"/>
      <c r="G17" s="7"/>
      <c r="H17" s="7"/>
      <c r="I17" s="7"/>
      <c r="J17" s="7"/>
      <c r="L17" s="7">
        <v>21</v>
      </c>
      <c r="M17" s="7"/>
      <c r="N17" s="7"/>
      <c r="O17" s="7"/>
      <c r="P17" s="7"/>
      <c r="Q17" s="7"/>
      <c r="R17" s="7"/>
      <c r="S17" s="1"/>
      <c r="T17" s="1"/>
      <c r="U17" s="1"/>
      <c r="V17" s="1"/>
    </row>
    <row r="18" spans="1:22">
      <c r="A18" s="9" t="s">
        <v>108</v>
      </c>
      <c r="B18" s="7"/>
      <c r="C18" s="7"/>
      <c r="D18" s="7"/>
      <c r="E18" s="7"/>
      <c r="F18" s="7"/>
      <c r="G18" s="7"/>
      <c r="H18" s="7"/>
      <c r="I18" s="7"/>
      <c r="J18" s="7"/>
      <c r="L18" s="7">
        <v>46</v>
      </c>
      <c r="M18" s="7"/>
      <c r="N18" s="7"/>
      <c r="O18" s="7"/>
      <c r="P18" s="7"/>
      <c r="Q18" s="7"/>
      <c r="R18" s="7"/>
      <c r="S18" s="1"/>
      <c r="T18" s="1"/>
      <c r="U18" s="1"/>
      <c r="V18" s="1"/>
    </row>
    <row r="19" spans="1:22">
      <c r="A19" s="9" t="s">
        <v>56</v>
      </c>
      <c r="B19" s="7"/>
      <c r="C19" s="7"/>
      <c r="E19" s="7"/>
      <c r="F19" s="7"/>
      <c r="G19" s="7"/>
      <c r="H19" s="7"/>
      <c r="I19" s="7"/>
      <c r="J19" s="7"/>
      <c r="L19" s="7">
        <v>38</v>
      </c>
      <c r="M19" s="7"/>
      <c r="N19" s="7"/>
      <c r="O19" s="7"/>
      <c r="P19" s="7"/>
      <c r="Q19" s="7"/>
      <c r="R19" s="7">
        <v>1</v>
      </c>
      <c r="S19" s="1">
        <f t="shared" si="0"/>
        <v>39</v>
      </c>
      <c r="T19" s="1">
        <f t="shared" si="1"/>
        <v>1</v>
      </c>
      <c r="U19" s="1">
        <f t="shared" si="2"/>
        <v>38</v>
      </c>
      <c r="V19" s="1">
        <f t="shared" si="3"/>
        <v>19.5</v>
      </c>
    </row>
    <row r="20" spans="1:22">
      <c r="A20" s="9" t="s">
        <v>21</v>
      </c>
      <c r="B20" s="7"/>
      <c r="C20" s="7"/>
      <c r="E20" s="7"/>
      <c r="F20" s="7"/>
      <c r="S20" s="1">
        <f t="shared" si="0"/>
        <v>0</v>
      </c>
      <c r="T20" s="1">
        <f t="shared" si="1"/>
        <v>0</v>
      </c>
      <c r="U20" s="1">
        <f t="shared" si="2"/>
        <v>0</v>
      </c>
      <c r="V20" s="1" t="e">
        <f>MEDIAN(B20:R20)</f>
        <v>#NUM!</v>
      </c>
    </row>
    <row r="21" spans="1:22">
      <c r="A21" s="9" t="s">
        <v>20</v>
      </c>
      <c r="B21" s="7">
        <v>715</v>
      </c>
      <c r="C21" s="7">
        <v>412</v>
      </c>
      <c r="D21" s="7">
        <v>171</v>
      </c>
      <c r="E21" s="7">
        <v>379</v>
      </c>
      <c r="F21" s="7">
        <v>556</v>
      </c>
      <c r="G21" s="7">
        <v>420</v>
      </c>
      <c r="H21" s="7">
        <v>1107</v>
      </c>
      <c r="I21" s="7">
        <v>370</v>
      </c>
      <c r="J21" s="7">
        <v>376</v>
      </c>
      <c r="K21" s="7">
        <v>68</v>
      </c>
      <c r="L21" s="7">
        <v>161</v>
      </c>
      <c r="M21" s="7">
        <v>366</v>
      </c>
      <c r="N21" s="7">
        <v>360</v>
      </c>
      <c r="O21" s="7">
        <v>217</v>
      </c>
      <c r="P21" s="7">
        <v>545</v>
      </c>
      <c r="Q21" s="7">
        <v>72</v>
      </c>
      <c r="R21" s="7">
        <v>600</v>
      </c>
      <c r="S21" s="1">
        <f t="shared" si="0"/>
        <v>6895</v>
      </c>
      <c r="T21" s="1">
        <f t="shared" si="1"/>
        <v>68</v>
      </c>
      <c r="U21" s="1">
        <f t="shared" si="2"/>
        <v>1107</v>
      </c>
      <c r="V21" s="1">
        <f t="shared" si="3"/>
        <v>376</v>
      </c>
    </row>
    <row r="22" spans="1:22">
      <c r="A22" s="9" t="s">
        <v>19</v>
      </c>
      <c r="B22" s="7">
        <v>237</v>
      </c>
      <c r="C22" s="7">
        <v>410</v>
      </c>
      <c r="D22" s="7">
        <v>177</v>
      </c>
      <c r="E22" s="7">
        <v>252</v>
      </c>
      <c r="F22" s="7">
        <v>239</v>
      </c>
      <c r="G22" s="7">
        <v>798</v>
      </c>
      <c r="H22" s="7">
        <v>265</v>
      </c>
      <c r="I22" s="7">
        <v>331</v>
      </c>
      <c r="J22" s="7">
        <v>189</v>
      </c>
      <c r="K22" s="7">
        <v>71</v>
      </c>
      <c r="L22" s="7">
        <v>85</v>
      </c>
      <c r="M22" s="7">
        <v>277</v>
      </c>
      <c r="N22" s="7">
        <v>184</v>
      </c>
      <c r="O22" s="7">
        <v>381</v>
      </c>
      <c r="P22" s="7">
        <v>300</v>
      </c>
      <c r="Q22" s="7">
        <v>267</v>
      </c>
      <c r="R22" s="7">
        <v>216</v>
      </c>
      <c r="S22" s="1">
        <f t="shared" si="0"/>
        <v>4679</v>
      </c>
      <c r="T22" s="1">
        <f t="shared" si="1"/>
        <v>71</v>
      </c>
      <c r="U22" s="1">
        <f t="shared" si="2"/>
        <v>798</v>
      </c>
      <c r="V22" s="1">
        <f t="shared" si="3"/>
        <v>252</v>
      </c>
    </row>
    <row r="23" spans="1:22">
      <c r="A23" s="9" t="s">
        <v>18</v>
      </c>
      <c r="B23" s="7">
        <v>213</v>
      </c>
      <c r="C23" s="7">
        <v>298</v>
      </c>
      <c r="D23" s="7">
        <v>83</v>
      </c>
      <c r="E23" s="7">
        <v>161</v>
      </c>
      <c r="F23" s="7">
        <v>203</v>
      </c>
      <c r="G23" s="7">
        <v>1020</v>
      </c>
      <c r="H23" s="7">
        <v>170</v>
      </c>
      <c r="I23" s="7">
        <v>204</v>
      </c>
      <c r="J23" s="7">
        <v>144</v>
      </c>
      <c r="K23" s="7">
        <v>41</v>
      </c>
      <c r="L23" s="7">
        <v>64</v>
      </c>
      <c r="M23" s="7">
        <v>304</v>
      </c>
      <c r="N23" s="7">
        <v>278</v>
      </c>
      <c r="O23" s="7">
        <v>179</v>
      </c>
      <c r="P23" s="7">
        <v>279</v>
      </c>
      <c r="Q23" s="7">
        <v>70</v>
      </c>
      <c r="R23" s="7">
        <v>332</v>
      </c>
      <c r="S23" s="1">
        <f t="shared" si="0"/>
        <v>4043</v>
      </c>
      <c r="T23" s="1">
        <f t="shared" si="1"/>
        <v>41</v>
      </c>
      <c r="U23" s="1">
        <f t="shared" si="2"/>
        <v>1020</v>
      </c>
      <c r="V23" s="1">
        <f t="shared" si="3"/>
        <v>203</v>
      </c>
    </row>
    <row r="24" spans="1:22">
      <c r="A24" s="9" t="s">
        <v>17</v>
      </c>
      <c r="B24" s="7">
        <v>50</v>
      </c>
      <c r="C24" s="7">
        <v>58</v>
      </c>
      <c r="D24" s="7">
        <v>23</v>
      </c>
      <c r="E24" s="7">
        <v>40</v>
      </c>
      <c r="F24" s="7">
        <v>99</v>
      </c>
      <c r="G24" s="7">
        <v>612</v>
      </c>
      <c r="H24" s="7">
        <v>397</v>
      </c>
      <c r="I24" s="7">
        <v>162</v>
      </c>
      <c r="J24" s="7">
        <v>343</v>
      </c>
      <c r="K24" s="7">
        <v>214</v>
      </c>
      <c r="M24" s="7">
        <v>114</v>
      </c>
      <c r="N24" s="7">
        <v>51</v>
      </c>
      <c r="O24" s="7">
        <v>34</v>
      </c>
      <c r="P24" s="7">
        <v>203</v>
      </c>
      <c r="Q24" s="7">
        <v>9</v>
      </c>
      <c r="R24" s="7">
        <v>52</v>
      </c>
      <c r="S24" s="1">
        <f t="shared" si="0"/>
        <v>2461</v>
      </c>
      <c r="T24" s="1">
        <f t="shared" si="1"/>
        <v>9</v>
      </c>
      <c r="U24" s="1">
        <f t="shared" si="2"/>
        <v>612</v>
      </c>
      <c r="V24" s="1">
        <f t="shared" si="3"/>
        <v>78.5</v>
      </c>
    </row>
    <row r="25" spans="1:22">
      <c r="A25" s="9" t="s">
        <v>16</v>
      </c>
      <c r="B25" s="7">
        <v>956</v>
      </c>
      <c r="C25" s="7">
        <v>311</v>
      </c>
      <c r="D25" s="7">
        <v>66</v>
      </c>
      <c r="E25" s="7">
        <v>136</v>
      </c>
      <c r="F25" s="7">
        <v>294</v>
      </c>
      <c r="G25" s="7">
        <v>520</v>
      </c>
      <c r="H25" s="7">
        <v>283</v>
      </c>
      <c r="I25" s="7">
        <v>402</v>
      </c>
      <c r="J25" s="7">
        <v>226</v>
      </c>
      <c r="K25" s="7">
        <v>72</v>
      </c>
      <c r="L25" s="7">
        <v>70</v>
      </c>
      <c r="M25" s="7">
        <v>592</v>
      </c>
      <c r="N25" s="7">
        <v>322</v>
      </c>
      <c r="O25" s="7">
        <v>134</v>
      </c>
      <c r="P25" s="7">
        <v>296</v>
      </c>
      <c r="Q25" s="7">
        <v>76</v>
      </c>
      <c r="R25" s="7">
        <v>523</v>
      </c>
      <c r="S25" s="1">
        <f t="shared" si="0"/>
        <v>5279</v>
      </c>
      <c r="T25" s="1">
        <f t="shared" si="1"/>
        <v>66</v>
      </c>
      <c r="U25" s="1">
        <f t="shared" si="2"/>
        <v>956</v>
      </c>
      <c r="V25" s="1">
        <f t="shared" si="3"/>
        <v>294</v>
      </c>
    </row>
    <row r="26" spans="1:22">
      <c r="A26" s="9" t="s">
        <v>46</v>
      </c>
      <c r="B26" s="7"/>
      <c r="C26" s="7"/>
      <c r="E26" s="7"/>
      <c r="F26" s="7"/>
      <c r="G26" s="7">
        <v>861</v>
      </c>
      <c r="H26" s="7">
        <v>223</v>
      </c>
      <c r="S26" s="1">
        <f t="shared" si="0"/>
        <v>1084</v>
      </c>
      <c r="T26" s="1">
        <f t="shared" si="1"/>
        <v>223</v>
      </c>
      <c r="U26" s="1">
        <f t="shared" si="2"/>
        <v>861</v>
      </c>
      <c r="V26" s="1">
        <f t="shared" si="3"/>
        <v>542</v>
      </c>
    </row>
    <row r="27" spans="1:22">
      <c r="A27" s="9" t="s">
        <v>15</v>
      </c>
      <c r="B27" s="7">
        <v>36</v>
      </c>
      <c r="C27" s="7">
        <v>41</v>
      </c>
      <c r="F27" s="7">
        <v>41</v>
      </c>
      <c r="G27" s="7">
        <v>64</v>
      </c>
      <c r="H27" s="7">
        <v>41</v>
      </c>
      <c r="I27" s="7">
        <v>54</v>
      </c>
      <c r="L27" s="7">
        <v>23</v>
      </c>
      <c r="O27" s="7">
        <v>52</v>
      </c>
      <c r="P27" s="7">
        <v>54</v>
      </c>
      <c r="Q27" s="7">
        <v>25</v>
      </c>
      <c r="R27" s="7">
        <v>54</v>
      </c>
      <c r="S27" s="1">
        <f t="shared" si="0"/>
        <v>485</v>
      </c>
      <c r="T27" s="1">
        <f t="shared" si="1"/>
        <v>23</v>
      </c>
      <c r="U27" s="1">
        <f t="shared" si="2"/>
        <v>64</v>
      </c>
      <c r="V27" s="1">
        <f t="shared" si="3"/>
        <v>41</v>
      </c>
    </row>
    <row r="28" spans="1:22">
      <c r="A28" s="9" t="s">
        <v>110</v>
      </c>
      <c r="B28" s="7"/>
      <c r="C28" s="7"/>
      <c r="F28" s="7"/>
      <c r="G28" s="7"/>
      <c r="H28" s="7"/>
      <c r="I28" s="7"/>
      <c r="L28" s="7">
        <v>2</v>
      </c>
      <c r="O28" s="7"/>
      <c r="P28" s="7"/>
      <c r="Q28" s="7"/>
      <c r="R28" s="7"/>
      <c r="S28" s="1"/>
      <c r="T28" s="1"/>
      <c r="U28" s="1"/>
      <c r="V28" s="1"/>
    </row>
    <row r="29" spans="1:22">
      <c r="A29" s="9" t="s">
        <v>14</v>
      </c>
      <c r="B29" s="7">
        <v>7974</v>
      </c>
      <c r="C29" s="7">
        <v>8003</v>
      </c>
      <c r="D29" s="7">
        <v>14990</v>
      </c>
      <c r="E29" s="7">
        <v>4560</v>
      </c>
      <c r="F29" s="7">
        <v>8925</v>
      </c>
      <c r="G29" s="7">
        <v>26386</v>
      </c>
      <c r="H29" s="7">
        <v>7698</v>
      </c>
      <c r="I29" s="7">
        <v>17152</v>
      </c>
      <c r="J29" s="7">
        <v>3005</v>
      </c>
      <c r="K29" s="7">
        <v>4212</v>
      </c>
      <c r="L29" s="7">
        <v>3024</v>
      </c>
      <c r="M29" s="7">
        <v>17201</v>
      </c>
      <c r="N29" s="7">
        <v>3477</v>
      </c>
      <c r="O29" s="7">
        <v>13543</v>
      </c>
      <c r="P29" s="7">
        <v>6877</v>
      </c>
      <c r="Q29" s="7">
        <v>1268</v>
      </c>
      <c r="R29" s="7">
        <v>5641</v>
      </c>
      <c r="S29" s="1">
        <f t="shared" si="0"/>
        <v>153936</v>
      </c>
      <c r="T29" s="1">
        <f t="shared" si="1"/>
        <v>1268</v>
      </c>
      <c r="U29" s="1">
        <f t="shared" si="2"/>
        <v>26386</v>
      </c>
      <c r="V29" s="1">
        <f t="shared" si="3"/>
        <v>7698</v>
      </c>
    </row>
    <row r="30" spans="1:22">
      <c r="A30" s="9" t="s">
        <v>13</v>
      </c>
      <c r="B30" s="7">
        <v>414</v>
      </c>
      <c r="C30" s="7">
        <v>426</v>
      </c>
      <c r="D30" s="7">
        <v>569</v>
      </c>
      <c r="E30" s="7">
        <v>326</v>
      </c>
      <c r="F30" s="7">
        <v>680</v>
      </c>
      <c r="G30" s="7">
        <v>3091</v>
      </c>
      <c r="H30" s="7">
        <v>660</v>
      </c>
      <c r="I30" s="7">
        <v>361</v>
      </c>
      <c r="J30" s="7">
        <v>242</v>
      </c>
      <c r="K30" s="7">
        <v>198</v>
      </c>
      <c r="M30" s="7">
        <v>808</v>
      </c>
      <c r="N30" s="7">
        <v>289</v>
      </c>
      <c r="O30" s="7">
        <v>540</v>
      </c>
      <c r="P30" s="7">
        <v>395</v>
      </c>
      <c r="Q30" s="7">
        <v>349</v>
      </c>
      <c r="R30" s="7">
        <v>459</v>
      </c>
      <c r="S30" s="1">
        <f t="shared" si="0"/>
        <v>9807</v>
      </c>
      <c r="T30" s="1">
        <f t="shared" si="1"/>
        <v>198</v>
      </c>
      <c r="U30" s="1">
        <f t="shared" si="2"/>
        <v>3091</v>
      </c>
      <c r="V30" s="1">
        <f t="shared" si="3"/>
        <v>420</v>
      </c>
    </row>
    <row r="31" spans="1:22">
      <c r="A31" s="9" t="s">
        <v>12</v>
      </c>
      <c r="B31" s="7">
        <v>115</v>
      </c>
      <c r="C31" s="7">
        <v>63</v>
      </c>
      <c r="D31" s="7">
        <v>64</v>
      </c>
      <c r="E31" s="7">
        <v>110</v>
      </c>
      <c r="F31" s="7">
        <v>113</v>
      </c>
      <c r="G31" s="7">
        <v>174</v>
      </c>
      <c r="H31" s="7">
        <v>21</v>
      </c>
      <c r="I31" s="7">
        <v>89</v>
      </c>
      <c r="J31" s="7">
        <v>177</v>
      </c>
      <c r="K31" s="7">
        <v>16</v>
      </c>
      <c r="L31" s="7">
        <v>36</v>
      </c>
      <c r="M31" s="7">
        <v>2</v>
      </c>
      <c r="N31" s="7">
        <v>69</v>
      </c>
      <c r="O31" s="7">
        <v>100</v>
      </c>
      <c r="P31" s="7">
        <v>163</v>
      </c>
      <c r="Q31" s="7">
        <v>39</v>
      </c>
      <c r="R31" s="7">
        <v>33</v>
      </c>
      <c r="S31" s="1">
        <f t="shared" si="0"/>
        <v>1384</v>
      </c>
      <c r="T31" s="1">
        <f t="shared" si="1"/>
        <v>2</v>
      </c>
      <c r="U31" s="1">
        <f t="shared" si="2"/>
        <v>177</v>
      </c>
      <c r="V31" s="1">
        <f t="shared" si="3"/>
        <v>69</v>
      </c>
    </row>
    <row r="32" spans="1:22">
      <c r="A32" s="9" t="s">
        <v>11</v>
      </c>
      <c r="B32" s="7">
        <v>131</v>
      </c>
      <c r="C32" s="7">
        <v>106</v>
      </c>
      <c r="D32" s="7">
        <v>345</v>
      </c>
      <c r="E32" s="7">
        <v>219</v>
      </c>
      <c r="F32" s="7">
        <v>104</v>
      </c>
      <c r="G32" s="7">
        <v>275</v>
      </c>
      <c r="H32" s="7">
        <v>24</v>
      </c>
      <c r="I32" s="7">
        <v>403</v>
      </c>
      <c r="J32" s="7">
        <v>46</v>
      </c>
      <c r="K32" s="7">
        <v>17</v>
      </c>
      <c r="L32" s="7">
        <v>58</v>
      </c>
      <c r="M32" s="7">
        <v>25</v>
      </c>
      <c r="N32" s="7">
        <v>90</v>
      </c>
      <c r="O32" s="7">
        <v>238</v>
      </c>
      <c r="P32" s="7">
        <v>331</v>
      </c>
      <c r="Q32" s="7">
        <v>96</v>
      </c>
      <c r="R32" s="7">
        <v>62</v>
      </c>
      <c r="S32" s="1">
        <f t="shared" si="0"/>
        <v>2570</v>
      </c>
      <c r="T32" s="1">
        <f t="shared" si="1"/>
        <v>17</v>
      </c>
      <c r="U32" s="1">
        <f t="shared" si="2"/>
        <v>403</v>
      </c>
      <c r="V32" s="1">
        <f t="shared" si="3"/>
        <v>104</v>
      </c>
    </row>
    <row r="33" spans="1:22">
      <c r="A33" s="9" t="s">
        <v>10</v>
      </c>
      <c r="B33" s="7">
        <v>37</v>
      </c>
      <c r="C33" s="7">
        <v>35</v>
      </c>
      <c r="D33" s="7">
        <v>14</v>
      </c>
      <c r="E33" s="7">
        <v>10</v>
      </c>
      <c r="F33" s="7">
        <v>23</v>
      </c>
      <c r="G33" s="7">
        <v>114</v>
      </c>
      <c r="H33" s="7">
        <v>20</v>
      </c>
      <c r="I33" s="7">
        <v>41</v>
      </c>
      <c r="J33" s="7">
        <v>24</v>
      </c>
      <c r="K33" s="7">
        <v>7</v>
      </c>
      <c r="L33" s="7">
        <v>10</v>
      </c>
      <c r="M33" s="7">
        <v>92</v>
      </c>
      <c r="N33" s="7">
        <v>17</v>
      </c>
      <c r="O33" s="7">
        <v>31</v>
      </c>
      <c r="P33" s="7">
        <v>48</v>
      </c>
      <c r="Q33" s="7">
        <v>7</v>
      </c>
      <c r="R33" s="7">
        <v>38</v>
      </c>
      <c r="S33" s="1">
        <f t="shared" si="0"/>
        <v>568</v>
      </c>
      <c r="T33" s="1">
        <f t="shared" si="1"/>
        <v>7</v>
      </c>
      <c r="U33" s="1">
        <f t="shared" si="2"/>
        <v>114</v>
      </c>
      <c r="V33" s="1">
        <f t="shared" si="3"/>
        <v>24</v>
      </c>
    </row>
    <row r="34" spans="1:22">
      <c r="A34" s="2" t="s">
        <v>6</v>
      </c>
      <c r="B34" s="1">
        <v>55414530</v>
      </c>
      <c r="C34" s="3">
        <v>11801172</v>
      </c>
      <c r="D34" s="3"/>
      <c r="F34" s="3">
        <v>32852216</v>
      </c>
      <c r="G34" s="3">
        <v>86461826</v>
      </c>
      <c r="I34" s="3">
        <v>68828699</v>
      </c>
      <c r="J34" s="3">
        <v>17099085</v>
      </c>
      <c r="K34" s="3"/>
      <c r="L34" s="3"/>
      <c r="M34" s="3">
        <v>38141648</v>
      </c>
      <c r="N34" s="3">
        <v>3561263</v>
      </c>
      <c r="O34" s="3"/>
      <c r="Q34" s="3">
        <v>4836968</v>
      </c>
      <c r="R34" s="3">
        <v>63800982</v>
      </c>
      <c r="S34" s="1">
        <f t="shared" si="0"/>
        <v>382798389</v>
      </c>
      <c r="T34" s="1">
        <f t="shared" si="1"/>
        <v>3561263</v>
      </c>
      <c r="U34" s="1">
        <f t="shared" si="2"/>
        <v>86461826</v>
      </c>
      <c r="V34" s="1">
        <f t="shared" si="3"/>
        <v>35496932</v>
      </c>
    </row>
    <row r="35" spans="1:22">
      <c r="A35" s="2" t="s">
        <v>5</v>
      </c>
      <c r="B35" s="3">
        <v>10718329</v>
      </c>
      <c r="C35" s="3">
        <v>9292770</v>
      </c>
      <c r="D35" s="3"/>
      <c r="F35" s="3">
        <v>5122292</v>
      </c>
      <c r="G35" s="3">
        <v>53499054</v>
      </c>
      <c r="I35" s="3">
        <v>21374048</v>
      </c>
      <c r="J35" s="3">
        <v>3893914</v>
      </c>
      <c r="K35" s="3"/>
      <c r="L35" s="3"/>
      <c r="M35" s="3">
        <v>8159401</v>
      </c>
      <c r="O35" s="3">
        <v>17712468</v>
      </c>
      <c r="Q35" s="3">
        <v>5667282</v>
      </c>
      <c r="R35" s="3">
        <v>51180336</v>
      </c>
      <c r="S35" s="1">
        <f t="shared" si="0"/>
        <v>186619894</v>
      </c>
      <c r="T35" s="1">
        <f t="shared" si="1"/>
        <v>3893914</v>
      </c>
      <c r="U35" s="1">
        <f t="shared" si="2"/>
        <v>53499054</v>
      </c>
      <c r="V35" s="1">
        <f t="shared" si="3"/>
        <v>10005549.5</v>
      </c>
    </row>
    <row r="36" spans="1:22">
      <c r="A36" s="2" t="s">
        <v>4</v>
      </c>
      <c r="B36" s="3">
        <v>1924529</v>
      </c>
      <c r="C36" s="3">
        <v>7308860</v>
      </c>
      <c r="D36" s="3"/>
      <c r="E36" s="3">
        <v>2331584</v>
      </c>
      <c r="F36" s="3">
        <v>1014016</v>
      </c>
      <c r="G36" s="3">
        <v>41594078</v>
      </c>
      <c r="I36" s="3">
        <v>3315881</v>
      </c>
      <c r="J36" s="3">
        <v>284667</v>
      </c>
      <c r="K36" s="3"/>
      <c r="L36" s="3"/>
      <c r="M36" s="3">
        <v>15781210</v>
      </c>
      <c r="N36" s="3">
        <v>18316581</v>
      </c>
      <c r="O36" s="3">
        <v>6284856</v>
      </c>
      <c r="Q36" s="3">
        <v>6679718</v>
      </c>
      <c r="R36" s="3">
        <v>21449676</v>
      </c>
      <c r="S36" s="1">
        <f t="shared" si="0"/>
        <v>126285656</v>
      </c>
      <c r="T36" s="1">
        <f t="shared" si="1"/>
        <v>284667</v>
      </c>
      <c r="U36" s="1">
        <f t="shared" si="2"/>
        <v>41594078</v>
      </c>
      <c r="V36" s="1">
        <f t="shared" si="3"/>
        <v>6482287</v>
      </c>
    </row>
    <row r="37" spans="1:22">
      <c r="A37" s="2" t="s">
        <v>3</v>
      </c>
      <c r="B37" s="3">
        <v>4492</v>
      </c>
      <c r="C37" s="3">
        <v>131</v>
      </c>
      <c r="D37" s="3"/>
      <c r="E37" s="3">
        <v>746231</v>
      </c>
      <c r="F37" s="3">
        <v>2908</v>
      </c>
      <c r="G37" s="3">
        <v>1149287</v>
      </c>
      <c r="I37" s="3">
        <v>1540</v>
      </c>
      <c r="J37" s="3">
        <v>0</v>
      </c>
      <c r="K37" s="3"/>
      <c r="L37" s="3"/>
      <c r="M37" s="4">
        <v>4188.72</v>
      </c>
      <c r="N37" s="3">
        <v>0</v>
      </c>
      <c r="O37" s="3">
        <v>0</v>
      </c>
      <c r="Q37" s="3">
        <v>27077</v>
      </c>
      <c r="R37" s="3" t="s">
        <v>48</v>
      </c>
      <c r="S37" s="1">
        <f t="shared" si="0"/>
        <v>1935854.72</v>
      </c>
      <c r="T37" s="1">
        <f t="shared" si="1"/>
        <v>0</v>
      </c>
      <c r="U37" s="1">
        <f t="shared" si="2"/>
        <v>1149287</v>
      </c>
      <c r="V37" s="1">
        <f t="shared" si="3"/>
        <v>2908</v>
      </c>
    </row>
    <row r="38" spans="1:22">
      <c r="A38" s="2" t="s">
        <v>2</v>
      </c>
      <c r="B38" s="3">
        <v>1317309</v>
      </c>
      <c r="F38" s="3">
        <v>899910</v>
      </c>
      <c r="G38" s="3">
        <v>4750642</v>
      </c>
      <c r="I38" s="3">
        <v>2329629</v>
      </c>
      <c r="N38" s="3">
        <v>13048</v>
      </c>
      <c r="O38" s="3">
        <v>8363898</v>
      </c>
      <c r="Q38" s="3">
        <v>2817369</v>
      </c>
      <c r="R38" s="3">
        <v>11018285</v>
      </c>
      <c r="S38" s="1">
        <f t="shared" si="0"/>
        <v>31510090</v>
      </c>
      <c r="T38" s="1">
        <f t="shared" si="1"/>
        <v>13048</v>
      </c>
      <c r="U38" s="1">
        <f t="shared" si="2"/>
        <v>11018285</v>
      </c>
      <c r="V38" s="1">
        <f t="shared" si="3"/>
        <v>2573499</v>
      </c>
    </row>
    <row r="39" spans="1:22">
      <c r="A39" s="2" t="s">
        <v>1</v>
      </c>
      <c r="B39" s="3">
        <v>37451</v>
      </c>
      <c r="C39" s="3">
        <v>142349</v>
      </c>
      <c r="D39" s="3"/>
      <c r="F39" s="3">
        <v>165539</v>
      </c>
      <c r="G39" s="3">
        <v>3088129</v>
      </c>
      <c r="I39" s="3" t="s">
        <v>48</v>
      </c>
      <c r="J39" s="3">
        <v>413996</v>
      </c>
      <c r="K39" s="3"/>
      <c r="L39" s="3"/>
      <c r="M39" s="4">
        <v>736.75</v>
      </c>
      <c r="N39" s="3">
        <v>439</v>
      </c>
      <c r="O39" s="3">
        <v>165307</v>
      </c>
      <c r="Q39" s="3">
        <v>24764</v>
      </c>
      <c r="R39" s="3">
        <v>0</v>
      </c>
      <c r="S39" s="1">
        <f t="shared" si="0"/>
        <v>4038710.75</v>
      </c>
      <c r="T39" s="1">
        <f t="shared" si="1"/>
        <v>0</v>
      </c>
      <c r="U39" s="1">
        <f t="shared" si="2"/>
        <v>3088129</v>
      </c>
      <c r="V39" s="1">
        <f t="shared" si="3"/>
        <v>89900</v>
      </c>
    </row>
    <row r="40" spans="1:22">
      <c r="A40" s="2" t="s">
        <v>0</v>
      </c>
      <c r="B40" s="1">
        <f>SUM(B34:B39)</f>
        <v>69416640</v>
      </c>
      <c r="C40" s="1">
        <f>SUM(C34:C39)</f>
        <v>28545282</v>
      </c>
      <c r="D40" s="1"/>
      <c r="E40" s="1">
        <f>SUM(E34:E39)</f>
        <v>3077815</v>
      </c>
      <c r="F40" s="1">
        <f>SUM(F34:F39)</f>
        <v>40056881</v>
      </c>
      <c r="G40" s="1">
        <f>SUM(G34:G39)</f>
        <v>190543016</v>
      </c>
      <c r="I40" s="13">
        <f t="shared" ref="I40" si="4">SUM(I34:I39)</f>
        <v>95849797</v>
      </c>
      <c r="J40" s="13">
        <f>SUM(J34:J39)</f>
        <v>21691662</v>
      </c>
      <c r="K40" s="13"/>
      <c r="L40" s="13"/>
      <c r="M40" s="13">
        <f t="shared" ref="M40:R40" si="5">SUM(M34:M39)</f>
        <v>62087184.469999999</v>
      </c>
      <c r="N40" s="13">
        <f t="shared" si="5"/>
        <v>21891331</v>
      </c>
      <c r="O40" s="13">
        <f t="shared" si="5"/>
        <v>32526529</v>
      </c>
      <c r="P40" s="13">
        <f t="shared" si="5"/>
        <v>0</v>
      </c>
      <c r="Q40" s="13">
        <f t="shared" si="5"/>
        <v>20053178</v>
      </c>
      <c r="R40" s="13">
        <f t="shared" si="5"/>
        <v>147449279</v>
      </c>
      <c r="S40" s="1">
        <f t="shared" si="0"/>
        <v>733188594.47000003</v>
      </c>
      <c r="T40" s="1">
        <f t="shared" si="1"/>
        <v>0</v>
      </c>
      <c r="U40" s="1">
        <f t="shared" si="2"/>
        <v>190543016</v>
      </c>
      <c r="V40" s="1">
        <f t="shared" si="3"/>
        <v>32526529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86"/>
  <sheetViews>
    <sheetView workbookViewId="0">
      <pane ySplit="1" topLeftCell="A27" activePane="bottomLeft" state="frozen"/>
      <selection pane="bottomLeft" activeCell="G37" sqref="G37:G38"/>
    </sheetView>
  </sheetViews>
  <sheetFormatPr defaultRowHeight="15"/>
  <cols>
    <col min="1" max="1" width="44.5703125" customWidth="1"/>
    <col min="2" max="18" width="8.7109375" customWidth="1"/>
    <col min="19" max="19" width="10.85546875" customWidth="1"/>
    <col min="20" max="22" width="8.7109375" customWidth="1"/>
  </cols>
  <sheetData>
    <row r="1" spans="1:37">
      <c r="A1" s="34"/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  <c r="S1" s="34" t="s">
        <v>57</v>
      </c>
      <c r="T1" s="34" t="s">
        <v>58</v>
      </c>
      <c r="U1" s="34" t="s">
        <v>59</v>
      </c>
      <c r="V1" s="34" t="s">
        <v>60</v>
      </c>
      <c r="X1" t="s">
        <v>45</v>
      </c>
      <c r="Y1" t="s">
        <v>44</v>
      </c>
      <c r="Z1" t="s">
        <v>43</v>
      </c>
      <c r="AA1" t="s">
        <v>42</v>
      </c>
      <c r="AB1" t="s">
        <v>41</v>
      </c>
      <c r="AC1" t="s">
        <v>40</v>
      </c>
      <c r="AD1" t="s">
        <v>47</v>
      </c>
      <c r="AE1" t="s">
        <v>49</v>
      </c>
      <c r="AF1" t="s">
        <v>50</v>
      </c>
      <c r="AG1" t="s">
        <v>51</v>
      </c>
      <c r="AH1" t="s">
        <v>53</v>
      </c>
      <c r="AI1" t="s">
        <v>52</v>
      </c>
      <c r="AJ1" t="s">
        <v>54</v>
      </c>
      <c r="AK1" t="s">
        <v>55</v>
      </c>
    </row>
    <row r="2" spans="1:37">
      <c r="A2" s="34" t="s">
        <v>127</v>
      </c>
      <c r="B2" s="125">
        <f>'Chemicals Data'!B2/'Base Spend Data'!B2</f>
        <v>8.676160959217482E-3</v>
      </c>
      <c r="C2" s="125">
        <f>'Chemicals Data'!C2/'Base Spend Data'!C2</f>
        <v>4.1592734338276108E-2</v>
      </c>
      <c r="D2" s="125">
        <f>'Chemicals Data'!D2/'Base Spend Data'!D2</f>
        <v>1.3922163390504259E-3</v>
      </c>
      <c r="E2" s="125">
        <f>'Chemicals Data'!E2/'Base Spend Data'!E2</f>
        <v>2.1854695323062947E-3</v>
      </c>
      <c r="F2" s="125">
        <f>'Chemicals Data'!F2/'Base Spend Data'!F2</f>
        <v>1.8439622853477312E-2</v>
      </c>
      <c r="G2" s="125">
        <f>'Chemicals Data'!G2/'Base Spend Data'!G2</f>
        <v>1.210393985434377E-2</v>
      </c>
      <c r="H2" s="125">
        <f>'Chemicals Data'!H2/'Base Spend Data'!H2</f>
        <v>2.1942345817449034E-2</v>
      </c>
      <c r="I2" s="125">
        <f>'Chemicals Data'!I2/'Base Spend Data'!I2</f>
        <v>4.2187273540516677E-2</v>
      </c>
      <c r="J2" s="125">
        <f>'Chemicals Data'!J2/'Base Spend Data'!J2</f>
        <v>1.8048669413558049E-2</v>
      </c>
      <c r="K2" s="125">
        <f>'Chemicals Data'!K2/'Base Spend Data'!K2</f>
        <v>7.6025962318788396E-3</v>
      </c>
      <c r="L2" s="125">
        <f>'Chemicals Data'!L2/'Base Spend Data'!L2</f>
        <v>1.1762938359184705E-2</v>
      </c>
      <c r="M2" s="125">
        <f>'Chemicals Data'!M2/'Base Spend Data'!M2</f>
        <v>1.3635860819355914E-2</v>
      </c>
      <c r="N2" s="125">
        <f>'Chemicals Data'!N2/'Base Spend Data'!N2</f>
        <v>1.6178053491649091E-2</v>
      </c>
      <c r="O2" s="125">
        <f>'Chemicals Data'!O2/'Base Spend Data'!O2</f>
        <v>1.4754074614357273E-3</v>
      </c>
      <c r="P2" s="125">
        <f>'Chemicals Data'!P2/'Base Spend Data'!P2</f>
        <v>4.8672602339530557E-3</v>
      </c>
      <c r="Q2" s="125">
        <f>'Chemicals Data'!Q2/'Base Spend Data'!Q2</f>
        <v>1.5025850097562595E-3</v>
      </c>
      <c r="R2" s="125">
        <f>'Chemicals Data'!R2/'Base Spend Data'!R2</f>
        <v>1.7952550288559993E-2</v>
      </c>
      <c r="S2" s="118">
        <f>SUM(B2:R2)</f>
        <v>0.24154568454396874</v>
      </c>
      <c r="T2" s="118">
        <f>MIN(B2:R2)</f>
        <v>1.3922163390504259E-3</v>
      </c>
      <c r="U2" s="118">
        <f>MAX(B2:R2)</f>
        <v>4.2187273540516677E-2</v>
      </c>
      <c r="V2" s="118">
        <f>MEDIAN(B2:R2)</f>
        <v>1.210393985434377E-2</v>
      </c>
    </row>
    <row r="3" spans="1:37">
      <c r="A3" s="34" t="s">
        <v>118</v>
      </c>
      <c r="B3" s="110">
        <f>'Chemicals Data'!B3/'Chemicals Data'!B$2</f>
        <v>0.23256817528031046</v>
      </c>
      <c r="C3" s="110">
        <f>'Chemicals Data'!C3/'Chemicals Data'!C$2</f>
        <v>0.30637930672475588</v>
      </c>
      <c r="D3" s="110">
        <f>'Chemicals Data'!D3/'Chemicals Data'!D$2</f>
        <v>0.14141376961288124</v>
      </c>
      <c r="E3" s="110">
        <f>'Chemicals Data'!E3/'Chemicals Data'!E$2</f>
        <v>0.52192793850279184</v>
      </c>
      <c r="F3" s="110">
        <f>'Chemicals Data'!F3/'Chemicals Data'!F$2</f>
        <v>0.23372357319171458</v>
      </c>
      <c r="G3" s="110">
        <f>'Chemicals Data'!G3/'Chemicals Data'!G$2</f>
        <v>0.26687339982569191</v>
      </c>
      <c r="H3" s="110">
        <f>'Chemicals Data'!H3/'Chemicals Data'!H$2</f>
        <v>0.32300921267696381</v>
      </c>
      <c r="I3" s="110">
        <f>'Chemicals Data'!I3/'Chemicals Data'!I$2</f>
        <v>0.26531627318611312</v>
      </c>
      <c r="J3" s="110">
        <f>'Chemicals Data'!J3/'Chemicals Data'!J$2</f>
        <v>0.21059831109012395</v>
      </c>
      <c r="K3" s="110">
        <f>'Chemicals Data'!K3/'Chemicals Data'!K$2</f>
        <v>0.27906210514817376</v>
      </c>
      <c r="L3" s="110">
        <f>'Chemicals Data'!L3/'Chemicals Data'!L$2</f>
        <v>0.30691051282880827</v>
      </c>
      <c r="M3" s="110">
        <f>'Chemicals Data'!M3/'Chemicals Data'!M$2</f>
        <v>0.26508167454557796</v>
      </c>
      <c r="N3" s="110">
        <f>'Chemicals Data'!N3/'Chemicals Data'!N$2</f>
        <v>0.27119759325501347</v>
      </c>
      <c r="O3" s="110">
        <f>'Chemicals Data'!O3/'Chemicals Data'!O$2</f>
        <v>0.34364447314159735</v>
      </c>
      <c r="P3" s="110">
        <f>'Chemicals Data'!P3/'Chemicals Data'!P$2</f>
        <v>0.1832666276089841</v>
      </c>
      <c r="Q3" s="110">
        <f>'Chemicals Data'!Q3/'Chemicals Data'!Q$2</f>
        <v>0.21741227227370061</v>
      </c>
      <c r="R3" s="110">
        <f>'Chemicals Data'!R3/'Chemicals Data'!R$2</f>
        <v>0.29598897369351285</v>
      </c>
      <c r="S3" s="114">
        <f t="shared" ref="S3:S56" si="0">SUM(B3:R3)</f>
        <v>4.6643741925867159</v>
      </c>
      <c r="T3" s="114">
        <f t="shared" ref="T3:T56" si="1">MIN(B3:R3)</f>
        <v>0.14141376961288124</v>
      </c>
      <c r="U3" s="114">
        <f t="shared" ref="U3:U56" si="2">MAX(B3:R3)</f>
        <v>0.52192793850279184</v>
      </c>
      <c r="V3" s="114">
        <f t="shared" ref="V3:V56" si="3">MEDIAN(B3:R3)</f>
        <v>0.26687339982569191</v>
      </c>
    </row>
    <row r="4" spans="1:37">
      <c r="A4" s="34" t="s">
        <v>119</v>
      </c>
      <c r="B4" s="110">
        <f>'Chemicals Data'!B4/'Chemicals Data'!B$2</f>
        <v>0.28571984329274708</v>
      </c>
      <c r="C4" s="110">
        <f>'Chemicals Data'!C4/'Chemicals Data'!C$2</f>
        <v>0.23805776201526005</v>
      </c>
      <c r="D4" s="110">
        <f>'Chemicals Data'!D4/'Chemicals Data'!D$2</f>
        <v>0.10150855705008881</v>
      </c>
      <c r="E4" s="110">
        <f>'Chemicals Data'!E4/'Chemicals Data'!E$2</f>
        <v>0.11175001976120157</v>
      </c>
      <c r="F4" s="110">
        <f>'Chemicals Data'!F4/'Chemicals Data'!F$2</f>
        <v>0.26776072430669873</v>
      </c>
      <c r="G4" s="110">
        <f>'Chemicals Data'!G4/'Chemicals Data'!G$2</f>
        <v>0.25767282647448242</v>
      </c>
      <c r="H4" s="110">
        <f>'Chemicals Data'!H4/'Chemicals Data'!H$2</f>
        <v>0.28136497027334612</v>
      </c>
      <c r="I4" s="110">
        <f>'Chemicals Data'!I4/'Chemicals Data'!I$2</f>
        <v>0.29718214857023095</v>
      </c>
      <c r="J4" s="110">
        <f>'Chemicals Data'!J4/'Chemicals Data'!J$2</f>
        <v>0.29995867461023695</v>
      </c>
      <c r="K4" s="110">
        <f>'Chemicals Data'!K4/'Chemicals Data'!K$2</f>
        <v>0.19588822656285362</v>
      </c>
      <c r="L4" s="110">
        <f>'Chemicals Data'!L4/'Chemicals Data'!L$2</f>
        <v>0.17719603264974318</v>
      </c>
      <c r="M4" s="110">
        <f>'Chemicals Data'!M4/'Chemicals Data'!M$2</f>
        <v>0.32730666156417837</v>
      </c>
      <c r="N4" s="110">
        <f>'Chemicals Data'!N4/'Chemicals Data'!N$2</f>
        <v>0.30667658630743261</v>
      </c>
      <c r="O4" s="110">
        <f>'Chemicals Data'!O4/'Chemicals Data'!O$2</f>
        <v>0.26259111294708193</v>
      </c>
      <c r="P4" s="110">
        <f>'Chemicals Data'!P4/'Chemicals Data'!P$2</f>
        <v>0.37766962155188954</v>
      </c>
      <c r="Q4" s="110">
        <f>'Chemicals Data'!Q4/'Chemicals Data'!Q$2</f>
        <v>0.27225553608694181</v>
      </c>
      <c r="R4" s="110">
        <f>'Chemicals Data'!R4/'Chemicals Data'!R$2</f>
        <v>0.19116831434446852</v>
      </c>
      <c r="S4" s="114">
        <f t="shared" si="0"/>
        <v>4.2517276183688821</v>
      </c>
      <c r="T4" s="114">
        <f t="shared" ref="T4:T6" si="4">MIN(B4:R4)</f>
        <v>0.10150855705008881</v>
      </c>
      <c r="U4" s="114">
        <f t="shared" ref="U4:U6" si="5">MAX(B4:R4)</f>
        <v>0.37766962155188954</v>
      </c>
      <c r="V4" s="114">
        <f t="shared" ref="V4:V6" si="6">MEDIAN(B4:R4)</f>
        <v>0.26776072430669873</v>
      </c>
    </row>
    <row r="5" spans="1:37">
      <c r="A5" s="34" t="s">
        <v>120</v>
      </c>
      <c r="B5" s="110">
        <f>'Chemicals Data'!B5/'Chemicals Data'!B$2</f>
        <v>0.24509041502480688</v>
      </c>
      <c r="C5" s="110">
        <f>'Chemicals Data'!C5/'Chemicals Data'!C$2</f>
        <v>0.2230049934304488</v>
      </c>
      <c r="D5" s="110">
        <f>'Chemicals Data'!D5/'Chemicals Data'!D$2</f>
        <v>0.4879260687383426</v>
      </c>
      <c r="E5" s="110">
        <f>'Chemicals Data'!E5/'Chemicals Data'!E$2</f>
        <v>0.1689266388969255</v>
      </c>
      <c r="F5" s="110">
        <f>'Chemicals Data'!F5/'Chemicals Data'!F$2</f>
        <v>0.26060519326964532</v>
      </c>
      <c r="G5" s="110">
        <f>'Chemicals Data'!G5/'Chemicals Data'!G$2</f>
        <v>0.2367019407131605</v>
      </c>
      <c r="H5" s="110">
        <f>'Chemicals Data'!H5/'Chemicals Data'!H$2</f>
        <v>0.13968362030020776</v>
      </c>
      <c r="I5" s="110">
        <f>'Chemicals Data'!I5/'Chemicals Data'!I$2</f>
        <v>0.28001906110906583</v>
      </c>
      <c r="J5" s="110">
        <f>'Chemicals Data'!J5/'Chemicals Data'!J$2</f>
        <v>0.2512328563014537</v>
      </c>
      <c r="K5" s="110">
        <f>'Chemicals Data'!K5/'Chemicals Data'!K$2</f>
        <v>0.21731603690464019</v>
      </c>
      <c r="L5" s="110">
        <f>'Chemicals Data'!L5/'Chemicals Data'!L$2</f>
        <v>0.27046311386942767</v>
      </c>
      <c r="M5" s="110">
        <f>'Chemicals Data'!M5/'Chemicals Data'!M$2</f>
        <v>0.21278753831519273</v>
      </c>
      <c r="N5" s="110">
        <f>'Chemicals Data'!N5/'Chemicals Data'!N$2</f>
        <v>0.15117061083044933</v>
      </c>
      <c r="O5" s="110">
        <f>'Chemicals Data'!O5/'Chemicals Data'!O$2</f>
        <v>0.22603578921565845</v>
      </c>
      <c r="P5" s="110">
        <f>'Chemicals Data'!P5/'Chemicals Data'!P$2</f>
        <v>0.16972962475396175</v>
      </c>
      <c r="Q5" s="110">
        <f>'Chemicals Data'!Q5/'Chemicals Data'!Q$2</f>
        <v>0.24721526858689793</v>
      </c>
      <c r="R5" s="110">
        <f>'Chemicals Data'!R5/'Chemicals Data'!R$2</f>
        <v>0.2221895070840022</v>
      </c>
      <c r="S5" s="114">
        <f t="shared" si="0"/>
        <v>4.0100982773442873</v>
      </c>
      <c r="T5" s="114">
        <f t="shared" si="4"/>
        <v>0.13968362030020776</v>
      </c>
      <c r="U5" s="114">
        <f t="shared" si="5"/>
        <v>0.4879260687383426</v>
      </c>
      <c r="V5" s="114">
        <f t="shared" si="6"/>
        <v>0.22603578921565845</v>
      </c>
    </row>
    <row r="6" spans="1:37">
      <c r="A6" s="34" t="s">
        <v>121</v>
      </c>
      <c r="B6" s="110">
        <f>'Chemicals Data'!B6/'Chemicals Data'!B$2</f>
        <v>0.23662156640213555</v>
      </c>
      <c r="C6" s="110">
        <f>'Chemicals Data'!C6/'Chemicals Data'!C$2</f>
        <v>0.23255793782953532</v>
      </c>
      <c r="D6" s="110">
        <f>'Chemicals Data'!D6/'Chemicals Data'!D$2</f>
        <v>0.26915160459868731</v>
      </c>
      <c r="E6" s="110">
        <f>'Chemicals Data'!E6/'Chemicals Data'!E$2</f>
        <v>0.19739540283908097</v>
      </c>
      <c r="F6" s="110">
        <f>'Chemicals Data'!F6/'Chemicals Data'!F$2</f>
        <v>0.23791050923194135</v>
      </c>
      <c r="G6" s="110">
        <f>'Chemicals Data'!G6/'Chemicals Data'!G$2</f>
        <v>0.23875183298666522</v>
      </c>
      <c r="H6" s="110">
        <f>'Chemicals Data'!H6/'Chemicals Data'!H$2</f>
        <v>0.25594219674948232</v>
      </c>
      <c r="I6" s="110">
        <f>'Chemicals Data'!I6/'Chemicals Data'!I$2</f>
        <v>0.15748251713459002</v>
      </c>
      <c r="J6" s="110">
        <f>'Chemicals Data'!J6/'Chemicals Data'!J$2</f>
        <v>0.23821015799818543</v>
      </c>
      <c r="K6" s="110">
        <f>'Chemicals Data'!K6/'Chemicals Data'!K$2</f>
        <v>0.30773363138433246</v>
      </c>
      <c r="L6" s="110">
        <f>'Chemicals Data'!L6/'Chemicals Data'!L$2</f>
        <v>0.24543034065202085</v>
      </c>
      <c r="M6" s="110">
        <f>'Chemicals Data'!M6/'Chemicals Data'!M$2</f>
        <v>0.19482412557505094</v>
      </c>
      <c r="N6" s="110">
        <f>'Chemicals Data'!N6/'Chemicals Data'!N$2</f>
        <v>0.27095520960710467</v>
      </c>
      <c r="O6" s="110">
        <f>'Chemicals Data'!O6/'Chemicals Data'!O$2</f>
        <v>0.16772862469566224</v>
      </c>
      <c r="P6" s="110">
        <f>'Chemicals Data'!P6/'Chemicals Data'!P$2</f>
        <v>0.26933412608516455</v>
      </c>
      <c r="Q6" s="110">
        <f>'Chemicals Data'!Q6/'Chemicals Data'!Q$2</f>
        <v>0.26311692305245971</v>
      </c>
      <c r="R6" s="110">
        <f>'Chemicals Data'!R6/'Chemicals Data'!R$2</f>
        <v>0.29065320487801649</v>
      </c>
      <c r="S6" s="114">
        <f t="shared" si="0"/>
        <v>4.0737999117001156</v>
      </c>
      <c r="T6" s="114">
        <f t="shared" si="4"/>
        <v>0.15748251713459002</v>
      </c>
      <c r="U6" s="114">
        <f t="shared" si="5"/>
        <v>0.30773363138433246</v>
      </c>
      <c r="V6" s="114">
        <f t="shared" si="6"/>
        <v>0.23875183298666522</v>
      </c>
    </row>
    <row r="7" spans="1:37">
      <c r="A7" s="34" t="s">
        <v>126</v>
      </c>
      <c r="B7" s="125">
        <f>'Chemicals Data'!B7/'Base Supplier Data'!B2</f>
        <v>4.041204437400951E-3</v>
      </c>
      <c r="C7" s="125">
        <f>'Chemicals Data'!C7/'Base Supplier Data'!C2</f>
        <v>3.7542934739196419E-3</v>
      </c>
      <c r="D7" s="125">
        <f>'Chemicals Data'!D7/'Base Supplier Data'!D2</f>
        <v>1.043325462632475E-3</v>
      </c>
      <c r="E7" s="125">
        <f>'Chemicals Data'!E7/'Base Supplier Data'!E2</f>
        <v>2.7586206896551722E-3</v>
      </c>
      <c r="F7" s="125">
        <f>'Chemicals Data'!F7/'Base Supplier Data'!F2</f>
        <v>5.2839116719242902E-3</v>
      </c>
      <c r="G7" s="125">
        <f>'Chemicals Data'!G7/'Base Supplier Data'!G2</f>
        <v>2.1847910353090423E-3</v>
      </c>
      <c r="H7" s="125">
        <f>'Chemicals Data'!H7/'Base Supplier Data'!H2</f>
        <v>2.601662801877722E-3</v>
      </c>
      <c r="I7" s="125">
        <f>'Chemicals Data'!I7/'Base Supplier Data'!I2</f>
        <v>2.8437877945935346E-3</v>
      </c>
      <c r="J7" s="125">
        <f>'Chemicals Data'!J7/'Base Supplier Data'!J2</f>
        <v>4.9518201284796575E-3</v>
      </c>
      <c r="K7" s="125">
        <f>'Chemicals Data'!K7/'Base Supplier Data'!K2</f>
        <v>2.7792252909501478E-3</v>
      </c>
      <c r="L7" s="125">
        <f>'Chemicals Data'!L7/'Base Supplier Data'!L2</f>
        <v>1.4130946773433821E-2</v>
      </c>
      <c r="M7" s="125">
        <f>'Chemicals Data'!M7/'Base Supplier Data'!M2</f>
        <v>5.4051659208719152E-3</v>
      </c>
      <c r="N7" s="125">
        <f>'Chemicals Data'!N7/'Base Supplier Data'!N2</f>
        <v>1.0785547366528852E-2</v>
      </c>
      <c r="O7" s="125">
        <f>'Chemicals Data'!O7/'Base Supplier Data'!O2</f>
        <v>7.0980274955170352E-4</v>
      </c>
      <c r="P7" s="125">
        <f>'Chemicals Data'!P7/'Base Supplier Data'!P2</f>
        <v>3.3820840950639854E-3</v>
      </c>
      <c r="Q7" s="125">
        <f>'Chemicals Data'!Q7/'Base Supplier Data'!Q2</f>
        <v>6.1391541609822648E-3</v>
      </c>
      <c r="R7" s="125">
        <f>'Chemicals Data'!R7/'Base Supplier Data'!R2</f>
        <v>6.5235690235690234E-3</v>
      </c>
      <c r="S7" s="66">
        <f t="shared" si="0"/>
        <v>7.931891287674421E-2</v>
      </c>
      <c r="T7" s="118">
        <f t="shared" ref="T7:T11" si="7">MIN(B7:R7)</f>
        <v>7.0980274955170352E-4</v>
      </c>
      <c r="U7" s="118">
        <f t="shared" ref="U7:U11" si="8">MAX(B7:R7)</f>
        <v>1.4130946773433821E-2</v>
      </c>
      <c r="V7" s="118">
        <f t="shared" ref="V7:V11" si="9">MEDIAN(B7:R7)</f>
        <v>3.7542934739196419E-3</v>
      </c>
    </row>
    <row r="8" spans="1:37">
      <c r="A8" s="34" t="s">
        <v>122</v>
      </c>
      <c r="B8" s="125">
        <f>'Chemicals Data'!B8/'Chemicals Data'!B$7</f>
        <v>0.72549019607843135</v>
      </c>
      <c r="C8" s="125">
        <f>'Chemicals Data'!C8/'Chemicals Data'!C$7</f>
        <v>0.72340425531914898</v>
      </c>
      <c r="D8" s="125">
        <f>'Chemicals Data'!D8/'Chemicals Data'!D$7</f>
        <v>0.73684210526315785</v>
      </c>
      <c r="E8" s="125">
        <f>'Chemicals Data'!E8/'Chemicals Data'!E$7</f>
        <v>0.5</v>
      </c>
      <c r="F8" s="125">
        <f>'Chemicals Data'!F8/'Chemicals Data'!F$7</f>
        <v>0.83582089552238803</v>
      </c>
      <c r="G8" s="125">
        <f>'Chemicals Data'!G8/'Chemicals Data'!G$7</f>
        <v>0.69354838709677424</v>
      </c>
      <c r="H8" s="125">
        <f>'Chemicals Data'!H8/'Chemicals Data'!H$7</f>
        <v>0.69565217391304346</v>
      </c>
      <c r="I8" s="125">
        <f>'Chemicals Data'!I8/'Chemicals Data'!I$7</f>
        <v>0.82758620689655171</v>
      </c>
      <c r="J8" s="125">
        <f>'Chemicals Data'!J8/'Chemicals Data'!J$7</f>
        <v>0.7567567567567568</v>
      </c>
      <c r="K8" s="125">
        <f>'Chemicals Data'!K8/'Chemicals Data'!K$7</f>
        <v>0.875</v>
      </c>
      <c r="L8" s="125">
        <f>'Chemicals Data'!L8/'Chemicals Data'!L$7</f>
        <v>0.58333333333333337</v>
      </c>
      <c r="M8" s="125">
        <f>'Chemicals Data'!M8/'Chemicals Data'!M$7</f>
        <v>0.73770491803278693</v>
      </c>
      <c r="N8" s="125">
        <f>'Chemicals Data'!N8/'Chemicals Data'!N$7</f>
        <v>0.6</v>
      </c>
      <c r="O8" s="125">
        <f>'Chemicals Data'!O8/'Chemicals Data'!O$7</f>
        <v>0.68421052631578949</v>
      </c>
      <c r="P8" s="125">
        <f>'Chemicals Data'!P8/'Chemicals Data'!P$7</f>
        <v>0.89189189189189189</v>
      </c>
      <c r="Q8" s="125">
        <f>'Chemicals Data'!Q8/'Chemicals Data'!Q$7</f>
        <v>0.77777777777777779</v>
      </c>
      <c r="R8" s="125">
        <f>'Chemicals Data'!R8/'Chemicals Data'!R$7</f>
        <v>0.56451612903225812</v>
      </c>
      <c r="S8" s="66">
        <f t="shared" si="0"/>
        <v>12.209535553230088</v>
      </c>
      <c r="T8" s="118">
        <f t="shared" si="7"/>
        <v>0.5</v>
      </c>
      <c r="U8" s="118">
        <f t="shared" si="8"/>
        <v>0.89189189189189189</v>
      </c>
      <c r="V8" s="118">
        <f t="shared" si="9"/>
        <v>0.72549019607843135</v>
      </c>
    </row>
    <row r="9" spans="1:37">
      <c r="A9" s="34" t="s">
        <v>123</v>
      </c>
      <c r="B9" s="125">
        <f>'Chemicals Data'!B9/'Chemicals Data'!B$7</f>
        <v>0.78431372549019607</v>
      </c>
      <c r="C9" s="125">
        <f>'Chemicals Data'!C9/'Chemicals Data'!C$7</f>
        <v>0.63829787234042556</v>
      </c>
      <c r="D9" s="125">
        <f>'Chemicals Data'!D9/'Chemicals Data'!D$7</f>
        <v>0.73684210526315785</v>
      </c>
      <c r="E9" s="125">
        <f>'Chemicals Data'!E9/'Chemicals Data'!E$7</f>
        <v>0.5</v>
      </c>
      <c r="F9" s="125">
        <f>'Chemicals Data'!F9/'Chemicals Data'!F$7</f>
        <v>0.85074626865671643</v>
      </c>
      <c r="G9" s="125">
        <f>'Chemicals Data'!G9/'Chemicals Data'!G$7</f>
        <v>0.7338709677419355</v>
      </c>
      <c r="H9" s="125">
        <f>'Chemicals Data'!H9/'Chemicals Data'!H$7</f>
        <v>0.69565217391304346</v>
      </c>
      <c r="I9" s="125">
        <f>'Chemicals Data'!I9/'Chemicals Data'!I$7</f>
        <v>0.66666666666666663</v>
      </c>
      <c r="J9" s="125">
        <f>'Chemicals Data'!J9/'Chemicals Data'!J$7</f>
        <v>0.7567567567567568</v>
      </c>
      <c r="K9" s="125">
        <f>'Chemicals Data'!K9/'Chemicals Data'!K$7</f>
        <v>1</v>
      </c>
      <c r="L9" s="125">
        <f>'Chemicals Data'!L9/'Chemicals Data'!L$7</f>
        <v>0.65</v>
      </c>
      <c r="M9" s="125">
        <f>'Chemicals Data'!M9/'Chemicals Data'!M$7</f>
        <v>0.72950819672131151</v>
      </c>
      <c r="N9" s="125">
        <f>'Chemicals Data'!N9/'Chemicals Data'!N$7</f>
        <v>0.56666666666666665</v>
      </c>
      <c r="O9" s="125">
        <f>'Chemicals Data'!O9/'Chemicals Data'!O$7</f>
        <v>0.73684210526315785</v>
      </c>
      <c r="P9" s="125">
        <f>'Chemicals Data'!P9/'Chemicals Data'!P$7</f>
        <v>0.83783783783783783</v>
      </c>
      <c r="Q9" s="125">
        <f>'Chemicals Data'!Q9/'Chemicals Data'!Q$7</f>
        <v>0.77777777777777779</v>
      </c>
      <c r="R9" s="125">
        <f>'Chemicals Data'!R9/'Chemicals Data'!R$7</f>
        <v>0.69354838709677424</v>
      </c>
      <c r="S9" s="66">
        <f t="shared" si="0"/>
        <v>12.355327508192426</v>
      </c>
      <c r="T9" s="118">
        <f t="shared" si="7"/>
        <v>0.5</v>
      </c>
      <c r="U9" s="118">
        <f t="shared" si="8"/>
        <v>1</v>
      </c>
      <c r="V9" s="118">
        <f t="shared" si="9"/>
        <v>0.7338709677419355</v>
      </c>
    </row>
    <row r="10" spans="1:37">
      <c r="A10" s="34" t="s">
        <v>124</v>
      </c>
      <c r="B10" s="125">
        <f>'Chemicals Data'!B10/'Chemicals Data'!B$7</f>
        <v>0.78431372549019607</v>
      </c>
      <c r="C10" s="125">
        <f>'Chemicals Data'!C10/'Chemicals Data'!C$7</f>
        <v>0.68085106382978722</v>
      </c>
      <c r="D10" s="125">
        <f>'Chemicals Data'!D10/'Chemicals Data'!D$7</f>
        <v>0.78947368421052633</v>
      </c>
      <c r="E10" s="125">
        <f>'Chemicals Data'!E10/'Chemicals Data'!E$7</f>
        <v>0.85</v>
      </c>
      <c r="F10" s="125">
        <f>'Chemicals Data'!F10/'Chemicals Data'!F$7</f>
        <v>0.82089552238805974</v>
      </c>
      <c r="G10" s="125">
        <f>'Chemicals Data'!G10/'Chemicals Data'!G$7</f>
        <v>0.72580645161290325</v>
      </c>
      <c r="H10" s="125">
        <f>'Chemicals Data'!H10/'Chemicals Data'!H$7</f>
        <v>0.80434782608695654</v>
      </c>
      <c r="I10" s="125">
        <f>'Chemicals Data'!I10/'Chemicals Data'!I$7</f>
        <v>0.62068965517241381</v>
      </c>
      <c r="J10" s="125">
        <f>'Chemicals Data'!J10/'Chemicals Data'!J$7</f>
        <v>0.83783783783783783</v>
      </c>
      <c r="K10" s="125">
        <f>'Chemicals Data'!K10/'Chemicals Data'!K$7</f>
        <v>0.875</v>
      </c>
      <c r="L10" s="125">
        <f>'Chemicals Data'!L10/'Chemicals Data'!L$7</f>
        <v>0.6166666666666667</v>
      </c>
      <c r="M10" s="125">
        <f>'Chemicals Data'!M10/'Chemicals Data'!M$7</f>
        <v>0.72950819672131151</v>
      </c>
      <c r="N10" s="125">
        <f>'Chemicals Data'!N10/'Chemicals Data'!N$7</f>
        <v>0.73333333333333328</v>
      </c>
      <c r="O10" s="125">
        <f>'Chemicals Data'!O10/'Chemicals Data'!O$7</f>
        <v>0.84210526315789469</v>
      </c>
      <c r="P10" s="125">
        <f>'Chemicals Data'!P10/'Chemicals Data'!P$7</f>
        <v>0.81081081081081086</v>
      </c>
      <c r="Q10" s="125">
        <f>'Chemicals Data'!Q10/'Chemicals Data'!Q$7</f>
        <v>0.88888888888888884</v>
      </c>
      <c r="R10" s="125">
        <f>'Chemicals Data'!R10/'Chemicals Data'!R$7</f>
        <v>0.61290322580645162</v>
      </c>
      <c r="S10" s="66">
        <f t="shared" si="0"/>
        <v>13.023432152014038</v>
      </c>
      <c r="T10" s="118">
        <f t="shared" si="7"/>
        <v>0.61290322580645162</v>
      </c>
      <c r="U10" s="118">
        <f t="shared" si="8"/>
        <v>0.88888888888888884</v>
      </c>
      <c r="V10" s="118">
        <f t="shared" si="9"/>
        <v>0.78947368421052633</v>
      </c>
    </row>
    <row r="11" spans="1:37">
      <c r="A11" s="34" t="s">
        <v>125</v>
      </c>
      <c r="B11" s="125">
        <f>'Chemicals Data'!B11/'Chemicals Data'!B$7</f>
        <v>0.76470588235294112</v>
      </c>
      <c r="C11" s="125">
        <f>'Chemicals Data'!C11/'Chemicals Data'!C$7</f>
        <v>0.63829787234042556</v>
      </c>
      <c r="D11" s="125">
        <f>'Chemicals Data'!D11/'Chemicals Data'!D$7</f>
        <v>0.89473684210526316</v>
      </c>
      <c r="E11" s="125">
        <f>'Chemicals Data'!E11/'Chemicals Data'!E$7</f>
        <v>0.85</v>
      </c>
      <c r="F11" s="125">
        <f>'Chemicals Data'!F11/'Chemicals Data'!F$7</f>
        <v>0.85074626865671643</v>
      </c>
      <c r="G11" s="125">
        <f>'Chemicals Data'!G11/'Chemicals Data'!G$7</f>
        <v>0.74193548387096775</v>
      </c>
      <c r="H11" s="125">
        <f>'Chemicals Data'!H11/'Chemicals Data'!H$7</f>
        <v>0.89130434782608692</v>
      </c>
      <c r="I11" s="125">
        <f>'Chemicals Data'!I11/'Chemicals Data'!I$7</f>
        <v>0.65517241379310343</v>
      </c>
      <c r="J11" s="125">
        <f>'Chemicals Data'!J11/'Chemicals Data'!J$7</f>
        <v>0.78378378378378377</v>
      </c>
      <c r="K11" s="125">
        <f>'Chemicals Data'!K11/'Chemicals Data'!K$7</f>
        <v>0.9375</v>
      </c>
      <c r="L11" s="125">
        <f>'Chemicals Data'!L11/'Chemicals Data'!L$7</f>
        <v>0.6333333333333333</v>
      </c>
      <c r="M11" s="125">
        <f>'Chemicals Data'!M11/'Chemicals Data'!M$7</f>
        <v>0.71311475409836067</v>
      </c>
      <c r="N11" s="125">
        <f>'Chemicals Data'!N11/'Chemicals Data'!N$7</f>
        <v>0.6333333333333333</v>
      </c>
      <c r="O11" s="125">
        <f>'Chemicals Data'!O11/'Chemicals Data'!O$7</f>
        <v>0.89473684210526316</v>
      </c>
      <c r="P11" s="125">
        <f>'Chemicals Data'!P11/'Chemicals Data'!P$7</f>
        <v>0.83783783783783783</v>
      </c>
      <c r="Q11" s="125">
        <f>'Chemicals Data'!Q11/'Chemicals Data'!Q$7</f>
        <v>0.88888888888888884</v>
      </c>
      <c r="R11" s="125">
        <f>'Chemicals Data'!R11/'Chemicals Data'!R$7</f>
        <v>0.66129032258064513</v>
      </c>
      <c r="S11" s="66">
        <f t="shared" si="0"/>
        <v>13.270718206906951</v>
      </c>
      <c r="T11" s="118">
        <f t="shared" si="7"/>
        <v>0.6333333333333333</v>
      </c>
      <c r="U11" s="118">
        <f t="shared" si="8"/>
        <v>0.9375</v>
      </c>
      <c r="V11" s="118">
        <f t="shared" si="9"/>
        <v>0.78378378378378377</v>
      </c>
    </row>
    <row r="12" spans="1:37">
      <c r="A12" s="34" t="s">
        <v>34</v>
      </c>
      <c r="B12" s="118">
        <f>'Chemicals Data'!B12/'Base Spend Data'!B7</f>
        <v>1.888386210056122E-2</v>
      </c>
      <c r="C12" s="118">
        <f>'Chemicals Data'!C12/'Base Spend Data'!C7</f>
        <v>9.8285589762429921E-3</v>
      </c>
      <c r="D12" s="118">
        <f>'Chemicals Data'!D12/'Base Spend Data'!D7</f>
        <v>3.5789509735089133E-3</v>
      </c>
      <c r="E12" s="118">
        <f>'Chemicals Data'!E12/'Base Spend Data'!E7</f>
        <v>5.510512884211477E-3</v>
      </c>
      <c r="F12" s="118">
        <f>'Chemicals Data'!F12/'Base Spend Data'!F7</f>
        <v>6.1124296259767296E-3</v>
      </c>
      <c r="G12" s="118">
        <f>'Chemicals Data'!G12/'Base Spend Data'!G7</f>
        <v>6.3720444396827064E-3</v>
      </c>
      <c r="H12" s="118">
        <f>'Chemicals Data'!H12/'Base Spend Data'!H7</f>
        <v>9.3519080388536711E-3</v>
      </c>
      <c r="I12" s="118">
        <f>'Chemicals Data'!I12/'Base Spend Data'!I7</f>
        <v>1.0776812488975128E-2</v>
      </c>
      <c r="J12" s="118">
        <f>'Chemicals Data'!J12/'Base Spend Data'!J7</f>
        <v>1.9293144343154347E-2</v>
      </c>
      <c r="K12" s="118">
        <f>'Chemicals Data'!K12/'Base Spend Data'!K7</f>
        <v>1.0689102688142913E-2</v>
      </c>
      <c r="L12" s="118">
        <f>'Chemicals Data'!L12/'Base Spend Data'!L7</f>
        <v>1.2681855613505353E-2</v>
      </c>
      <c r="M12" s="118">
        <f>'Chemicals Data'!M12/'Base Spend Data'!M7</f>
        <v>3.3080841701060182E-2</v>
      </c>
      <c r="N12" s="118">
        <f>'Chemicals Data'!N12/'Base Spend Data'!N7</f>
        <v>2.5021865092380014E-2</v>
      </c>
      <c r="O12" s="118">
        <f>'Chemicals Data'!O12/'Base Spend Data'!O7</f>
        <v>1.5216918312144256E-3</v>
      </c>
      <c r="P12" s="118">
        <f>'Chemicals Data'!P12/'Base Spend Data'!P7</f>
        <v>9.6557688579916069E-3</v>
      </c>
      <c r="Q12" s="118">
        <f>'Chemicals Data'!Q12/'Base Spend Data'!Q7</f>
        <v>1.0854843543183386E-3</v>
      </c>
      <c r="R12" s="118">
        <f>'Chemicals Data'!R12/'Base Spend Data'!R7</f>
        <v>1.5284587890870557E-2</v>
      </c>
      <c r="S12" s="66">
        <f t="shared" si="0"/>
        <v>0.1987294219006506</v>
      </c>
      <c r="T12" s="118">
        <f t="shared" ref="T12" si="10">MIN(B12:R12)</f>
        <v>1.0854843543183386E-3</v>
      </c>
      <c r="U12" s="118">
        <f t="shared" ref="U12" si="11">MAX(B12:R12)</f>
        <v>3.3080841701060182E-2</v>
      </c>
      <c r="V12" s="118">
        <f t="shared" ref="V12:V13" si="12">MEDIAN(B12:R12)</f>
        <v>9.8285589762429921E-3</v>
      </c>
    </row>
    <row r="13" spans="1:37">
      <c r="A13" s="34" t="s">
        <v>117</v>
      </c>
      <c r="B13" s="67">
        <f>'Chemicals Data'!B2/'Chemicals Data'!B12</f>
        <v>991.32892135915642</v>
      </c>
      <c r="C13" s="67">
        <f>'Chemicals Data'!C2/'Chemicals Data'!C12</f>
        <v>3615.6986853325752</v>
      </c>
      <c r="D13" s="67">
        <f>'Chemicals Data'!D2/'Chemicals Data'!D12</f>
        <v>1624.5414892344497</v>
      </c>
      <c r="E13" s="67">
        <f>'Chemicals Data'!E2/'Chemicals Data'!E12</f>
        <v>2310.8046243169401</v>
      </c>
      <c r="F13" s="67">
        <f>'Chemicals Data'!F2/'Chemicals Data'!F12</f>
        <v>4844.4471186256387</v>
      </c>
      <c r="G13" s="67">
        <f>'Chemicals Data'!G2/'Chemicals Data'!G12</f>
        <v>3873.7729351675798</v>
      </c>
      <c r="H13" s="67">
        <f>'Chemicals Data'!H2/'Chemicals Data'!H12</f>
        <v>6012.9907838625559</v>
      </c>
      <c r="I13" s="67">
        <f>'Chemicals Data'!I2/'Chemicals Data'!I12</f>
        <v>12480.251443307758</v>
      </c>
      <c r="J13" s="67">
        <f>'Chemicals Data'!J2/'Chemicals Data'!J12</f>
        <v>2800.8351120162934</v>
      </c>
      <c r="K13" s="67">
        <f>'Chemicals Data'!K2/'Chemicals Data'!K12</f>
        <v>2310.4547863866765</v>
      </c>
      <c r="L13" s="67">
        <f>'Chemicals Data'!L2/'Chemicals Data'!L12</f>
        <v>9300.2609585652444</v>
      </c>
      <c r="M13" s="67">
        <f>'Chemicals Data'!M2/'Chemicals Data'!M12</f>
        <v>4105.1528537386148</v>
      </c>
      <c r="N13" s="67">
        <f>'Chemicals Data'!N2/'Chemicals Data'!N12</f>
        <v>2621.481095030038</v>
      </c>
      <c r="O13" s="67">
        <f>'Chemicals Data'!O2/'Chemicals Data'!O12</f>
        <v>3503.4889805825242</v>
      </c>
      <c r="P13" s="67">
        <f>'Chemicals Data'!P2/'Chemicals Data'!P12</f>
        <v>2711.2783201784491</v>
      </c>
      <c r="Q13" s="67">
        <f>'Chemicals Data'!Q2/'Chemicals Data'!Q12</f>
        <v>3223.5635884353742</v>
      </c>
      <c r="R13" s="67">
        <f>'Chemicals Data'!R2/'Chemicals Data'!R12</f>
        <v>6385.1959619698746</v>
      </c>
      <c r="S13" s="67">
        <f t="shared" ref="S13" si="13">SUM(B13:R13)</f>
        <v>72715.547658109746</v>
      </c>
      <c r="T13" s="67">
        <f t="shared" ref="T13" si="14">MIN(B13:R13)</f>
        <v>991.32892135915642</v>
      </c>
      <c r="U13" s="67">
        <f t="shared" ref="U13" si="15">MAX(B13:R13)</f>
        <v>12480.251443307758</v>
      </c>
      <c r="V13" s="67">
        <f t="shared" si="12"/>
        <v>3503.4889805825242</v>
      </c>
    </row>
    <row r="14" spans="1:37">
      <c r="A14" s="34" t="s">
        <v>32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6"/>
      <c r="T14" s="66"/>
      <c r="U14" s="66"/>
      <c r="V14" s="66"/>
    </row>
    <row r="15" spans="1:37">
      <c r="A15" s="34" t="s">
        <v>31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6"/>
      <c r="T15" s="66"/>
      <c r="U15" s="66"/>
      <c r="V15" s="66"/>
    </row>
    <row r="16" spans="1:37">
      <c r="A16" s="34" t="s">
        <v>30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6"/>
      <c r="T16" s="66"/>
      <c r="U16" s="66"/>
      <c r="V16" s="66"/>
    </row>
    <row r="17" spans="1:23">
      <c r="A17" s="34" t="s">
        <v>89</v>
      </c>
      <c r="B17" s="65">
        <v>11506553.056000005</v>
      </c>
      <c r="C17" s="65">
        <v>40704089.520000003</v>
      </c>
      <c r="D17" s="65">
        <v>2172986.696</v>
      </c>
      <c r="E17" s="65">
        <v>5412828.7520000003</v>
      </c>
      <c r="F17" s="65">
        <v>35643504.119999997</v>
      </c>
      <c r="G17" s="65">
        <v>83124969.15200001</v>
      </c>
      <c r="H17" s="65">
        <v>31358949.536000002</v>
      </c>
      <c r="I17" s="65">
        <v>117114679.54400001</v>
      </c>
      <c r="J17" s="65">
        <v>12101848.352</v>
      </c>
      <c r="K17" s="65">
        <v>2552590.4480000003</v>
      </c>
      <c r="L17" s="65">
        <v>12030817.576000001</v>
      </c>
      <c r="M17" s="65">
        <v>62017365.192000002</v>
      </c>
      <c r="N17" s="65">
        <v>7679891.0159999998</v>
      </c>
      <c r="O17" s="65">
        <v>6351124.824000001</v>
      </c>
      <c r="P17" s="65">
        <v>12641064.040000001</v>
      </c>
      <c r="Q17" s="65">
        <v>4549092.9359999998</v>
      </c>
      <c r="R17" s="65">
        <v>47817455.520000003</v>
      </c>
      <c r="S17" s="66">
        <f t="shared" si="0"/>
        <v>494779810.27999997</v>
      </c>
      <c r="T17" s="66">
        <f t="shared" si="1"/>
        <v>2172986.696</v>
      </c>
      <c r="U17" s="66">
        <f t="shared" si="2"/>
        <v>117114679.54400001</v>
      </c>
      <c r="V17" s="66">
        <f t="shared" si="3"/>
        <v>12101848.352</v>
      </c>
    </row>
    <row r="18" spans="1:23">
      <c r="A18" s="34" t="s">
        <v>91</v>
      </c>
      <c r="B18" s="68">
        <v>8</v>
      </c>
      <c r="C18" s="68">
        <v>2</v>
      </c>
      <c r="D18" s="68">
        <v>4.503879191889407</v>
      </c>
      <c r="E18" s="68">
        <v>5.2270129997502259</v>
      </c>
      <c r="F18" s="68">
        <v>13.134506356640337</v>
      </c>
      <c r="G18" s="68">
        <v>12.713473524597665</v>
      </c>
      <c r="H18" s="68">
        <v>7.146105751689829</v>
      </c>
      <c r="I18" s="68">
        <v>4.7128032233397592</v>
      </c>
      <c r="J18" s="68">
        <v>7.0679194430299273</v>
      </c>
      <c r="K18" s="68">
        <v>4.5474998916298492</v>
      </c>
      <c r="L18" s="68">
        <v>4.6505465861210595</v>
      </c>
      <c r="M18" s="68">
        <v>14.357216071026853</v>
      </c>
      <c r="N18" s="68">
        <v>7.7000977754039894</v>
      </c>
      <c r="O18" s="68">
        <v>4.092243283737087</v>
      </c>
      <c r="P18" s="68">
        <v>8.6596809432552746</v>
      </c>
      <c r="Q18" s="68">
        <v>7.0160906121821469</v>
      </c>
      <c r="R18" s="68">
        <v>3.4172447383929145</v>
      </c>
      <c r="S18" s="69">
        <f t="shared" si="0"/>
        <v>118.94632039268636</v>
      </c>
      <c r="T18" s="69">
        <f t="shared" si="1"/>
        <v>2</v>
      </c>
      <c r="U18" s="69">
        <f t="shared" si="2"/>
        <v>14.357216071026853</v>
      </c>
      <c r="V18" s="69">
        <f t="shared" si="3"/>
        <v>7.0160906121821469</v>
      </c>
    </row>
    <row r="19" spans="1:23">
      <c r="A19" s="34" t="s">
        <v>88</v>
      </c>
      <c r="B19" s="65">
        <v>2876638.2640000014</v>
      </c>
      <c r="C19" s="65">
        <v>10176022.380000001</v>
      </c>
      <c r="D19" s="65">
        <v>543246.674</v>
      </c>
      <c r="E19" s="65">
        <v>1353207.1880000001</v>
      </c>
      <c r="F19" s="65">
        <v>8910876.0299999993</v>
      </c>
      <c r="G19" s="65">
        <v>20781242.288000003</v>
      </c>
      <c r="H19" s="65">
        <v>7839737.3840000005</v>
      </c>
      <c r="I19" s="65">
        <v>29278669.886000004</v>
      </c>
      <c r="J19" s="65">
        <v>3025462.088</v>
      </c>
      <c r="K19" s="65">
        <v>638147.61200000008</v>
      </c>
      <c r="L19" s="65">
        <v>3007704.3940000003</v>
      </c>
      <c r="M19" s="65">
        <v>15504341.298</v>
      </c>
      <c r="N19" s="65">
        <v>1919972.754</v>
      </c>
      <c r="O19" s="65">
        <v>1587781.2060000002</v>
      </c>
      <c r="P19" s="65">
        <v>3160266.0100000002</v>
      </c>
      <c r="Q19" s="65">
        <v>1137273.2339999999</v>
      </c>
      <c r="R19" s="65">
        <v>11954363.880000001</v>
      </c>
      <c r="S19" s="66">
        <f t="shared" si="0"/>
        <v>123694952.56999999</v>
      </c>
      <c r="T19" s="66">
        <f t="shared" si="1"/>
        <v>543246.674</v>
      </c>
      <c r="U19" s="66">
        <f t="shared" si="2"/>
        <v>29278669.886000004</v>
      </c>
      <c r="V19" s="66">
        <f t="shared" si="3"/>
        <v>3025462.088</v>
      </c>
    </row>
    <row r="20" spans="1:23">
      <c r="A20" s="34" t="s">
        <v>90</v>
      </c>
      <c r="B20" s="68">
        <v>1</v>
      </c>
      <c r="C20" s="68">
        <v>1</v>
      </c>
      <c r="D20" s="68">
        <v>0.42592635433041726</v>
      </c>
      <c r="E20" s="68">
        <v>0.88824158572467093</v>
      </c>
      <c r="F20" s="68">
        <v>0.95275980623416512</v>
      </c>
      <c r="G20" s="68">
        <v>1.0784701073325125</v>
      </c>
      <c r="H20" s="68">
        <v>0.97879159535439964</v>
      </c>
      <c r="I20" s="68">
        <v>0.47365389819800541</v>
      </c>
      <c r="J20" s="68">
        <v>0.74337862859590631</v>
      </c>
      <c r="K20" s="68">
        <v>0.61554672449255365</v>
      </c>
      <c r="L20" s="68">
        <v>0.60903778803727526</v>
      </c>
      <c r="M20" s="68">
        <v>1.4211354565103793</v>
      </c>
      <c r="N20" s="68">
        <v>0.73679982281554834</v>
      </c>
      <c r="O20" s="68">
        <v>0.52755118364459808</v>
      </c>
      <c r="P20" s="68">
        <v>0.58655246226525426</v>
      </c>
      <c r="Q20" s="68">
        <v>0.81591875367209743</v>
      </c>
      <c r="R20" s="68">
        <v>0.38994040572523481</v>
      </c>
      <c r="S20" s="69">
        <f t="shared" si="0"/>
        <v>13.243704572933018</v>
      </c>
      <c r="T20" s="69">
        <f t="shared" si="1"/>
        <v>0.38994040572523481</v>
      </c>
      <c r="U20" s="69">
        <f t="shared" si="2"/>
        <v>1.4211354565103793</v>
      </c>
      <c r="V20" s="69">
        <f t="shared" si="3"/>
        <v>0.74337862859590631</v>
      </c>
    </row>
    <row r="21" spans="1:23">
      <c r="A21" s="34" t="s">
        <v>111</v>
      </c>
      <c r="B21" s="65">
        <v>8318000</v>
      </c>
      <c r="C21" s="65">
        <v>5867000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6"/>
      <c r="T21" s="66"/>
      <c r="U21" s="66"/>
      <c r="V21" s="66"/>
    </row>
    <row r="22" spans="1:23">
      <c r="A22" s="34" t="s">
        <v>112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6"/>
      <c r="T22" s="66"/>
      <c r="U22" s="66"/>
      <c r="V22" s="66"/>
    </row>
    <row r="23" spans="1:23">
      <c r="A23" s="34" t="s">
        <v>113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66"/>
      <c r="U23" s="66"/>
      <c r="V23" s="66"/>
    </row>
    <row r="24" spans="1:23">
      <c r="A24" s="34" t="s">
        <v>101</v>
      </c>
      <c r="B24" s="65">
        <v>387000</v>
      </c>
      <c r="C24" s="65">
        <v>13000</v>
      </c>
      <c r="D24" s="65"/>
      <c r="E24" s="66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6"/>
      <c r="T24" s="66"/>
      <c r="U24" s="66"/>
      <c r="V24" s="66"/>
    </row>
    <row r="25" spans="1:23">
      <c r="A25" s="34" t="s">
        <v>14</v>
      </c>
      <c r="B25" s="65">
        <v>20000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6"/>
      <c r="T25" s="66"/>
      <c r="U25" s="66"/>
      <c r="V25" s="66"/>
    </row>
    <row r="26" spans="1:23">
      <c r="A26" s="34" t="s">
        <v>102</v>
      </c>
      <c r="B26" s="65">
        <v>5658000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6"/>
      <c r="T26" s="66"/>
      <c r="U26" s="66"/>
      <c r="V26" s="66"/>
    </row>
    <row r="27" spans="1:23">
      <c r="A27" s="34" t="s">
        <v>97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6"/>
      <c r="T27" s="66"/>
      <c r="U27" s="66"/>
      <c r="V27" s="66"/>
    </row>
    <row r="28" spans="1:23">
      <c r="A28" s="34" t="s">
        <v>98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6"/>
      <c r="T28" s="66"/>
      <c r="U28" s="66"/>
      <c r="V28" s="66"/>
    </row>
    <row r="29" spans="1:23">
      <c r="A29" s="34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6"/>
      <c r="T29" s="66"/>
      <c r="U29" s="66"/>
      <c r="V29" s="66"/>
    </row>
    <row r="30" spans="1:23">
      <c r="A30" s="34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6"/>
      <c r="T30" s="66"/>
      <c r="U30" s="66"/>
      <c r="V30" s="66"/>
    </row>
    <row r="31" spans="1:23">
      <c r="A31" s="34" t="s">
        <v>133</v>
      </c>
      <c r="B31" s="118">
        <f>IF('Chemicals Data'!B31="","",'Chemicals Data'!B31/'Chemicals Data'!B$2)</f>
        <v>4.2624059317595171E-3</v>
      </c>
      <c r="C31" s="118" t="str">
        <f>IF('Chemicals Data'!C31="","",'Chemicals Data'!C31/'Chemicals Data'!C$2)</f>
        <v/>
      </c>
      <c r="D31" s="118" t="str">
        <f>IF('Chemicals Data'!D31="","",'Chemicals Data'!D31/'Chemicals Data'!D$2)</f>
        <v/>
      </c>
      <c r="E31" s="118" t="str">
        <f>IF('Chemicals Data'!E31="","",'Chemicals Data'!E31/'Chemicals Data'!E$2)</f>
        <v/>
      </c>
      <c r="F31" s="118">
        <f>IF('Chemicals Data'!F31="","",'Chemicals Data'!F31/'Chemicals Data'!F$2)</f>
        <v>0.27133343476668254</v>
      </c>
      <c r="G31" s="118">
        <f>IF('Chemicals Data'!G31="","",'Chemicals Data'!G31/'Chemicals Data'!G$2)</f>
        <v>1.0304590891741593E-2</v>
      </c>
      <c r="H31" s="118" t="str">
        <f>IF('Chemicals Data'!H31="","",'Chemicals Data'!H31/'Chemicals Data'!H$2)</f>
        <v/>
      </c>
      <c r="I31" s="118">
        <f>IF('Chemicals Data'!I31="","",'Chemicals Data'!I31/'Chemicals Data'!I$2)</f>
        <v>3.5302218441768457E-3</v>
      </c>
      <c r="J31" s="118" t="str">
        <f>IF('Chemicals Data'!J31="","",'Chemicals Data'!J31/'Chemicals Data'!J$2)</f>
        <v/>
      </c>
      <c r="K31" s="118" t="str">
        <f>IF('Chemicals Data'!K31="","",'Chemicals Data'!K31/'Chemicals Data'!K$2)</f>
        <v/>
      </c>
      <c r="L31" s="118" t="str">
        <f>IF('Chemicals Data'!L31="","",'Chemicals Data'!L31/'Chemicals Data'!L$2)</f>
        <v/>
      </c>
      <c r="M31" s="118">
        <f>IF('Chemicals Data'!M31="","",'Chemicals Data'!M31/'Chemicals Data'!M$2)</f>
        <v>1.5186069209555659E-2</v>
      </c>
      <c r="N31" s="118">
        <f>IF('Chemicals Data'!N31="","",'Chemicals Data'!N31/'Chemicals Data'!N$2)</f>
        <v>6.5575930563439655E-3</v>
      </c>
      <c r="O31" s="118" t="str">
        <f>IF('Chemicals Data'!O31="","",'Chemicals Data'!O31/'Chemicals Data'!O$2)</f>
        <v/>
      </c>
      <c r="P31" s="118">
        <f>IF('Chemicals Data'!P31="","",'Chemicals Data'!P31/'Chemicals Data'!P$2)</f>
        <v>2.1527048604367327E-2</v>
      </c>
      <c r="Q31" s="118" t="str">
        <f>IF('Chemicals Data'!Q31="","",'Chemicals Data'!Q31/'Chemicals Data'!Q$2)</f>
        <v/>
      </c>
      <c r="R31" s="118">
        <f>IF('Chemicals Data'!R31="","",'Chemicals Data'!R31/'Chemicals Data'!R$2)</f>
        <v>7.4979146443716919E-3</v>
      </c>
      <c r="S31" s="118">
        <f t="shared" si="0"/>
        <v>0.34019927894899915</v>
      </c>
      <c r="T31" s="118">
        <f t="shared" si="1"/>
        <v>3.5302218441768457E-3</v>
      </c>
      <c r="U31" s="118">
        <f t="shared" si="2"/>
        <v>0.27133343476668254</v>
      </c>
      <c r="V31" s="118">
        <f t="shared" si="3"/>
        <v>8.9012527680566427E-3</v>
      </c>
      <c r="W31">
        <f>COUNTIF(B31:R31,"&gt;0")</f>
        <v>8</v>
      </c>
    </row>
    <row r="32" spans="1:23">
      <c r="A32" s="34" t="s">
        <v>128</v>
      </c>
      <c r="B32" s="118">
        <f>IF('Chemicals Data'!B32="","",'Chemicals Data'!B32/'Chemicals Data'!B$2)</f>
        <v>0.66152050600686851</v>
      </c>
      <c r="C32" s="118">
        <f>IF('Chemicals Data'!C32="","",'Chemicals Data'!C32/'Chemicals Data'!C$2)</f>
        <v>0.21058913984031549</v>
      </c>
      <c r="D32" s="118">
        <f>IF('Chemicals Data'!D32="","",'Chemicals Data'!D32/'Chemicals Data'!D$2)</f>
        <v>0.65432558911534167</v>
      </c>
      <c r="E32" s="118">
        <f>IF('Chemicals Data'!E32="","",'Chemicals Data'!E32/'Chemicals Data'!E$2)</f>
        <v>0.20189576468610954</v>
      </c>
      <c r="F32" s="118">
        <f>IF('Chemicals Data'!F32="","",'Chemicals Data'!F32/'Chemicals Data'!F$2)</f>
        <v>0.44417421886184633</v>
      </c>
      <c r="G32" s="118">
        <f>IF('Chemicals Data'!G32="","",'Chemicals Data'!G32/'Chemicals Data'!G$2)</f>
        <v>0.58431258496089766</v>
      </c>
      <c r="H32" s="118">
        <f>IF('Chemicals Data'!H32="","",'Chemicals Data'!H32/'Chemicals Data'!H$2)</f>
        <v>0.28587605556456736</v>
      </c>
      <c r="I32" s="118">
        <f>IF('Chemicals Data'!I32="","",'Chemicals Data'!I32/'Chemicals Data'!I$2)</f>
        <v>0.24015325243180344</v>
      </c>
      <c r="J32" s="118">
        <f>IF('Chemicals Data'!J32="","",'Chemicals Data'!J32/'Chemicals Data'!J$2)</f>
        <v>0.58793048739733544</v>
      </c>
      <c r="K32" s="118">
        <f>IF('Chemicals Data'!K32="","",'Chemicals Data'!K32/'Chemicals Data'!K$2)</f>
        <v>8.431748233197181E-2</v>
      </c>
      <c r="L32" s="118">
        <f>IF('Chemicals Data'!L32="","",'Chemicals Data'!L32/'Chemicals Data'!L$2)</f>
        <v>2.4791665081432199E-2</v>
      </c>
      <c r="M32" s="118">
        <f>IF('Chemicals Data'!M32="","",'Chemicals Data'!M32/'Chemicals Data'!M$2)</f>
        <v>0.47079673103826691</v>
      </c>
      <c r="N32" s="118">
        <f>IF('Chemicals Data'!N32="","",'Chemicals Data'!N32/'Chemicals Data'!N$2)</f>
        <v>0.3095981433911536</v>
      </c>
      <c r="O32" s="118">
        <f>IF('Chemicals Data'!O32="","",'Chemicals Data'!O32/'Chemicals Data'!O$2)</f>
        <v>0.56460083833490093</v>
      </c>
      <c r="P32" s="118">
        <f>IF('Chemicals Data'!P32="","",'Chemicals Data'!P32/'Chemicals Data'!P$2)</f>
        <v>0.55840280356652627</v>
      </c>
      <c r="Q32" s="118">
        <f>IF('Chemicals Data'!Q32="","",'Chemicals Data'!Q32/'Chemicals Data'!Q$2)</f>
        <v>0.59351330869359054</v>
      </c>
      <c r="R32" s="118">
        <f>IF('Chemicals Data'!R32="","",'Chemicals Data'!R32/'Chemicals Data'!R$2)</f>
        <v>0.66713768127325901</v>
      </c>
      <c r="S32" s="118">
        <f t="shared" si="0"/>
        <v>7.1439362525761858</v>
      </c>
      <c r="T32" s="118">
        <f t="shared" si="1"/>
        <v>2.4791665081432199E-2</v>
      </c>
      <c r="U32" s="118">
        <f t="shared" si="2"/>
        <v>0.66713768127325901</v>
      </c>
      <c r="V32" s="118">
        <f t="shared" si="3"/>
        <v>0.47079673103826691</v>
      </c>
      <c r="W32">
        <f t="shared" ref="W32:W42" si="16">COUNTIF(B32:R32,"&gt;0")</f>
        <v>17</v>
      </c>
    </row>
    <row r="33" spans="1:23">
      <c r="A33" s="34" t="s">
        <v>130</v>
      </c>
      <c r="B33" s="118">
        <f>IF('Chemicals Data'!B33="","",'Chemicals Data'!B33/'Chemicals Data'!B$2)</f>
        <v>4.0307049186911602E-2</v>
      </c>
      <c r="C33" s="118">
        <f>IF('Chemicals Data'!C33="","",'Chemicals Data'!C33/'Chemicals Data'!C$2)</f>
        <v>2.9683562861818315E-2</v>
      </c>
      <c r="D33" s="118">
        <f>IF('Chemicals Data'!D33="","",'Chemicals Data'!D33/'Chemicals Data'!D$2)</f>
        <v>0.10619043385068198</v>
      </c>
      <c r="E33" s="118">
        <f>IF('Chemicals Data'!E33="","",'Chemicals Data'!E33/'Chemicals Data'!E$2)</f>
        <v>0.45111377283047654</v>
      </c>
      <c r="F33" s="118">
        <f>IF('Chemicals Data'!F33="","",'Chemicals Data'!F33/'Chemicals Data'!F$2)</f>
        <v>0.11410285549668903</v>
      </c>
      <c r="G33" s="118">
        <f>IF('Chemicals Data'!G33="","",'Chemicals Data'!G33/'Chemicals Data'!G$2)</f>
        <v>0.12315443728202204</v>
      </c>
      <c r="H33" s="118">
        <f>IF('Chemicals Data'!H33="","",'Chemicals Data'!H33/'Chemicals Data'!H$2)</f>
        <v>1.8570392459462515E-2</v>
      </c>
      <c r="I33" s="118">
        <f>IF('Chemicals Data'!I33="","",'Chemicals Data'!I33/'Chemicals Data'!I$2)</f>
        <v>1.9739257358694071E-2</v>
      </c>
      <c r="J33" s="118">
        <f>IF('Chemicals Data'!J33="","",'Chemicals Data'!J33/'Chemicals Data'!J$2)</f>
        <v>5.5778256375890178E-2</v>
      </c>
      <c r="K33" s="118">
        <f>IF('Chemicals Data'!K33="","",'Chemicals Data'!K33/'Chemicals Data'!K$2)</f>
        <v>4.6873481052844557E-2</v>
      </c>
      <c r="L33" s="118">
        <f>IF('Chemicals Data'!L33="","",'Chemicals Data'!L33/'Chemicals Data'!L$2)</f>
        <v>9.4684171944591708E-3</v>
      </c>
      <c r="M33" s="118">
        <f>IF('Chemicals Data'!M33="","",'Chemicals Data'!M33/'Chemicals Data'!M$2)</f>
        <v>3.4721255785916075E-2</v>
      </c>
      <c r="N33" s="118">
        <f>IF('Chemicals Data'!N33="","",'Chemicals Data'!N33/'Chemicals Data'!N$2)</f>
        <v>0.13046466387512082</v>
      </c>
      <c r="O33" s="118">
        <f>IF('Chemicals Data'!O33="","",'Chemicals Data'!O33/'Chemicals Data'!O$2)</f>
        <v>0.20851046652330762</v>
      </c>
      <c r="P33" s="118">
        <f>IF('Chemicals Data'!P33="","",'Chemicals Data'!P33/'Chemicals Data'!P$2)</f>
        <v>8.436979645267266E-2</v>
      </c>
      <c r="Q33" s="118">
        <f>IF('Chemicals Data'!Q33="","",'Chemicals Data'!Q33/'Chemicals Data'!Q$2)</f>
        <v>4.59594039825965E-2</v>
      </c>
      <c r="R33" s="118">
        <f>IF('Chemicals Data'!R33="","",'Chemicals Data'!R33/'Chemicals Data'!R$2)</f>
        <v>9.7027446348738722E-2</v>
      </c>
      <c r="S33" s="118">
        <f t="shared" si="0"/>
        <v>1.6160349489183026</v>
      </c>
      <c r="T33" s="118">
        <f t="shared" si="1"/>
        <v>9.4684171944591708E-3</v>
      </c>
      <c r="U33" s="118">
        <f t="shared" si="2"/>
        <v>0.45111377283047654</v>
      </c>
      <c r="V33" s="118">
        <f t="shared" si="3"/>
        <v>5.5778256375890178E-2</v>
      </c>
      <c r="W33">
        <f t="shared" si="16"/>
        <v>17</v>
      </c>
    </row>
    <row r="34" spans="1:23">
      <c r="A34" s="34" t="s">
        <v>136</v>
      </c>
      <c r="B34" s="118" t="str">
        <f>IF('Chemicals Data'!B34="","",'Chemicals Data'!B34/'Chemicals Data'!B$2)</f>
        <v/>
      </c>
      <c r="C34" s="118" t="str">
        <f>IF('Chemicals Data'!C34="","",'Chemicals Data'!C34/'Chemicals Data'!C$2)</f>
        <v/>
      </c>
      <c r="D34" s="118" t="str">
        <f>IF('Chemicals Data'!D34="","",'Chemicals Data'!D34/'Chemicals Data'!D$2)</f>
        <v/>
      </c>
      <c r="E34" s="118" t="str">
        <f>IF('Chemicals Data'!E34="","",'Chemicals Data'!E34/'Chemicals Data'!E$2)</f>
        <v/>
      </c>
      <c r="F34" s="118" t="str">
        <f>IF('Chemicals Data'!F34="","",'Chemicals Data'!F34/'Chemicals Data'!F$2)</f>
        <v/>
      </c>
      <c r="G34" s="118">
        <f>IF('Chemicals Data'!G34="","",'Chemicals Data'!G34/'Chemicals Data'!G$2)</f>
        <v>4.4898182075417994E-4</v>
      </c>
      <c r="H34" s="118" t="str">
        <f>IF('Chemicals Data'!H34="","",'Chemicals Data'!H34/'Chemicals Data'!H$2)</f>
        <v/>
      </c>
      <c r="I34" s="118">
        <f>IF('Chemicals Data'!I34="","",'Chemicals Data'!I34/'Chemicals Data'!I$2)</f>
        <v>1.683566917210605E-3</v>
      </c>
      <c r="J34" s="118" t="str">
        <f>IF('Chemicals Data'!J34="","",'Chemicals Data'!J34/'Chemicals Data'!J$2)</f>
        <v/>
      </c>
      <c r="K34" s="118" t="str">
        <f>IF('Chemicals Data'!K34="","",'Chemicals Data'!K34/'Chemicals Data'!K$2)</f>
        <v/>
      </c>
      <c r="L34" s="118" t="str">
        <f>IF('Chemicals Data'!L34="","",'Chemicals Data'!L34/'Chemicals Data'!L$2)</f>
        <v/>
      </c>
      <c r="M34" s="118">
        <f>IF('Chemicals Data'!M34="","",'Chemicals Data'!M34/'Chemicals Data'!M$2)</f>
        <v>1.0091883105036122E-3</v>
      </c>
      <c r="N34" s="118">
        <f>IF('Chemicals Data'!N34="","",'Chemicals Data'!N34/'Chemicals Data'!N$2)</f>
        <v>1.1562664081429982E-5</v>
      </c>
      <c r="O34" s="118">
        <f>IF('Chemicals Data'!O34="","",'Chemicals Data'!O34/'Chemicals Data'!O$2)</f>
        <v>8.7810587172298341E-3</v>
      </c>
      <c r="P34" s="118">
        <f>IF('Chemicals Data'!P34="","",'Chemicals Data'!P34/'Chemicals Data'!P$2)</f>
        <v>6.8506891291723881E-3</v>
      </c>
      <c r="Q34" s="118" t="str">
        <f>IF('Chemicals Data'!Q34="","",'Chemicals Data'!Q34/'Chemicals Data'!Q$2)</f>
        <v/>
      </c>
      <c r="R34" s="118" t="str">
        <f>IF('Chemicals Data'!R34="","",'Chemicals Data'!R34/'Chemicals Data'!R$2)</f>
        <v/>
      </c>
      <c r="S34" s="118">
        <f t="shared" si="0"/>
        <v>1.878504755895205E-2</v>
      </c>
      <c r="T34" s="118">
        <f t="shared" si="1"/>
        <v>1.1562664081429982E-5</v>
      </c>
      <c r="U34" s="118">
        <f t="shared" si="2"/>
        <v>8.7810587172298341E-3</v>
      </c>
      <c r="V34" s="118">
        <f t="shared" si="3"/>
        <v>1.3463776138571085E-3</v>
      </c>
      <c r="W34">
        <f t="shared" si="16"/>
        <v>6</v>
      </c>
    </row>
    <row r="35" spans="1:23">
      <c r="A35" s="34" t="s">
        <v>134</v>
      </c>
      <c r="B35" s="118">
        <f>IF('Chemicals Data'!B35="","",'Chemicals Data'!B35/'Chemicals Data'!B$2)</f>
        <v>1.3264441510606285E-2</v>
      </c>
      <c r="C35" s="118">
        <f>IF('Chemicals Data'!C35="","",'Chemicals Data'!C35/'Chemicals Data'!C$2)</f>
        <v>9.1048148815097239E-3</v>
      </c>
      <c r="D35" s="118">
        <f>IF('Chemicals Data'!D35="","",'Chemicals Data'!D35/'Chemicals Data'!D$2)</f>
        <v>1.2394369486742591E-2</v>
      </c>
      <c r="E35" s="118">
        <f>IF('Chemicals Data'!E35="","",'Chemicals Data'!E35/'Chemicals Data'!E$2)</f>
        <v>2.7490247118019298E-5</v>
      </c>
      <c r="F35" s="118">
        <f>IF('Chemicals Data'!F35="","",'Chemicals Data'!F35/'Chemicals Data'!F$2)</f>
        <v>2.4743246259705848E-3</v>
      </c>
      <c r="G35" s="118">
        <f>IF('Chemicals Data'!G35="","",'Chemicals Data'!G35/'Chemicals Data'!G$2)</f>
        <v>5.7015167023204477E-3</v>
      </c>
      <c r="H35" s="118">
        <f>IF('Chemicals Data'!H35="","",'Chemicals Data'!H35/'Chemicals Data'!H$2)</f>
        <v>3.9225293519092198E-3</v>
      </c>
      <c r="I35" s="118">
        <f>IF('Chemicals Data'!I35="","",'Chemicals Data'!I35/'Chemicals Data'!I$2)</f>
        <v>2.0989751323841951E-3</v>
      </c>
      <c r="J35" s="118">
        <f>IF('Chemicals Data'!J35="","",'Chemicals Data'!J35/'Chemicals Data'!J$2)</f>
        <v>3.3028343140157042E-3</v>
      </c>
      <c r="K35" s="118">
        <f>IF('Chemicals Data'!K35="","",'Chemicals Data'!K35/'Chemicals Data'!K$2)</f>
        <v>1.4631097608808414E-2</v>
      </c>
      <c r="L35" s="118" t="str">
        <f>IF('Chemicals Data'!L35="","",'Chemicals Data'!L35/'Chemicals Data'!L$2)</f>
        <v/>
      </c>
      <c r="M35" s="118">
        <f>IF('Chemicals Data'!M35="","",'Chemicals Data'!M35/'Chemicals Data'!M$2)</f>
        <v>2.5404497516499395E-3</v>
      </c>
      <c r="N35" s="118">
        <f>IF('Chemicals Data'!N35="","",'Chemicals Data'!N35/'Chemicals Data'!N$2)</f>
        <v>1.9473609676025645E-2</v>
      </c>
      <c r="O35" s="118" t="str">
        <f>IF('Chemicals Data'!O35="","",'Chemicals Data'!O35/'Chemicals Data'!O$2)</f>
        <v/>
      </c>
      <c r="P35" s="118">
        <f>IF('Chemicals Data'!P35="","",'Chemicals Data'!P35/'Chemicals Data'!P$2)</f>
        <v>1.8583435639330879E-2</v>
      </c>
      <c r="Q35" s="118">
        <f>IF('Chemicals Data'!Q35="","",'Chemicals Data'!Q35/'Chemicals Data'!Q$2)</f>
        <v>5.8422196191421135E-3</v>
      </c>
      <c r="R35" s="118">
        <f>IF('Chemicals Data'!R35="","",'Chemicals Data'!R35/'Chemicals Data'!R$2)</f>
        <v>5.2127742325340691E-3</v>
      </c>
      <c r="S35" s="118">
        <f t="shared" si="0"/>
        <v>0.11857488278006782</v>
      </c>
      <c r="T35" s="118">
        <f t="shared" si="1"/>
        <v>2.7490247118019298E-5</v>
      </c>
      <c r="U35" s="118">
        <f t="shared" si="2"/>
        <v>1.9473609676025645E-2</v>
      </c>
      <c r="V35" s="118">
        <f t="shared" si="3"/>
        <v>5.7015167023204477E-3</v>
      </c>
      <c r="W35">
        <f t="shared" si="16"/>
        <v>15</v>
      </c>
    </row>
    <row r="36" spans="1:23">
      <c r="A36" s="34" t="s">
        <v>132</v>
      </c>
      <c r="B36" s="118">
        <f>IF('Chemicals Data'!B36="","",'Chemicals Data'!B36/'Chemicals Data'!B$2)</f>
        <v>0.10212135591616395</v>
      </c>
      <c r="C36" s="118">
        <f>IF('Chemicals Data'!C36="","",'Chemicals Data'!C36/'Chemicals Data'!C$2)</f>
        <v>1.2331950079693123E-2</v>
      </c>
      <c r="D36" s="118">
        <f>IF('Chemicals Data'!D36="","",'Chemicals Data'!D36/'Chemicals Data'!D$2)</f>
        <v>0.12929964114239564</v>
      </c>
      <c r="E36" s="118">
        <f>IF('Chemicals Data'!E36="","",'Chemicals Data'!E36/'Chemicals Data'!E$2)</f>
        <v>6.0282712598183449E-2</v>
      </c>
      <c r="F36" s="118">
        <f>IF('Chemicals Data'!F36="","",'Chemicals Data'!F36/'Chemicals Data'!F$2)</f>
        <v>2.4680850598703705E-2</v>
      </c>
      <c r="G36" s="118">
        <f>IF('Chemicals Data'!G36="","",'Chemicals Data'!G36/'Chemicals Data'!G$2)</f>
        <v>1.067863012829332E-2</v>
      </c>
      <c r="H36" s="118">
        <f>IF('Chemicals Data'!H36="","",'Chemicals Data'!H36/'Chemicals Data'!H$2)</f>
        <v>2.3017429176681207E-2</v>
      </c>
      <c r="I36" s="118">
        <f>IF('Chemicals Data'!I36="","",'Chemicals Data'!I36/'Chemicals Data'!I$2)</f>
        <v>4.4387262299146373E-3</v>
      </c>
      <c r="J36" s="118">
        <f>IF('Chemicals Data'!J36="","",'Chemicals Data'!J36/'Chemicals Data'!J$2)</f>
        <v>1.276816528398025E-2</v>
      </c>
      <c r="K36" s="118">
        <f>IF('Chemicals Data'!K36="","",'Chemicals Data'!K36/'Chemicals Data'!K$2)</f>
        <v>7.6038520065793175E-2</v>
      </c>
      <c r="L36" s="118">
        <f>IF('Chemicals Data'!L36="","",'Chemicals Data'!L36/'Chemicals Data'!L$2)</f>
        <v>3.2901105639705358E-2</v>
      </c>
      <c r="M36" s="118">
        <f>IF('Chemicals Data'!M36="","",'Chemicals Data'!M36/'Chemicals Data'!M$2)</f>
        <v>1.3819948611918129E-2</v>
      </c>
      <c r="N36" s="118">
        <f>IF('Chemicals Data'!N36="","",'Chemicals Data'!N36/'Chemicals Data'!N$2)</f>
        <v>9.5345103006602358E-4</v>
      </c>
      <c r="O36" s="118">
        <f>IF('Chemicals Data'!O36="","",'Chemicals Data'!O36/'Chemicals Data'!O$2)</f>
        <v>6.1762035996790858E-2</v>
      </c>
      <c r="P36" s="118">
        <f>IF('Chemicals Data'!P36="","",'Chemicals Data'!P36/'Chemicals Data'!P$2)</f>
        <v>5.7035451898557105E-2</v>
      </c>
      <c r="Q36" s="118">
        <f>IF('Chemicals Data'!Q36="","",'Chemicals Data'!Q36/'Chemicals Data'!Q$2)</f>
        <v>0.11146468254962906</v>
      </c>
      <c r="R36" s="118">
        <f>IF('Chemicals Data'!R36="","",'Chemicals Data'!R36/'Chemicals Data'!R$2)</f>
        <v>2.0101613303074393E-2</v>
      </c>
      <c r="S36" s="118">
        <f t="shared" si="0"/>
        <v>0.75369627024954344</v>
      </c>
      <c r="T36" s="118">
        <f t="shared" si="1"/>
        <v>9.5345103006602358E-4</v>
      </c>
      <c r="U36" s="118">
        <f t="shared" si="2"/>
        <v>0.12929964114239564</v>
      </c>
      <c r="V36" s="118">
        <f t="shared" si="3"/>
        <v>2.4680850598703705E-2</v>
      </c>
      <c r="W36">
        <f t="shared" si="16"/>
        <v>17</v>
      </c>
    </row>
    <row r="37" spans="1:23">
      <c r="A37" s="34" t="s">
        <v>138</v>
      </c>
      <c r="B37" s="118" t="str">
        <f>IF('Chemicals Data'!B37="","",'Chemicals Data'!B37/'Chemicals Data'!B$2)</f>
        <v/>
      </c>
      <c r="C37" s="118" t="str">
        <f>IF('Chemicals Data'!C37="","",'Chemicals Data'!C37/'Chemicals Data'!C$2)</f>
        <v/>
      </c>
      <c r="D37" s="118" t="str">
        <f>IF('Chemicals Data'!D37="","",'Chemicals Data'!D37/'Chemicals Data'!D$2)</f>
        <v/>
      </c>
      <c r="E37" s="118" t="str">
        <f>IF('Chemicals Data'!E37="","",'Chemicals Data'!E37/'Chemicals Data'!E$2)</f>
        <v/>
      </c>
      <c r="F37" s="118" t="str">
        <f>IF('Chemicals Data'!F37="","",'Chemicals Data'!F37/'Chemicals Data'!F$2)</f>
        <v/>
      </c>
      <c r="G37" s="118" t="str">
        <f>IF('Chemicals Data'!G37="","",'Chemicals Data'!G37/'Chemicals Data'!G$2)</f>
        <v/>
      </c>
      <c r="H37" s="118" t="str">
        <f>IF('Chemicals Data'!H37="","",'Chemicals Data'!H37/'Chemicals Data'!H$2)</f>
        <v/>
      </c>
      <c r="I37" s="118" t="str">
        <f>IF('Chemicals Data'!I37="","",'Chemicals Data'!I37/'Chemicals Data'!I$2)</f>
        <v/>
      </c>
      <c r="J37" s="118" t="str">
        <f>IF('Chemicals Data'!J37="","",'Chemicals Data'!J37/'Chemicals Data'!J$2)</f>
        <v/>
      </c>
      <c r="K37" s="118" t="str">
        <f>IF('Chemicals Data'!K37="","",'Chemicals Data'!K37/'Chemicals Data'!K$2)</f>
        <v/>
      </c>
      <c r="L37" s="118">
        <f>IF('Chemicals Data'!L37="","",'Chemicals Data'!L37/'Chemicals Data'!L$2)</f>
        <v>0.7730627400213852</v>
      </c>
      <c r="M37" s="118" t="str">
        <f>IF('Chemicals Data'!M37="","",'Chemicals Data'!M37/'Chemicals Data'!M$2)</f>
        <v/>
      </c>
      <c r="N37" s="118" t="str">
        <f>IF('Chemicals Data'!N37="","",'Chemicals Data'!N37/'Chemicals Data'!N$2)</f>
        <v/>
      </c>
      <c r="O37" s="118" t="str">
        <f>IF('Chemicals Data'!O37="","",'Chemicals Data'!O37/'Chemicals Data'!O$2)</f>
        <v/>
      </c>
      <c r="P37" s="118" t="str">
        <f>IF('Chemicals Data'!P37="","",'Chemicals Data'!P37/'Chemicals Data'!P$2)</f>
        <v/>
      </c>
      <c r="Q37" s="118" t="str">
        <f>IF('Chemicals Data'!Q37="","",'Chemicals Data'!Q37/'Chemicals Data'!Q$2)</f>
        <v/>
      </c>
      <c r="R37" s="118" t="str">
        <f>IF('Chemicals Data'!R37="","",'Chemicals Data'!R37/'Chemicals Data'!R$2)</f>
        <v/>
      </c>
      <c r="S37" s="118">
        <f t="shared" si="0"/>
        <v>0.7730627400213852</v>
      </c>
      <c r="T37" s="118">
        <f t="shared" si="1"/>
        <v>0.7730627400213852</v>
      </c>
      <c r="U37" s="118">
        <f t="shared" si="2"/>
        <v>0.7730627400213852</v>
      </c>
      <c r="V37" s="118">
        <f t="shared" si="3"/>
        <v>0.7730627400213852</v>
      </c>
      <c r="W37">
        <f t="shared" si="16"/>
        <v>1</v>
      </c>
    </row>
    <row r="38" spans="1:23">
      <c r="A38" s="34" t="s">
        <v>129</v>
      </c>
      <c r="B38" s="118">
        <f>IF('Chemicals Data'!B38="","",'Chemicals Data'!B38/'Chemicals Data'!B$2)</f>
        <v>1.3342727335702296E-2</v>
      </c>
      <c r="C38" s="118">
        <f>IF('Chemicals Data'!C38="","",'Chemicals Data'!C38/'Chemicals Data'!C$2)</f>
        <v>0.62766847020240146</v>
      </c>
      <c r="D38" s="118" t="str">
        <f>IF('Chemicals Data'!D38="","",'Chemicals Data'!D38/'Chemicals Data'!D$2)</f>
        <v/>
      </c>
      <c r="E38" s="118" t="str">
        <f>IF('Chemicals Data'!E38="","",'Chemicals Data'!E38/'Chemicals Data'!E$2)</f>
        <v/>
      </c>
      <c r="F38" s="118">
        <f>IF('Chemicals Data'!F38="","",'Chemicals Data'!F38/'Chemicals Data'!F$2)</f>
        <v>5.1038304030810314E-3</v>
      </c>
      <c r="G38" s="118">
        <f>IF('Chemicals Data'!G38="","",'Chemicals Data'!G38/'Chemicals Data'!G$2)</f>
        <v>6.7906845050109549E-2</v>
      </c>
      <c r="H38" s="118">
        <f>IF('Chemicals Data'!H38="","",'Chemicals Data'!H38/'Chemicals Data'!H$2)</f>
        <v>0.12767527162871606</v>
      </c>
      <c r="I38" s="118">
        <f>IF('Chemicals Data'!I38="","",'Chemicals Data'!I38/'Chemicals Data'!I$2)</f>
        <v>0.65268168514504621</v>
      </c>
      <c r="J38" s="118">
        <f>IF('Chemicals Data'!J38="","",'Chemicals Data'!J38/'Chemicals Data'!J$2)</f>
        <v>0.13198188851342169</v>
      </c>
      <c r="K38" s="118" t="str">
        <f>IF('Chemicals Data'!K38="","",'Chemicals Data'!K38/'Chemicals Data'!K$2)</f>
        <v/>
      </c>
      <c r="L38" s="118" t="str">
        <f>IF('Chemicals Data'!L38="","",'Chemicals Data'!L38/'Chemicals Data'!L$2)</f>
        <v/>
      </c>
      <c r="M38" s="118">
        <f>IF('Chemicals Data'!M38="","",'Chemicals Data'!M38/'Chemicals Data'!M$2)</f>
        <v>4.2399621329594912E-2</v>
      </c>
      <c r="N38" s="118">
        <f>IF('Chemicals Data'!N38="","",'Chemicals Data'!N38/'Chemicals Data'!N$2)</f>
        <v>1.6212625900627754E-2</v>
      </c>
      <c r="O38" s="118" t="str">
        <f>IF('Chemicals Data'!O38="","",'Chemicals Data'!O38/'Chemicals Data'!O$2)</f>
        <v/>
      </c>
      <c r="P38" s="118" t="str">
        <f>IF('Chemicals Data'!P38="","",'Chemicals Data'!P38/'Chemicals Data'!P$2)</f>
        <v/>
      </c>
      <c r="Q38" s="118" t="str">
        <f>IF('Chemicals Data'!Q38="","",'Chemicals Data'!Q38/'Chemicals Data'!Q$2)</f>
        <v/>
      </c>
      <c r="R38" s="118">
        <f>IF('Chemicals Data'!R38="","",'Chemicals Data'!R38/'Chemicals Data'!R$2)</f>
        <v>0.10806699653515985</v>
      </c>
      <c r="S38" s="118">
        <f t="shared" si="0"/>
        <v>1.7930399620438608</v>
      </c>
      <c r="T38" s="118">
        <f t="shared" si="1"/>
        <v>5.1038304030810314E-3</v>
      </c>
      <c r="U38" s="118">
        <f t="shared" si="2"/>
        <v>0.65268168514504621</v>
      </c>
      <c r="V38" s="118">
        <f t="shared" si="3"/>
        <v>8.7986920792634704E-2</v>
      </c>
      <c r="W38">
        <f t="shared" si="16"/>
        <v>10</v>
      </c>
    </row>
    <row r="39" spans="1:23">
      <c r="A39" s="34" t="s">
        <v>135</v>
      </c>
      <c r="B39" s="118" t="str">
        <f>IF('Chemicals Data'!B39="","",'Chemicals Data'!B39/'Chemicals Data'!B$2)</f>
        <v/>
      </c>
      <c r="C39" s="118" t="str">
        <f>IF('Chemicals Data'!C39="","",'Chemicals Data'!C39/'Chemicals Data'!C$2)</f>
        <v/>
      </c>
      <c r="D39" s="118" t="str">
        <f>IF('Chemicals Data'!D39="","",'Chemicals Data'!D39/'Chemicals Data'!D$2)</f>
        <v/>
      </c>
      <c r="E39" s="118" t="str">
        <f>IF('Chemicals Data'!E39="","",'Chemicals Data'!E39/'Chemicals Data'!E$2)</f>
        <v/>
      </c>
      <c r="F39" s="118">
        <f>IF('Chemicals Data'!F39="","",'Chemicals Data'!F39/'Chemicals Data'!F$2)</f>
        <v>4.1270779524019481E-2</v>
      </c>
      <c r="G39" s="118" t="str">
        <f>IF('Chemicals Data'!G39="","",'Chemicals Data'!G39/'Chemicals Data'!G$2)</f>
        <v/>
      </c>
      <c r="H39" s="118">
        <f>IF('Chemicals Data'!H39="","",'Chemicals Data'!H39/'Chemicals Data'!H$2)</f>
        <v>0.33233881090423012</v>
      </c>
      <c r="I39" s="118">
        <f>IF('Chemicals Data'!I39="","",'Chemicals Data'!I39/'Chemicals Data'!I$2)</f>
        <v>2.1014308450337093E-2</v>
      </c>
      <c r="J39" s="118">
        <f>IF('Chemicals Data'!J39="","",'Chemicals Data'!J39/'Chemicals Data'!J$2)</f>
        <v>0.10295194285706746</v>
      </c>
      <c r="K39" s="118">
        <f>IF('Chemicals Data'!K39="","",'Chemicals Data'!K39/'Chemicals Data'!K$2)</f>
        <v>0.32491416735098588</v>
      </c>
      <c r="L39" s="118">
        <f>IF('Chemicals Data'!L39="","",'Chemicals Data'!L39/'Chemicals Data'!L$2)</f>
        <v>9.970760444352364E-2</v>
      </c>
      <c r="M39" s="118">
        <f>IF('Chemicals Data'!M39="","",'Chemicals Data'!M39/'Chemicals Data'!M$2)</f>
        <v>0.13276611759478826</v>
      </c>
      <c r="N39" s="118">
        <f>IF('Chemicals Data'!N39="","",'Chemicals Data'!N39/'Chemicals Data'!N$2)</f>
        <v>9.9373597673459491E-2</v>
      </c>
      <c r="O39" s="118" t="str">
        <f>IF('Chemicals Data'!O39="","",'Chemicals Data'!O39/'Chemicals Data'!O$2)</f>
        <v/>
      </c>
      <c r="P39" s="118">
        <f>IF('Chemicals Data'!P39="","",'Chemicals Data'!P39/'Chemicals Data'!P$2)</f>
        <v>9.1616148477323897E-2</v>
      </c>
      <c r="Q39" s="118" t="str">
        <f>IF('Chemicals Data'!Q39="","",'Chemicals Data'!Q39/'Chemicals Data'!Q$2)</f>
        <v/>
      </c>
      <c r="R39" s="118">
        <f>IF('Chemicals Data'!R39="","",'Chemicals Data'!R39/'Chemicals Data'!R$2)</f>
        <v>2.9018691708086102E-4</v>
      </c>
      <c r="S39" s="118">
        <f t="shared" si="0"/>
        <v>1.2462436641928163</v>
      </c>
      <c r="T39" s="118">
        <f t="shared" si="1"/>
        <v>2.9018691708086102E-4</v>
      </c>
      <c r="U39" s="118">
        <f t="shared" si="2"/>
        <v>0.33233881090423012</v>
      </c>
      <c r="V39" s="118">
        <f t="shared" si="3"/>
        <v>9.9540601058491565E-2</v>
      </c>
      <c r="W39">
        <f t="shared" si="16"/>
        <v>10</v>
      </c>
    </row>
    <row r="40" spans="1:23">
      <c r="A40" s="34" t="s">
        <v>139</v>
      </c>
      <c r="B40" s="118" t="str">
        <f>IF('Chemicals Data'!B40="","",'Chemicals Data'!B40/'Chemicals Data'!B$2)</f>
        <v/>
      </c>
      <c r="C40" s="118" t="str">
        <f>IF('Chemicals Data'!C40="","",'Chemicals Data'!C40/'Chemicals Data'!C$2)</f>
        <v/>
      </c>
      <c r="D40" s="118" t="str">
        <f>IF('Chemicals Data'!D40="","",'Chemicals Data'!D40/'Chemicals Data'!D$2)</f>
        <v/>
      </c>
      <c r="E40" s="118" t="str">
        <f>IF('Chemicals Data'!E40="","",'Chemicals Data'!E40/'Chemicals Data'!E$2)</f>
        <v/>
      </c>
      <c r="F40" s="118" t="str">
        <f>IF('Chemicals Data'!F40="","",'Chemicals Data'!F40/'Chemicals Data'!F$2)</f>
        <v/>
      </c>
      <c r="G40" s="118" t="str">
        <f>IF('Chemicals Data'!G40="","",'Chemicals Data'!G40/'Chemicals Data'!G$2)</f>
        <v/>
      </c>
      <c r="H40" s="118" t="str">
        <f>IF('Chemicals Data'!H40="","",'Chemicals Data'!H40/'Chemicals Data'!H$2)</f>
        <v/>
      </c>
      <c r="I40" s="118" t="str">
        <f>IF('Chemicals Data'!I40="","",'Chemicals Data'!I40/'Chemicals Data'!I$2)</f>
        <v/>
      </c>
      <c r="J40" s="118" t="str">
        <f>IF('Chemicals Data'!J40="","",'Chemicals Data'!J40/'Chemicals Data'!J$2)</f>
        <v/>
      </c>
      <c r="K40" s="118" t="str">
        <f>IF('Chemicals Data'!K40="","",'Chemicals Data'!K40/'Chemicals Data'!K$2)</f>
        <v/>
      </c>
      <c r="L40" s="118">
        <f>IF('Chemicals Data'!L40="","",'Chemicals Data'!L40/'Chemicals Data'!L$2)</f>
        <v>1.8640927649620609E-2</v>
      </c>
      <c r="M40" s="118" t="str">
        <f>IF('Chemicals Data'!M40="","",'Chemicals Data'!M40/'Chemicals Data'!M$2)</f>
        <v/>
      </c>
      <c r="N40" s="118" t="str">
        <f>IF('Chemicals Data'!N40="","",'Chemicals Data'!N40/'Chemicals Data'!N$2)</f>
        <v/>
      </c>
      <c r="O40" s="118" t="str">
        <f>IF('Chemicals Data'!O40="","",'Chemicals Data'!O40/'Chemicals Data'!O$2)</f>
        <v/>
      </c>
      <c r="P40" s="118" t="str">
        <f>IF('Chemicals Data'!P40="","",'Chemicals Data'!P40/'Chemicals Data'!P$2)</f>
        <v/>
      </c>
      <c r="Q40" s="118" t="str">
        <f>IF('Chemicals Data'!Q40="","",'Chemicals Data'!Q40/'Chemicals Data'!Q$2)</f>
        <v/>
      </c>
      <c r="R40" s="118" t="str">
        <f>IF('Chemicals Data'!R40="","",'Chemicals Data'!R40/'Chemicals Data'!R$2)</f>
        <v/>
      </c>
      <c r="S40" s="118">
        <f t="shared" si="0"/>
        <v>1.8640927649620609E-2</v>
      </c>
      <c r="T40" s="118">
        <f t="shared" si="1"/>
        <v>1.8640927649620609E-2</v>
      </c>
      <c r="U40" s="118">
        <f t="shared" si="2"/>
        <v>1.8640927649620609E-2</v>
      </c>
      <c r="V40" s="118">
        <f t="shared" si="3"/>
        <v>1.8640927649620609E-2</v>
      </c>
      <c r="W40">
        <f t="shared" si="16"/>
        <v>1</v>
      </c>
    </row>
    <row r="41" spans="1:23">
      <c r="A41" s="34" t="s">
        <v>137</v>
      </c>
      <c r="B41" s="118" t="str">
        <f>IF('Chemicals Data'!B41="","",'Chemicals Data'!B41/'Chemicals Data'!B$2)</f>
        <v/>
      </c>
      <c r="C41" s="118" t="str">
        <f>IF('Chemicals Data'!C41="","",'Chemicals Data'!C41/'Chemicals Data'!C$2)</f>
        <v/>
      </c>
      <c r="D41" s="118" t="str">
        <f>IF('Chemicals Data'!D41="","",'Chemicals Data'!D41/'Chemicals Data'!D$2)</f>
        <v/>
      </c>
      <c r="E41" s="118" t="str">
        <f>IF('Chemicals Data'!E41="","",'Chemicals Data'!E41/'Chemicals Data'!E$2)</f>
        <v/>
      </c>
      <c r="F41" s="118" t="str">
        <f>IF('Chemicals Data'!F41="","",'Chemicals Data'!F41/'Chemicals Data'!F$2)</f>
        <v/>
      </c>
      <c r="G41" s="118">
        <f>IF('Chemicals Data'!G41="","",'Chemicals Data'!G41/'Chemicals Data'!G$2)</f>
        <v>8.6635532902651653E-3</v>
      </c>
      <c r="H41" s="118">
        <f>IF('Chemicals Data'!H41="","",'Chemicals Data'!H41/'Chemicals Data'!H$2)</f>
        <v>3.5827730731547678E-4</v>
      </c>
      <c r="I41" s="118" t="str">
        <f>IF('Chemicals Data'!I41="","",'Chemicals Data'!I41/'Chemicals Data'!I$2)</f>
        <v/>
      </c>
      <c r="J41" s="118">
        <f>IF('Chemicals Data'!J41="","",'Chemicals Data'!J41/'Chemicals Data'!J$2)</f>
        <v>2.9985502168355053E-3</v>
      </c>
      <c r="K41" s="118" t="str">
        <f>IF('Chemicals Data'!K41="","",'Chemicals Data'!K41/'Chemicals Data'!K$2)</f>
        <v/>
      </c>
      <c r="L41" s="118" t="str">
        <f>IF('Chemicals Data'!L41="","",'Chemicals Data'!L41/'Chemicals Data'!L$2)</f>
        <v/>
      </c>
      <c r="M41" s="118">
        <f>IF('Chemicals Data'!M41="","",'Chemicals Data'!M41/'Chemicals Data'!M$2)</f>
        <v>0.14462495096707204</v>
      </c>
      <c r="N41" s="118">
        <f>IF('Chemicals Data'!N41="","",'Chemicals Data'!N41/'Chemicals Data'!N$2)</f>
        <v>1.9676320885957739E-3</v>
      </c>
      <c r="O41" s="118" t="str">
        <f>IF('Chemicals Data'!O41="","",'Chemicals Data'!O41/'Chemicals Data'!O$2)</f>
        <v/>
      </c>
      <c r="P41" s="118">
        <f>IF('Chemicals Data'!P41="","",'Chemicals Data'!P41/'Chemicals Data'!P$2)</f>
        <v>1.1692243590595716E-2</v>
      </c>
      <c r="Q41" s="118" t="str">
        <f>IF('Chemicals Data'!Q41="","",'Chemicals Data'!Q41/'Chemicals Data'!Q$2)</f>
        <v/>
      </c>
      <c r="R41" s="118" t="str">
        <f>IF('Chemicals Data'!R41="","",'Chemicals Data'!R41/'Chemicals Data'!R$2)</f>
        <v/>
      </c>
      <c r="S41" s="118">
        <f t="shared" si="0"/>
        <v>0.17030520746067968</v>
      </c>
      <c r="T41" s="118">
        <f t="shared" si="1"/>
        <v>3.5827730731547678E-4</v>
      </c>
      <c r="U41" s="118">
        <f t="shared" si="2"/>
        <v>0.14462495096707204</v>
      </c>
      <c r="V41" s="118">
        <f t="shared" si="3"/>
        <v>5.8310517535503353E-3</v>
      </c>
      <c r="W41">
        <f t="shared" si="16"/>
        <v>6</v>
      </c>
    </row>
    <row r="42" spans="1:23">
      <c r="A42" s="34" t="s">
        <v>131</v>
      </c>
      <c r="B42" s="118">
        <f>IF('Chemicals Data'!B42="","",'Chemicals Data'!B42/'Chemicals Data'!B$2)</f>
        <v>0.1651813528125968</v>
      </c>
      <c r="C42" s="118">
        <f>IF('Chemicals Data'!C42="","",'Chemicals Data'!C42/'Chemicals Data'!C$2)</f>
        <v>0.11062200513753194</v>
      </c>
      <c r="D42" s="118">
        <f>IF('Chemicals Data'!D42="","",'Chemicals Data'!D42/'Chemicals Data'!D$2)</f>
        <v>9.7789462029913871E-2</v>
      </c>
      <c r="E42" s="118">
        <f>IF('Chemicals Data'!E42="","",'Chemicals Data'!E42/'Chemicals Data'!E$2)</f>
        <v>0.28667982511485152</v>
      </c>
      <c r="F42" s="118">
        <f>IF('Chemicals Data'!F42="","",'Chemicals Data'!F42/'Chemicals Data'!F$2)</f>
        <v>9.6859612578405502E-2</v>
      </c>
      <c r="G42" s="118">
        <f>IF('Chemicals Data'!G42="","",'Chemicals Data'!G42/'Chemicals Data'!G$2)</f>
        <v>0.1888288171427531</v>
      </c>
      <c r="H42" s="118">
        <f>IF('Chemicals Data'!H42="","",'Chemicals Data'!H42/'Chemicals Data'!H$2)</f>
        <v>0.20824113360376817</v>
      </c>
      <c r="I42" s="118">
        <f>IF('Chemicals Data'!I42="","",'Chemicals Data'!I42/'Chemicals Data'!I$2)</f>
        <v>5.4659976229495304E-2</v>
      </c>
      <c r="J42" s="118">
        <f>IF('Chemicals Data'!J42="","",'Chemicals Data'!J42/'Chemicals Data'!J$2)</f>
        <v>0.10228758153257018</v>
      </c>
      <c r="K42" s="118">
        <f>IF('Chemicals Data'!K42="","",'Chemicals Data'!K42/'Chemicals Data'!K$2)</f>
        <v>0.45322429256383395</v>
      </c>
      <c r="L42" s="118">
        <f>IF('Chemicals Data'!L42="","",'Chemicals Data'!L42/'Chemicals Data'!L$2)</f>
        <v>9.970760444352364E-2</v>
      </c>
      <c r="M42" s="118">
        <f>IF('Chemicals Data'!M42="","",'Chemicals Data'!M42/'Chemicals Data'!M$2)</f>
        <v>1.0865227794084388E-2</v>
      </c>
      <c r="N42" s="118">
        <f>IF('Chemicals Data'!N42="","",'Chemicals Data'!N42/'Chemicals Data'!N$2)</f>
        <v>0.41538651959432965</v>
      </c>
      <c r="O42" s="118">
        <f>IF('Chemicals Data'!O42="","",'Chemicals Data'!O42/'Chemicals Data'!O$2)</f>
        <v>0.15634534472503386</v>
      </c>
      <c r="P42" s="118">
        <f>IF('Chemicals Data'!P42="","",'Chemicals Data'!P42/'Chemicals Data'!P$2)</f>
        <v>0.1499221263339158</v>
      </c>
      <c r="Q42" s="118">
        <f>IF('Chemicals Data'!Q42="","",'Chemicals Data'!Q42/'Chemicals Data'!Q$2)</f>
        <v>0.24321982768126943</v>
      </c>
      <c r="R42" s="118">
        <f>IF('Chemicals Data'!R42="","",'Chemicals Data'!R42/'Chemicals Data'!R$2)</f>
        <v>9.4665329862788153E-2</v>
      </c>
      <c r="S42" s="118">
        <f t="shared" si="0"/>
        <v>2.9344860391806655</v>
      </c>
      <c r="T42" s="118">
        <f t="shared" si="1"/>
        <v>1.0865227794084388E-2</v>
      </c>
      <c r="U42" s="118">
        <f t="shared" si="2"/>
        <v>0.45322429256383395</v>
      </c>
      <c r="V42" s="118">
        <f t="shared" si="3"/>
        <v>0.1499221263339158</v>
      </c>
      <c r="W42">
        <f t="shared" si="16"/>
        <v>17</v>
      </c>
    </row>
    <row r="43" spans="1:23">
      <c r="A43" s="34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118"/>
      <c r="Q43" s="65"/>
      <c r="R43" s="65"/>
      <c r="S43" s="66"/>
      <c r="T43" s="66"/>
      <c r="U43" s="66"/>
      <c r="V43" s="66"/>
    </row>
    <row r="44" spans="1:23">
      <c r="A44" s="34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6"/>
      <c r="T44" s="66"/>
      <c r="U44" s="66"/>
      <c r="V44" s="66"/>
    </row>
    <row r="45" spans="1:23">
      <c r="A45" s="34" t="s">
        <v>133</v>
      </c>
      <c r="B45" s="118">
        <f>IF('Chemicals Data'!B45="","",'Chemicals Data'!B45/'Chemicals Data'!B$7)</f>
        <v>3.9215686274509803E-2</v>
      </c>
      <c r="C45" s="118" t="str">
        <f>IF('Chemicals Data'!C45="","",'Chemicals Data'!C45/'Chemicals Data'!C$7)</f>
        <v/>
      </c>
      <c r="D45" s="118" t="str">
        <f>IF('Chemicals Data'!D45="","",'Chemicals Data'!D45/'Chemicals Data'!D$7)</f>
        <v/>
      </c>
      <c r="E45" s="118" t="str">
        <f>IF('Chemicals Data'!E45="","",'Chemicals Data'!E45/'Chemicals Data'!E$7)</f>
        <v/>
      </c>
      <c r="F45" s="118">
        <f>IF('Chemicals Data'!F45="","",'Chemicals Data'!F45/'Chemicals Data'!F$7)</f>
        <v>0.17910447761194029</v>
      </c>
      <c r="G45" s="118">
        <f>IF('Chemicals Data'!G45="","",'Chemicals Data'!G45/'Chemicals Data'!G$7)</f>
        <v>4.8387096774193547E-2</v>
      </c>
      <c r="H45" s="118" t="str">
        <f>IF('Chemicals Data'!H45="","",'Chemicals Data'!H45/'Chemicals Data'!H$7)</f>
        <v/>
      </c>
      <c r="I45" s="118">
        <f>IF('Chemicals Data'!I45="","",'Chemicals Data'!I45/'Chemicals Data'!I$7)</f>
        <v>1.1494252873563218E-2</v>
      </c>
      <c r="J45" s="118" t="str">
        <f>IF('Chemicals Data'!J45="","",'Chemicals Data'!J45/'Chemicals Data'!J$7)</f>
        <v/>
      </c>
      <c r="K45" s="118" t="str">
        <f>IF('Chemicals Data'!K45="","",'Chemicals Data'!K45/'Chemicals Data'!K$7)</f>
        <v/>
      </c>
      <c r="L45" s="118" t="str">
        <f>IF('Chemicals Data'!L45="","",'Chemicals Data'!L45/'Chemicals Data'!L$7)</f>
        <v/>
      </c>
      <c r="M45" s="118">
        <f>IF('Chemicals Data'!M45="","",'Chemicals Data'!M45/'Chemicals Data'!M$7)</f>
        <v>3.2786885245901641E-2</v>
      </c>
      <c r="N45" s="118">
        <f>IF('Chemicals Data'!N45="","",'Chemicals Data'!N45/'Chemicals Data'!N$7)</f>
        <v>3.3333333333333333E-2</v>
      </c>
      <c r="O45" s="118" t="str">
        <f>IF('Chemicals Data'!O45="","",'Chemicals Data'!O45/'Chemicals Data'!O$7)</f>
        <v/>
      </c>
      <c r="P45" s="118">
        <f>IF('Chemicals Data'!P45="","",'Chemicals Data'!P45/'Chemicals Data'!P$7)</f>
        <v>5.4054054054054057E-2</v>
      </c>
      <c r="Q45" s="118" t="str">
        <f>IF('Chemicals Data'!Q45="","",'Chemicals Data'!Q45/'Chemicals Data'!Q$7)</f>
        <v/>
      </c>
      <c r="R45" s="118">
        <f>IF('Chemicals Data'!R45="","",'Chemicals Data'!R45/'Chemicals Data'!R$7)</f>
        <v>3.2258064516129031E-2</v>
      </c>
      <c r="S45" s="118">
        <f t="shared" si="0"/>
        <v>0.43063385068362492</v>
      </c>
      <c r="T45" s="118">
        <f t="shared" si="1"/>
        <v>1.1494252873563218E-2</v>
      </c>
      <c r="U45" s="118">
        <f t="shared" si="2"/>
        <v>0.17910447761194029</v>
      </c>
      <c r="V45" s="118">
        <f t="shared" si="3"/>
        <v>3.6274509803921565E-2</v>
      </c>
    </row>
    <row r="46" spans="1:23">
      <c r="A46" s="34" t="s">
        <v>128</v>
      </c>
      <c r="B46" s="118">
        <f>IF('Chemicals Data'!B46="","",'Chemicals Data'!B46/'Chemicals Data'!B$7)</f>
        <v>0.50980392156862742</v>
      </c>
      <c r="C46" s="118">
        <f>IF('Chemicals Data'!C46="","",'Chemicals Data'!C46/'Chemicals Data'!C$7)</f>
        <v>0.2978723404255319</v>
      </c>
      <c r="D46" s="118">
        <f>IF('Chemicals Data'!D46="","",'Chemicals Data'!D46/'Chemicals Data'!D$7)</f>
        <v>0.47368421052631576</v>
      </c>
      <c r="E46" s="118">
        <f>IF('Chemicals Data'!E46="","",'Chemicals Data'!E46/'Chemicals Data'!E$7)</f>
        <v>0.6</v>
      </c>
      <c r="F46" s="118">
        <f>IF('Chemicals Data'!F46="","",'Chemicals Data'!F46/'Chemicals Data'!F$7)</f>
        <v>0.5074626865671642</v>
      </c>
      <c r="G46" s="118">
        <f>IF('Chemicals Data'!G46="","",'Chemicals Data'!G46/'Chemicals Data'!G$7)</f>
        <v>0.49193548387096775</v>
      </c>
      <c r="H46" s="118">
        <f>IF('Chemicals Data'!H46="","",'Chemicals Data'!H46/'Chemicals Data'!H$7)</f>
        <v>0.65217391304347827</v>
      </c>
      <c r="I46" s="118">
        <f>IF('Chemicals Data'!I46="","",'Chemicals Data'!I46/'Chemicals Data'!I$7)</f>
        <v>0.27586206896551724</v>
      </c>
      <c r="J46" s="118">
        <f>IF('Chemicals Data'!J46="","",'Chemicals Data'!J46/'Chemicals Data'!J$7)</f>
        <v>0.48648648648648651</v>
      </c>
      <c r="K46" s="118">
        <f>IF('Chemicals Data'!K46="","",'Chemicals Data'!K46/'Chemicals Data'!K$7)</f>
        <v>0.125</v>
      </c>
      <c r="L46" s="118">
        <f>IF('Chemicals Data'!L46="","",'Chemicals Data'!L46/'Chemicals Data'!L$7)</f>
        <v>0.16666666666666666</v>
      </c>
      <c r="M46" s="118">
        <f>IF('Chemicals Data'!M46="","",'Chemicals Data'!M46/'Chemicals Data'!M$7)</f>
        <v>0.50819672131147542</v>
      </c>
      <c r="N46" s="118">
        <f>IF('Chemicals Data'!N46="","",'Chemicals Data'!N46/'Chemicals Data'!N$7)</f>
        <v>0.65</v>
      </c>
      <c r="O46" s="118">
        <f>IF('Chemicals Data'!O46="","",'Chemicals Data'!O46/'Chemicals Data'!O$7)</f>
        <v>0.36842105263157893</v>
      </c>
      <c r="P46" s="118">
        <f>IF('Chemicals Data'!P46="","",'Chemicals Data'!P46/'Chemicals Data'!P$7)</f>
        <v>0.43243243243243246</v>
      </c>
      <c r="Q46" s="118">
        <f>IF('Chemicals Data'!Q46="","",'Chemicals Data'!Q46/'Chemicals Data'!Q$7)</f>
        <v>0.55555555555555558</v>
      </c>
      <c r="R46" s="118">
        <f>IF('Chemicals Data'!R46="","",'Chemicals Data'!R46/'Chemicals Data'!R$7)</f>
        <v>0.27419354838709675</v>
      </c>
      <c r="S46" s="118">
        <f t="shared" si="0"/>
        <v>7.3757470884388958</v>
      </c>
      <c r="T46" s="118">
        <f t="shared" si="1"/>
        <v>0.125</v>
      </c>
      <c r="U46" s="118">
        <f t="shared" si="2"/>
        <v>0.65217391304347827</v>
      </c>
      <c r="V46" s="118">
        <f t="shared" si="3"/>
        <v>0.48648648648648651</v>
      </c>
    </row>
    <row r="47" spans="1:23">
      <c r="A47" s="34" t="s">
        <v>130</v>
      </c>
      <c r="B47" s="118">
        <f>IF('Chemicals Data'!B47="","",'Chemicals Data'!B47/'Chemicals Data'!B$7)</f>
        <v>0.15686274509803921</v>
      </c>
      <c r="C47" s="118">
        <f>IF('Chemicals Data'!C47="","",'Chemicals Data'!C47/'Chemicals Data'!C$7)</f>
        <v>0.14893617021276595</v>
      </c>
      <c r="D47" s="118">
        <f>IF('Chemicals Data'!D47="","",'Chemicals Data'!D47/'Chemicals Data'!D$7)</f>
        <v>0.15789473684210525</v>
      </c>
      <c r="E47" s="118">
        <f>IF('Chemicals Data'!E47="","",'Chemicals Data'!E47/'Chemicals Data'!E$7)</f>
        <v>0.25</v>
      </c>
      <c r="F47" s="118">
        <f>IF('Chemicals Data'!F47="","",'Chemicals Data'!F47/'Chemicals Data'!F$7)</f>
        <v>0.11940298507462686</v>
      </c>
      <c r="G47" s="118">
        <f>IF('Chemicals Data'!G47="","",'Chemicals Data'!G47/'Chemicals Data'!G$7)</f>
        <v>0.13709677419354838</v>
      </c>
      <c r="H47" s="118">
        <f>IF('Chemicals Data'!H47="","",'Chemicals Data'!H47/'Chemicals Data'!H$7)</f>
        <v>0.10869565217391304</v>
      </c>
      <c r="I47" s="118">
        <f>IF('Chemicals Data'!I47="","",'Chemicals Data'!I47/'Chemicals Data'!I$7)</f>
        <v>0.14942528735632185</v>
      </c>
      <c r="J47" s="118">
        <f>IF('Chemicals Data'!J47="","",'Chemicals Data'!J47/'Chemicals Data'!J$7)</f>
        <v>0.16216216216216217</v>
      </c>
      <c r="K47" s="118">
        <f>IF('Chemicals Data'!K47="","",'Chemicals Data'!K47/'Chemicals Data'!K$7)</f>
        <v>0.375</v>
      </c>
      <c r="L47" s="118">
        <f>IF('Chemicals Data'!L47="","",'Chemicals Data'!L47/'Chemicals Data'!L$7)</f>
        <v>1.6666666666666666E-2</v>
      </c>
      <c r="M47" s="118">
        <f>IF('Chemicals Data'!M47="","",'Chemicals Data'!M47/'Chemicals Data'!M$7)</f>
        <v>0.13114754098360656</v>
      </c>
      <c r="N47" s="118">
        <f>IF('Chemicals Data'!N47="","",'Chemicals Data'!N47/'Chemicals Data'!N$7)</f>
        <v>0.15</v>
      </c>
      <c r="O47" s="118">
        <f>IF('Chemicals Data'!O47="","",'Chemicals Data'!O47/'Chemicals Data'!O$7)</f>
        <v>0.10526315789473684</v>
      </c>
      <c r="P47" s="118">
        <f>IF('Chemicals Data'!P47="","",'Chemicals Data'!P47/'Chemicals Data'!P$7)</f>
        <v>0.16216216216216217</v>
      </c>
      <c r="Q47" s="118">
        <f>IF('Chemicals Data'!Q47="","",'Chemicals Data'!Q47/'Chemicals Data'!Q$7)</f>
        <v>0.1111111111111111</v>
      </c>
      <c r="R47" s="118">
        <f>IF('Chemicals Data'!R47="","",'Chemicals Data'!R47/'Chemicals Data'!R$7)</f>
        <v>0.45161290322580644</v>
      </c>
      <c r="S47" s="118">
        <f t="shared" si="0"/>
        <v>2.8934400551575727</v>
      </c>
      <c r="T47" s="118">
        <f t="shared" si="1"/>
        <v>1.6666666666666666E-2</v>
      </c>
      <c r="U47" s="118">
        <f t="shared" si="2"/>
        <v>0.45161290322580644</v>
      </c>
      <c r="V47" s="118">
        <f t="shared" si="3"/>
        <v>0.14942528735632185</v>
      </c>
    </row>
    <row r="48" spans="1:23">
      <c r="A48" s="34" t="s">
        <v>136</v>
      </c>
      <c r="B48" s="118" t="str">
        <f>IF('Chemicals Data'!B48="","",'Chemicals Data'!B48/'Chemicals Data'!B$7)</f>
        <v/>
      </c>
      <c r="C48" s="118" t="str">
        <f>IF('Chemicals Data'!C48="","",'Chemicals Data'!C48/'Chemicals Data'!C$7)</f>
        <v/>
      </c>
      <c r="D48" s="118" t="str">
        <f>IF('Chemicals Data'!D48="","",'Chemicals Data'!D48/'Chemicals Data'!D$7)</f>
        <v/>
      </c>
      <c r="E48" s="118" t="str">
        <f>IF('Chemicals Data'!E48="","",'Chemicals Data'!E48/'Chemicals Data'!E$7)</f>
        <v/>
      </c>
      <c r="F48" s="118" t="str">
        <f>IF('Chemicals Data'!F48="","",'Chemicals Data'!F48/'Chemicals Data'!F$7)</f>
        <v/>
      </c>
      <c r="G48" s="118">
        <f>IF('Chemicals Data'!G48="","",'Chemicals Data'!G48/'Chemicals Data'!G$7)</f>
        <v>2.4193548387096774E-2</v>
      </c>
      <c r="H48" s="118" t="str">
        <f>IF('Chemicals Data'!H48="","",'Chemicals Data'!H48/'Chemicals Data'!H$7)</f>
        <v/>
      </c>
      <c r="I48" s="118">
        <f>IF('Chemicals Data'!I48="","",'Chemicals Data'!I48/'Chemicals Data'!I$7)</f>
        <v>2.2988505747126436E-2</v>
      </c>
      <c r="J48" s="118" t="str">
        <f>IF('Chemicals Data'!J48="","",'Chemicals Data'!J48/'Chemicals Data'!J$7)</f>
        <v/>
      </c>
      <c r="K48" s="118" t="str">
        <f>IF('Chemicals Data'!K48="","",'Chemicals Data'!K48/'Chemicals Data'!K$7)</f>
        <v/>
      </c>
      <c r="L48" s="118" t="str">
        <f>IF('Chemicals Data'!L48="","",'Chemicals Data'!L48/'Chemicals Data'!L$7)</f>
        <v/>
      </c>
      <c r="M48" s="118">
        <f>IF('Chemicals Data'!M48="","",'Chemicals Data'!M48/'Chemicals Data'!M$7)</f>
        <v>1.6393442622950821E-2</v>
      </c>
      <c r="N48" s="118">
        <f>IF('Chemicals Data'!N48="","",'Chemicals Data'!N48/'Chemicals Data'!N$7)</f>
        <v>3.3333333333333333E-2</v>
      </c>
      <c r="O48" s="118">
        <f>IF('Chemicals Data'!O48="","",'Chemicals Data'!O48/'Chemicals Data'!O$7)</f>
        <v>5.2631578947368418E-2</v>
      </c>
      <c r="P48" s="118">
        <f>IF('Chemicals Data'!P48="","",'Chemicals Data'!P48/'Chemicals Data'!P$7)</f>
        <v>2.7027027027027029E-2</v>
      </c>
      <c r="Q48" s="118" t="str">
        <f>IF('Chemicals Data'!Q48="","",'Chemicals Data'!Q48/'Chemicals Data'!Q$7)</f>
        <v/>
      </c>
      <c r="R48" s="118" t="str">
        <f>IF('Chemicals Data'!R48="","",'Chemicals Data'!R48/'Chemicals Data'!R$7)</f>
        <v/>
      </c>
      <c r="S48" s="118">
        <f t="shared" si="0"/>
        <v>0.1765674360649028</v>
      </c>
      <c r="T48" s="118">
        <f t="shared" si="1"/>
        <v>1.6393442622950821E-2</v>
      </c>
      <c r="U48" s="118">
        <f t="shared" si="2"/>
        <v>5.2631578947368418E-2</v>
      </c>
      <c r="V48" s="118">
        <f t="shared" si="3"/>
        <v>2.5610287707061901E-2</v>
      </c>
    </row>
    <row r="49" spans="1:22">
      <c r="A49" s="34" t="s">
        <v>134</v>
      </c>
      <c r="B49" s="118">
        <f>IF('Chemicals Data'!B49="","",'Chemicals Data'!B49/'Chemicals Data'!B$7)</f>
        <v>7.8431372549019607E-2</v>
      </c>
      <c r="C49" s="118">
        <f>IF('Chemicals Data'!C49="","",'Chemicals Data'!C49/'Chemicals Data'!C$7)</f>
        <v>0.31914893617021278</v>
      </c>
      <c r="D49" s="118">
        <f>IF('Chemicals Data'!D49="","",'Chemicals Data'!D49/'Chemicals Data'!D$7)</f>
        <v>0.10526315789473684</v>
      </c>
      <c r="E49" s="118">
        <f>IF('Chemicals Data'!E49="","",'Chemicals Data'!E49/'Chemicals Data'!E$7)</f>
        <v>0.05</v>
      </c>
      <c r="F49" s="118">
        <f>IF('Chemicals Data'!F49="","",'Chemicals Data'!F49/'Chemicals Data'!F$7)</f>
        <v>5.9701492537313432E-2</v>
      </c>
      <c r="G49" s="118">
        <f>IF('Chemicals Data'!G49="","",'Chemicals Data'!G49/'Chemicals Data'!G$7)</f>
        <v>6.4516129032258063E-2</v>
      </c>
      <c r="H49" s="118">
        <f>IF('Chemicals Data'!H49="","",'Chemicals Data'!H49/'Chemicals Data'!H$7)</f>
        <v>2.1739130434782608E-2</v>
      </c>
      <c r="I49" s="118">
        <f>IF('Chemicals Data'!I49="","",'Chemicals Data'!I49/'Chemicals Data'!I$7)</f>
        <v>9.1954022988505746E-2</v>
      </c>
      <c r="J49" s="118">
        <f>IF('Chemicals Data'!J49="","",'Chemicals Data'!J49/'Chemicals Data'!J$7)</f>
        <v>2.7027027027027029E-2</v>
      </c>
      <c r="K49" s="118">
        <f>IF('Chemicals Data'!K49="","",'Chemicals Data'!K49/'Chemicals Data'!K$7)</f>
        <v>0.125</v>
      </c>
      <c r="L49" s="118" t="str">
        <f>IF('Chemicals Data'!L49="","",'Chemicals Data'!L49/'Chemicals Data'!L$7)</f>
        <v/>
      </c>
      <c r="M49" s="118">
        <f>IF('Chemicals Data'!M49="","",'Chemicals Data'!M49/'Chemicals Data'!M$7)</f>
        <v>4.0983606557377046E-2</v>
      </c>
      <c r="N49" s="118">
        <f>IF('Chemicals Data'!N49="","",'Chemicals Data'!N49/'Chemicals Data'!N$7)</f>
        <v>0.1</v>
      </c>
      <c r="O49" s="118" t="str">
        <f>IF('Chemicals Data'!O49="","",'Chemicals Data'!O49/'Chemicals Data'!O$7)</f>
        <v/>
      </c>
      <c r="P49" s="118">
        <f>IF('Chemicals Data'!P49="","",'Chemicals Data'!P49/'Chemicals Data'!P$7)</f>
        <v>5.4054054054054057E-2</v>
      </c>
      <c r="Q49" s="118">
        <f>IF('Chemicals Data'!Q49="","",'Chemicals Data'!Q49/'Chemicals Data'!Q$7)</f>
        <v>5.5555555555555552E-2</v>
      </c>
      <c r="R49" s="118">
        <f>IF('Chemicals Data'!R49="","",'Chemicals Data'!R49/'Chemicals Data'!R$7)</f>
        <v>4.8387096774193547E-2</v>
      </c>
      <c r="S49" s="118">
        <f t="shared" si="0"/>
        <v>1.2417615815750362</v>
      </c>
      <c r="T49" s="118">
        <f t="shared" si="1"/>
        <v>2.1739130434782608E-2</v>
      </c>
      <c r="U49" s="118">
        <f t="shared" si="2"/>
        <v>0.31914893617021278</v>
      </c>
      <c r="V49" s="118">
        <f t="shared" si="3"/>
        <v>5.9701492537313432E-2</v>
      </c>
    </row>
    <row r="50" spans="1:22">
      <c r="A50" s="34" t="s">
        <v>132</v>
      </c>
      <c r="B50" s="118">
        <f>IF('Chemicals Data'!B50="","",'Chemicals Data'!B50/'Chemicals Data'!B$7)</f>
        <v>0.19607843137254902</v>
      </c>
      <c r="C50" s="118">
        <f>IF('Chemicals Data'!C50="","",'Chemicals Data'!C50/'Chemicals Data'!C$7)</f>
        <v>0.10638297872340426</v>
      </c>
      <c r="D50" s="118">
        <f>IF('Chemicals Data'!D50="","",'Chemicals Data'!D50/'Chemicals Data'!D$7)</f>
        <v>0.21052631578947367</v>
      </c>
      <c r="E50" s="118">
        <f>IF('Chemicals Data'!E50="","",'Chemicals Data'!E50/'Chemicals Data'!E$7)</f>
        <v>0.05</v>
      </c>
      <c r="F50" s="118">
        <f>IF('Chemicals Data'!F50="","",'Chemicals Data'!F50/'Chemicals Data'!F$7)</f>
        <v>0.13432835820895522</v>
      </c>
      <c r="G50" s="118">
        <f>IF('Chemicals Data'!G50="","",'Chemicals Data'!G50/'Chemicals Data'!G$7)</f>
        <v>0.16935483870967741</v>
      </c>
      <c r="H50" s="118">
        <f>IF('Chemicals Data'!H50="","",'Chemicals Data'!H50/'Chemicals Data'!H$7)</f>
        <v>8.6956521739130432E-2</v>
      </c>
      <c r="I50" s="118">
        <f>IF('Chemicals Data'!I50="","",'Chemicals Data'!I50/'Chemicals Data'!I$7)</f>
        <v>0.36781609195402298</v>
      </c>
      <c r="J50" s="118">
        <f>IF('Chemicals Data'!J50="","",'Chemicals Data'!J50/'Chemicals Data'!J$7)</f>
        <v>0.16216216216216217</v>
      </c>
      <c r="K50" s="118">
        <f>IF('Chemicals Data'!K50="","",'Chemicals Data'!K50/'Chemicals Data'!K$7)</f>
        <v>0.3125</v>
      </c>
      <c r="L50" s="118">
        <f>IF('Chemicals Data'!L50="","",'Chemicals Data'!L50/'Chemicals Data'!L$7)</f>
        <v>3.3333333333333333E-2</v>
      </c>
      <c r="M50" s="118">
        <f>IF('Chemicals Data'!M50="","",'Chemicals Data'!M50/'Chemicals Data'!M$7)</f>
        <v>0.23770491803278687</v>
      </c>
      <c r="N50" s="118">
        <f>IF('Chemicals Data'!N50="","",'Chemicals Data'!N50/'Chemicals Data'!N$7)</f>
        <v>1.6666666666666666E-2</v>
      </c>
      <c r="O50" s="118">
        <f>IF('Chemicals Data'!O50="","",'Chemicals Data'!O50/'Chemicals Data'!O$7)</f>
        <v>0.31578947368421051</v>
      </c>
      <c r="P50" s="118">
        <f>IF('Chemicals Data'!P50="","",'Chemicals Data'!P50/'Chemicals Data'!P$7)</f>
        <v>8.1081081081081086E-2</v>
      </c>
      <c r="Q50" s="118">
        <f>IF('Chemicals Data'!Q50="","",'Chemicals Data'!Q50/'Chemicals Data'!Q$7)</f>
        <v>0.27777777777777779</v>
      </c>
      <c r="R50" s="118">
        <f>IF('Chemicals Data'!R50="","",'Chemicals Data'!R50/'Chemicals Data'!R$7)</f>
        <v>0.24193548387096775</v>
      </c>
      <c r="S50" s="118">
        <f t="shared" si="0"/>
        <v>3.0003944331061989</v>
      </c>
      <c r="T50" s="118">
        <f t="shared" si="1"/>
        <v>1.6666666666666666E-2</v>
      </c>
      <c r="U50" s="118">
        <f t="shared" si="2"/>
        <v>0.36781609195402298</v>
      </c>
      <c r="V50" s="118">
        <f t="shared" si="3"/>
        <v>0.16935483870967741</v>
      </c>
    </row>
    <row r="51" spans="1:22">
      <c r="A51" s="34" t="s">
        <v>138</v>
      </c>
      <c r="B51" s="118" t="str">
        <f>IF('Chemicals Data'!B51="","",'Chemicals Data'!B51/'Chemicals Data'!B$7)</f>
        <v/>
      </c>
      <c r="C51" s="118" t="str">
        <f>IF('Chemicals Data'!C51="","",'Chemicals Data'!C51/'Chemicals Data'!C$7)</f>
        <v/>
      </c>
      <c r="D51" s="118" t="str">
        <f>IF('Chemicals Data'!D51="","",'Chemicals Data'!D51/'Chemicals Data'!D$7)</f>
        <v/>
      </c>
      <c r="E51" s="118" t="str">
        <f>IF('Chemicals Data'!E51="","",'Chemicals Data'!E51/'Chemicals Data'!E$7)</f>
        <v/>
      </c>
      <c r="F51" s="118" t="str">
        <f>IF('Chemicals Data'!F51="","",'Chemicals Data'!F51/'Chemicals Data'!F$7)</f>
        <v/>
      </c>
      <c r="G51" s="118" t="str">
        <f>IF('Chemicals Data'!G51="","",'Chemicals Data'!G51/'Chemicals Data'!G$7)</f>
        <v/>
      </c>
      <c r="H51" s="118" t="str">
        <f>IF('Chemicals Data'!H51="","",'Chemicals Data'!H51/'Chemicals Data'!H$7)</f>
        <v/>
      </c>
      <c r="I51" s="118" t="str">
        <f>IF('Chemicals Data'!I51="","",'Chemicals Data'!I51/'Chemicals Data'!I$7)</f>
        <v/>
      </c>
      <c r="J51" s="118" t="str">
        <f>IF('Chemicals Data'!J51="","",'Chemicals Data'!J51/'Chemicals Data'!J$7)</f>
        <v/>
      </c>
      <c r="K51" s="118" t="str">
        <f>IF('Chemicals Data'!K51="","",'Chemicals Data'!K51/'Chemicals Data'!K$7)</f>
        <v/>
      </c>
      <c r="L51" s="118">
        <f>IF('Chemicals Data'!L51="","",'Chemicals Data'!L51/'Chemicals Data'!L$7)</f>
        <v>0.13333333333333333</v>
      </c>
      <c r="M51" s="118" t="str">
        <f>IF('Chemicals Data'!M51="","",'Chemicals Data'!M51/'Chemicals Data'!M$7)</f>
        <v/>
      </c>
      <c r="N51" s="118" t="str">
        <f>IF('Chemicals Data'!N51="","",'Chemicals Data'!N51/'Chemicals Data'!N$7)</f>
        <v/>
      </c>
      <c r="O51" s="118" t="str">
        <f>IF('Chemicals Data'!O51="","",'Chemicals Data'!O51/'Chemicals Data'!O$7)</f>
        <v/>
      </c>
      <c r="P51" s="118" t="str">
        <f>IF('Chemicals Data'!P51="","",'Chemicals Data'!P51/'Chemicals Data'!P$7)</f>
        <v/>
      </c>
      <c r="Q51" s="118" t="str">
        <f>IF('Chemicals Data'!Q51="","",'Chemicals Data'!Q51/'Chemicals Data'!Q$7)</f>
        <v/>
      </c>
      <c r="R51" s="118" t="str">
        <f>IF('Chemicals Data'!R51="","",'Chemicals Data'!R51/'Chemicals Data'!R$7)</f>
        <v/>
      </c>
      <c r="S51" s="118">
        <f t="shared" si="0"/>
        <v>0.13333333333333333</v>
      </c>
      <c r="T51" s="118">
        <f t="shared" si="1"/>
        <v>0.13333333333333333</v>
      </c>
      <c r="U51" s="118">
        <f t="shared" si="2"/>
        <v>0.13333333333333333</v>
      </c>
      <c r="V51" s="118">
        <f t="shared" si="3"/>
        <v>0.13333333333333333</v>
      </c>
    </row>
    <row r="52" spans="1:22">
      <c r="A52" s="34" t="s">
        <v>129</v>
      </c>
      <c r="B52" s="118">
        <f>IF('Chemicals Data'!B52="","",'Chemicals Data'!B52/'Chemicals Data'!B$7)</f>
        <v>3.9215686274509803E-2</v>
      </c>
      <c r="C52" s="118">
        <f>IF('Chemicals Data'!C52="","",'Chemicals Data'!C52/'Chemicals Data'!C$7)</f>
        <v>2.1276595744680851E-2</v>
      </c>
      <c r="D52" s="118" t="str">
        <f>IF('Chemicals Data'!D52="","",'Chemicals Data'!D52/'Chemicals Data'!D$7)</f>
        <v/>
      </c>
      <c r="E52" s="118" t="str">
        <f>IF('Chemicals Data'!E52="","",'Chemicals Data'!E52/'Chemicals Data'!E$7)</f>
        <v/>
      </c>
      <c r="F52" s="118">
        <f>IF('Chemicals Data'!F52="","",'Chemicals Data'!F52/'Chemicals Data'!F$7)</f>
        <v>4.4776119402985072E-2</v>
      </c>
      <c r="G52" s="118">
        <f>IF('Chemicals Data'!G52="","",'Chemicals Data'!G52/'Chemicals Data'!G$7)</f>
        <v>2.4193548387096774E-2</v>
      </c>
      <c r="H52" s="118">
        <f>IF('Chemicals Data'!H52="","",'Chemicals Data'!H52/'Chemicals Data'!H$7)</f>
        <v>6.5217391304347824E-2</v>
      </c>
      <c r="I52" s="118">
        <f>IF('Chemicals Data'!I52="","",'Chemicals Data'!I52/'Chemicals Data'!I$7)</f>
        <v>5.7471264367816091E-2</v>
      </c>
      <c r="J52" s="118">
        <f>IF('Chemicals Data'!J52="","",'Chemicals Data'!J52/'Chemicals Data'!J$7)</f>
        <v>5.4054054054054057E-2</v>
      </c>
      <c r="K52" s="118" t="str">
        <f>IF('Chemicals Data'!K52="","",'Chemicals Data'!K52/'Chemicals Data'!K$7)</f>
        <v/>
      </c>
      <c r="L52" s="118" t="str">
        <f>IF('Chemicals Data'!L52="","",'Chemicals Data'!L52/'Chemicals Data'!L$7)</f>
        <v/>
      </c>
      <c r="M52" s="118">
        <f>IF('Chemicals Data'!M52="","",'Chemicals Data'!M52/'Chemicals Data'!M$7)</f>
        <v>9.0163934426229511E-2</v>
      </c>
      <c r="N52" s="118">
        <f>IF('Chemicals Data'!N52="","",'Chemicals Data'!N52/'Chemicals Data'!N$7)</f>
        <v>0.11666666666666667</v>
      </c>
      <c r="O52" s="118" t="str">
        <f>IF('Chemicals Data'!O52="","",'Chemicals Data'!O52/'Chemicals Data'!O$7)</f>
        <v/>
      </c>
      <c r="P52" s="118" t="str">
        <f>IF('Chemicals Data'!P52="","",'Chemicals Data'!P52/'Chemicals Data'!P$7)</f>
        <v/>
      </c>
      <c r="Q52" s="118" t="str">
        <f>IF('Chemicals Data'!Q52="","",'Chemicals Data'!Q52/'Chemicals Data'!Q$7)</f>
        <v/>
      </c>
      <c r="R52" s="118">
        <f>IF('Chemicals Data'!R52="","",'Chemicals Data'!R52/'Chemicals Data'!R$7)</f>
        <v>1.6129032258064516E-2</v>
      </c>
      <c r="S52" s="118">
        <f t="shared" si="0"/>
        <v>0.52916429288645117</v>
      </c>
      <c r="T52" s="118">
        <f t="shared" si="1"/>
        <v>1.6129032258064516E-2</v>
      </c>
      <c r="U52" s="118">
        <f t="shared" si="2"/>
        <v>0.11666666666666667</v>
      </c>
      <c r="V52" s="118">
        <f t="shared" si="3"/>
        <v>4.9415086728519561E-2</v>
      </c>
    </row>
    <row r="53" spans="1:22">
      <c r="A53" s="34" t="s">
        <v>135</v>
      </c>
      <c r="B53" s="118" t="str">
        <f>IF('Chemicals Data'!B53="","",'Chemicals Data'!B53/'Chemicals Data'!B$7)</f>
        <v/>
      </c>
      <c r="C53" s="118" t="str">
        <f>IF('Chemicals Data'!C53="","",'Chemicals Data'!C53/'Chemicals Data'!C$7)</f>
        <v/>
      </c>
      <c r="D53" s="118" t="str">
        <f>IF('Chemicals Data'!D53="","",'Chemicals Data'!D53/'Chemicals Data'!D$7)</f>
        <v/>
      </c>
      <c r="E53" s="118" t="str">
        <f>IF('Chemicals Data'!E53="","",'Chemicals Data'!E53/'Chemicals Data'!E$7)</f>
        <v/>
      </c>
      <c r="F53" s="118">
        <f>IF('Chemicals Data'!F53="","",'Chemicals Data'!F53/'Chemicals Data'!F$7)</f>
        <v>4.4776119402985072E-2</v>
      </c>
      <c r="G53" s="118" t="str">
        <f>IF('Chemicals Data'!G53="","",'Chemicals Data'!G53/'Chemicals Data'!G$7)</f>
        <v/>
      </c>
      <c r="H53" s="118">
        <f>IF('Chemicals Data'!H53="","",'Chemicals Data'!H53/'Chemicals Data'!H$7)</f>
        <v>0.15217391304347827</v>
      </c>
      <c r="I53" s="118">
        <f>IF('Chemicals Data'!I53="","",'Chemicals Data'!I53/'Chemicals Data'!I$7)</f>
        <v>3.4482758620689655E-2</v>
      </c>
      <c r="J53" s="118">
        <f>IF('Chemicals Data'!J53="","",'Chemicals Data'!J53/'Chemicals Data'!J$7)</f>
        <v>5.4054054054054057E-2</v>
      </c>
      <c r="K53" s="118">
        <f>IF('Chemicals Data'!K53="","",'Chemicals Data'!K53/'Chemicals Data'!K$7)</f>
        <v>6.25E-2</v>
      </c>
      <c r="L53" s="118">
        <f>IF('Chemicals Data'!L53="","",'Chemicals Data'!L53/'Chemicals Data'!L$7)</f>
        <v>3.3333333333333333E-2</v>
      </c>
      <c r="M53" s="118">
        <f>IF('Chemicals Data'!M53="","",'Chemicals Data'!M53/'Chemicals Data'!M$7)</f>
        <v>4.0983606557377046E-2</v>
      </c>
      <c r="N53" s="118">
        <f>IF('Chemicals Data'!N53="","",'Chemicals Data'!N53/'Chemicals Data'!N$7)</f>
        <v>0.05</v>
      </c>
      <c r="O53" s="118" t="str">
        <f>IF('Chemicals Data'!O53="","",'Chemicals Data'!O53/'Chemicals Data'!O$7)</f>
        <v/>
      </c>
      <c r="P53" s="118">
        <f>IF('Chemicals Data'!P53="","",'Chemicals Data'!P53/'Chemicals Data'!P$7)</f>
        <v>2.7027027027027029E-2</v>
      </c>
      <c r="Q53" s="118" t="str">
        <f>IF('Chemicals Data'!Q53="","",'Chemicals Data'!Q53/'Chemicals Data'!Q$7)</f>
        <v/>
      </c>
      <c r="R53" s="118">
        <f>IF('Chemicals Data'!R53="","",'Chemicals Data'!R53/'Chemicals Data'!R$7)</f>
        <v>3.2258064516129031E-2</v>
      </c>
      <c r="S53" s="118">
        <f t="shared" si="0"/>
        <v>0.53158887655507348</v>
      </c>
      <c r="T53" s="118">
        <f t="shared" si="1"/>
        <v>2.7027027027027029E-2</v>
      </c>
      <c r="U53" s="118">
        <f t="shared" si="2"/>
        <v>0.15217391304347827</v>
      </c>
      <c r="V53" s="118">
        <f t="shared" si="3"/>
        <v>4.2879862980181059E-2</v>
      </c>
    </row>
    <row r="54" spans="1:22">
      <c r="A54" s="34" t="s">
        <v>139</v>
      </c>
      <c r="B54" s="118" t="str">
        <f>IF('Chemicals Data'!B54="","",'Chemicals Data'!B54/'Chemicals Data'!B$7)</f>
        <v/>
      </c>
      <c r="C54" s="118" t="str">
        <f>IF('Chemicals Data'!C54="","",'Chemicals Data'!C54/'Chemicals Data'!C$7)</f>
        <v/>
      </c>
      <c r="D54" s="118" t="str">
        <f>IF('Chemicals Data'!D54="","",'Chemicals Data'!D54/'Chemicals Data'!D$7)</f>
        <v/>
      </c>
      <c r="E54" s="118" t="str">
        <f>IF('Chemicals Data'!E54="","",'Chemicals Data'!E54/'Chemicals Data'!E$7)</f>
        <v/>
      </c>
      <c r="F54" s="118" t="str">
        <f>IF('Chemicals Data'!F54="","",'Chemicals Data'!F54/'Chemicals Data'!F$7)</f>
        <v/>
      </c>
      <c r="G54" s="118" t="str">
        <f>IF('Chemicals Data'!G54="","",'Chemicals Data'!G54/'Chemicals Data'!G$7)</f>
        <v/>
      </c>
      <c r="H54" s="118" t="str">
        <f>IF('Chemicals Data'!H54="","",'Chemicals Data'!H54/'Chemicals Data'!H$7)</f>
        <v/>
      </c>
      <c r="I54" s="118" t="str">
        <f>IF('Chemicals Data'!I54="","",'Chemicals Data'!I54/'Chemicals Data'!I$7)</f>
        <v/>
      </c>
      <c r="J54" s="118" t="str">
        <f>IF('Chemicals Data'!J54="","",'Chemicals Data'!J54/'Chemicals Data'!J$7)</f>
        <v/>
      </c>
      <c r="K54" s="118" t="str">
        <f>IF('Chemicals Data'!K54="","",'Chemicals Data'!K54/'Chemicals Data'!K$7)</f>
        <v/>
      </c>
      <c r="L54" s="118">
        <f>IF('Chemicals Data'!L54="","",'Chemicals Data'!L54/'Chemicals Data'!L$7)</f>
        <v>0.55000000000000004</v>
      </c>
      <c r="M54" s="118" t="str">
        <f>IF('Chemicals Data'!M54="","",'Chemicals Data'!M54/'Chemicals Data'!M$7)</f>
        <v/>
      </c>
      <c r="N54" s="118" t="str">
        <f>IF('Chemicals Data'!N54="","",'Chemicals Data'!N54/'Chemicals Data'!N$7)</f>
        <v/>
      </c>
      <c r="O54" s="118" t="str">
        <f>IF('Chemicals Data'!O54="","",'Chemicals Data'!O54/'Chemicals Data'!O$7)</f>
        <v/>
      </c>
      <c r="P54" s="118" t="str">
        <f>IF('Chemicals Data'!P54="","",'Chemicals Data'!P54/'Chemicals Data'!P$7)</f>
        <v/>
      </c>
      <c r="Q54" s="118" t="str">
        <f>IF('Chemicals Data'!Q54="","",'Chemicals Data'!Q54/'Chemicals Data'!Q$7)</f>
        <v/>
      </c>
      <c r="R54" s="118" t="str">
        <f>IF('Chemicals Data'!R54="","",'Chemicals Data'!R54/'Chemicals Data'!R$7)</f>
        <v/>
      </c>
      <c r="S54" s="118">
        <f t="shared" si="0"/>
        <v>0.55000000000000004</v>
      </c>
      <c r="T54" s="118">
        <f t="shared" si="1"/>
        <v>0.55000000000000004</v>
      </c>
      <c r="U54" s="118">
        <f t="shared" si="2"/>
        <v>0.55000000000000004</v>
      </c>
      <c r="V54" s="118">
        <f t="shared" si="3"/>
        <v>0.55000000000000004</v>
      </c>
    </row>
    <row r="55" spans="1:22">
      <c r="A55" s="34" t="s">
        <v>137</v>
      </c>
      <c r="B55" s="118" t="str">
        <f>IF('Chemicals Data'!B55="","",'Chemicals Data'!B55/'Chemicals Data'!B$7)</f>
        <v/>
      </c>
      <c r="C55" s="118" t="str">
        <f>IF('Chemicals Data'!C55="","",'Chemicals Data'!C55/'Chemicals Data'!C$7)</f>
        <v/>
      </c>
      <c r="D55" s="118" t="str">
        <f>IF('Chemicals Data'!D55="","",'Chemicals Data'!D55/'Chemicals Data'!D$7)</f>
        <v/>
      </c>
      <c r="E55" s="118" t="str">
        <f>IF('Chemicals Data'!E55="","",'Chemicals Data'!E55/'Chemicals Data'!E$7)</f>
        <v/>
      </c>
      <c r="F55" s="118" t="str">
        <f>IF('Chemicals Data'!F55="","",'Chemicals Data'!F55/'Chemicals Data'!F$7)</f>
        <v/>
      </c>
      <c r="G55" s="118">
        <f>IF('Chemicals Data'!G55="","",'Chemicals Data'!G55/'Chemicals Data'!G$7)</f>
        <v>8.0645161290322578E-3</v>
      </c>
      <c r="H55" s="118">
        <f>IF('Chemicals Data'!H55="","",'Chemicals Data'!H55/'Chemicals Data'!H$7)</f>
        <v>4.3478260869565216E-2</v>
      </c>
      <c r="I55" s="118" t="str">
        <f>IF('Chemicals Data'!I55="","",'Chemicals Data'!I55/'Chemicals Data'!I$7)</f>
        <v/>
      </c>
      <c r="J55" s="118">
        <f>IF('Chemicals Data'!J55="","",'Chemicals Data'!J55/'Chemicals Data'!J$7)</f>
        <v>2.7027027027027029E-2</v>
      </c>
      <c r="K55" s="118" t="str">
        <f>IF('Chemicals Data'!K55="","",'Chemicals Data'!K55/'Chemicals Data'!K$7)</f>
        <v/>
      </c>
      <c r="L55" s="118" t="str">
        <f>IF('Chemicals Data'!L55="","",'Chemicals Data'!L55/'Chemicals Data'!L$7)</f>
        <v/>
      </c>
      <c r="M55" s="118">
        <f>IF('Chemicals Data'!M55="","",'Chemicals Data'!M55/'Chemicals Data'!M$7)</f>
        <v>4.0983606557377046E-2</v>
      </c>
      <c r="N55" s="118">
        <f>IF('Chemicals Data'!N55="","",'Chemicals Data'!N55/'Chemicals Data'!N$7)</f>
        <v>1.6666666666666666E-2</v>
      </c>
      <c r="O55" s="118" t="str">
        <f>IF('Chemicals Data'!O55="","",'Chemicals Data'!O55/'Chemicals Data'!O$7)</f>
        <v/>
      </c>
      <c r="P55" s="118">
        <f>IF('Chemicals Data'!P55="","",'Chemicals Data'!P55/'Chemicals Data'!P$7)</f>
        <v>2.7027027027027029E-2</v>
      </c>
      <c r="Q55" s="118" t="str">
        <f>IF('Chemicals Data'!Q55="","",'Chemicals Data'!Q55/'Chemicals Data'!Q$7)</f>
        <v/>
      </c>
      <c r="R55" s="118" t="str">
        <f>IF('Chemicals Data'!R55="","",'Chemicals Data'!R55/'Chemicals Data'!R$7)</f>
        <v/>
      </c>
      <c r="S55" s="118">
        <f t="shared" si="0"/>
        <v>0.16324710427669523</v>
      </c>
      <c r="T55" s="118">
        <f t="shared" si="1"/>
        <v>8.0645161290322578E-3</v>
      </c>
      <c r="U55" s="118">
        <f t="shared" si="2"/>
        <v>4.3478260869565216E-2</v>
      </c>
      <c r="V55" s="118">
        <f t="shared" si="3"/>
        <v>2.7027027027027029E-2</v>
      </c>
    </row>
    <row r="56" spans="1:22">
      <c r="A56" s="34" t="s">
        <v>131</v>
      </c>
      <c r="B56" s="118">
        <f>IF('Chemicals Data'!B56="","",'Chemicals Data'!B56/'Chemicals Data'!B$7)</f>
        <v>0.13725490196078433</v>
      </c>
      <c r="C56" s="118">
        <f>IF('Chemicals Data'!C56="","",'Chemicals Data'!C56/'Chemicals Data'!C$7)</f>
        <v>0.31914893617021278</v>
      </c>
      <c r="D56" s="118">
        <f>IF('Chemicals Data'!D56="","",'Chemicals Data'!D56/'Chemicals Data'!D$7)</f>
        <v>0.31578947368421051</v>
      </c>
      <c r="E56" s="118">
        <f>IF('Chemicals Data'!E56="","",'Chemicals Data'!E56/'Chemicals Data'!E$7)</f>
        <v>0.35</v>
      </c>
      <c r="F56" s="118">
        <f>IF('Chemicals Data'!F56="","",'Chemicals Data'!F56/'Chemicals Data'!F$7)</f>
        <v>0.19402985074626866</v>
      </c>
      <c r="G56" s="118">
        <f>IF('Chemicals Data'!G56="","",'Chemicals Data'!G56/'Chemicals Data'!G$7)</f>
        <v>0.24193548387096775</v>
      </c>
      <c r="H56" s="118">
        <f>IF('Chemicals Data'!H56="","",'Chemicals Data'!H56/'Chemicals Data'!H$7)</f>
        <v>0.15217391304347827</v>
      </c>
      <c r="I56" s="118">
        <f>IF('Chemicals Data'!I56="","",'Chemicals Data'!I56/'Chemicals Data'!I$7)</f>
        <v>0.21839080459770116</v>
      </c>
      <c r="J56" s="118">
        <f>IF('Chemicals Data'!J56="","",'Chemicals Data'!J56/'Chemicals Data'!J$7)</f>
        <v>0.21621621621621623</v>
      </c>
      <c r="K56" s="118">
        <f>IF('Chemicals Data'!K56="","",'Chemicals Data'!K56/'Chemicals Data'!K$7)</f>
        <v>0.375</v>
      </c>
      <c r="L56" s="118">
        <f>IF('Chemicals Data'!L56="","",'Chemicals Data'!L56/'Chemicals Data'!L$7)</f>
        <v>0.16666666666666666</v>
      </c>
      <c r="M56" s="118">
        <f>IF('Chemicals Data'!M56="","",'Chemicals Data'!M56/'Chemicals Data'!M$7)</f>
        <v>4.9180327868852458E-2</v>
      </c>
      <c r="N56" s="118">
        <f>IF('Chemicals Data'!N56="","",'Chemicals Data'!N56/'Chemicals Data'!N$7)</f>
        <v>0.2</v>
      </c>
      <c r="O56" s="118">
        <f>IF('Chemicals Data'!O56="","",'Chemicals Data'!O56/'Chemicals Data'!O$7)</f>
        <v>0.31578947368421051</v>
      </c>
      <c r="P56" s="118">
        <f>IF('Chemicals Data'!P56="","",'Chemicals Data'!P56/'Chemicals Data'!P$7)</f>
        <v>0.29729729729729731</v>
      </c>
      <c r="Q56" s="118">
        <f>IF('Chemicals Data'!Q56="","",'Chemicals Data'!Q56/'Chemicals Data'!Q$7)</f>
        <v>0.3888888888888889</v>
      </c>
      <c r="R56" s="118">
        <f>IF('Chemicals Data'!R56="","",'Chemicals Data'!R56/'Chemicals Data'!R$7)</f>
        <v>0.17741935483870969</v>
      </c>
      <c r="S56" s="118">
        <f t="shared" si="0"/>
        <v>4.1151815895344654</v>
      </c>
      <c r="T56" s="118">
        <f t="shared" si="1"/>
        <v>4.9180327868852458E-2</v>
      </c>
      <c r="U56" s="118">
        <f t="shared" si="2"/>
        <v>0.3888888888888889</v>
      </c>
      <c r="V56" s="118">
        <f t="shared" si="3"/>
        <v>0.21839080459770116</v>
      </c>
    </row>
    <row r="57" spans="1:22"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</row>
    <row r="58" spans="1:22">
      <c r="B58" s="26"/>
    </row>
    <row r="59" spans="1:22">
      <c r="B59" s="26"/>
      <c r="C59" s="9"/>
      <c r="D59" s="38"/>
      <c r="E59" s="8"/>
      <c r="F59" s="10"/>
      <c r="I59" s="10"/>
    </row>
    <row r="60" spans="1:22">
      <c r="B60" s="26"/>
      <c r="C60" s="9"/>
      <c r="D60" s="38"/>
      <c r="E60" s="8"/>
      <c r="F60" s="10"/>
      <c r="I60" s="28"/>
    </row>
    <row r="61" spans="1:22">
      <c r="B61" s="26"/>
      <c r="C61" s="9"/>
      <c r="D61" s="38"/>
      <c r="E61" s="8"/>
      <c r="F61" s="10"/>
      <c r="I61" s="10"/>
    </row>
    <row r="62" spans="1:22">
      <c r="B62" s="26"/>
      <c r="C62" s="9"/>
      <c r="D62" s="38"/>
      <c r="E62" s="8"/>
      <c r="F62" s="10"/>
      <c r="I62" s="28"/>
    </row>
    <row r="63" spans="1:22">
      <c r="C63" s="9"/>
      <c r="D63" s="38"/>
      <c r="E63" s="8"/>
      <c r="F63" s="10"/>
    </row>
    <row r="64" spans="1:22">
      <c r="C64" s="9"/>
      <c r="D64" s="38"/>
      <c r="E64" s="8"/>
      <c r="F64" s="10"/>
    </row>
    <row r="65" spans="3:6">
      <c r="C65" s="9"/>
      <c r="D65" s="38"/>
      <c r="E65" s="8"/>
      <c r="F65" s="10"/>
    </row>
    <row r="66" spans="3:6">
      <c r="C66" s="9"/>
      <c r="D66" s="38"/>
      <c r="E66" s="8"/>
      <c r="F66" s="10"/>
    </row>
    <row r="67" spans="3:6">
      <c r="C67" s="9"/>
      <c r="D67" s="38"/>
      <c r="E67" s="8"/>
      <c r="F67" s="10"/>
    </row>
    <row r="68" spans="3:6">
      <c r="C68" s="9"/>
      <c r="D68" s="38"/>
      <c r="E68" s="8"/>
      <c r="F68" s="10"/>
    </row>
    <row r="69" spans="3:6">
      <c r="C69" s="9"/>
      <c r="D69" s="38"/>
      <c r="E69" s="8"/>
      <c r="F69" s="10"/>
    </row>
    <row r="70" spans="3:6">
      <c r="C70" s="9"/>
      <c r="D70" s="38"/>
      <c r="E70" s="8"/>
      <c r="F70" s="10"/>
    </row>
    <row r="71" spans="3:6">
      <c r="C71" s="9"/>
      <c r="D71" s="38"/>
      <c r="E71" s="8"/>
      <c r="F71" s="10"/>
    </row>
    <row r="72" spans="3:6">
      <c r="C72" s="9"/>
      <c r="D72" s="38"/>
      <c r="E72" s="8"/>
      <c r="F72" s="10"/>
    </row>
    <row r="73" spans="3:6">
      <c r="C73" s="9"/>
      <c r="D73" s="38"/>
      <c r="E73" s="8"/>
      <c r="F73" s="10"/>
    </row>
    <row r="74" spans="3:6">
      <c r="C74" s="9"/>
      <c r="D74" s="38"/>
      <c r="E74" s="8"/>
      <c r="F74" s="10"/>
    </row>
    <row r="75" spans="3:6">
      <c r="C75" s="9"/>
      <c r="D75" s="38"/>
      <c r="E75" s="8"/>
      <c r="F75" s="10"/>
    </row>
    <row r="76" spans="3:6">
      <c r="C76" s="9"/>
      <c r="D76" s="38"/>
      <c r="E76" s="8"/>
      <c r="F76" s="10"/>
    </row>
    <row r="77" spans="3:6">
      <c r="C77" s="9"/>
      <c r="D77" s="38"/>
      <c r="E77" s="8"/>
      <c r="F77" s="10"/>
    </row>
    <row r="78" spans="3:6">
      <c r="C78" s="9"/>
      <c r="D78" s="38"/>
      <c r="E78" s="8"/>
      <c r="F78" s="10"/>
    </row>
    <row r="79" spans="3:6">
      <c r="C79" s="9"/>
      <c r="D79" s="38"/>
      <c r="E79" s="8"/>
      <c r="F79" s="10"/>
    </row>
    <row r="80" spans="3:6">
      <c r="C80" s="9"/>
      <c r="D80" s="38"/>
      <c r="E80" s="8"/>
      <c r="F80" s="10"/>
    </row>
    <row r="81" spans="3:6">
      <c r="C81" s="9"/>
      <c r="D81" s="38"/>
      <c r="E81" s="8"/>
      <c r="F81" s="10"/>
    </row>
    <row r="82" spans="3:6">
      <c r="C82" s="9"/>
      <c r="D82" s="38"/>
      <c r="E82" s="8"/>
      <c r="F82" s="10"/>
    </row>
    <row r="83" spans="3:6">
      <c r="C83" s="9"/>
      <c r="D83" s="38"/>
      <c r="E83" s="8"/>
      <c r="F83" s="10"/>
    </row>
    <row r="84" spans="3:6">
      <c r="F84" s="10"/>
    </row>
    <row r="85" spans="3:6">
      <c r="F85" s="10"/>
    </row>
    <row r="86" spans="3:6">
      <c r="F8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K67"/>
  <sheetViews>
    <sheetView workbookViewId="0">
      <pane ySplit="1" topLeftCell="A2" activePane="bottomLeft" state="frozen"/>
      <selection pane="bottomLeft" activeCell="A8" sqref="A8"/>
    </sheetView>
  </sheetViews>
  <sheetFormatPr defaultRowHeight="15"/>
  <cols>
    <col min="1" max="1" width="44.5703125" style="34" customWidth="1"/>
    <col min="2" max="18" width="8.7109375" customWidth="1"/>
    <col min="19" max="19" width="10.85546875" customWidth="1"/>
    <col min="20" max="22" width="8.7109375" customWidth="1"/>
  </cols>
  <sheetData>
    <row r="1" spans="1:37"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  <c r="S1" s="34" t="s">
        <v>57</v>
      </c>
      <c r="T1" s="34" t="s">
        <v>58</v>
      </c>
      <c r="U1" s="34" t="s">
        <v>59</v>
      </c>
      <c r="V1" s="34" t="s">
        <v>60</v>
      </c>
      <c r="X1" t="s">
        <v>45</v>
      </c>
      <c r="Y1" t="s">
        <v>44</v>
      </c>
      <c r="Z1" t="s">
        <v>43</v>
      </c>
      <c r="AA1" t="s">
        <v>42</v>
      </c>
      <c r="AB1" t="s">
        <v>41</v>
      </c>
      <c r="AC1" t="s">
        <v>40</v>
      </c>
      <c r="AD1" t="s">
        <v>47</v>
      </c>
      <c r="AE1" t="s">
        <v>49</v>
      </c>
      <c r="AF1" t="s">
        <v>50</v>
      </c>
      <c r="AG1" t="s">
        <v>51</v>
      </c>
      <c r="AH1" t="s">
        <v>53</v>
      </c>
      <c r="AI1" t="s">
        <v>52</v>
      </c>
      <c r="AJ1" t="s">
        <v>54</v>
      </c>
      <c r="AK1" t="s">
        <v>55</v>
      </c>
    </row>
    <row r="2" spans="1:37">
      <c r="A2" s="34" t="s">
        <v>127</v>
      </c>
      <c r="B2" s="125">
        <f>'Chemicals Analysis'!B2-'Chemicals Analysis'!$V2</f>
        <v>-3.4277788951262884E-3</v>
      </c>
      <c r="C2" s="125">
        <f>'Chemicals Analysis'!C2-'Chemicals Analysis'!$V2</f>
        <v>2.9488794483932337E-2</v>
      </c>
      <c r="D2" s="125">
        <f>'Chemicals Analysis'!D2-'Chemicals Analysis'!$V2</f>
        <v>-1.0711723515293344E-2</v>
      </c>
      <c r="E2" s="125">
        <f>'Chemicals Analysis'!E2-'Chemicals Analysis'!$V2</f>
        <v>-9.9184703220374752E-3</v>
      </c>
      <c r="F2" s="125">
        <f>'Chemicals Analysis'!F2-'Chemicals Analysis'!$V2</f>
        <v>6.335682999133542E-3</v>
      </c>
      <c r="G2" s="125">
        <f>'Chemicals Analysis'!G2-'Chemicals Analysis'!$V2</f>
        <v>0</v>
      </c>
      <c r="H2" s="125">
        <f>'Chemicals Analysis'!H2-'Chemicals Analysis'!$V2</f>
        <v>9.8384059631052637E-3</v>
      </c>
      <c r="I2" s="125">
        <f>'Chemicals Analysis'!I2-'Chemicals Analysis'!$V2</f>
        <v>3.0083333686172907E-2</v>
      </c>
      <c r="J2" s="125">
        <f>'Chemicals Analysis'!J2-'Chemicals Analysis'!$V2</f>
        <v>5.9447295592142783E-3</v>
      </c>
      <c r="K2" s="125">
        <f>'Chemicals Analysis'!K2-'Chemicals Analysis'!$V2</f>
        <v>-4.5013436224649308E-3</v>
      </c>
      <c r="L2" s="125">
        <f>'Chemicals Analysis'!L2-'Chemicals Analysis'!$V2</f>
        <v>-3.4100149515906529E-4</v>
      </c>
      <c r="M2" s="125">
        <f>'Chemicals Analysis'!M2-'Chemicals Analysis'!$V2</f>
        <v>1.531920965012144E-3</v>
      </c>
      <c r="N2" s="125">
        <f>'Chemicals Analysis'!N2-'Chemicals Analysis'!$V2</f>
        <v>4.0741136373053204E-3</v>
      </c>
      <c r="O2" s="125">
        <f>'Chemicals Analysis'!O2-'Chemicals Analysis'!$V2</f>
        <v>-1.0628532392908042E-2</v>
      </c>
      <c r="P2" s="125">
        <f>'Chemicals Analysis'!P2-'Chemicals Analysis'!$V2</f>
        <v>-7.2366796203907147E-3</v>
      </c>
      <c r="Q2" s="125">
        <f>'Chemicals Analysis'!Q2-'Chemicals Analysis'!$V2</f>
        <v>-1.0601354844587511E-2</v>
      </c>
      <c r="R2" s="125">
        <f>'Chemicals Analysis'!R2-'Chemicals Analysis'!$V2</f>
        <v>5.8486104342162226E-3</v>
      </c>
      <c r="S2" s="39">
        <f>SUM(B2:R2)</f>
        <v>3.5778707020124638E-2</v>
      </c>
      <c r="T2" s="39">
        <f>MIN(B2:R2)</f>
        <v>-1.0711723515293344E-2</v>
      </c>
      <c r="U2" s="39">
        <f>MAX(B2:R2)</f>
        <v>3.0083333686172907E-2</v>
      </c>
      <c r="V2" s="39">
        <f>MEDIAN(B2:R2)</f>
        <v>0</v>
      </c>
    </row>
    <row r="3" spans="1:37">
      <c r="A3" s="34" t="s">
        <v>118</v>
      </c>
      <c r="B3" s="125">
        <f>'Chemicals Analysis'!B3-'Chemicals Analysis'!$V3</f>
        <v>-3.4305224545381457E-2</v>
      </c>
      <c r="C3" s="125">
        <f>'Chemicals Analysis'!C3-'Chemicals Analysis'!$V3</f>
        <v>3.9505906899063969E-2</v>
      </c>
      <c r="D3" s="125">
        <f>'Chemicals Analysis'!D3-'Chemicals Analysis'!$V3</f>
        <v>-0.12545963021281067</v>
      </c>
      <c r="E3" s="125">
        <f>'Chemicals Analysis'!E3-'Chemicals Analysis'!$V3</f>
        <v>0.25505453867709993</v>
      </c>
      <c r="F3" s="125">
        <f>'Chemicals Analysis'!F3-'Chemicals Analysis'!$V3</f>
        <v>-3.3149826633977336E-2</v>
      </c>
      <c r="G3" s="125">
        <f>'Chemicals Analysis'!G3-'Chemicals Analysis'!$V3</f>
        <v>0</v>
      </c>
      <c r="H3" s="125">
        <f>'Chemicals Analysis'!H3-'Chemicals Analysis'!$V3</f>
        <v>5.6135812851271893E-2</v>
      </c>
      <c r="I3" s="125">
        <f>'Chemicals Analysis'!I3-'Chemicals Analysis'!$V3</f>
        <v>-1.5571266395787986E-3</v>
      </c>
      <c r="J3" s="125">
        <f>'Chemicals Analysis'!J3-'Chemicals Analysis'!$V3</f>
        <v>-5.6275088735567969E-2</v>
      </c>
      <c r="K3" s="125">
        <f>'Chemicals Analysis'!K3-'Chemicals Analysis'!$V3</f>
        <v>1.2188705322481841E-2</v>
      </c>
      <c r="L3" s="125">
        <f>'Chemicals Analysis'!L3-'Chemicals Analysis'!$V3</f>
        <v>4.0037113003116354E-2</v>
      </c>
      <c r="M3" s="125">
        <f>'Chemicals Analysis'!M3-'Chemicals Analysis'!$V3</f>
        <v>-1.7917252801139538E-3</v>
      </c>
      <c r="N3" s="125">
        <f>'Chemicals Analysis'!N3-'Chemicals Analysis'!$V3</f>
        <v>4.3241934293215545E-3</v>
      </c>
      <c r="O3" s="125">
        <f>'Chemicals Analysis'!O3-'Chemicals Analysis'!$V3</f>
        <v>7.6771073315905436E-2</v>
      </c>
      <c r="P3" s="125">
        <f>'Chemicals Analysis'!P3-'Chemicals Analysis'!$V3</f>
        <v>-8.3606772216707814E-2</v>
      </c>
      <c r="Q3" s="125">
        <f>'Chemicals Analysis'!Q3-'Chemicals Analysis'!$V3</f>
        <v>-4.9461127551991307E-2</v>
      </c>
      <c r="R3" s="125">
        <f>'Chemicals Analysis'!R3-'Chemicals Analysis'!$V3</f>
        <v>2.9115573867820932E-2</v>
      </c>
      <c r="S3" s="17">
        <f t="shared" ref="S3:S37" si="0">SUM(B3:R3)</f>
        <v>0.1275263955499526</v>
      </c>
      <c r="T3" s="39">
        <f t="shared" ref="T3:T37" si="1">MIN(B3:R3)</f>
        <v>-0.12545963021281067</v>
      </c>
      <c r="U3" s="39">
        <f t="shared" ref="U3:U37" si="2">MAX(B3:R3)</f>
        <v>0.25505453867709993</v>
      </c>
      <c r="V3" s="39">
        <f t="shared" ref="V3:V37" si="3">MEDIAN(B3:R3)</f>
        <v>0</v>
      </c>
    </row>
    <row r="4" spans="1:37">
      <c r="A4" s="34" t="s">
        <v>119</v>
      </c>
      <c r="B4" s="125">
        <f>'Chemicals Analysis'!B4-'Chemicals Analysis'!$V4</f>
        <v>1.795911898604835E-2</v>
      </c>
      <c r="C4" s="125">
        <f>'Chemicals Analysis'!C4-'Chemicals Analysis'!$V4</f>
        <v>-2.9702962291438678E-2</v>
      </c>
      <c r="D4" s="125">
        <f>'Chemicals Analysis'!D4-'Chemicals Analysis'!$V4</f>
        <v>-0.16625216725660991</v>
      </c>
      <c r="E4" s="125">
        <f>'Chemicals Analysis'!E4-'Chemicals Analysis'!$V4</f>
        <v>-0.15601070454549715</v>
      </c>
      <c r="F4" s="125">
        <f>'Chemicals Analysis'!F4-'Chemicals Analysis'!$V4</f>
        <v>0</v>
      </c>
      <c r="G4" s="125">
        <f>'Chemicals Analysis'!G4-'Chemicals Analysis'!$V4</f>
        <v>-1.0087897832216308E-2</v>
      </c>
      <c r="H4" s="125">
        <f>'Chemicals Analysis'!H4-'Chemicals Analysis'!$V4</f>
        <v>1.3604245966647388E-2</v>
      </c>
      <c r="I4" s="125">
        <f>'Chemicals Analysis'!I4-'Chemicals Analysis'!$V4</f>
        <v>2.9421424263532225E-2</v>
      </c>
      <c r="J4" s="125">
        <f>'Chemicals Analysis'!J4-'Chemicals Analysis'!$V4</f>
        <v>3.2197950303538225E-2</v>
      </c>
      <c r="K4" s="125">
        <f>'Chemicals Analysis'!K4-'Chemicals Analysis'!$V4</f>
        <v>-7.1872497743845104E-2</v>
      </c>
      <c r="L4" s="125">
        <f>'Chemicals Analysis'!L4-'Chemicals Analysis'!$V4</f>
        <v>-9.0564691656955548E-2</v>
      </c>
      <c r="M4" s="125">
        <f>'Chemicals Analysis'!M4-'Chemicals Analysis'!$V4</f>
        <v>5.9545937257479642E-2</v>
      </c>
      <c r="N4" s="125">
        <f>'Chemicals Analysis'!N4-'Chemicals Analysis'!$V4</f>
        <v>3.8915862000733881E-2</v>
      </c>
      <c r="O4" s="125">
        <f>'Chemicals Analysis'!O4-'Chemicals Analysis'!$V4</f>
        <v>-5.1696113596167992E-3</v>
      </c>
      <c r="P4" s="125">
        <f>'Chemicals Analysis'!P4-'Chemicals Analysis'!$V4</f>
        <v>0.10990889724519082</v>
      </c>
      <c r="Q4" s="125">
        <f>'Chemicals Analysis'!Q4-'Chemicals Analysis'!$V4</f>
        <v>4.4948117802430798E-3</v>
      </c>
      <c r="R4" s="125">
        <f>'Chemicals Analysis'!R4-'Chemicals Analysis'!$V4</f>
        <v>-7.6592409962230212E-2</v>
      </c>
      <c r="S4" s="61">
        <f t="shared" si="0"/>
        <v>-0.30020469484499612</v>
      </c>
      <c r="T4" s="39">
        <f t="shared" si="1"/>
        <v>-0.16625216725660991</v>
      </c>
      <c r="U4" s="39">
        <f t="shared" si="2"/>
        <v>0.10990889724519082</v>
      </c>
      <c r="V4" s="39">
        <f t="shared" si="3"/>
        <v>0</v>
      </c>
    </row>
    <row r="5" spans="1:37">
      <c r="A5" s="34" t="s">
        <v>120</v>
      </c>
      <c r="B5" s="125">
        <f>'Chemicals Analysis'!B5-'Chemicals Analysis'!$V5</f>
        <v>1.9054625809148434E-2</v>
      </c>
      <c r="C5" s="125">
        <f>'Chemicals Analysis'!C5-'Chemicals Analysis'!$V5</f>
        <v>-3.0307957852096501E-3</v>
      </c>
      <c r="D5" s="125">
        <f>'Chemicals Analysis'!D5-'Chemicals Analysis'!$V5</f>
        <v>0.26189027952268418</v>
      </c>
      <c r="E5" s="125">
        <f>'Chemicals Analysis'!E5-'Chemicals Analysis'!$V5</f>
        <v>-5.7109150318732954E-2</v>
      </c>
      <c r="F5" s="125">
        <f>'Chemicals Analysis'!F5-'Chemicals Analysis'!$V5</f>
        <v>3.4569404053986869E-2</v>
      </c>
      <c r="G5" s="125">
        <f>'Chemicals Analysis'!G5-'Chemicals Analysis'!$V5</f>
        <v>1.0666151497502052E-2</v>
      </c>
      <c r="H5" s="125">
        <f>'Chemicals Analysis'!H5-'Chemicals Analysis'!$V5</f>
        <v>-8.6352168915450694E-2</v>
      </c>
      <c r="I5" s="125">
        <f>'Chemicals Analysis'!I5-'Chemicals Analysis'!$V5</f>
        <v>5.3983271893407375E-2</v>
      </c>
      <c r="J5" s="125">
        <f>'Chemicals Analysis'!J5-'Chemicals Analysis'!$V5</f>
        <v>2.5197067085795249E-2</v>
      </c>
      <c r="K5" s="125">
        <f>'Chemicals Analysis'!K5-'Chemicals Analysis'!$V5</f>
        <v>-8.719752311018264E-3</v>
      </c>
      <c r="L5" s="125">
        <f>'Chemicals Analysis'!L5-'Chemicals Analysis'!$V5</f>
        <v>4.4427324653769223E-2</v>
      </c>
      <c r="M5" s="125">
        <f>'Chemicals Analysis'!M5-'Chemicals Analysis'!$V5</f>
        <v>-1.3248250900465719E-2</v>
      </c>
      <c r="N5" s="125">
        <f>'Chemicals Analysis'!N5-'Chemicals Analysis'!$V5</f>
        <v>-7.4865178385209119E-2</v>
      </c>
      <c r="O5" s="125">
        <f>'Chemicals Analysis'!O5-'Chemicals Analysis'!$V5</f>
        <v>0</v>
      </c>
      <c r="P5" s="125">
        <f>'Chemicals Analysis'!P5-'Chemicals Analysis'!$V5</f>
        <v>-5.6306164461696701E-2</v>
      </c>
      <c r="Q5" s="125">
        <f>'Chemicals Analysis'!Q5-'Chemicals Analysis'!$V5</f>
        <v>2.1179479371239485E-2</v>
      </c>
      <c r="R5" s="125">
        <f>'Chemicals Analysis'!R5-'Chemicals Analysis'!$V5</f>
        <v>-3.8462821316562479E-3</v>
      </c>
      <c r="S5" s="61">
        <f t="shared" si="0"/>
        <v>0.16748986067809346</v>
      </c>
      <c r="T5" s="39">
        <f t="shared" si="1"/>
        <v>-8.6352168915450694E-2</v>
      </c>
      <c r="U5" s="39">
        <f t="shared" si="2"/>
        <v>0.26189027952268418</v>
      </c>
      <c r="V5" s="39">
        <f t="shared" si="3"/>
        <v>0</v>
      </c>
    </row>
    <row r="6" spans="1:37">
      <c r="A6" s="34" t="s">
        <v>121</v>
      </c>
      <c r="B6" s="125">
        <f>'Chemicals Analysis'!B6-'Chemicals Analysis'!$V6</f>
        <v>-2.1302665845296664E-3</v>
      </c>
      <c r="C6" s="125">
        <f>'Chemicals Analysis'!C6-'Chemicals Analysis'!$V6</f>
        <v>-6.1938951571298972E-3</v>
      </c>
      <c r="D6" s="125">
        <f>'Chemicals Analysis'!D6-'Chemicals Analysis'!$V6</f>
        <v>3.0399771612022092E-2</v>
      </c>
      <c r="E6" s="125">
        <f>'Chemicals Analysis'!E6-'Chemicals Analysis'!$V6</f>
        <v>-4.135643014758425E-2</v>
      </c>
      <c r="F6" s="125">
        <f>'Chemicals Analysis'!F6-'Chemicals Analysis'!$V6</f>
        <v>-8.4132375472387166E-4</v>
      </c>
      <c r="G6" s="125">
        <f>'Chemicals Analysis'!G6-'Chemicals Analysis'!$V6</f>
        <v>0</v>
      </c>
      <c r="H6" s="125">
        <f>'Chemicals Analysis'!H6-'Chemicals Analysis'!$V6</f>
        <v>1.7190363762817101E-2</v>
      </c>
      <c r="I6" s="125">
        <f>'Chemicals Analysis'!I6-'Chemicals Analysis'!$V6</f>
        <v>-8.1269315852075197E-2</v>
      </c>
      <c r="J6" s="125">
        <f>'Chemicals Analysis'!J6-'Chemicals Analysis'!$V6</f>
        <v>-5.4167498847979001E-4</v>
      </c>
      <c r="K6" s="125">
        <f>'Chemicals Analysis'!K6-'Chemicals Analysis'!$V6</f>
        <v>6.8981798397667243E-2</v>
      </c>
      <c r="L6" s="125">
        <f>'Chemicals Analysis'!L6-'Chemicals Analysis'!$V6</f>
        <v>6.6785076653556319E-3</v>
      </c>
      <c r="M6" s="125">
        <f>'Chemicals Analysis'!M6-'Chemicals Analysis'!$V6</f>
        <v>-4.3927707411614281E-2</v>
      </c>
      <c r="N6" s="125">
        <f>'Chemicals Analysis'!N6-'Chemicals Analysis'!$V6</f>
        <v>3.2203376620439456E-2</v>
      </c>
      <c r="O6" s="125">
        <f>'Chemicals Analysis'!O6-'Chemicals Analysis'!$V6</f>
        <v>-7.1023208291002976E-2</v>
      </c>
      <c r="P6" s="125">
        <f>'Chemicals Analysis'!P6-'Chemicals Analysis'!$V6</f>
        <v>3.058229309849933E-2</v>
      </c>
      <c r="Q6" s="125">
        <f>'Chemicals Analysis'!Q6-'Chemicals Analysis'!$V6</f>
        <v>2.4365090065794487E-2</v>
      </c>
      <c r="R6" s="125">
        <f>'Chemicals Analysis'!R6-'Chemicals Analysis'!$V6</f>
        <v>5.1901371891351272E-2</v>
      </c>
      <c r="S6" s="61">
        <f t="shared" si="0"/>
        <v>1.5018750926806684E-2</v>
      </c>
      <c r="T6" s="39">
        <f t="shared" si="1"/>
        <v>-8.1269315852075197E-2</v>
      </c>
      <c r="U6" s="39">
        <f t="shared" si="2"/>
        <v>6.8981798397667243E-2</v>
      </c>
      <c r="V6" s="39">
        <f t="shared" si="3"/>
        <v>0</v>
      </c>
    </row>
    <row r="7" spans="1:37">
      <c r="A7" s="34" t="s">
        <v>126</v>
      </c>
      <c r="B7" s="125">
        <f>'Chemicals Analysis'!B7-'Chemicals Analysis'!$V7</f>
        <v>2.8691096348130909E-4</v>
      </c>
      <c r="C7" s="125">
        <f>'Chemicals Analysis'!C7-'Chemicals Analysis'!$V7</f>
        <v>0</v>
      </c>
      <c r="D7" s="125">
        <f>'Chemicals Analysis'!D7-'Chemicals Analysis'!$V7</f>
        <v>-2.7109680112871667E-3</v>
      </c>
      <c r="E7" s="125">
        <f>'Chemicals Analysis'!E7-'Chemicals Analysis'!$V7</f>
        <v>-9.9567278426446974E-4</v>
      </c>
      <c r="F7" s="125">
        <f>'Chemicals Analysis'!F7-'Chemicals Analysis'!$V7</f>
        <v>1.5296181980046482E-3</v>
      </c>
      <c r="G7" s="125">
        <f>'Chemicals Analysis'!G7-'Chemicals Analysis'!$V7</f>
        <v>-1.5695024386105996E-3</v>
      </c>
      <c r="H7" s="125">
        <f>'Chemicals Analysis'!H7-'Chemicals Analysis'!$V7</f>
        <v>-1.1526306720419199E-3</v>
      </c>
      <c r="I7" s="125">
        <f>'Chemicals Analysis'!I7-'Chemicals Analysis'!$V7</f>
        <v>-9.1050567932610734E-4</v>
      </c>
      <c r="J7" s="125">
        <f>'Chemicals Analysis'!J7-'Chemicals Analysis'!$V7</f>
        <v>1.1975266545600155E-3</v>
      </c>
      <c r="K7" s="125">
        <f>'Chemicals Analysis'!K7-'Chemicals Analysis'!$V7</f>
        <v>-9.750681829694941E-4</v>
      </c>
      <c r="L7" s="125">
        <f>'Chemicals Analysis'!L7-'Chemicals Analysis'!$V7</f>
        <v>1.0376653299514179E-2</v>
      </c>
      <c r="M7" s="125">
        <f>'Chemicals Analysis'!M7-'Chemicals Analysis'!$V7</f>
        <v>1.6508724469522732E-3</v>
      </c>
      <c r="N7" s="125">
        <f>'Chemicals Analysis'!N7-'Chemicals Analysis'!$V7</f>
        <v>7.03125389260921E-3</v>
      </c>
      <c r="O7" s="125">
        <f>'Chemicals Analysis'!O7-'Chemicals Analysis'!$V7</f>
        <v>-3.0444907243679384E-3</v>
      </c>
      <c r="P7" s="125">
        <f>'Chemicals Analysis'!P7-'Chemicals Analysis'!$V7</f>
        <v>-3.7220937885565656E-4</v>
      </c>
      <c r="Q7" s="125">
        <f>'Chemicals Analysis'!Q7-'Chemicals Analysis'!$V7</f>
        <v>2.3848606870626229E-3</v>
      </c>
      <c r="R7" s="125">
        <f>'Chemicals Analysis'!R7-'Chemicals Analysis'!$V7</f>
        <v>2.7692755496493814E-3</v>
      </c>
      <c r="S7" s="61">
        <f t="shared" si="0"/>
        <v>1.5495923820110287E-2</v>
      </c>
      <c r="T7" s="39">
        <f t="shared" si="1"/>
        <v>-3.0444907243679384E-3</v>
      </c>
      <c r="U7" s="39">
        <f t="shared" si="2"/>
        <v>1.0376653299514179E-2</v>
      </c>
      <c r="V7" s="39">
        <f t="shared" si="3"/>
        <v>0</v>
      </c>
    </row>
    <row r="8" spans="1:37">
      <c r="A8" s="34" t="s">
        <v>122</v>
      </c>
      <c r="B8" s="125">
        <f>'Chemicals Analysis'!B8-'Chemicals Analysis'!$V8</f>
        <v>0</v>
      </c>
      <c r="C8" s="125">
        <f>'Chemicals Analysis'!C8-'Chemicals Analysis'!$V8</f>
        <v>-2.0859407592823676E-3</v>
      </c>
      <c r="D8" s="125">
        <f>'Chemicals Analysis'!D8-'Chemicals Analysis'!$V8</f>
        <v>1.1351909184726505E-2</v>
      </c>
      <c r="E8" s="125">
        <f>'Chemicals Analysis'!E8-'Chemicals Analysis'!$V8</f>
        <v>-0.22549019607843135</v>
      </c>
      <c r="F8" s="125">
        <f>'Chemicals Analysis'!F8-'Chemicals Analysis'!$V8</f>
        <v>0.11033069944395668</v>
      </c>
      <c r="G8" s="125">
        <f>'Chemicals Analysis'!G8-'Chemicals Analysis'!$V8</f>
        <v>-3.1941808981657105E-2</v>
      </c>
      <c r="H8" s="125">
        <f>'Chemicals Analysis'!H8-'Chemicals Analysis'!$V8</f>
        <v>-2.983802216538789E-2</v>
      </c>
      <c r="I8" s="125">
        <f>'Chemicals Analysis'!I8-'Chemicals Analysis'!$V8</f>
        <v>0.10209601081812036</v>
      </c>
      <c r="J8" s="125">
        <f>'Chemicals Analysis'!J8-'Chemicals Analysis'!$V8</f>
        <v>3.126656067832545E-2</v>
      </c>
      <c r="K8" s="125">
        <f>'Chemicals Analysis'!K8-'Chemicals Analysis'!$V8</f>
        <v>0.14950980392156865</v>
      </c>
      <c r="L8" s="125">
        <f>'Chemicals Analysis'!L8-'Chemicals Analysis'!$V8</f>
        <v>-0.14215686274509798</v>
      </c>
      <c r="M8" s="125">
        <f>'Chemicals Analysis'!M8-'Chemicals Analysis'!$V8</f>
        <v>1.2214721954355579E-2</v>
      </c>
      <c r="N8" s="125">
        <f>'Chemicals Analysis'!N8-'Chemicals Analysis'!$V8</f>
        <v>-0.12549019607843137</v>
      </c>
      <c r="O8" s="125">
        <f>'Chemicals Analysis'!O8-'Chemicals Analysis'!$V8</f>
        <v>-4.1279669762641857E-2</v>
      </c>
      <c r="P8" s="125">
        <f>'Chemicals Analysis'!P8-'Chemicals Analysis'!$V8</f>
        <v>0.16640169581346054</v>
      </c>
      <c r="Q8" s="125">
        <f>'Chemicals Analysis'!Q8-'Chemicals Analysis'!$V8</f>
        <v>5.2287581699346442E-2</v>
      </c>
      <c r="R8" s="125">
        <f>'Chemicals Analysis'!R8-'Chemicals Analysis'!$V8</f>
        <v>-0.16097406704617323</v>
      </c>
      <c r="S8" s="61">
        <f t="shared" si="0"/>
        <v>-0.12379778010324294</v>
      </c>
      <c r="T8" s="39">
        <f t="shared" si="1"/>
        <v>-0.22549019607843135</v>
      </c>
      <c r="U8" s="39">
        <f t="shared" si="2"/>
        <v>0.16640169581346054</v>
      </c>
      <c r="V8" s="39">
        <f t="shared" si="3"/>
        <v>0</v>
      </c>
    </row>
    <row r="9" spans="1:37">
      <c r="A9" s="34" t="s">
        <v>123</v>
      </c>
      <c r="B9" s="125">
        <f>'Chemicals Analysis'!B9-'Chemicals Analysis'!$V9</f>
        <v>5.0442757748260569E-2</v>
      </c>
      <c r="C9" s="125">
        <f>'Chemicals Analysis'!C9-'Chemicals Analysis'!$V9</f>
        <v>-9.5573095401509933E-2</v>
      </c>
      <c r="D9" s="125">
        <f>'Chemicals Analysis'!D9-'Chemicals Analysis'!$V9</f>
        <v>2.9711375212223556E-3</v>
      </c>
      <c r="E9" s="125">
        <f>'Chemicals Analysis'!E9-'Chemicals Analysis'!$V9</f>
        <v>-0.2338709677419355</v>
      </c>
      <c r="F9" s="125">
        <f>'Chemicals Analysis'!F9-'Chemicals Analysis'!$V9</f>
        <v>0.11687530091478093</v>
      </c>
      <c r="G9" s="125">
        <f>'Chemicals Analysis'!G9-'Chemicals Analysis'!$V9</f>
        <v>0</v>
      </c>
      <c r="H9" s="125">
        <f>'Chemicals Analysis'!H9-'Chemicals Analysis'!$V9</f>
        <v>-3.8218793828892039E-2</v>
      </c>
      <c r="I9" s="125">
        <f>'Chemicals Analysis'!I9-'Chemicals Analysis'!$V9</f>
        <v>-6.7204301075268869E-2</v>
      </c>
      <c r="J9" s="125">
        <f>'Chemicals Analysis'!J9-'Chemicals Analysis'!$V9</f>
        <v>2.2885789014821301E-2</v>
      </c>
      <c r="K9" s="125">
        <f>'Chemicals Analysis'!K9-'Chemicals Analysis'!$V9</f>
        <v>0.2661290322580645</v>
      </c>
      <c r="L9" s="125">
        <f>'Chemicals Analysis'!L9-'Chemicals Analysis'!$V9</f>
        <v>-8.3870967741935476E-2</v>
      </c>
      <c r="M9" s="125">
        <f>'Chemicals Analysis'!M9-'Chemicals Analysis'!$V9</f>
        <v>-4.36277102062399E-3</v>
      </c>
      <c r="N9" s="125">
        <f>'Chemicals Analysis'!N9-'Chemicals Analysis'!$V9</f>
        <v>-0.16720430107526885</v>
      </c>
      <c r="O9" s="125">
        <f>'Chemicals Analysis'!O9-'Chemicals Analysis'!$V9</f>
        <v>2.9711375212223556E-3</v>
      </c>
      <c r="P9" s="125">
        <f>'Chemicals Analysis'!P9-'Chemicals Analysis'!$V9</f>
        <v>0.10396687009590233</v>
      </c>
      <c r="Q9" s="125">
        <f>'Chemicals Analysis'!Q9-'Chemicals Analysis'!$V9</f>
        <v>4.3906810035842292E-2</v>
      </c>
      <c r="R9" s="125">
        <f>'Chemicals Analysis'!R9-'Chemicals Analysis'!$V9</f>
        <v>-4.0322580645161255E-2</v>
      </c>
      <c r="S9" s="61">
        <f t="shared" si="0"/>
        <v>-0.12047894342047927</v>
      </c>
      <c r="T9" s="39">
        <f t="shared" si="1"/>
        <v>-0.2338709677419355</v>
      </c>
      <c r="U9" s="39">
        <f t="shared" si="2"/>
        <v>0.2661290322580645</v>
      </c>
      <c r="V9" s="39">
        <f t="shared" si="3"/>
        <v>0</v>
      </c>
    </row>
    <row r="10" spans="1:37">
      <c r="A10" s="34" t="s">
        <v>124</v>
      </c>
      <c r="B10" s="125">
        <f>'Chemicals Analysis'!B10-'Chemicals Analysis'!$V10</f>
        <v>-5.1599587203302599E-3</v>
      </c>
      <c r="C10" s="125">
        <f>'Chemicals Analysis'!C10-'Chemicals Analysis'!$V10</f>
        <v>-0.10862262038073911</v>
      </c>
      <c r="D10" s="125">
        <f>'Chemicals Analysis'!D10-'Chemicals Analysis'!$V10</f>
        <v>0</v>
      </c>
      <c r="E10" s="125">
        <f>'Chemicals Analysis'!E10-'Chemicals Analysis'!$V10</f>
        <v>6.052631578947365E-2</v>
      </c>
      <c r="F10" s="125">
        <f>'Chemicals Analysis'!F10-'Chemicals Analysis'!$V10</f>
        <v>3.1421838177533412E-2</v>
      </c>
      <c r="G10" s="125">
        <f>'Chemicals Analysis'!G10-'Chemicals Analysis'!$V10</f>
        <v>-6.366723259762308E-2</v>
      </c>
      <c r="H10" s="125">
        <f>'Chemicals Analysis'!H10-'Chemicals Analysis'!$V10</f>
        <v>1.4874141876430214E-2</v>
      </c>
      <c r="I10" s="125">
        <f>'Chemicals Analysis'!I10-'Chemicals Analysis'!$V10</f>
        <v>-0.16878402903811252</v>
      </c>
      <c r="J10" s="125">
        <f>'Chemicals Analysis'!J10-'Chemicals Analysis'!$V10</f>
        <v>4.8364153627311501E-2</v>
      </c>
      <c r="K10" s="125">
        <f>'Chemicals Analysis'!K10-'Chemicals Analysis'!$V10</f>
        <v>8.5526315789473673E-2</v>
      </c>
      <c r="L10" s="125">
        <f>'Chemicals Analysis'!L10-'Chemicals Analysis'!$V10</f>
        <v>-0.17280701754385963</v>
      </c>
      <c r="M10" s="125">
        <f>'Chemicals Analysis'!M10-'Chemicals Analysis'!$V10</f>
        <v>-5.9965487489214819E-2</v>
      </c>
      <c r="N10" s="125">
        <f>'Chemicals Analysis'!N10-'Chemicals Analysis'!$V10</f>
        <v>-5.6140350877193046E-2</v>
      </c>
      <c r="O10" s="125">
        <f>'Chemicals Analysis'!O10-'Chemicals Analysis'!$V10</f>
        <v>5.2631578947368363E-2</v>
      </c>
      <c r="P10" s="125">
        <f>'Chemicals Analysis'!P10-'Chemicals Analysis'!$V10</f>
        <v>2.1337126600284528E-2</v>
      </c>
      <c r="Q10" s="125">
        <f>'Chemicals Analysis'!Q10-'Chemicals Analysis'!$V10</f>
        <v>9.9415204678362512E-2</v>
      </c>
      <c r="R10" s="125">
        <f>'Chemicals Analysis'!R10-'Chemicals Analysis'!$V10</f>
        <v>-0.1765704584040747</v>
      </c>
      <c r="S10" s="61">
        <f t="shared" si="0"/>
        <v>-0.39762047956490931</v>
      </c>
      <c r="T10" s="39">
        <f t="shared" si="1"/>
        <v>-0.1765704584040747</v>
      </c>
      <c r="U10" s="39">
        <f t="shared" si="2"/>
        <v>9.9415204678362512E-2</v>
      </c>
      <c r="V10" s="39">
        <f t="shared" si="3"/>
        <v>0</v>
      </c>
    </row>
    <row r="11" spans="1:37">
      <c r="A11" s="34" t="s">
        <v>125</v>
      </c>
      <c r="B11" s="125">
        <f>'Chemicals Analysis'!B11-'Chemicals Analysis'!$V11</f>
        <v>-1.9077901430842648E-2</v>
      </c>
      <c r="C11" s="125">
        <f>'Chemicals Analysis'!C11-'Chemicals Analysis'!$V11</f>
        <v>-0.14548591144335821</v>
      </c>
      <c r="D11" s="125">
        <f>'Chemicals Analysis'!D11-'Chemicals Analysis'!$V11</f>
        <v>0.11095305832147939</v>
      </c>
      <c r="E11" s="125">
        <f>'Chemicals Analysis'!E11-'Chemicals Analysis'!$V11</f>
        <v>6.6216216216216206E-2</v>
      </c>
      <c r="F11" s="125">
        <f>'Chemicals Analysis'!F11-'Chemicals Analysis'!$V11</f>
        <v>6.6962484872932659E-2</v>
      </c>
      <c r="G11" s="125">
        <f>'Chemicals Analysis'!G11-'Chemicals Analysis'!$V11</f>
        <v>-4.1848299912816023E-2</v>
      </c>
      <c r="H11" s="125">
        <f>'Chemicals Analysis'!H11-'Chemicals Analysis'!$V11</f>
        <v>0.10752056404230315</v>
      </c>
      <c r="I11" s="125">
        <f>'Chemicals Analysis'!I11-'Chemicals Analysis'!$V11</f>
        <v>-0.12861136999068035</v>
      </c>
      <c r="J11" s="125">
        <f>'Chemicals Analysis'!J11-'Chemicals Analysis'!$V11</f>
        <v>0</v>
      </c>
      <c r="K11" s="125">
        <f>'Chemicals Analysis'!K11-'Chemicals Analysis'!$V11</f>
        <v>0.15371621621621623</v>
      </c>
      <c r="L11" s="125">
        <f>'Chemicals Analysis'!L11-'Chemicals Analysis'!$V11</f>
        <v>-0.15045045045045047</v>
      </c>
      <c r="M11" s="125">
        <f>'Chemicals Analysis'!M11-'Chemicals Analysis'!$V11</f>
        <v>-7.0669029685423101E-2</v>
      </c>
      <c r="N11" s="125">
        <f>'Chemicals Analysis'!N11-'Chemicals Analysis'!$V11</f>
        <v>-0.15045045045045047</v>
      </c>
      <c r="O11" s="125">
        <f>'Chemicals Analysis'!O11-'Chemicals Analysis'!$V11</f>
        <v>0.11095305832147939</v>
      </c>
      <c r="P11" s="125">
        <f>'Chemicals Analysis'!P11-'Chemicals Analysis'!$V11</f>
        <v>5.4054054054054057E-2</v>
      </c>
      <c r="Q11" s="125">
        <f>'Chemicals Analysis'!Q11-'Chemicals Analysis'!$V11</f>
        <v>0.10510510510510507</v>
      </c>
      <c r="R11" s="125">
        <f>'Chemicals Analysis'!R11-'Chemicals Analysis'!$V11</f>
        <v>-0.12249346120313864</v>
      </c>
      <c r="S11" s="61">
        <f t="shared" si="0"/>
        <v>-5.3606117417373755E-2</v>
      </c>
      <c r="T11" s="39">
        <f t="shared" si="1"/>
        <v>-0.15045045045045047</v>
      </c>
      <c r="U11" s="39">
        <f t="shared" si="2"/>
        <v>0.15371621621621623</v>
      </c>
      <c r="V11" s="39">
        <f t="shared" si="3"/>
        <v>0</v>
      </c>
    </row>
    <row r="12" spans="1:37">
      <c r="A12" s="34" t="s">
        <v>34</v>
      </c>
      <c r="B12" s="125">
        <f>'Chemicals Analysis'!B12-'Chemicals Analysis'!$V12</f>
        <v>9.0553031243182282E-3</v>
      </c>
      <c r="C12" s="125">
        <f>'Chemicals Analysis'!C12-'Chemicals Analysis'!$V12</f>
        <v>0</v>
      </c>
      <c r="D12" s="125">
        <f>'Chemicals Analysis'!D12-'Chemicals Analysis'!$V12</f>
        <v>-6.2496080027340788E-3</v>
      </c>
      <c r="E12" s="125">
        <f>'Chemicals Analysis'!E12-'Chemicals Analysis'!$V12</f>
        <v>-4.3180460920315151E-3</v>
      </c>
      <c r="F12" s="125">
        <f>'Chemicals Analysis'!F12-'Chemicals Analysis'!$V12</f>
        <v>-3.7161293502662625E-3</v>
      </c>
      <c r="G12" s="125">
        <f>'Chemicals Analysis'!G12-'Chemicals Analysis'!$V12</f>
        <v>-3.4565145365602857E-3</v>
      </c>
      <c r="H12" s="125">
        <f>'Chemicals Analysis'!H12-'Chemicals Analysis'!$V12</f>
        <v>-4.7665093738932102E-4</v>
      </c>
      <c r="I12" s="125">
        <f>'Chemicals Analysis'!I12-'Chemicals Analysis'!$V12</f>
        <v>9.4825351273213586E-4</v>
      </c>
      <c r="J12" s="125">
        <f>'Chemicals Analysis'!J12-'Chemicals Analysis'!$V12</f>
        <v>9.4645853669113548E-3</v>
      </c>
      <c r="K12" s="125">
        <f>'Chemicals Analysis'!K12-'Chemicals Analysis'!$V12</f>
        <v>8.6054371189992103E-4</v>
      </c>
      <c r="L12" s="125">
        <f>'Chemicals Analysis'!L12-'Chemicals Analysis'!$V12</f>
        <v>2.8532966372623609E-3</v>
      </c>
      <c r="M12" s="125">
        <f>'Chemicals Analysis'!M12-'Chemicals Analysis'!$V12</f>
        <v>2.3252282724817191E-2</v>
      </c>
      <c r="N12" s="125">
        <f>'Chemicals Analysis'!N12-'Chemicals Analysis'!$V12</f>
        <v>1.5193306116137022E-2</v>
      </c>
      <c r="O12" s="125">
        <f>'Chemicals Analysis'!O12-'Chemicals Analysis'!$V12</f>
        <v>-8.3068671450285663E-3</v>
      </c>
      <c r="P12" s="125">
        <f>'Chemicals Analysis'!P12-'Chemicals Analysis'!$V12</f>
        <v>-1.7279011825138517E-4</v>
      </c>
      <c r="Q12" s="125">
        <f>'Chemicals Analysis'!Q12-'Chemicals Analysis'!$V12</f>
        <v>-8.7430746219246541E-3</v>
      </c>
      <c r="R12" s="125">
        <f>'Chemicals Analysis'!R12-'Chemicals Analysis'!$V12</f>
        <v>5.4560289146275646E-3</v>
      </c>
      <c r="S12" s="61">
        <f t="shared" si="0"/>
        <v>3.1643919304519708E-2</v>
      </c>
      <c r="T12" s="39">
        <f t="shared" si="1"/>
        <v>-8.7430746219246541E-3</v>
      </c>
      <c r="U12" s="39">
        <f t="shared" si="2"/>
        <v>2.3252282724817191E-2</v>
      </c>
      <c r="V12" s="39">
        <f t="shared" si="3"/>
        <v>0</v>
      </c>
    </row>
    <row r="13" spans="1:37">
      <c r="A13" s="34" t="s">
        <v>91</v>
      </c>
      <c r="B13" s="62">
        <f>'Chemicals Analysis'!B18-'Chemicals Analysis'!V18</f>
        <v>0.98390938781785309</v>
      </c>
      <c r="C13" s="62">
        <f>'Chemicals Analysis'!C18-'Chemicals Analysis'!W18</f>
        <v>2</v>
      </c>
      <c r="D13" s="62">
        <f>'Chemicals Analysis'!D18-'Chemicals Analysis'!X18</f>
        <v>4.503879191889407</v>
      </c>
      <c r="E13" s="62">
        <f>'Chemicals Analysis'!E18-'Chemicals Analysis'!Y18</f>
        <v>5.2270129997502259</v>
      </c>
      <c r="F13" s="62">
        <f>'Chemicals Analysis'!F18-'Chemicals Analysis'!Z18</f>
        <v>13.134506356640337</v>
      </c>
      <c r="G13" s="62">
        <f>'Chemicals Analysis'!G18-'Chemicals Analysis'!AA18</f>
        <v>12.713473524597665</v>
      </c>
      <c r="H13" s="62">
        <f>'Chemicals Analysis'!H18-'Chemicals Analysis'!AB18</f>
        <v>7.146105751689829</v>
      </c>
      <c r="I13" s="62">
        <f>'Chemicals Analysis'!I18-'Chemicals Analysis'!AC18</f>
        <v>4.7128032233397592</v>
      </c>
      <c r="J13" s="62">
        <f>'Chemicals Analysis'!J18-'Chemicals Analysis'!AD18</f>
        <v>7.0679194430299273</v>
      </c>
      <c r="K13" s="62">
        <f>'Chemicals Analysis'!K18-'Chemicals Analysis'!AE18</f>
        <v>4.5474998916298492</v>
      </c>
      <c r="L13" s="62">
        <f>'Chemicals Analysis'!L18-'Chemicals Analysis'!AF18</f>
        <v>4.6505465861210595</v>
      </c>
      <c r="M13" s="62">
        <f>'Chemicals Analysis'!M18-'Chemicals Analysis'!AG18</f>
        <v>14.357216071026853</v>
      </c>
      <c r="N13" s="62">
        <f>'Chemicals Analysis'!N18-'Chemicals Analysis'!AH18</f>
        <v>7.7000977754039894</v>
      </c>
      <c r="O13" s="62">
        <f>'Chemicals Analysis'!O18-'Chemicals Analysis'!AI18</f>
        <v>4.092243283737087</v>
      </c>
      <c r="P13" s="62">
        <f>'Chemicals Analysis'!P18-'Chemicals Analysis'!AJ18</f>
        <v>8.6596809432552746</v>
      </c>
      <c r="Q13" s="62">
        <f>'Chemicals Analysis'!Q18-'Chemicals Analysis'!AK18</f>
        <v>7.0160906121821469</v>
      </c>
      <c r="R13" s="62">
        <f>'Chemicals Analysis'!R18-'Chemicals Analysis'!AL18</f>
        <v>3.4172447383929145</v>
      </c>
      <c r="S13" s="63">
        <f t="shared" si="0"/>
        <v>111.93022978050421</v>
      </c>
      <c r="T13" s="63">
        <f t="shared" si="1"/>
        <v>0.98390938781785309</v>
      </c>
      <c r="U13" s="63">
        <f t="shared" si="2"/>
        <v>14.357216071026853</v>
      </c>
      <c r="V13" s="63">
        <f t="shared" si="3"/>
        <v>5.2270129997502259</v>
      </c>
    </row>
    <row r="14" spans="1:37">
      <c r="A14" s="34" t="s">
        <v>90</v>
      </c>
      <c r="B14" s="62">
        <f>'Chemicals Analysis'!B20-'Chemicals Analysis'!V20</f>
        <v>0.25662137140409369</v>
      </c>
      <c r="C14" s="62">
        <f>'Chemicals Analysis'!C20-'Chemicals Analysis'!W20</f>
        <v>1</v>
      </c>
      <c r="D14" s="62">
        <f>'Chemicals Analysis'!D20-'Chemicals Analysis'!X20</f>
        <v>0.42592635433041726</v>
      </c>
      <c r="E14" s="62">
        <f>'Chemicals Analysis'!E20-'Chemicals Analysis'!Y20</f>
        <v>0.88824158572467093</v>
      </c>
      <c r="F14" s="62">
        <f>'Chemicals Analysis'!F20-'Chemicals Analysis'!Z20</f>
        <v>0.95275980623416512</v>
      </c>
      <c r="G14" s="62">
        <f>'Chemicals Analysis'!G20-'Chemicals Analysis'!AA20</f>
        <v>1.0784701073325125</v>
      </c>
      <c r="H14" s="62">
        <f>'Chemicals Analysis'!H20-'Chemicals Analysis'!AB20</f>
        <v>0.97879159535439964</v>
      </c>
      <c r="I14" s="62">
        <f>'Chemicals Analysis'!I20-'Chemicals Analysis'!AC20</f>
        <v>0.47365389819800541</v>
      </c>
      <c r="J14" s="62">
        <f>'Chemicals Analysis'!J20-'Chemicals Analysis'!AD20</f>
        <v>0.74337862859590631</v>
      </c>
      <c r="K14" s="62">
        <f>'Chemicals Analysis'!K20-'Chemicals Analysis'!AE20</f>
        <v>0.61554672449255365</v>
      </c>
      <c r="L14" s="62">
        <f>'Chemicals Analysis'!L20-'Chemicals Analysis'!AF20</f>
        <v>0.60903778803727526</v>
      </c>
      <c r="M14" s="62">
        <f>'Chemicals Analysis'!M20-'Chemicals Analysis'!AG20</f>
        <v>1.4211354565103793</v>
      </c>
      <c r="N14" s="62">
        <f>'Chemicals Analysis'!N20-'Chemicals Analysis'!AH20</f>
        <v>0.73679982281554834</v>
      </c>
      <c r="O14" s="62">
        <f>'Chemicals Analysis'!O20-'Chemicals Analysis'!AI20</f>
        <v>0.52755118364459808</v>
      </c>
      <c r="P14" s="62">
        <f>'Chemicals Analysis'!P20-'Chemicals Analysis'!AJ20</f>
        <v>0.58655246226525426</v>
      </c>
      <c r="Q14" s="62">
        <f>'Chemicals Analysis'!Q20-'Chemicals Analysis'!AK20</f>
        <v>0.81591875367209743</v>
      </c>
      <c r="R14" s="62">
        <f>'Chemicals Analysis'!R20-'Chemicals Analysis'!AL20</f>
        <v>0.38994040572523481</v>
      </c>
      <c r="S14" s="63">
        <f t="shared" si="0"/>
        <v>12.500325944337112</v>
      </c>
      <c r="T14" s="63">
        <f t="shared" si="1"/>
        <v>0.25662137140409369</v>
      </c>
      <c r="U14" s="63">
        <f t="shared" si="2"/>
        <v>1.4211354565103793</v>
      </c>
      <c r="V14" s="63">
        <f t="shared" si="3"/>
        <v>0.73679982281554834</v>
      </c>
    </row>
    <row r="15" spans="1:37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61"/>
      <c r="T15" s="61"/>
      <c r="U15" s="61"/>
      <c r="V15" s="61"/>
    </row>
    <row r="16" spans="1:37">
      <c r="A16" s="34" t="s">
        <v>128</v>
      </c>
      <c r="B16" s="39">
        <f>IF('Chemicals Analysis'!B32="","",'Chemicals Analysis'!B32-'Chemicals Analysis'!$V32)</f>
        <v>0.1907237749686016</v>
      </c>
      <c r="C16" s="39">
        <f>IF('Chemicals Analysis'!C32="","",'Chemicals Analysis'!C32-'Chemicals Analysis'!$V32)</f>
        <v>-0.26020759119795145</v>
      </c>
      <c r="D16" s="39">
        <f>IF('Chemicals Analysis'!D32="","",'Chemicals Analysis'!D32-'Chemicals Analysis'!$V32)</f>
        <v>0.18352885807707475</v>
      </c>
      <c r="E16" s="39">
        <f>IF('Chemicals Analysis'!E32="","",'Chemicals Analysis'!E32-'Chemicals Analysis'!$V32)</f>
        <v>-0.26890096635215738</v>
      </c>
      <c r="F16" s="39">
        <f>IF('Chemicals Analysis'!F32="","",'Chemicals Analysis'!F32-'Chemicals Analysis'!$V32)</f>
        <v>-2.6622512176420587E-2</v>
      </c>
      <c r="G16" s="39">
        <f>IF('Chemicals Analysis'!G32="","",'Chemicals Analysis'!G32-'Chemicals Analysis'!$V32)</f>
        <v>0.11351585392263075</v>
      </c>
      <c r="H16" s="39">
        <f>IF('Chemicals Analysis'!H32="","",'Chemicals Analysis'!H32-'Chemicals Analysis'!$V32)</f>
        <v>-0.18492067547369956</v>
      </c>
      <c r="I16" s="39">
        <f>IF('Chemicals Analysis'!I32="","",'Chemicals Analysis'!I32-'Chemicals Analysis'!$V32)</f>
        <v>-0.23064347860646348</v>
      </c>
      <c r="J16" s="39">
        <f>IF('Chemicals Analysis'!J32="","",'Chemicals Analysis'!J32-'Chemicals Analysis'!$V32)</f>
        <v>0.11713375635906853</v>
      </c>
      <c r="K16" s="39">
        <f>IF('Chemicals Analysis'!K32="","",'Chemicals Analysis'!K32-'Chemicals Analysis'!$V32)</f>
        <v>-0.38647924870629513</v>
      </c>
      <c r="L16" s="39">
        <f>IF('Chemicals Analysis'!L32="","",'Chemicals Analysis'!L32-'Chemicals Analysis'!$V32)</f>
        <v>-0.4460050659568347</v>
      </c>
      <c r="M16" s="39">
        <f>IF('Chemicals Analysis'!M32="","",'Chemicals Analysis'!M32-'Chemicals Analysis'!$V32)</f>
        <v>0</v>
      </c>
      <c r="N16" s="39">
        <f>IF('Chemicals Analysis'!N32="","",'Chemicals Analysis'!N32-'Chemicals Analysis'!$V32)</f>
        <v>-0.16119858764711331</v>
      </c>
      <c r="O16" s="39">
        <f>IF('Chemicals Analysis'!O32="","",'Chemicals Analysis'!O32-'Chemicals Analysis'!$V32)</f>
        <v>9.3804107296634021E-2</v>
      </c>
      <c r="P16" s="39">
        <f>IF('Chemicals Analysis'!P32="","",'Chemicals Analysis'!P32-'Chemicals Analysis'!$V32)</f>
        <v>8.760607252825936E-2</v>
      </c>
      <c r="Q16" s="39">
        <f>IF('Chemicals Analysis'!Q32="","",'Chemicals Analysis'!Q32-'Chemicals Analysis'!$V32)</f>
        <v>0.12271657765532362</v>
      </c>
      <c r="R16" s="39">
        <f>IF('Chemicals Analysis'!R32="","",'Chemicals Analysis'!R32-'Chemicals Analysis'!$V32)</f>
        <v>0.1963409502349921</v>
      </c>
      <c r="S16" s="39">
        <f t="shared" si="0"/>
        <v>-0.85960817507435083</v>
      </c>
      <c r="T16" s="39">
        <f t="shared" si="1"/>
        <v>-0.4460050659568347</v>
      </c>
      <c r="U16" s="39">
        <f t="shared" si="2"/>
        <v>0.1963409502349921</v>
      </c>
      <c r="V16" s="39">
        <f t="shared" si="3"/>
        <v>0</v>
      </c>
    </row>
    <row r="17" spans="1:22">
      <c r="A17" s="34" t="s">
        <v>130</v>
      </c>
      <c r="B17" s="39">
        <f>IF('Chemicals Analysis'!B33="","",'Chemicals Analysis'!B33-'Chemicals Analysis'!$V33)</f>
        <v>-1.5471207188978577E-2</v>
      </c>
      <c r="C17" s="39">
        <f>IF('Chemicals Analysis'!C33="","",'Chemicals Analysis'!C33-'Chemicals Analysis'!$V33)</f>
        <v>-2.6094693514071864E-2</v>
      </c>
      <c r="D17" s="39">
        <f>IF('Chemicals Analysis'!D33="","",'Chemicals Analysis'!D33-'Chemicals Analysis'!$V33)</f>
        <v>5.0412177474791806E-2</v>
      </c>
      <c r="E17" s="39">
        <f>IF('Chemicals Analysis'!E33="","",'Chemicals Analysis'!E33-'Chemicals Analysis'!$V33)</f>
        <v>0.39533551645458637</v>
      </c>
      <c r="F17" s="39">
        <f>IF('Chemicals Analysis'!F33="","",'Chemicals Analysis'!F33-'Chemicals Analysis'!$V33)</f>
        <v>5.8324599120798848E-2</v>
      </c>
      <c r="G17" s="39">
        <f>IF('Chemicals Analysis'!G33="","",'Chemicals Analysis'!G33-'Chemicals Analysis'!$V33)</f>
        <v>6.7376180906131858E-2</v>
      </c>
      <c r="H17" s="39">
        <f>IF('Chemicals Analysis'!H33="","",'Chemicals Analysis'!H33-'Chemicals Analysis'!$V33)</f>
        <v>-3.7207863916427664E-2</v>
      </c>
      <c r="I17" s="39">
        <f>IF('Chemicals Analysis'!I33="","",'Chemicals Analysis'!I33-'Chemicals Analysis'!$V33)</f>
        <v>-3.6038999017196108E-2</v>
      </c>
      <c r="J17" s="39">
        <f>IF('Chemicals Analysis'!J33="","",'Chemicals Analysis'!J33-'Chemicals Analysis'!$V33)</f>
        <v>0</v>
      </c>
      <c r="K17" s="39">
        <f>IF('Chemicals Analysis'!K33="","",'Chemicals Analysis'!K33-'Chemicals Analysis'!$V33)</f>
        <v>-8.9047753230456217E-3</v>
      </c>
      <c r="L17" s="39">
        <f>IF('Chemicals Analysis'!L33="","",'Chemicals Analysis'!L33-'Chemicals Analysis'!$V33)</f>
        <v>-4.6309839181431008E-2</v>
      </c>
      <c r="M17" s="39">
        <f>IF('Chemicals Analysis'!M33="","",'Chemicals Analysis'!M33-'Chemicals Analysis'!$V33)</f>
        <v>-2.1057000589974104E-2</v>
      </c>
      <c r="N17" s="39">
        <f>IF('Chemicals Analysis'!N33="","",'Chemicals Analysis'!N33-'Chemicals Analysis'!$V33)</f>
        <v>7.4686407499230639E-2</v>
      </c>
      <c r="O17" s="39">
        <f>IF('Chemicals Analysis'!O33="","",'Chemicals Analysis'!O33-'Chemicals Analysis'!$V33)</f>
        <v>0.15273221014741745</v>
      </c>
      <c r="P17" s="39">
        <f>IF('Chemicals Analysis'!P33="","",'Chemicals Analysis'!P33-'Chemicals Analysis'!$V33)</f>
        <v>2.8591540076782482E-2</v>
      </c>
      <c r="Q17" s="39">
        <f>IF('Chemicals Analysis'!Q33="","",'Chemicals Analysis'!Q33-'Chemicals Analysis'!$V33)</f>
        <v>-9.8188523932936783E-3</v>
      </c>
      <c r="R17" s="39">
        <f>IF('Chemicals Analysis'!R33="","",'Chemicals Analysis'!R33-'Chemicals Analysis'!$V33)</f>
        <v>4.1249189972848543E-2</v>
      </c>
      <c r="S17" s="39">
        <f t="shared" si="0"/>
        <v>0.66780459052816932</v>
      </c>
      <c r="T17" s="39">
        <f t="shared" si="1"/>
        <v>-4.6309839181431008E-2</v>
      </c>
      <c r="U17" s="39">
        <f t="shared" si="2"/>
        <v>0.39533551645458637</v>
      </c>
      <c r="V17" s="39">
        <f t="shared" si="3"/>
        <v>0</v>
      </c>
    </row>
    <row r="18" spans="1:22">
      <c r="A18" s="34" t="s">
        <v>134</v>
      </c>
      <c r="B18" s="39">
        <f>IF('Chemicals Analysis'!B35="","",'Chemicals Analysis'!B35-'Chemicals Analysis'!$V35)</f>
        <v>7.5629248082858371E-3</v>
      </c>
      <c r="C18" s="39">
        <f>IF('Chemicals Analysis'!C35="","",'Chemicals Analysis'!C35-'Chemicals Analysis'!$V35)</f>
        <v>3.4032981791892762E-3</v>
      </c>
      <c r="D18" s="39">
        <f>IF('Chemicals Analysis'!D35="","",'Chemicals Analysis'!D35-'Chemicals Analysis'!$V35)</f>
        <v>6.6928527844221436E-3</v>
      </c>
      <c r="E18" s="39">
        <f>IF('Chemicals Analysis'!E35="","",'Chemicals Analysis'!E35-'Chemicals Analysis'!$V35)</f>
        <v>-5.6740264552024283E-3</v>
      </c>
      <c r="F18" s="39">
        <f>IF('Chemicals Analysis'!F35="","",'Chemicals Analysis'!F35-'Chemicals Analysis'!$V35)</f>
        <v>-3.2271920763498629E-3</v>
      </c>
      <c r="G18" s="39">
        <f>IF('Chemicals Analysis'!G35="","",'Chemicals Analysis'!G35-'Chemicals Analysis'!$V35)</f>
        <v>0</v>
      </c>
      <c r="H18" s="39">
        <f>IF('Chemicals Analysis'!H35="","",'Chemicals Analysis'!H35-'Chemicals Analysis'!$V35)</f>
        <v>-1.7789873504112279E-3</v>
      </c>
      <c r="I18" s="39">
        <f>IF('Chemicals Analysis'!I35="","",'Chemicals Analysis'!I35-'Chemicals Analysis'!$V35)</f>
        <v>-3.6025415699362526E-3</v>
      </c>
      <c r="J18" s="39">
        <f>IF('Chemicals Analysis'!J35="","",'Chemicals Analysis'!J35-'Chemicals Analysis'!$V35)</f>
        <v>-2.3986823883047435E-3</v>
      </c>
      <c r="K18" s="39">
        <f>IF('Chemicals Analysis'!K35="","",'Chemicals Analysis'!K35-'Chemicals Analysis'!$V35)</f>
        <v>8.9295809064879675E-3</v>
      </c>
      <c r="L18" s="39" t="str">
        <f>IF('Chemicals Analysis'!L35="","",'Chemicals Analysis'!L35-'Chemicals Analysis'!$V35)</f>
        <v/>
      </c>
      <c r="M18" s="39">
        <f>IF('Chemicals Analysis'!M35="","",'Chemicals Analysis'!M35-'Chemicals Analysis'!$V35)</f>
        <v>-3.1610669506705082E-3</v>
      </c>
      <c r="N18" s="39">
        <f>IF('Chemicals Analysis'!N35="","",'Chemicals Analysis'!N35-'Chemicals Analysis'!$V35)</f>
        <v>1.3772092973705196E-2</v>
      </c>
      <c r="O18" s="39" t="str">
        <f>IF('Chemicals Analysis'!O35="","",'Chemicals Analysis'!O35-'Chemicals Analysis'!$V35)</f>
        <v/>
      </c>
      <c r="P18" s="39">
        <f>IF('Chemicals Analysis'!P35="","",'Chemicals Analysis'!P35-'Chemicals Analysis'!$V35)</f>
        <v>1.288191893701043E-2</v>
      </c>
      <c r="Q18" s="39">
        <f>IF('Chemicals Analysis'!Q35="","",'Chemicals Analysis'!Q35-'Chemicals Analysis'!$V35)</f>
        <v>1.4070291682166582E-4</v>
      </c>
      <c r="R18" s="39">
        <f>IF('Chemicals Analysis'!R35="","",'Chemicals Analysis'!R35-'Chemicals Analysis'!$V35)</f>
        <v>-4.8874246978637854E-4</v>
      </c>
      <c r="S18" s="39">
        <f t="shared" si="0"/>
        <v>3.3052132245261115E-2</v>
      </c>
      <c r="T18" s="39">
        <f t="shared" si="1"/>
        <v>-5.6740264552024283E-3</v>
      </c>
      <c r="U18" s="39">
        <f t="shared" si="2"/>
        <v>1.3772092973705196E-2</v>
      </c>
      <c r="V18" s="39">
        <f t="shared" si="3"/>
        <v>0</v>
      </c>
    </row>
    <row r="19" spans="1:22">
      <c r="A19" s="34" t="s">
        <v>132</v>
      </c>
      <c r="B19" s="39">
        <f>IF('Chemicals Analysis'!B36="","",'Chemicals Analysis'!B36-'Chemicals Analysis'!$V36)</f>
        <v>7.7440505317460245E-2</v>
      </c>
      <c r="C19" s="39">
        <f>IF('Chemicals Analysis'!C36="","",'Chemicals Analysis'!C36-'Chemicals Analysis'!$V36)</f>
        <v>-1.2348900519010582E-2</v>
      </c>
      <c r="D19" s="39">
        <f>IF('Chemicals Analysis'!D36="","",'Chemicals Analysis'!D36-'Chemicals Analysis'!$V36)</f>
        <v>0.10461879054369194</v>
      </c>
      <c r="E19" s="39">
        <f>IF('Chemicals Analysis'!E36="","",'Chemicals Analysis'!E36-'Chemicals Analysis'!$V36)</f>
        <v>3.5601861999479748E-2</v>
      </c>
      <c r="F19" s="39">
        <f>IF('Chemicals Analysis'!F36="","",'Chemicals Analysis'!F36-'Chemicals Analysis'!$V36)</f>
        <v>0</v>
      </c>
      <c r="G19" s="39">
        <f>IF('Chemicals Analysis'!G36="","",'Chemicals Analysis'!G36-'Chemicals Analysis'!$V36)</f>
        <v>-1.4002220470410385E-2</v>
      </c>
      <c r="H19" s="39">
        <f>IF('Chemicals Analysis'!H36="","",'Chemicals Analysis'!H36-'Chemicals Analysis'!$V36)</f>
        <v>-1.6634214220224985E-3</v>
      </c>
      <c r="I19" s="39">
        <f>IF('Chemicals Analysis'!I36="","",'Chemicals Analysis'!I36-'Chemicals Analysis'!$V36)</f>
        <v>-2.0242124368789069E-2</v>
      </c>
      <c r="J19" s="39">
        <f>IF('Chemicals Analysis'!J36="","",'Chemicals Analysis'!J36-'Chemicals Analysis'!$V36)</f>
        <v>-1.1912685314723455E-2</v>
      </c>
      <c r="K19" s="39">
        <f>IF('Chemicals Analysis'!K36="","",'Chemicals Analysis'!K36-'Chemicals Analysis'!$V36)</f>
        <v>5.1357669467089473E-2</v>
      </c>
      <c r="L19" s="39">
        <f>IF('Chemicals Analysis'!L36="","",'Chemicals Analysis'!L36-'Chemicals Analysis'!$V36)</f>
        <v>8.2202550410016527E-3</v>
      </c>
      <c r="M19" s="39">
        <f>IF('Chemicals Analysis'!M36="","",'Chemicals Analysis'!M36-'Chemicals Analysis'!$V36)</f>
        <v>-1.0860901986785576E-2</v>
      </c>
      <c r="N19" s="39">
        <f>IF('Chemicals Analysis'!N36="","",'Chemicals Analysis'!N36-'Chemicals Analysis'!$V36)</f>
        <v>-2.3727399568637682E-2</v>
      </c>
      <c r="O19" s="39">
        <f>IF('Chemicals Analysis'!O36="","",'Chemicals Analysis'!O36-'Chemicals Analysis'!$V36)</f>
        <v>3.7081185398087149E-2</v>
      </c>
      <c r="P19" s="39">
        <f>IF('Chemicals Analysis'!P36="","",'Chemicals Analysis'!P36-'Chemicals Analysis'!$V36)</f>
        <v>3.2354601299853403E-2</v>
      </c>
      <c r="Q19" s="39">
        <f>IF('Chemicals Analysis'!Q36="","",'Chemicals Analysis'!Q36-'Chemicals Analysis'!$V36)</f>
        <v>8.6783831950925358E-2</v>
      </c>
      <c r="R19" s="39">
        <f>IF('Chemicals Analysis'!R36="","",'Chemicals Analysis'!R36-'Chemicals Analysis'!$V36)</f>
        <v>-4.5792372956293126E-3</v>
      </c>
      <c r="S19" s="39">
        <f t="shared" si="0"/>
        <v>0.33412181007158043</v>
      </c>
      <c r="T19" s="39">
        <f t="shared" si="1"/>
        <v>-2.3727399568637682E-2</v>
      </c>
      <c r="U19" s="39">
        <f t="shared" si="2"/>
        <v>0.10461879054369194</v>
      </c>
      <c r="V19" s="39">
        <f t="shared" si="3"/>
        <v>0</v>
      </c>
    </row>
    <row r="20" spans="1:22">
      <c r="A20" s="34" t="s">
        <v>129</v>
      </c>
      <c r="B20" s="39">
        <f>IF('Chemicals Analysis'!B38="","",'Chemicals Analysis'!B38-'Chemicals Analysis'!$V38)</f>
        <v>-7.4644193456932406E-2</v>
      </c>
      <c r="C20" s="39">
        <f>IF('Chemicals Analysis'!C38="","",'Chemicals Analysis'!C38-'Chemicals Analysis'!$V38)</f>
        <v>0.53968154940976676</v>
      </c>
      <c r="D20" s="39" t="str">
        <f>IF('Chemicals Analysis'!D38="","",'Chemicals Analysis'!D38-'Chemicals Analysis'!$V38)</f>
        <v/>
      </c>
      <c r="E20" s="39" t="str">
        <f>IF('Chemicals Analysis'!E38="","",'Chemicals Analysis'!E38-'Chemicals Analysis'!$V38)</f>
        <v/>
      </c>
      <c r="F20" s="39">
        <f>IF('Chemicals Analysis'!F38="","",'Chemicals Analysis'!F38-'Chemicals Analysis'!$V38)</f>
        <v>-8.2883090389553674E-2</v>
      </c>
      <c r="G20" s="39">
        <f>IF('Chemicals Analysis'!G38="","",'Chemicals Analysis'!G38-'Chemicals Analysis'!$V38)</f>
        <v>-2.0080075742525155E-2</v>
      </c>
      <c r="H20" s="39">
        <f>IF('Chemicals Analysis'!H38="","",'Chemicals Analysis'!H38-'Chemicals Analysis'!$V38)</f>
        <v>3.9688350836081354E-2</v>
      </c>
      <c r="I20" s="39">
        <f>IF('Chemicals Analysis'!I38="","",'Chemicals Analysis'!I38-'Chemicals Analysis'!$V38)</f>
        <v>0.5646947643524115</v>
      </c>
      <c r="J20" s="39">
        <f>IF('Chemicals Analysis'!J38="","",'Chemicals Analysis'!J38-'Chemicals Analysis'!$V38)</f>
        <v>4.3994967720786982E-2</v>
      </c>
      <c r="K20" s="39" t="str">
        <f>IF('Chemicals Analysis'!K38="","",'Chemicals Analysis'!K38-'Chemicals Analysis'!$V38)</f>
        <v/>
      </c>
      <c r="L20" s="39" t="str">
        <f>IF('Chemicals Analysis'!L38="","",'Chemicals Analysis'!L38-'Chemicals Analysis'!$V38)</f>
        <v/>
      </c>
      <c r="M20" s="39">
        <f>IF('Chemicals Analysis'!M38="","",'Chemicals Analysis'!M38-'Chemicals Analysis'!$V38)</f>
        <v>-4.5587299463039792E-2</v>
      </c>
      <c r="N20" s="39">
        <f>IF('Chemicals Analysis'!N38="","",'Chemicals Analysis'!N38-'Chemicals Analysis'!$V38)</f>
        <v>-7.1774294892006957E-2</v>
      </c>
      <c r="O20" s="39" t="str">
        <f>IF('Chemicals Analysis'!O38="","",'Chemicals Analysis'!O38-'Chemicals Analysis'!$V38)</f>
        <v/>
      </c>
      <c r="P20" s="39" t="str">
        <f>IF('Chemicals Analysis'!P38="","",'Chemicals Analysis'!P38-'Chemicals Analysis'!$V38)</f>
        <v/>
      </c>
      <c r="Q20" s="39" t="str">
        <f>IF('Chemicals Analysis'!Q38="","",'Chemicals Analysis'!Q38-'Chemicals Analysis'!$V38)</f>
        <v/>
      </c>
      <c r="R20" s="39">
        <f>IF('Chemicals Analysis'!R38="","",'Chemicals Analysis'!R38-'Chemicals Analysis'!$V38)</f>
        <v>2.0080075742525141E-2</v>
      </c>
      <c r="S20" s="39">
        <f t="shared" si="0"/>
        <v>0.91317075411751381</v>
      </c>
      <c r="T20" s="39">
        <f t="shared" si="1"/>
        <v>-8.2883090389553674E-2</v>
      </c>
      <c r="U20" s="39">
        <f t="shared" si="2"/>
        <v>0.5646947643524115</v>
      </c>
      <c r="V20" s="39">
        <f t="shared" si="3"/>
        <v>-6.9388939039072284E-18</v>
      </c>
    </row>
    <row r="21" spans="1:22">
      <c r="A21" s="34" t="s">
        <v>135</v>
      </c>
      <c r="B21" s="39" t="str">
        <f>IF('Chemicals Analysis'!B39="","",'Chemicals Analysis'!B39-'Chemicals Analysis'!$V39)</f>
        <v/>
      </c>
      <c r="C21" s="39" t="str">
        <f>IF('Chemicals Analysis'!C39="","",'Chemicals Analysis'!C39-'Chemicals Analysis'!$V39)</f>
        <v/>
      </c>
      <c r="D21" s="39" t="str">
        <f>IF('Chemicals Analysis'!D39="","",'Chemicals Analysis'!D39-'Chemicals Analysis'!$V39)</f>
        <v/>
      </c>
      <c r="E21" s="39" t="str">
        <f>IF('Chemicals Analysis'!E39="","",'Chemicals Analysis'!E39-'Chemicals Analysis'!$V39)</f>
        <v/>
      </c>
      <c r="F21" s="39">
        <f>IF('Chemicals Analysis'!F39="","",'Chemicals Analysis'!F39-'Chemicals Analysis'!$V39)</f>
        <v>-5.8269821534472084E-2</v>
      </c>
      <c r="G21" s="39" t="str">
        <f>IF('Chemicals Analysis'!G39="","",'Chemicals Analysis'!G39-'Chemicals Analysis'!$V39)</f>
        <v/>
      </c>
      <c r="H21" s="39">
        <f>IF('Chemicals Analysis'!H39="","",'Chemicals Analysis'!H39-'Chemicals Analysis'!$V39)</f>
        <v>0.23279820984573857</v>
      </c>
      <c r="I21" s="39">
        <f>IF('Chemicals Analysis'!I39="","",'Chemicals Analysis'!I39-'Chemicals Analysis'!$V39)</f>
        <v>-7.8526292608154469E-2</v>
      </c>
      <c r="J21" s="39">
        <f>IF('Chemicals Analysis'!J39="","",'Chemicals Analysis'!J39-'Chemicals Analysis'!$V39)</f>
        <v>3.4113417985758981E-3</v>
      </c>
      <c r="K21" s="39">
        <f>IF('Chemicals Analysis'!K39="","",'Chemicals Analysis'!K39-'Chemicals Analysis'!$V39)</f>
        <v>0.22537356629249433</v>
      </c>
      <c r="L21" s="39">
        <f>IF('Chemicals Analysis'!L39="","",'Chemicals Analysis'!L39-'Chemicals Analysis'!$V39)</f>
        <v>1.6700338503207457E-4</v>
      </c>
      <c r="M21" s="39">
        <f>IF('Chemicals Analysis'!M39="","",'Chemicals Analysis'!M39-'Chemicals Analysis'!$V39)</f>
        <v>3.3225516536296698E-2</v>
      </c>
      <c r="N21" s="39">
        <f>IF('Chemicals Analysis'!N39="","",'Chemicals Analysis'!N39-'Chemicals Analysis'!$V39)</f>
        <v>-1.6700338503207457E-4</v>
      </c>
      <c r="O21" s="39" t="str">
        <f>IF('Chemicals Analysis'!O39="","",'Chemicals Analysis'!O39-'Chemicals Analysis'!$V39)</f>
        <v/>
      </c>
      <c r="P21" s="39">
        <f>IF('Chemicals Analysis'!P39="","",'Chemicals Analysis'!P39-'Chemicals Analysis'!$V39)</f>
        <v>-7.924452581167668E-3</v>
      </c>
      <c r="Q21" s="39" t="str">
        <f>IF('Chemicals Analysis'!Q39="","",'Chemicals Analysis'!Q39-'Chemicals Analysis'!$V39)</f>
        <v/>
      </c>
      <c r="R21" s="39">
        <f>IF('Chemicals Analysis'!R39="","",'Chemicals Analysis'!R39-'Chemicals Analysis'!$V39)</f>
        <v>-9.9250414141410698E-2</v>
      </c>
      <c r="S21" s="39">
        <f t="shared" si="0"/>
        <v>0.25083765360790056</v>
      </c>
      <c r="T21" s="39">
        <f t="shared" si="1"/>
        <v>-9.9250414141410698E-2</v>
      </c>
      <c r="U21" s="39">
        <f t="shared" si="2"/>
        <v>0.23279820984573857</v>
      </c>
      <c r="V21" s="39">
        <f t="shared" si="3"/>
        <v>0</v>
      </c>
    </row>
    <row r="22" spans="1:22">
      <c r="A22" s="34" t="s">
        <v>137</v>
      </c>
      <c r="B22" s="39" t="str">
        <f>IF('Chemicals Analysis'!B41="","",'Chemicals Analysis'!B41-'Chemicals Analysis'!$V41)</f>
        <v/>
      </c>
      <c r="C22" s="39" t="str">
        <f>IF('Chemicals Analysis'!C41="","",'Chemicals Analysis'!C41-'Chemicals Analysis'!$V41)</f>
        <v/>
      </c>
      <c r="D22" s="39" t="str">
        <f>IF('Chemicals Analysis'!D41="","",'Chemicals Analysis'!D41-'Chemicals Analysis'!$V41)</f>
        <v/>
      </c>
      <c r="E22" s="39" t="str">
        <f>IF('Chemicals Analysis'!E41="","",'Chemicals Analysis'!E41-'Chemicals Analysis'!$V41)</f>
        <v/>
      </c>
      <c r="F22" s="39" t="str">
        <f>IF('Chemicals Analysis'!F41="","",'Chemicals Analysis'!F41-'Chemicals Analysis'!$V41)</f>
        <v/>
      </c>
      <c r="G22" s="39">
        <f>IF('Chemicals Analysis'!G41="","",'Chemicals Analysis'!G41-'Chemicals Analysis'!$V41)</f>
        <v>2.83250153671483E-3</v>
      </c>
      <c r="H22" s="39">
        <f>IF('Chemicals Analysis'!H41="","",'Chemicals Analysis'!H41-'Chemicals Analysis'!$V41)</f>
        <v>-5.4727744462348587E-3</v>
      </c>
      <c r="I22" s="39" t="str">
        <f>IF('Chemicals Analysis'!I41="","",'Chemicals Analysis'!I41-'Chemicals Analysis'!$V41)</f>
        <v/>
      </c>
      <c r="J22" s="39">
        <f>IF('Chemicals Analysis'!J41="","",'Chemicals Analysis'!J41-'Chemicals Analysis'!$V41)</f>
        <v>-2.83250153671483E-3</v>
      </c>
      <c r="K22" s="39" t="str">
        <f>IF('Chemicals Analysis'!K41="","",'Chemicals Analysis'!K41-'Chemicals Analysis'!$V41)</f>
        <v/>
      </c>
      <c r="L22" s="39" t="str">
        <f>IF('Chemicals Analysis'!L41="","",'Chemicals Analysis'!L41-'Chemicals Analysis'!$V41)</f>
        <v/>
      </c>
      <c r="M22" s="39">
        <f>IF('Chemicals Analysis'!M41="","",'Chemicals Analysis'!M41-'Chemicals Analysis'!$V41)</f>
        <v>0.1387938992135217</v>
      </c>
      <c r="N22" s="39">
        <f>IF('Chemicals Analysis'!N41="","",'Chemicals Analysis'!N41-'Chemicals Analysis'!$V41)</f>
        <v>-3.8634196649545613E-3</v>
      </c>
      <c r="O22" s="39" t="str">
        <f>IF('Chemicals Analysis'!O41="","",'Chemicals Analysis'!O41-'Chemicals Analysis'!$V41)</f>
        <v/>
      </c>
      <c r="P22" s="39">
        <f>IF('Chemicals Analysis'!P41="","",'Chemicals Analysis'!P41-'Chemicals Analysis'!$V41)</f>
        <v>5.8611918370453809E-3</v>
      </c>
      <c r="Q22" s="39" t="str">
        <f>IF('Chemicals Analysis'!Q41="","",'Chemicals Analysis'!Q41-'Chemicals Analysis'!$V41)</f>
        <v/>
      </c>
      <c r="R22" s="39" t="str">
        <f>IF('Chemicals Analysis'!R41="","",'Chemicals Analysis'!R41-'Chemicals Analysis'!$V41)</f>
        <v/>
      </c>
      <c r="S22" s="39">
        <f t="shared" si="0"/>
        <v>0.13531889693937765</v>
      </c>
      <c r="T22" s="39">
        <f t="shared" si="1"/>
        <v>-5.4727744462348587E-3</v>
      </c>
      <c r="U22" s="39">
        <f t="shared" si="2"/>
        <v>0.1387938992135217</v>
      </c>
      <c r="V22" s="39">
        <f t="shared" si="3"/>
        <v>0</v>
      </c>
    </row>
    <row r="23" spans="1:22">
      <c r="A23" s="34" t="s">
        <v>131</v>
      </c>
      <c r="B23" s="39">
        <f>IF('Chemicals Analysis'!B42="","",'Chemicals Analysis'!B42-'Chemicals Analysis'!$V42)</f>
        <v>1.5259226478680998E-2</v>
      </c>
      <c r="C23" s="39">
        <f>IF('Chemicals Analysis'!C42="","",'Chemicals Analysis'!C42-'Chemicals Analysis'!$V42)</f>
        <v>-3.9300121196383861E-2</v>
      </c>
      <c r="D23" s="39">
        <f>IF('Chemicals Analysis'!D42="","",'Chemicals Analysis'!D42-'Chemicals Analysis'!$V42)</f>
        <v>-5.213266430400193E-2</v>
      </c>
      <c r="E23" s="39">
        <f>IF('Chemicals Analysis'!E42="","",'Chemicals Analysis'!E42-'Chemicals Analysis'!$V42)</f>
        <v>0.13675769878093572</v>
      </c>
      <c r="F23" s="39">
        <f>IF('Chemicals Analysis'!F42="","",'Chemicals Analysis'!F42-'Chemicals Analysis'!$V42)</f>
        <v>-5.3062513755510299E-2</v>
      </c>
      <c r="G23" s="39">
        <f>IF('Chemicals Analysis'!G42="","",'Chemicals Analysis'!G42-'Chemicals Analysis'!$V42)</f>
        <v>3.8906690808837296E-2</v>
      </c>
      <c r="H23" s="39">
        <f>IF('Chemicals Analysis'!H42="","",'Chemicals Analysis'!H42-'Chemicals Analysis'!$V42)</f>
        <v>5.8319007269852369E-2</v>
      </c>
      <c r="I23" s="39">
        <f>IF('Chemicals Analysis'!I42="","",'Chemicals Analysis'!I42-'Chemicals Analysis'!$V42)</f>
        <v>-9.526215010442049E-2</v>
      </c>
      <c r="J23" s="39">
        <f>IF('Chemicals Analysis'!J42="","",'Chemicals Analysis'!J42-'Chemicals Analysis'!$V42)</f>
        <v>-4.7634544801345616E-2</v>
      </c>
      <c r="K23" s="39">
        <f>IF('Chemicals Analysis'!K42="","",'Chemicals Analysis'!K42-'Chemicals Analysis'!$V42)</f>
        <v>0.30330216622991812</v>
      </c>
      <c r="L23" s="39">
        <f>IF('Chemicals Analysis'!L42="","",'Chemicals Analysis'!L42-'Chemicals Analysis'!$V42)</f>
        <v>-5.0214521890392161E-2</v>
      </c>
      <c r="M23" s="39">
        <f>IF('Chemicals Analysis'!M42="","",'Chemicals Analysis'!M42-'Chemicals Analysis'!$V42)</f>
        <v>-0.13905689853983141</v>
      </c>
      <c r="N23" s="39">
        <f>IF('Chemicals Analysis'!N42="","",'Chemicals Analysis'!N42-'Chemicals Analysis'!$V42)</f>
        <v>0.26546439326041382</v>
      </c>
      <c r="O23" s="39">
        <f>IF('Chemicals Analysis'!O42="","",'Chemicals Analysis'!O42-'Chemicals Analysis'!$V42)</f>
        <v>6.4232183911180629E-3</v>
      </c>
      <c r="P23" s="39">
        <f>IF('Chemicals Analysis'!P42="","",'Chemicals Analysis'!P42-'Chemicals Analysis'!$V42)</f>
        <v>0</v>
      </c>
      <c r="Q23" s="39">
        <f>IF('Chemicals Analysis'!Q42="","",'Chemicals Analysis'!Q42-'Chemicals Analysis'!$V42)</f>
        <v>9.3297701347353629E-2</v>
      </c>
      <c r="R23" s="39">
        <f>IF('Chemicals Analysis'!R42="","",'Chemicals Analysis'!R42-'Chemicals Analysis'!$V42)</f>
        <v>-5.5256796471127648E-2</v>
      </c>
      <c r="S23" s="39">
        <f t="shared" si="0"/>
        <v>0.38580989150409656</v>
      </c>
      <c r="T23" s="39">
        <f t="shared" si="1"/>
        <v>-0.13905689853983141</v>
      </c>
      <c r="U23" s="39">
        <f t="shared" si="2"/>
        <v>0.30330216622991812</v>
      </c>
      <c r="V23" s="39">
        <f t="shared" si="3"/>
        <v>0</v>
      </c>
    </row>
    <row r="24" spans="1:2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39"/>
      <c r="Q24" s="15"/>
      <c r="R24" s="15"/>
      <c r="S24" s="61"/>
      <c r="T24" s="61"/>
      <c r="U24" s="61"/>
      <c r="V24" s="61"/>
    </row>
    <row r="25" spans="1:2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1"/>
      <c r="T25" s="61"/>
      <c r="U25" s="61"/>
      <c r="V25" s="61"/>
    </row>
    <row r="26" spans="1:22">
      <c r="A26" s="34" t="s">
        <v>133</v>
      </c>
      <c r="B26" s="39">
        <f>IF('Chemicals Data'!B45="","",'Chemicals Data'!B45/'Chemicals Data'!B$7)</f>
        <v>3.9215686274509803E-2</v>
      </c>
      <c r="C26" s="39" t="str">
        <f>IF('Chemicals Data'!C45="","",'Chemicals Data'!C45/'Chemicals Data'!C$7)</f>
        <v/>
      </c>
      <c r="D26" s="39" t="str">
        <f>IF('Chemicals Data'!D45="","",'Chemicals Data'!D45/'Chemicals Data'!D$7)</f>
        <v/>
      </c>
      <c r="E26" s="39" t="str">
        <f>IF('Chemicals Data'!E45="","",'Chemicals Data'!E45/'Chemicals Data'!E$7)</f>
        <v/>
      </c>
      <c r="F26" s="39">
        <f>IF('Chemicals Data'!F45="","",'Chemicals Data'!F45/'Chemicals Data'!F$7)</f>
        <v>0.17910447761194029</v>
      </c>
      <c r="G26" s="39">
        <f>IF('Chemicals Data'!G45="","",'Chemicals Data'!G45/'Chemicals Data'!G$7)</f>
        <v>4.8387096774193547E-2</v>
      </c>
      <c r="H26" s="39" t="str">
        <f>IF('Chemicals Data'!H45="","",'Chemicals Data'!H45/'Chemicals Data'!H$7)</f>
        <v/>
      </c>
      <c r="I26" s="39">
        <f>IF('Chemicals Data'!I45="","",'Chemicals Data'!I45/'Chemicals Data'!I$7)</f>
        <v>1.1494252873563218E-2</v>
      </c>
      <c r="J26" s="39" t="str">
        <f>IF('Chemicals Data'!J45="","",'Chemicals Data'!J45/'Chemicals Data'!J$7)</f>
        <v/>
      </c>
      <c r="K26" s="39" t="str">
        <f>IF('Chemicals Data'!K45="","",'Chemicals Data'!K45/'Chemicals Data'!K$7)</f>
        <v/>
      </c>
      <c r="L26" s="39" t="str">
        <f>IF('Chemicals Data'!L45="","",'Chemicals Data'!L45/'Chemicals Data'!L$7)</f>
        <v/>
      </c>
      <c r="M26" s="39">
        <f>IF('Chemicals Data'!M45="","",'Chemicals Data'!M45/'Chemicals Data'!M$7)</f>
        <v>3.2786885245901641E-2</v>
      </c>
      <c r="N26" s="39">
        <f>IF('Chemicals Data'!N45="","",'Chemicals Data'!N45/'Chemicals Data'!N$7)</f>
        <v>3.3333333333333333E-2</v>
      </c>
      <c r="O26" s="39" t="str">
        <f>IF('Chemicals Data'!O45="","",'Chemicals Data'!O45/'Chemicals Data'!O$7)</f>
        <v/>
      </c>
      <c r="P26" s="39">
        <f>IF('Chemicals Data'!P45="","",'Chemicals Data'!P45/'Chemicals Data'!P$7)</f>
        <v>5.4054054054054057E-2</v>
      </c>
      <c r="Q26" s="39" t="str">
        <f>IF('Chemicals Data'!Q45="","",'Chemicals Data'!Q45/'Chemicals Data'!Q$7)</f>
        <v/>
      </c>
      <c r="R26" s="39">
        <f>IF('Chemicals Data'!R45="","",'Chemicals Data'!R45/'Chemicals Data'!R$7)</f>
        <v>3.2258064516129031E-2</v>
      </c>
      <c r="S26" s="39">
        <f t="shared" si="0"/>
        <v>0.43063385068362492</v>
      </c>
      <c r="T26" s="39">
        <f t="shared" si="1"/>
        <v>1.1494252873563218E-2</v>
      </c>
      <c r="U26" s="39">
        <f t="shared" si="2"/>
        <v>0.17910447761194029</v>
      </c>
      <c r="V26" s="39">
        <f t="shared" si="3"/>
        <v>3.6274509803921565E-2</v>
      </c>
    </row>
    <row r="27" spans="1:22">
      <c r="A27" s="34" t="s">
        <v>128</v>
      </c>
      <c r="B27" s="39">
        <f>IF('Chemicals Data'!B46="","",'Chemicals Data'!B46/'Chemicals Data'!B$7)</f>
        <v>0.50980392156862742</v>
      </c>
      <c r="C27" s="39">
        <f>IF('Chemicals Data'!C46="","",'Chemicals Data'!C46/'Chemicals Data'!C$7)</f>
        <v>0.2978723404255319</v>
      </c>
      <c r="D27" s="39">
        <f>IF('Chemicals Data'!D46="","",'Chemicals Data'!D46/'Chemicals Data'!D$7)</f>
        <v>0.47368421052631576</v>
      </c>
      <c r="E27" s="39">
        <f>IF('Chemicals Data'!E46="","",'Chemicals Data'!E46/'Chemicals Data'!E$7)</f>
        <v>0.6</v>
      </c>
      <c r="F27" s="39">
        <f>IF('Chemicals Data'!F46="","",'Chemicals Data'!F46/'Chemicals Data'!F$7)</f>
        <v>0.5074626865671642</v>
      </c>
      <c r="G27" s="39">
        <f>IF('Chemicals Data'!G46="","",'Chemicals Data'!G46/'Chemicals Data'!G$7)</f>
        <v>0.49193548387096775</v>
      </c>
      <c r="H27" s="39">
        <f>IF('Chemicals Data'!H46="","",'Chemicals Data'!H46/'Chemicals Data'!H$7)</f>
        <v>0.65217391304347827</v>
      </c>
      <c r="I27" s="39">
        <f>IF('Chemicals Data'!I46="","",'Chemicals Data'!I46/'Chemicals Data'!I$7)</f>
        <v>0.27586206896551724</v>
      </c>
      <c r="J27" s="39">
        <f>IF('Chemicals Data'!J46="","",'Chemicals Data'!J46/'Chemicals Data'!J$7)</f>
        <v>0.48648648648648651</v>
      </c>
      <c r="K27" s="39">
        <f>IF('Chemicals Data'!K46="","",'Chemicals Data'!K46/'Chemicals Data'!K$7)</f>
        <v>0.125</v>
      </c>
      <c r="L27" s="39">
        <f>IF('Chemicals Data'!L46="","",'Chemicals Data'!L46/'Chemicals Data'!L$7)</f>
        <v>0.16666666666666666</v>
      </c>
      <c r="M27" s="39">
        <f>IF('Chemicals Data'!M46="","",'Chemicals Data'!M46/'Chemicals Data'!M$7)</f>
        <v>0.50819672131147542</v>
      </c>
      <c r="N27" s="39">
        <f>IF('Chemicals Data'!N46="","",'Chemicals Data'!N46/'Chemicals Data'!N$7)</f>
        <v>0.65</v>
      </c>
      <c r="O27" s="39">
        <f>IF('Chemicals Data'!O46="","",'Chemicals Data'!O46/'Chemicals Data'!O$7)</f>
        <v>0.36842105263157893</v>
      </c>
      <c r="P27" s="39">
        <f>IF('Chemicals Data'!P46="","",'Chemicals Data'!P46/'Chemicals Data'!P$7)</f>
        <v>0.43243243243243246</v>
      </c>
      <c r="Q27" s="39">
        <f>IF('Chemicals Data'!Q46="","",'Chemicals Data'!Q46/'Chemicals Data'!Q$7)</f>
        <v>0.55555555555555558</v>
      </c>
      <c r="R27" s="39">
        <f>IF('Chemicals Data'!R46="","",'Chemicals Data'!R46/'Chemicals Data'!R$7)</f>
        <v>0.27419354838709675</v>
      </c>
      <c r="S27" s="39">
        <f t="shared" si="0"/>
        <v>7.3757470884388958</v>
      </c>
      <c r="T27" s="39">
        <f t="shared" si="1"/>
        <v>0.125</v>
      </c>
      <c r="U27" s="39">
        <f t="shared" si="2"/>
        <v>0.65217391304347827</v>
      </c>
      <c r="V27" s="39">
        <f t="shared" si="3"/>
        <v>0.48648648648648651</v>
      </c>
    </row>
    <row r="28" spans="1:22">
      <c r="A28" s="34" t="s">
        <v>130</v>
      </c>
      <c r="B28" s="39">
        <f>IF('Chemicals Data'!B47="","",'Chemicals Data'!B47/'Chemicals Data'!B$7)</f>
        <v>0.15686274509803921</v>
      </c>
      <c r="C28" s="39">
        <f>IF('Chemicals Data'!C47="","",'Chemicals Data'!C47/'Chemicals Data'!C$7)</f>
        <v>0.14893617021276595</v>
      </c>
      <c r="D28" s="39">
        <f>IF('Chemicals Data'!D47="","",'Chemicals Data'!D47/'Chemicals Data'!D$7)</f>
        <v>0.15789473684210525</v>
      </c>
      <c r="E28" s="39">
        <f>IF('Chemicals Data'!E47="","",'Chemicals Data'!E47/'Chemicals Data'!E$7)</f>
        <v>0.25</v>
      </c>
      <c r="F28" s="39">
        <f>IF('Chemicals Data'!F47="","",'Chemicals Data'!F47/'Chemicals Data'!F$7)</f>
        <v>0.11940298507462686</v>
      </c>
      <c r="G28" s="39">
        <f>IF('Chemicals Data'!G47="","",'Chemicals Data'!G47/'Chemicals Data'!G$7)</f>
        <v>0.13709677419354838</v>
      </c>
      <c r="H28" s="39">
        <f>IF('Chemicals Data'!H47="","",'Chemicals Data'!H47/'Chemicals Data'!H$7)</f>
        <v>0.10869565217391304</v>
      </c>
      <c r="I28" s="39">
        <f>IF('Chemicals Data'!I47="","",'Chemicals Data'!I47/'Chemicals Data'!I$7)</f>
        <v>0.14942528735632185</v>
      </c>
      <c r="J28" s="39">
        <f>IF('Chemicals Data'!J47="","",'Chemicals Data'!J47/'Chemicals Data'!J$7)</f>
        <v>0.16216216216216217</v>
      </c>
      <c r="K28" s="39">
        <f>IF('Chemicals Data'!K47="","",'Chemicals Data'!K47/'Chemicals Data'!K$7)</f>
        <v>0.375</v>
      </c>
      <c r="L28" s="39">
        <f>IF('Chemicals Data'!L47="","",'Chemicals Data'!L47/'Chemicals Data'!L$7)</f>
        <v>1.6666666666666666E-2</v>
      </c>
      <c r="M28" s="39">
        <f>IF('Chemicals Data'!M47="","",'Chemicals Data'!M47/'Chemicals Data'!M$7)</f>
        <v>0.13114754098360656</v>
      </c>
      <c r="N28" s="39">
        <f>IF('Chemicals Data'!N47="","",'Chemicals Data'!N47/'Chemicals Data'!N$7)</f>
        <v>0.15</v>
      </c>
      <c r="O28" s="39">
        <f>IF('Chemicals Data'!O47="","",'Chemicals Data'!O47/'Chemicals Data'!O$7)</f>
        <v>0.10526315789473684</v>
      </c>
      <c r="P28" s="39">
        <f>IF('Chemicals Data'!P47="","",'Chemicals Data'!P47/'Chemicals Data'!P$7)</f>
        <v>0.16216216216216217</v>
      </c>
      <c r="Q28" s="39">
        <f>IF('Chemicals Data'!Q47="","",'Chemicals Data'!Q47/'Chemicals Data'!Q$7)</f>
        <v>0.1111111111111111</v>
      </c>
      <c r="R28" s="39">
        <f>IF('Chemicals Data'!R47="","",'Chemicals Data'!R47/'Chemicals Data'!R$7)</f>
        <v>0.45161290322580644</v>
      </c>
      <c r="S28" s="39">
        <f t="shared" si="0"/>
        <v>2.8934400551575727</v>
      </c>
      <c r="T28" s="39">
        <f t="shared" si="1"/>
        <v>1.6666666666666666E-2</v>
      </c>
      <c r="U28" s="39">
        <f t="shared" si="2"/>
        <v>0.45161290322580644</v>
      </c>
      <c r="V28" s="39">
        <f t="shared" si="3"/>
        <v>0.14942528735632185</v>
      </c>
    </row>
    <row r="29" spans="1:22">
      <c r="A29" s="34" t="s">
        <v>136</v>
      </c>
      <c r="B29" s="39" t="str">
        <f>IF('Chemicals Data'!B48="","",'Chemicals Data'!B48/'Chemicals Data'!B$7)</f>
        <v/>
      </c>
      <c r="C29" s="39" t="str">
        <f>IF('Chemicals Data'!C48="","",'Chemicals Data'!C48/'Chemicals Data'!C$7)</f>
        <v/>
      </c>
      <c r="D29" s="39" t="str">
        <f>IF('Chemicals Data'!D48="","",'Chemicals Data'!D48/'Chemicals Data'!D$7)</f>
        <v/>
      </c>
      <c r="E29" s="39" t="str">
        <f>IF('Chemicals Data'!E48="","",'Chemicals Data'!E48/'Chemicals Data'!E$7)</f>
        <v/>
      </c>
      <c r="F29" s="39" t="str">
        <f>IF('Chemicals Data'!F48="","",'Chemicals Data'!F48/'Chemicals Data'!F$7)</f>
        <v/>
      </c>
      <c r="G29" s="39">
        <f>IF('Chemicals Data'!G48="","",'Chemicals Data'!G48/'Chemicals Data'!G$7)</f>
        <v>2.4193548387096774E-2</v>
      </c>
      <c r="H29" s="39" t="str">
        <f>IF('Chemicals Data'!H48="","",'Chemicals Data'!H48/'Chemicals Data'!H$7)</f>
        <v/>
      </c>
      <c r="I29" s="39">
        <f>IF('Chemicals Data'!I48="","",'Chemicals Data'!I48/'Chemicals Data'!I$7)</f>
        <v>2.2988505747126436E-2</v>
      </c>
      <c r="J29" s="39" t="str">
        <f>IF('Chemicals Data'!J48="","",'Chemicals Data'!J48/'Chemicals Data'!J$7)</f>
        <v/>
      </c>
      <c r="K29" s="39" t="str">
        <f>IF('Chemicals Data'!K48="","",'Chemicals Data'!K48/'Chemicals Data'!K$7)</f>
        <v/>
      </c>
      <c r="L29" s="39" t="str">
        <f>IF('Chemicals Data'!L48="","",'Chemicals Data'!L48/'Chemicals Data'!L$7)</f>
        <v/>
      </c>
      <c r="M29" s="39">
        <f>IF('Chemicals Data'!M48="","",'Chemicals Data'!M48/'Chemicals Data'!M$7)</f>
        <v>1.6393442622950821E-2</v>
      </c>
      <c r="N29" s="39">
        <f>IF('Chemicals Data'!N48="","",'Chemicals Data'!N48/'Chemicals Data'!N$7)</f>
        <v>3.3333333333333333E-2</v>
      </c>
      <c r="O29" s="39">
        <f>IF('Chemicals Data'!O48="","",'Chemicals Data'!O48/'Chemicals Data'!O$7)</f>
        <v>5.2631578947368418E-2</v>
      </c>
      <c r="P29" s="39">
        <f>IF('Chemicals Data'!P48="","",'Chemicals Data'!P48/'Chemicals Data'!P$7)</f>
        <v>2.7027027027027029E-2</v>
      </c>
      <c r="Q29" s="39" t="str">
        <f>IF('Chemicals Data'!Q48="","",'Chemicals Data'!Q48/'Chemicals Data'!Q$7)</f>
        <v/>
      </c>
      <c r="R29" s="39" t="str">
        <f>IF('Chemicals Data'!R48="","",'Chemicals Data'!R48/'Chemicals Data'!R$7)</f>
        <v/>
      </c>
      <c r="S29" s="39">
        <f t="shared" si="0"/>
        <v>0.1765674360649028</v>
      </c>
      <c r="T29" s="39">
        <f t="shared" si="1"/>
        <v>1.6393442622950821E-2</v>
      </c>
      <c r="U29" s="39">
        <f t="shared" si="2"/>
        <v>5.2631578947368418E-2</v>
      </c>
      <c r="V29" s="39">
        <f t="shared" si="3"/>
        <v>2.5610287707061901E-2</v>
      </c>
    </row>
    <row r="30" spans="1:22">
      <c r="A30" s="34" t="s">
        <v>134</v>
      </c>
      <c r="B30" s="39">
        <f>IF('Chemicals Data'!B49="","",'Chemicals Data'!B49/'Chemicals Data'!B$7)</f>
        <v>7.8431372549019607E-2</v>
      </c>
      <c r="C30" s="39">
        <f>IF('Chemicals Data'!C49="","",'Chemicals Data'!C49/'Chemicals Data'!C$7)</f>
        <v>0.31914893617021278</v>
      </c>
      <c r="D30" s="39">
        <f>IF('Chemicals Data'!D49="","",'Chemicals Data'!D49/'Chemicals Data'!D$7)</f>
        <v>0.10526315789473684</v>
      </c>
      <c r="E30" s="39">
        <f>IF('Chemicals Data'!E49="","",'Chemicals Data'!E49/'Chemicals Data'!E$7)</f>
        <v>0.05</v>
      </c>
      <c r="F30" s="39">
        <f>IF('Chemicals Data'!F49="","",'Chemicals Data'!F49/'Chemicals Data'!F$7)</f>
        <v>5.9701492537313432E-2</v>
      </c>
      <c r="G30" s="39">
        <f>IF('Chemicals Data'!G49="","",'Chemicals Data'!G49/'Chemicals Data'!G$7)</f>
        <v>6.4516129032258063E-2</v>
      </c>
      <c r="H30" s="39">
        <f>IF('Chemicals Data'!H49="","",'Chemicals Data'!H49/'Chemicals Data'!H$7)</f>
        <v>2.1739130434782608E-2</v>
      </c>
      <c r="I30" s="39">
        <f>IF('Chemicals Data'!I49="","",'Chemicals Data'!I49/'Chemicals Data'!I$7)</f>
        <v>9.1954022988505746E-2</v>
      </c>
      <c r="J30" s="39">
        <f>IF('Chemicals Data'!J49="","",'Chemicals Data'!J49/'Chemicals Data'!J$7)</f>
        <v>2.7027027027027029E-2</v>
      </c>
      <c r="K30" s="39">
        <f>IF('Chemicals Data'!K49="","",'Chemicals Data'!K49/'Chemicals Data'!K$7)</f>
        <v>0.125</v>
      </c>
      <c r="L30" s="39" t="str">
        <f>IF('Chemicals Data'!L49="","",'Chemicals Data'!L49/'Chemicals Data'!L$7)</f>
        <v/>
      </c>
      <c r="M30" s="39">
        <f>IF('Chemicals Data'!M49="","",'Chemicals Data'!M49/'Chemicals Data'!M$7)</f>
        <v>4.0983606557377046E-2</v>
      </c>
      <c r="N30" s="39">
        <f>IF('Chemicals Data'!N49="","",'Chemicals Data'!N49/'Chemicals Data'!N$7)</f>
        <v>0.1</v>
      </c>
      <c r="O30" s="39" t="str">
        <f>IF('Chemicals Data'!O49="","",'Chemicals Data'!O49/'Chemicals Data'!O$7)</f>
        <v/>
      </c>
      <c r="P30" s="39">
        <f>IF('Chemicals Data'!P49="","",'Chemicals Data'!P49/'Chemicals Data'!P$7)</f>
        <v>5.4054054054054057E-2</v>
      </c>
      <c r="Q30" s="39">
        <f>IF('Chemicals Data'!Q49="","",'Chemicals Data'!Q49/'Chemicals Data'!Q$7)</f>
        <v>5.5555555555555552E-2</v>
      </c>
      <c r="R30" s="39">
        <f>IF('Chemicals Data'!R49="","",'Chemicals Data'!R49/'Chemicals Data'!R$7)</f>
        <v>4.8387096774193547E-2</v>
      </c>
      <c r="S30" s="39">
        <f t="shared" si="0"/>
        <v>1.2417615815750362</v>
      </c>
      <c r="T30" s="39">
        <f t="shared" si="1"/>
        <v>2.1739130434782608E-2</v>
      </c>
      <c r="U30" s="39">
        <f t="shared" si="2"/>
        <v>0.31914893617021278</v>
      </c>
      <c r="V30" s="39">
        <f t="shared" si="3"/>
        <v>5.9701492537313432E-2</v>
      </c>
    </row>
    <row r="31" spans="1:22">
      <c r="A31" s="34" t="s">
        <v>132</v>
      </c>
      <c r="B31" s="39">
        <f>IF('Chemicals Data'!B50="","",'Chemicals Data'!B50/'Chemicals Data'!B$7)</f>
        <v>0.19607843137254902</v>
      </c>
      <c r="C31" s="39">
        <f>IF('Chemicals Data'!C50="","",'Chemicals Data'!C50/'Chemicals Data'!C$7)</f>
        <v>0.10638297872340426</v>
      </c>
      <c r="D31" s="39">
        <f>IF('Chemicals Data'!D50="","",'Chemicals Data'!D50/'Chemicals Data'!D$7)</f>
        <v>0.21052631578947367</v>
      </c>
      <c r="E31" s="39">
        <f>IF('Chemicals Data'!E50="","",'Chemicals Data'!E50/'Chemicals Data'!E$7)</f>
        <v>0.05</v>
      </c>
      <c r="F31" s="39">
        <f>IF('Chemicals Data'!F50="","",'Chemicals Data'!F50/'Chemicals Data'!F$7)</f>
        <v>0.13432835820895522</v>
      </c>
      <c r="G31" s="39">
        <f>IF('Chemicals Data'!G50="","",'Chemicals Data'!G50/'Chemicals Data'!G$7)</f>
        <v>0.16935483870967741</v>
      </c>
      <c r="H31" s="39">
        <f>IF('Chemicals Data'!H50="","",'Chemicals Data'!H50/'Chemicals Data'!H$7)</f>
        <v>8.6956521739130432E-2</v>
      </c>
      <c r="I31" s="39">
        <f>IF('Chemicals Data'!I50="","",'Chemicals Data'!I50/'Chemicals Data'!I$7)</f>
        <v>0.36781609195402298</v>
      </c>
      <c r="J31" s="39">
        <f>IF('Chemicals Data'!J50="","",'Chemicals Data'!J50/'Chemicals Data'!J$7)</f>
        <v>0.16216216216216217</v>
      </c>
      <c r="K31" s="39">
        <f>IF('Chemicals Data'!K50="","",'Chemicals Data'!K50/'Chemicals Data'!K$7)</f>
        <v>0.3125</v>
      </c>
      <c r="L31" s="39">
        <f>IF('Chemicals Data'!L50="","",'Chemicals Data'!L50/'Chemicals Data'!L$7)</f>
        <v>3.3333333333333333E-2</v>
      </c>
      <c r="M31" s="39">
        <f>IF('Chemicals Data'!M50="","",'Chemicals Data'!M50/'Chemicals Data'!M$7)</f>
        <v>0.23770491803278687</v>
      </c>
      <c r="N31" s="39">
        <f>IF('Chemicals Data'!N50="","",'Chemicals Data'!N50/'Chemicals Data'!N$7)</f>
        <v>1.6666666666666666E-2</v>
      </c>
      <c r="O31" s="39">
        <f>IF('Chemicals Data'!O50="","",'Chemicals Data'!O50/'Chemicals Data'!O$7)</f>
        <v>0.31578947368421051</v>
      </c>
      <c r="P31" s="39">
        <f>IF('Chemicals Data'!P50="","",'Chemicals Data'!P50/'Chemicals Data'!P$7)</f>
        <v>8.1081081081081086E-2</v>
      </c>
      <c r="Q31" s="39">
        <f>IF('Chemicals Data'!Q50="","",'Chemicals Data'!Q50/'Chemicals Data'!Q$7)</f>
        <v>0.27777777777777779</v>
      </c>
      <c r="R31" s="39">
        <f>IF('Chemicals Data'!R50="","",'Chemicals Data'!R50/'Chemicals Data'!R$7)</f>
        <v>0.24193548387096775</v>
      </c>
      <c r="S31" s="39">
        <f t="shared" si="0"/>
        <v>3.0003944331061989</v>
      </c>
      <c r="T31" s="39">
        <f t="shared" si="1"/>
        <v>1.6666666666666666E-2</v>
      </c>
      <c r="U31" s="39">
        <f t="shared" si="2"/>
        <v>0.36781609195402298</v>
      </c>
      <c r="V31" s="39">
        <f t="shared" si="3"/>
        <v>0.16935483870967741</v>
      </c>
    </row>
    <row r="32" spans="1:22">
      <c r="A32" s="34" t="s">
        <v>138</v>
      </c>
      <c r="B32" s="39" t="str">
        <f>IF('Chemicals Data'!B51="","",'Chemicals Data'!B51/'Chemicals Data'!B$7)</f>
        <v/>
      </c>
      <c r="C32" s="39" t="str">
        <f>IF('Chemicals Data'!C51="","",'Chemicals Data'!C51/'Chemicals Data'!C$7)</f>
        <v/>
      </c>
      <c r="D32" s="39" t="str">
        <f>IF('Chemicals Data'!D51="","",'Chemicals Data'!D51/'Chemicals Data'!D$7)</f>
        <v/>
      </c>
      <c r="E32" s="39" t="str">
        <f>IF('Chemicals Data'!E51="","",'Chemicals Data'!E51/'Chemicals Data'!E$7)</f>
        <v/>
      </c>
      <c r="F32" s="39" t="str">
        <f>IF('Chemicals Data'!F51="","",'Chemicals Data'!F51/'Chemicals Data'!F$7)</f>
        <v/>
      </c>
      <c r="G32" s="39" t="str">
        <f>IF('Chemicals Data'!G51="","",'Chemicals Data'!G51/'Chemicals Data'!G$7)</f>
        <v/>
      </c>
      <c r="H32" s="39" t="str">
        <f>IF('Chemicals Data'!H51="","",'Chemicals Data'!H51/'Chemicals Data'!H$7)</f>
        <v/>
      </c>
      <c r="I32" s="39" t="str">
        <f>IF('Chemicals Data'!I51="","",'Chemicals Data'!I51/'Chemicals Data'!I$7)</f>
        <v/>
      </c>
      <c r="J32" s="39" t="str">
        <f>IF('Chemicals Data'!J51="","",'Chemicals Data'!J51/'Chemicals Data'!J$7)</f>
        <v/>
      </c>
      <c r="K32" s="39" t="str">
        <f>IF('Chemicals Data'!K51="","",'Chemicals Data'!K51/'Chemicals Data'!K$7)</f>
        <v/>
      </c>
      <c r="L32" s="39">
        <f>IF('Chemicals Data'!L51="","",'Chemicals Data'!L51/'Chemicals Data'!L$7)</f>
        <v>0.13333333333333333</v>
      </c>
      <c r="M32" s="39" t="str">
        <f>IF('Chemicals Data'!M51="","",'Chemicals Data'!M51/'Chemicals Data'!M$7)</f>
        <v/>
      </c>
      <c r="N32" s="39" t="str">
        <f>IF('Chemicals Data'!N51="","",'Chemicals Data'!N51/'Chemicals Data'!N$7)</f>
        <v/>
      </c>
      <c r="O32" s="39" t="str">
        <f>IF('Chemicals Data'!O51="","",'Chemicals Data'!O51/'Chemicals Data'!O$7)</f>
        <v/>
      </c>
      <c r="P32" s="39" t="str">
        <f>IF('Chemicals Data'!P51="","",'Chemicals Data'!P51/'Chemicals Data'!P$7)</f>
        <v/>
      </c>
      <c r="Q32" s="39" t="str">
        <f>IF('Chemicals Data'!Q51="","",'Chemicals Data'!Q51/'Chemicals Data'!Q$7)</f>
        <v/>
      </c>
      <c r="R32" s="39" t="str">
        <f>IF('Chemicals Data'!R51="","",'Chemicals Data'!R51/'Chemicals Data'!R$7)</f>
        <v/>
      </c>
      <c r="S32" s="39">
        <f t="shared" si="0"/>
        <v>0.13333333333333333</v>
      </c>
      <c r="T32" s="39">
        <f t="shared" si="1"/>
        <v>0.13333333333333333</v>
      </c>
      <c r="U32" s="39">
        <f t="shared" si="2"/>
        <v>0.13333333333333333</v>
      </c>
      <c r="V32" s="39">
        <f t="shared" si="3"/>
        <v>0.13333333333333333</v>
      </c>
    </row>
    <row r="33" spans="1:22">
      <c r="A33" s="34" t="s">
        <v>129</v>
      </c>
      <c r="B33" s="39">
        <f>IF('Chemicals Data'!B52="","",'Chemicals Data'!B52/'Chemicals Data'!B$7)</f>
        <v>3.9215686274509803E-2</v>
      </c>
      <c r="C33" s="39">
        <f>IF('Chemicals Data'!C52="","",'Chemicals Data'!C52/'Chemicals Data'!C$7)</f>
        <v>2.1276595744680851E-2</v>
      </c>
      <c r="D33" s="39" t="str">
        <f>IF('Chemicals Data'!D52="","",'Chemicals Data'!D52/'Chemicals Data'!D$7)</f>
        <v/>
      </c>
      <c r="E33" s="39" t="str">
        <f>IF('Chemicals Data'!E52="","",'Chemicals Data'!E52/'Chemicals Data'!E$7)</f>
        <v/>
      </c>
      <c r="F33" s="39">
        <f>IF('Chemicals Data'!F52="","",'Chemicals Data'!F52/'Chemicals Data'!F$7)</f>
        <v>4.4776119402985072E-2</v>
      </c>
      <c r="G33" s="39">
        <f>IF('Chemicals Data'!G52="","",'Chemicals Data'!G52/'Chemicals Data'!G$7)</f>
        <v>2.4193548387096774E-2</v>
      </c>
      <c r="H33" s="39">
        <f>IF('Chemicals Data'!H52="","",'Chemicals Data'!H52/'Chemicals Data'!H$7)</f>
        <v>6.5217391304347824E-2</v>
      </c>
      <c r="I33" s="39">
        <f>IF('Chemicals Data'!I52="","",'Chemicals Data'!I52/'Chemicals Data'!I$7)</f>
        <v>5.7471264367816091E-2</v>
      </c>
      <c r="J33" s="39">
        <f>IF('Chemicals Data'!J52="","",'Chemicals Data'!J52/'Chemicals Data'!J$7)</f>
        <v>5.4054054054054057E-2</v>
      </c>
      <c r="K33" s="39" t="str">
        <f>IF('Chemicals Data'!K52="","",'Chemicals Data'!K52/'Chemicals Data'!K$7)</f>
        <v/>
      </c>
      <c r="L33" s="39" t="str">
        <f>IF('Chemicals Data'!L52="","",'Chemicals Data'!L52/'Chemicals Data'!L$7)</f>
        <v/>
      </c>
      <c r="M33" s="39">
        <f>IF('Chemicals Data'!M52="","",'Chemicals Data'!M52/'Chemicals Data'!M$7)</f>
        <v>9.0163934426229511E-2</v>
      </c>
      <c r="N33" s="39">
        <f>IF('Chemicals Data'!N52="","",'Chemicals Data'!N52/'Chemicals Data'!N$7)</f>
        <v>0.11666666666666667</v>
      </c>
      <c r="O33" s="39" t="str">
        <f>IF('Chemicals Data'!O52="","",'Chemicals Data'!O52/'Chemicals Data'!O$7)</f>
        <v/>
      </c>
      <c r="P33" s="39" t="str">
        <f>IF('Chemicals Data'!P52="","",'Chemicals Data'!P52/'Chemicals Data'!P$7)</f>
        <v/>
      </c>
      <c r="Q33" s="39" t="str">
        <f>IF('Chemicals Data'!Q52="","",'Chemicals Data'!Q52/'Chemicals Data'!Q$7)</f>
        <v/>
      </c>
      <c r="R33" s="39">
        <f>IF('Chemicals Data'!R52="","",'Chemicals Data'!R52/'Chemicals Data'!R$7)</f>
        <v>1.6129032258064516E-2</v>
      </c>
      <c r="S33" s="39">
        <f t="shared" si="0"/>
        <v>0.52916429288645117</v>
      </c>
      <c r="T33" s="39">
        <f t="shared" si="1"/>
        <v>1.6129032258064516E-2</v>
      </c>
      <c r="U33" s="39">
        <f t="shared" si="2"/>
        <v>0.11666666666666667</v>
      </c>
      <c r="V33" s="39">
        <f t="shared" si="3"/>
        <v>4.9415086728519561E-2</v>
      </c>
    </row>
    <row r="34" spans="1:22">
      <c r="A34" s="34" t="s">
        <v>135</v>
      </c>
      <c r="B34" s="39" t="str">
        <f>IF('Chemicals Data'!B53="","",'Chemicals Data'!B53/'Chemicals Data'!B$7)</f>
        <v/>
      </c>
      <c r="C34" s="39" t="str">
        <f>IF('Chemicals Data'!C53="","",'Chemicals Data'!C53/'Chemicals Data'!C$7)</f>
        <v/>
      </c>
      <c r="D34" s="39" t="str">
        <f>IF('Chemicals Data'!D53="","",'Chemicals Data'!D53/'Chemicals Data'!D$7)</f>
        <v/>
      </c>
      <c r="E34" s="39" t="str">
        <f>IF('Chemicals Data'!E53="","",'Chemicals Data'!E53/'Chemicals Data'!E$7)</f>
        <v/>
      </c>
      <c r="F34" s="39">
        <f>IF('Chemicals Data'!F53="","",'Chemicals Data'!F53/'Chemicals Data'!F$7)</f>
        <v>4.4776119402985072E-2</v>
      </c>
      <c r="G34" s="39" t="str">
        <f>IF('Chemicals Data'!G53="","",'Chemicals Data'!G53/'Chemicals Data'!G$7)</f>
        <v/>
      </c>
      <c r="H34" s="39">
        <f>IF('Chemicals Data'!H53="","",'Chemicals Data'!H53/'Chemicals Data'!H$7)</f>
        <v>0.15217391304347827</v>
      </c>
      <c r="I34" s="39">
        <f>IF('Chemicals Data'!I53="","",'Chemicals Data'!I53/'Chemicals Data'!I$7)</f>
        <v>3.4482758620689655E-2</v>
      </c>
      <c r="J34" s="39">
        <f>IF('Chemicals Data'!J53="","",'Chemicals Data'!J53/'Chemicals Data'!J$7)</f>
        <v>5.4054054054054057E-2</v>
      </c>
      <c r="K34" s="39">
        <f>IF('Chemicals Data'!K53="","",'Chemicals Data'!K53/'Chemicals Data'!K$7)</f>
        <v>6.25E-2</v>
      </c>
      <c r="L34" s="39">
        <f>IF('Chemicals Data'!L53="","",'Chemicals Data'!L53/'Chemicals Data'!L$7)</f>
        <v>3.3333333333333333E-2</v>
      </c>
      <c r="M34" s="39">
        <f>IF('Chemicals Data'!M53="","",'Chemicals Data'!M53/'Chemicals Data'!M$7)</f>
        <v>4.0983606557377046E-2</v>
      </c>
      <c r="N34" s="39">
        <f>IF('Chemicals Data'!N53="","",'Chemicals Data'!N53/'Chemicals Data'!N$7)</f>
        <v>0.05</v>
      </c>
      <c r="O34" s="39" t="str">
        <f>IF('Chemicals Data'!O53="","",'Chemicals Data'!O53/'Chemicals Data'!O$7)</f>
        <v/>
      </c>
      <c r="P34" s="39">
        <f>IF('Chemicals Data'!P53="","",'Chemicals Data'!P53/'Chemicals Data'!P$7)</f>
        <v>2.7027027027027029E-2</v>
      </c>
      <c r="Q34" s="39" t="str">
        <f>IF('Chemicals Data'!Q53="","",'Chemicals Data'!Q53/'Chemicals Data'!Q$7)</f>
        <v/>
      </c>
      <c r="R34" s="39">
        <f>IF('Chemicals Data'!R53="","",'Chemicals Data'!R53/'Chemicals Data'!R$7)</f>
        <v>3.2258064516129031E-2</v>
      </c>
      <c r="S34" s="39">
        <f t="shared" si="0"/>
        <v>0.53158887655507348</v>
      </c>
      <c r="T34" s="39">
        <f t="shared" si="1"/>
        <v>2.7027027027027029E-2</v>
      </c>
      <c r="U34" s="39">
        <f t="shared" si="2"/>
        <v>0.15217391304347827</v>
      </c>
      <c r="V34" s="39">
        <f t="shared" si="3"/>
        <v>4.2879862980181059E-2</v>
      </c>
    </row>
    <row r="35" spans="1:22">
      <c r="A35" s="34" t="s">
        <v>139</v>
      </c>
      <c r="B35" s="39" t="str">
        <f>IF('Chemicals Data'!B54="","",'Chemicals Data'!B54/'Chemicals Data'!B$7)</f>
        <v/>
      </c>
      <c r="C35" s="39" t="str">
        <f>IF('Chemicals Data'!C54="","",'Chemicals Data'!C54/'Chemicals Data'!C$7)</f>
        <v/>
      </c>
      <c r="D35" s="39" t="str">
        <f>IF('Chemicals Data'!D54="","",'Chemicals Data'!D54/'Chemicals Data'!D$7)</f>
        <v/>
      </c>
      <c r="E35" s="39" t="str">
        <f>IF('Chemicals Data'!E54="","",'Chemicals Data'!E54/'Chemicals Data'!E$7)</f>
        <v/>
      </c>
      <c r="F35" s="39" t="str">
        <f>IF('Chemicals Data'!F54="","",'Chemicals Data'!F54/'Chemicals Data'!F$7)</f>
        <v/>
      </c>
      <c r="G35" s="39" t="str">
        <f>IF('Chemicals Data'!G54="","",'Chemicals Data'!G54/'Chemicals Data'!G$7)</f>
        <v/>
      </c>
      <c r="H35" s="39" t="str">
        <f>IF('Chemicals Data'!H54="","",'Chemicals Data'!H54/'Chemicals Data'!H$7)</f>
        <v/>
      </c>
      <c r="I35" s="39" t="str">
        <f>IF('Chemicals Data'!I54="","",'Chemicals Data'!I54/'Chemicals Data'!I$7)</f>
        <v/>
      </c>
      <c r="J35" s="39" t="str">
        <f>IF('Chemicals Data'!J54="","",'Chemicals Data'!J54/'Chemicals Data'!J$7)</f>
        <v/>
      </c>
      <c r="K35" s="39" t="str">
        <f>IF('Chemicals Data'!K54="","",'Chemicals Data'!K54/'Chemicals Data'!K$7)</f>
        <v/>
      </c>
      <c r="L35" s="39">
        <f>IF('Chemicals Data'!L54="","",'Chemicals Data'!L54/'Chemicals Data'!L$7)</f>
        <v>0.55000000000000004</v>
      </c>
      <c r="M35" s="39" t="str">
        <f>IF('Chemicals Data'!M54="","",'Chemicals Data'!M54/'Chemicals Data'!M$7)</f>
        <v/>
      </c>
      <c r="N35" s="39" t="str">
        <f>IF('Chemicals Data'!N54="","",'Chemicals Data'!N54/'Chemicals Data'!N$7)</f>
        <v/>
      </c>
      <c r="O35" s="39" t="str">
        <f>IF('Chemicals Data'!O54="","",'Chemicals Data'!O54/'Chemicals Data'!O$7)</f>
        <v/>
      </c>
      <c r="P35" s="39" t="str">
        <f>IF('Chemicals Data'!P54="","",'Chemicals Data'!P54/'Chemicals Data'!P$7)</f>
        <v/>
      </c>
      <c r="Q35" s="39" t="str">
        <f>IF('Chemicals Data'!Q54="","",'Chemicals Data'!Q54/'Chemicals Data'!Q$7)</f>
        <v/>
      </c>
      <c r="R35" s="39" t="str">
        <f>IF('Chemicals Data'!R54="","",'Chemicals Data'!R54/'Chemicals Data'!R$7)</f>
        <v/>
      </c>
      <c r="S35" s="39">
        <f t="shared" si="0"/>
        <v>0.55000000000000004</v>
      </c>
      <c r="T35" s="39">
        <f t="shared" si="1"/>
        <v>0.55000000000000004</v>
      </c>
      <c r="U35" s="39">
        <f t="shared" si="2"/>
        <v>0.55000000000000004</v>
      </c>
      <c r="V35" s="39">
        <f t="shared" si="3"/>
        <v>0.55000000000000004</v>
      </c>
    </row>
    <row r="36" spans="1:22">
      <c r="A36" s="34" t="s">
        <v>137</v>
      </c>
      <c r="B36" s="39" t="str">
        <f>IF('Chemicals Data'!B55="","",'Chemicals Data'!B55/'Chemicals Data'!B$7)</f>
        <v/>
      </c>
      <c r="C36" s="39" t="str">
        <f>IF('Chemicals Data'!C55="","",'Chemicals Data'!C55/'Chemicals Data'!C$7)</f>
        <v/>
      </c>
      <c r="D36" s="39" t="str">
        <f>IF('Chemicals Data'!D55="","",'Chemicals Data'!D55/'Chemicals Data'!D$7)</f>
        <v/>
      </c>
      <c r="E36" s="39" t="str">
        <f>IF('Chemicals Data'!E55="","",'Chemicals Data'!E55/'Chemicals Data'!E$7)</f>
        <v/>
      </c>
      <c r="F36" s="39" t="str">
        <f>IF('Chemicals Data'!F55="","",'Chemicals Data'!F55/'Chemicals Data'!F$7)</f>
        <v/>
      </c>
      <c r="G36" s="39">
        <f>IF('Chemicals Data'!G55="","",'Chemicals Data'!G55/'Chemicals Data'!G$7)</f>
        <v>8.0645161290322578E-3</v>
      </c>
      <c r="H36" s="39">
        <f>IF('Chemicals Data'!H55="","",'Chemicals Data'!H55/'Chemicals Data'!H$7)</f>
        <v>4.3478260869565216E-2</v>
      </c>
      <c r="I36" s="39" t="str">
        <f>IF('Chemicals Data'!I55="","",'Chemicals Data'!I55/'Chemicals Data'!I$7)</f>
        <v/>
      </c>
      <c r="J36" s="39">
        <f>IF('Chemicals Data'!J55="","",'Chemicals Data'!J55/'Chemicals Data'!J$7)</f>
        <v>2.7027027027027029E-2</v>
      </c>
      <c r="K36" s="39" t="str">
        <f>IF('Chemicals Data'!K55="","",'Chemicals Data'!K55/'Chemicals Data'!K$7)</f>
        <v/>
      </c>
      <c r="L36" s="39" t="str">
        <f>IF('Chemicals Data'!L55="","",'Chemicals Data'!L55/'Chemicals Data'!L$7)</f>
        <v/>
      </c>
      <c r="M36" s="39">
        <f>IF('Chemicals Data'!M55="","",'Chemicals Data'!M55/'Chemicals Data'!M$7)</f>
        <v>4.0983606557377046E-2</v>
      </c>
      <c r="N36" s="39">
        <f>IF('Chemicals Data'!N55="","",'Chemicals Data'!N55/'Chemicals Data'!N$7)</f>
        <v>1.6666666666666666E-2</v>
      </c>
      <c r="O36" s="39" t="str">
        <f>IF('Chemicals Data'!O55="","",'Chemicals Data'!O55/'Chemicals Data'!O$7)</f>
        <v/>
      </c>
      <c r="P36" s="39">
        <f>IF('Chemicals Data'!P55="","",'Chemicals Data'!P55/'Chemicals Data'!P$7)</f>
        <v>2.7027027027027029E-2</v>
      </c>
      <c r="Q36" s="39" t="str">
        <f>IF('Chemicals Data'!Q55="","",'Chemicals Data'!Q55/'Chemicals Data'!Q$7)</f>
        <v/>
      </c>
      <c r="R36" s="39" t="str">
        <f>IF('Chemicals Data'!R55="","",'Chemicals Data'!R55/'Chemicals Data'!R$7)</f>
        <v/>
      </c>
      <c r="S36" s="39">
        <f t="shared" si="0"/>
        <v>0.16324710427669523</v>
      </c>
      <c r="T36" s="39">
        <f t="shared" si="1"/>
        <v>8.0645161290322578E-3</v>
      </c>
      <c r="U36" s="39">
        <f t="shared" si="2"/>
        <v>4.3478260869565216E-2</v>
      </c>
      <c r="V36" s="39">
        <f t="shared" si="3"/>
        <v>2.7027027027027029E-2</v>
      </c>
    </row>
    <row r="37" spans="1:22">
      <c r="A37" s="34" t="s">
        <v>131</v>
      </c>
      <c r="B37" s="39">
        <f>IF('Chemicals Data'!B56="","",'Chemicals Data'!B56/'Chemicals Data'!B$7)</f>
        <v>0.13725490196078433</v>
      </c>
      <c r="C37" s="39">
        <f>IF('Chemicals Data'!C56="","",'Chemicals Data'!C56/'Chemicals Data'!C$7)</f>
        <v>0.31914893617021278</v>
      </c>
      <c r="D37" s="39">
        <f>IF('Chemicals Data'!D56="","",'Chemicals Data'!D56/'Chemicals Data'!D$7)</f>
        <v>0.31578947368421051</v>
      </c>
      <c r="E37" s="39">
        <f>IF('Chemicals Data'!E56="","",'Chemicals Data'!E56/'Chemicals Data'!E$7)</f>
        <v>0.35</v>
      </c>
      <c r="F37" s="39">
        <f>IF('Chemicals Data'!F56="","",'Chemicals Data'!F56/'Chemicals Data'!F$7)</f>
        <v>0.19402985074626866</v>
      </c>
      <c r="G37" s="39">
        <f>IF('Chemicals Data'!G56="","",'Chemicals Data'!G56/'Chemicals Data'!G$7)</f>
        <v>0.24193548387096775</v>
      </c>
      <c r="H37" s="39">
        <f>IF('Chemicals Data'!H56="","",'Chemicals Data'!H56/'Chemicals Data'!H$7)</f>
        <v>0.15217391304347827</v>
      </c>
      <c r="I37" s="39">
        <f>IF('Chemicals Data'!I56="","",'Chemicals Data'!I56/'Chemicals Data'!I$7)</f>
        <v>0.21839080459770116</v>
      </c>
      <c r="J37" s="39">
        <f>IF('Chemicals Data'!J56="","",'Chemicals Data'!J56/'Chemicals Data'!J$7)</f>
        <v>0.21621621621621623</v>
      </c>
      <c r="K37" s="39">
        <f>IF('Chemicals Data'!K56="","",'Chemicals Data'!K56/'Chemicals Data'!K$7)</f>
        <v>0.375</v>
      </c>
      <c r="L37" s="39">
        <f>IF('Chemicals Data'!L56="","",'Chemicals Data'!L56/'Chemicals Data'!L$7)</f>
        <v>0.16666666666666666</v>
      </c>
      <c r="M37" s="39">
        <f>IF('Chemicals Data'!M56="","",'Chemicals Data'!M56/'Chemicals Data'!M$7)</f>
        <v>4.9180327868852458E-2</v>
      </c>
      <c r="N37" s="39">
        <f>IF('Chemicals Data'!N56="","",'Chemicals Data'!N56/'Chemicals Data'!N$7)</f>
        <v>0.2</v>
      </c>
      <c r="O37" s="39">
        <f>IF('Chemicals Data'!O56="","",'Chemicals Data'!O56/'Chemicals Data'!O$7)</f>
        <v>0.31578947368421051</v>
      </c>
      <c r="P37" s="39">
        <f>IF('Chemicals Data'!P56="","",'Chemicals Data'!P56/'Chemicals Data'!P$7)</f>
        <v>0.29729729729729731</v>
      </c>
      <c r="Q37" s="39">
        <f>IF('Chemicals Data'!Q56="","",'Chemicals Data'!Q56/'Chemicals Data'!Q$7)</f>
        <v>0.3888888888888889</v>
      </c>
      <c r="R37" s="39">
        <f>IF('Chemicals Data'!R56="","",'Chemicals Data'!R56/'Chemicals Data'!R$7)</f>
        <v>0.17741935483870969</v>
      </c>
      <c r="S37" s="39">
        <f t="shared" si="0"/>
        <v>4.1151815895344654</v>
      </c>
      <c r="T37" s="39">
        <f t="shared" si="1"/>
        <v>4.9180327868852458E-2</v>
      </c>
      <c r="U37" s="39">
        <f t="shared" si="2"/>
        <v>0.3888888888888889</v>
      </c>
      <c r="V37" s="39">
        <f t="shared" si="3"/>
        <v>0.21839080459770116</v>
      </c>
    </row>
    <row r="38" spans="1:2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</row>
    <row r="39" spans="1:22">
      <c r="B39" s="26"/>
    </row>
    <row r="40" spans="1:22">
      <c r="B40" s="26"/>
      <c r="C40" s="9"/>
      <c r="D40" s="38"/>
      <c r="E40" s="8"/>
      <c r="F40" s="10"/>
      <c r="I40" s="10"/>
    </row>
    <row r="41" spans="1:22">
      <c r="B41" s="26"/>
      <c r="C41" s="9"/>
      <c r="D41" s="38"/>
      <c r="E41" s="8"/>
      <c r="F41" s="10"/>
      <c r="I41" s="28"/>
    </row>
    <row r="42" spans="1:22">
      <c r="B42" s="26"/>
      <c r="C42" s="9"/>
      <c r="D42" s="38"/>
      <c r="E42" s="8"/>
      <c r="F42" s="10"/>
      <c r="I42" s="10"/>
    </row>
    <row r="43" spans="1:22">
      <c r="B43" s="26"/>
      <c r="C43" s="9"/>
      <c r="D43" s="38"/>
      <c r="E43" s="8"/>
      <c r="F43" s="10"/>
      <c r="I43" s="28"/>
    </row>
    <row r="44" spans="1:22">
      <c r="C44" s="9"/>
      <c r="D44" s="38"/>
      <c r="E44" s="8"/>
      <c r="F44" s="10"/>
    </row>
    <row r="45" spans="1:22">
      <c r="C45" s="9"/>
      <c r="D45" s="38"/>
      <c r="E45" s="8"/>
      <c r="F45" s="10"/>
    </row>
    <row r="46" spans="1:22">
      <c r="C46" s="9"/>
      <c r="D46" s="38"/>
      <c r="E46" s="8"/>
      <c r="F46" s="10"/>
    </row>
    <row r="47" spans="1:22">
      <c r="C47" s="9"/>
      <c r="D47" s="38"/>
      <c r="E47" s="8"/>
      <c r="F47" s="10"/>
    </row>
    <row r="48" spans="1:22">
      <c r="C48" s="9"/>
      <c r="D48" s="38"/>
      <c r="E48" s="8"/>
      <c r="F48" s="10"/>
    </row>
    <row r="49" spans="3:6">
      <c r="C49" s="9"/>
      <c r="D49" s="38"/>
      <c r="E49" s="8"/>
      <c r="F49" s="10"/>
    </row>
    <row r="50" spans="3:6">
      <c r="C50" s="9"/>
      <c r="D50" s="38"/>
      <c r="E50" s="8"/>
      <c r="F50" s="10"/>
    </row>
    <row r="51" spans="3:6">
      <c r="C51" s="9"/>
      <c r="D51" s="38"/>
      <c r="E51" s="8"/>
      <c r="F51" s="10"/>
    </row>
    <row r="52" spans="3:6">
      <c r="C52" s="9"/>
      <c r="D52" s="38"/>
      <c r="E52" s="8"/>
      <c r="F52" s="10"/>
    </row>
    <row r="53" spans="3:6">
      <c r="C53" s="9"/>
      <c r="D53" s="38"/>
      <c r="E53" s="8"/>
      <c r="F53" s="10"/>
    </row>
    <row r="54" spans="3:6">
      <c r="C54" s="9"/>
      <c r="D54" s="38"/>
      <c r="E54" s="8"/>
      <c r="F54" s="10"/>
    </row>
    <row r="55" spans="3:6">
      <c r="C55" s="9"/>
      <c r="D55" s="38"/>
      <c r="E55" s="8"/>
      <c r="F55" s="10"/>
    </row>
    <row r="56" spans="3:6">
      <c r="C56" s="9"/>
      <c r="D56" s="38"/>
      <c r="E56" s="8"/>
      <c r="F56" s="10"/>
    </row>
    <row r="57" spans="3:6">
      <c r="C57" s="9"/>
      <c r="D57" s="38"/>
      <c r="E57" s="8"/>
      <c r="F57" s="10"/>
    </row>
    <row r="58" spans="3:6">
      <c r="C58" s="9"/>
      <c r="D58" s="38"/>
      <c r="E58" s="8"/>
      <c r="F58" s="10"/>
    </row>
    <row r="59" spans="3:6">
      <c r="C59" s="9"/>
      <c r="D59" s="38"/>
      <c r="E59" s="8"/>
      <c r="F59" s="10"/>
    </row>
    <row r="60" spans="3:6">
      <c r="C60" s="9"/>
      <c r="D60" s="38"/>
      <c r="E60" s="8"/>
      <c r="F60" s="10"/>
    </row>
    <row r="61" spans="3:6">
      <c r="C61" s="9"/>
      <c r="D61" s="38"/>
      <c r="E61" s="8"/>
      <c r="F61" s="10"/>
    </row>
    <row r="62" spans="3:6">
      <c r="C62" s="9"/>
      <c r="D62" s="38"/>
      <c r="E62" s="8"/>
      <c r="F62" s="10"/>
    </row>
    <row r="63" spans="3:6">
      <c r="C63" s="9"/>
      <c r="D63" s="38"/>
      <c r="E63" s="8"/>
      <c r="F63" s="10"/>
    </row>
    <row r="64" spans="3:6">
      <c r="C64" s="9"/>
      <c r="D64" s="38"/>
      <c r="E64" s="8"/>
      <c r="F64" s="10"/>
    </row>
    <row r="65" spans="6:6">
      <c r="F65" s="10"/>
    </row>
    <row r="66" spans="6:6">
      <c r="F66" s="10"/>
    </row>
    <row r="67" spans="6:6">
      <c r="F6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V86"/>
  <sheetViews>
    <sheetView topLeftCell="R1" workbookViewId="0">
      <pane ySplit="1" topLeftCell="A2" activePane="bottomLeft" state="frozen"/>
      <selection pane="bottomLeft" activeCell="X1" sqref="X1:AK2"/>
    </sheetView>
  </sheetViews>
  <sheetFormatPr defaultRowHeight="15"/>
  <cols>
    <col min="1" max="1" width="44.5703125" customWidth="1"/>
    <col min="2" max="2" width="14.7109375" customWidth="1"/>
    <col min="3" max="3" width="16" customWidth="1"/>
    <col min="4" max="4" width="14.85546875" customWidth="1"/>
    <col min="5" max="5" width="14.28515625" customWidth="1"/>
    <col min="6" max="6" width="17.5703125" customWidth="1"/>
    <col min="7" max="7" width="17" customWidth="1"/>
    <col min="8" max="8" width="14.42578125" customWidth="1"/>
    <col min="9" max="9" width="14.7109375" customWidth="1"/>
    <col min="10" max="10" width="14.140625" customWidth="1"/>
    <col min="11" max="11" width="13.140625" customWidth="1"/>
    <col min="12" max="12" width="14.5703125" customWidth="1"/>
    <col min="13" max="13" width="15.7109375" customWidth="1"/>
    <col min="14" max="14" width="15" customWidth="1"/>
    <col min="15" max="15" width="14.42578125" customWidth="1"/>
    <col min="16" max="16" width="16.28515625" customWidth="1"/>
    <col min="17" max="17" width="13.85546875" customWidth="1"/>
    <col min="18" max="18" width="16" customWidth="1"/>
    <col min="19" max="19" width="13.42578125" customWidth="1"/>
    <col min="20" max="20" width="11.140625" customWidth="1"/>
    <col min="21" max="21" width="11.42578125" customWidth="1"/>
    <col min="22" max="22" width="11.7109375" customWidth="1"/>
  </cols>
  <sheetData>
    <row r="1" spans="1:22">
      <c r="B1" s="34" t="s">
        <v>45</v>
      </c>
      <c r="C1" s="34" t="s">
        <v>44</v>
      </c>
      <c r="D1" s="34" t="s">
        <v>94</v>
      </c>
      <c r="E1" s="34" t="s">
        <v>43</v>
      </c>
      <c r="F1" s="34" t="s">
        <v>42</v>
      </c>
      <c r="G1" s="34" t="s">
        <v>41</v>
      </c>
      <c r="H1" s="34" t="s">
        <v>40</v>
      </c>
      <c r="I1" s="34" t="s">
        <v>47</v>
      </c>
      <c r="J1" s="34" t="s">
        <v>49</v>
      </c>
      <c r="K1" s="34" t="s">
        <v>95</v>
      </c>
      <c r="L1" s="34" t="s">
        <v>96</v>
      </c>
      <c r="M1" s="34" t="s">
        <v>50</v>
      </c>
      <c r="N1" s="34" t="s">
        <v>51</v>
      </c>
      <c r="O1" s="34" t="s">
        <v>53</v>
      </c>
      <c r="P1" s="34" t="s">
        <v>52</v>
      </c>
      <c r="Q1" s="34" t="s">
        <v>54</v>
      </c>
      <c r="R1" s="34" t="s">
        <v>55</v>
      </c>
      <c r="S1" s="34" t="s">
        <v>57</v>
      </c>
      <c r="T1" s="34" t="s">
        <v>58</v>
      </c>
      <c r="U1" s="34" t="s">
        <v>59</v>
      </c>
      <c r="V1" s="34" t="s">
        <v>60</v>
      </c>
    </row>
    <row r="2" spans="1:22">
      <c r="A2" t="s">
        <v>127</v>
      </c>
      <c r="B2" s="127">
        <v>14383191.32</v>
      </c>
      <c r="C2" s="127">
        <v>50880111.899999999</v>
      </c>
      <c r="D2" s="127">
        <v>2716233.37</v>
      </c>
      <c r="E2" s="127">
        <v>6766035.9400000004</v>
      </c>
      <c r="F2" s="127">
        <v>44554380.149999999</v>
      </c>
      <c r="G2" s="127">
        <v>103906211.44</v>
      </c>
      <c r="H2" s="127">
        <v>39198686.920000002</v>
      </c>
      <c r="I2" s="127">
        <v>146393349.43000001</v>
      </c>
      <c r="J2" s="127">
        <v>15127310.439999999</v>
      </c>
      <c r="K2" s="127">
        <v>3190738.06</v>
      </c>
      <c r="L2" s="127">
        <v>15038521.970000001</v>
      </c>
      <c r="M2" s="127">
        <v>77521706.489999995</v>
      </c>
      <c r="N2" s="127">
        <v>9599863.7699999996</v>
      </c>
      <c r="O2" s="127">
        <v>7938906.0300000003</v>
      </c>
      <c r="P2" s="127">
        <v>15801330.050000001</v>
      </c>
      <c r="Q2" s="127">
        <v>5686366.1699999999</v>
      </c>
      <c r="R2" s="127">
        <v>59771819.399999999</v>
      </c>
      <c r="S2" s="61">
        <f>SUM(B2:R2)</f>
        <v>618474762.8499999</v>
      </c>
      <c r="T2" s="61">
        <f>MIN(B2:R2)</f>
        <v>2716233.37</v>
      </c>
      <c r="U2" s="61">
        <f>MAX(B2:R2)</f>
        <v>146393349.43000001</v>
      </c>
      <c r="V2" s="61">
        <f>MEDIAN(B2:R2)</f>
        <v>15127310.439999999</v>
      </c>
    </row>
    <row r="3" spans="1:22">
      <c r="A3" s="34" t="s">
        <v>118</v>
      </c>
      <c r="B3" s="127">
        <v>3345072.56</v>
      </c>
      <c r="C3" s="127">
        <v>15588613.41</v>
      </c>
      <c r="D3" s="127">
        <v>384112.8</v>
      </c>
      <c r="E3" s="127">
        <v>3531383.19</v>
      </c>
      <c r="F3" s="127">
        <v>10413408.93</v>
      </c>
      <c r="G3" s="127">
        <v>27729803.91</v>
      </c>
      <c r="H3" s="127">
        <v>12661537</v>
      </c>
      <c r="I3" s="127">
        <v>38840537.890000001</v>
      </c>
      <c r="J3" s="127">
        <v>3185786.03</v>
      </c>
      <c r="K3" s="127">
        <v>890414.07999999996</v>
      </c>
      <c r="L3" s="127">
        <v>4615480.49</v>
      </c>
      <c r="M3" s="127">
        <v>20549583.77</v>
      </c>
      <c r="N3" s="127">
        <v>2603459.9500000002</v>
      </c>
      <c r="O3" s="127">
        <v>2728161.18</v>
      </c>
      <c r="P3" s="127">
        <v>2895856.47</v>
      </c>
      <c r="Q3" s="127">
        <v>1236285.79</v>
      </c>
      <c r="R3" s="127">
        <v>17691799.48</v>
      </c>
      <c r="S3" s="61">
        <f t="shared" ref="S3:S56" si="0">SUM(B3:R3)</f>
        <v>168891296.92999998</v>
      </c>
      <c r="T3" s="61">
        <f t="shared" ref="T3:T56" si="1">MIN(B3:R3)</f>
        <v>384112.8</v>
      </c>
      <c r="U3" s="61">
        <f t="shared" ref="U3:U56" si="2">MAX(B3:R3)</f>
        <v>38840537.890000001</v>
      </c>
      <c r="V3" s="61">
        <f t="shared" ref="V3:V56" si="3">MEDIAN(B3:R3)</f>
        <v>3531383.19</v>
      </c>
    </row>
    <row r="4" spans="1:22">
      <c r="A4" s="34" t="s">
        <v>119</v>
      </c>
      <c r="B4" s="127">
        <v>4109563.17</v>
      </c>
      <c r="C4" s="127">
        <v>12112405.57</v>
      </c>
      <c r="D4" s="127">
        <v>275720.93</v>
      </c>
      <c r="E4" s="127">
        <v>756104.65</v>
      </c>
      <c r="F4" s="127">
        <v>11929913.1</v>
      </c>
      <c r="G4" s="127">
        <v>26773807.190000001</v>
      </c>
      <c r="H4" s="127">
        <v>11029137.380000001</v>
      </c>
      <c r="I4" s="127">
        <v>43505490.119999997</v>
      </c>
      <c r="J4" s="127">
        <v>4537567.99</v>
      </c>
      <c r="K4" s="127">
        <v>625028.02</v>
      </c>
      <c r="L4" s="127">
        <v>2664766.4300000002</v>
      </c>
      <c r="M4" s="127">
        <v>25373370.949999999</v>
      </c>
      <c r="N4" s="127">
        <v>2944053.45</v>
      </c>
      <c r="O4" s="127">
        <v>2084686.17</v>
      </c>
      <c r="P4" s="127">
        <v>5967682.3399999999</v>
      </c>
      <c r="Q4" s="127">
        <v>1548144.67</v>
      </c>
      <c r="R4" s="127">
        <v>11426477.960000001</v>
      </c>
      <c r="S4" s="61">
        <f t="shared" si="0"/>
        <v>167663920.08999997</v>
      </c>
      <c r="T4" s="61">
        <f t="shared" si="1"/>
        <v>275720.93</v>
      </c>
      <c r="U4" s="61">
        <f t="shared" si="2"/>
        <v>43505490.119999997</v>
      </c>
      <c r="V4" s="61">
        <f t="shared" si="3"/>
        <v>4537567.99</v>
      </c>
    </row>
    <row r="5" spans="1:22">
      <c r="A5" s="34" t="s">
        <v>120</v>
      </c>
      <c r="B5" s="127">
        <v>3525182.33</v>
      </c>
      <c r="C5" s="127">
        <v>11346519.02</v>
      </c>
      <c r="D5" s="127">
        <v>1325321.07</v>
      </c>
      <c r="E5" s="127">
        <v>1142963.71</v>
      </c>
      <c r="F5" s="127">
        <v>11611102.85</v>
      </c>
      <c r="G5" s="127">
        <v>24594801.899999999</v>
      </c>
      <c r="H5" s="127">
        <v>5475414.5</v>
      </c>
      <c r="I5" s="127">
        <v>40992928.259999998</v>
      </c>
      <c r="J5" s="127">
        <v>3800477.41</v>
      </c>
      <c r="K5" s="127">
        <v>693398.55</v>
      </c>
      <c r="L5" s="127">
        <v>4067365.48</v>
      </c>
      <c r="M5" s="127">
        <v>16495653.09</v>
      </c>
      <c r="N5" s="127">
        <v>1451217.27</v>
      </c>
      <c r="O5" s="127">
        <v>1794476.89</v>
      </c>
      <c r="P5" s="127">
        <v>2681953.8199999998</v>
      </c>
      <c r="Q5" s="127">
        <v>1405756.54</v>
      </c>
      <c r="R5" s="127">
        <v>13280671.09</v>
      </c>
      <c r="S5" s="61">
        <f t="shared" si="0"/>
        <v>145685203.77999997</v>
      </c>
      <c r="T5" s="61">
        <f t="shared" si="1"/>
        <v>693398.55</v>
      </c>
      <c r="U5" s="61">
        <f t="shared" si="2"/>
        <v>40992928.259999998</v>
      </c>
      <c r="V5" s="61">
        <f t="shared" si="3"/>
        <v>3800477.41</v>
      </c>
    </row>
    <row r="6" spans="1:22">
      <c r="A6" s="34" t="s">
        <v>121</v>
      </c>
      <c r="B6" s="127">
        <v>3403373.26</v>
      </c>
      <c r="C6" s="127">
        <v>11832573.9</v>
      </c>
      <c r="D6" s="127">
        <v>731078.57</v>
      </c>
      <c r="E6" s="127">
        <v>1335584.3899999999</v>
      </c>
      <c r="F6" s="127">
        <v>10599955.27</v>
      </c>
      <c r="G6" s="127">
        <v>24807798.440000001</v>
      </c>
      <c r="H6" s="127">
        <v>10032598.039999999</v>
      </c>
      <c r="I6" s="127">
        <v>23054393.16</v>
      </c>
      <c r="J6" s="127">
        <v>3603479.01</v>
      </c>
      <c r="K6" s="127">
        <v>981897.41</v>
      </c>
      <c r="L6" s="127">
        <v>3690909.57</v>
      </c>
      <c r="M6" s="127">
        <v>15103098.68</v>
      </c>
      <c r="N6" s="127">
        <v>2601133.1</v>
      </c>
      <c r="O6" s="127">
        <v>1331581.79</v>
      </c>
      <c r="P6" s="127">
        <v>4255837.42</v>
      </c>
      <c r="Q6" s="127">
        <v>1496179.17</v>
      </c>
      <c r="R6" s="127">
        <v>17372870.870000001</v>
      </c>
      <c r="S6" s="61">
        <f t="shared" si="0"/>
        <v>136234342.04999998</v>
      </c>
      <c r="T6" s="61">
        <f t="shared" si="1"/>
        <v>731078.57</v>
      </c>
      <c r="U6" s="61">
        <f t="shared" si="2"/>
        <v>24807798.440000001</v>
      </c>
      <c r="V6" s="61">
        <f t="shared" si="3"/>
        <v>3690909.57</v>
      </c>
    </row>
    <row r="7" spans="1:22">
      <c r="A7" s="34" t="s">
        <v>126</v>
      </c>
      <c r="B7" s="128">
        <v>51</v>
      </c>
      <c r="C7" s="128">
        <v>47</v>
      </c>
      <c r="D7" s="128">
        <v>19</v>
      </c>
      <c r="E7" s="128">
        <v>20</v>
      </c>
      <c r="F7" s="128">
        <v>67</v>
      </c>
      <c r="G7" s="128">
        <v>124</v>
      </c>
      <c r="H7" s="128">
        <v>46</v>
      </c>
      <c r="I7" s="128">
        <v>87</v>
      </c>
      <c r="J7" s="128">
        <v>37</v>
      </c>
      <c r="K7" s="128">
        <v>16</v>
      </c>
      <c r="L7" s="128">
        <v>60</v>
      </c>
      <c r="M7" s="128">
        <v>122</v>
      </c>
      <c r="N7" s="128">
        <v>60</v>
      </c>
      <c r="O7" s="128">
        <v>19</v>
      </c>
      <c r="P7" s="128">
        <v>37</v>
      </c>
      <c r="Q7" s="128">
        <v>18</v>
      </c>
      <c r="R7" s="128">
        <v>62</v>
      </c>
      <c r="S7" s="61">
        <f t="shared" si="0"/>
        <v>892</v>
      </c>
      <c r="T7" s="61">
        <f t="shared" si="1"/>
        <v>16</v>
      </c>
      <c r="U7" s="61">
        <f t="shared" si="2"/>
        <v>124</v>
      </c>
      <c r="V7" s="61">
        <f t="shared" si="3"/>
        <v>47</v>
      </c>
    </row>
    <row r="8" spans="1:22">
      <c r="A8" s="34" t="s">
        <v>122</v>
      </c>
      <c r="B8" s="128">
        <v>37</v>
      </c>
      <c r="C8" s="128">
        <v>34</v>
      </c>
      <c r="D8" s="128">
        <v>14</v>
      </c>
      <c r="E8" s="128">
        <v>10</v>
      </c>
      <c r="F8" s="128">
        <v>56</v>
      </c>
      <c r="G8" s="128">
        <v>86</v>
      </c>
      <c r="H8" s="128">
        <v>32</v>
      </c>
      <c r="I8" s="128">
        <v>72</v>
      </c>
      <c r="J8" s="128">
        <v>28</v>
      </c>
      <c r="K8" s="128">
        <v>14</v>
      </c>
      <c r="L8" s="128">
        <v>35</v>
      </c>
      <c r="M8" s="128">
        <v>90</v>
      </c>
      <c r="N8" s="128">
        <v>36</v>
      </c>
      <c r="O8" s="128">
        <v>13</v>
      </c>
      <c r="P8" s="128">
        <v>33</v>
      </c>
      <c r="Q8" s="128">
        <v>14</v>
      </c>
      <c r="R8" s="128">
        <v>35</v>
      </c>
      <c r="S8" s="61">
        <f t="shared" si="0"/>
        <v>639</v>
      </c>
      <c r="T8" s="61">
        <f t="shared" si="1"/>
        <v>10</v>
      </c>
      <c r="U8" s="61">
        <f t="shared" si="2"/>
        <v>90</v>
      </c>
      <c r="V8" s="61">
        <f t="shared" si="3"/>
        <v>34</v>
      </c>
    </row>
    <row r="9" spans="1:22">
      <c r="A9" s="34" t="s">
        <v>123</v>
      </c>
      <c r="B9" s="128">
        <v>40</v>
      </c>
      <c r="C9" s="128">
        <v>30</v>
      </c>
      <c r="D9" s="128">
        <v>14</v>
      </c>
      <c r="E9" s="128">
        <v>10</v>
      </c>
      <c r="F9" s="128">
        <v>57</v>
      </c>
      <c r="G9" s="128">
        <v>91</v>
      </c>
      <c r="H9" s="128">
        <v>32</v>
      </c>
      <c r="I9" s="128">
        <v>58</v>
      </c>
      <c r="J9" s="128">
        <v>28</v>
      </c>
      <c r="K9" s="128">
        <v>16</v>
      </c>
      <c r="L9" s="128">
        <v>39</v>
      </c>
      <c r="M9" s="128">
        <v>89</v>
      </c>
      <c r="N9" s="128">
        <v>34</v>
      </c>
      <c r="O9" s="128">
        <v>14</v>
      </c>
      <c r="P9" s="128">
        <v>31</v>
      </c>
      <c r="Q9" s="128">
        <v>14</v>
      </c>
      <c r="R9" s="128">
        <v>43</v>
      </c>
      <c r="S9" s="61">
        <f t="shared" si="0"/>
        <v>640</v>
      </c>
      <c r="T9" s="61">
        <f t="shared" si="1"/>
        <v>10</v>
      </c>
      <c r="U9" s="61">
        <f t="shared" si="2"/>
        <v>91</v>
      </c>
      <c r="V9" s="61">
        <f t="shared" si="3"/>
        <v>32</v>
      </c>
    </row>
    <row r="10" spans="1:22">
      <c r="A10" s="34" t="s">
        <v>124</v>
      </c>
      <c r="B10" s="128">
        <v>40</v>
      </c>
      <c r="C10" s="128">
        <v>32</v>
      </c>
      <c r="D10" s="128">
        <v>15</v>
      </c>
      <c r="E10" s="128">
        <v>17</v>
      </c>
      <c r="F10" s="128">
        <v>55</v>
      </c>
      <c r="G10" s="128">
        <v>90</v>
      </c>
      <c r="H10" s="128">
        <v>37</v>
      </c>
      <c r="I10" s="128">
        <v>54</v>
      </c>
      <c r="J10" s="128">
        <v>31</v>
      </c>
      <c r="K10" s="128">
        <v>14</v>
      </c>
      <c r="L10" s="128">
        <v>37</v>
      </c>
      <c r="M10" s="128">
        <v>89</v>
      </c>
      <c r="N10" s="128">
        <v>44</v>
      </c>
      <c r="O10" s="128">
        <v>16</v>
      </c>
      <c r="P10" s="128">
        <v>30</v>
      </c>
      <c r="Q10" s="128">
        <v>16</v>
      </c>
      <c r="R10" s="128">
        <v>38</v>
      </c>
      <c r="S10" s="61">
        <f t="shared" si="0"/>
        <v>655</v>
      </c>
      <c r="T10" s="61">
        <f t="shared" si="1"/>
        <v>14</v>
      </c>
      <c r="U10" s="61">
        <f t="shared" si="2"/>
        <v>90</v>
      </c>
      <c r="V10" s="61">
        <f t="shared" si="3"/>
        <v>37</v>
      </c>
    </row>
    <row r="11" spans="1:22">
      <c r="A11" s="34" t="s">
        <v>125</v>
      </c>
      <c r="B11" s="128">
        <v>39</v>
      </c>
      <c r="C11" s="128">
        <v>30</v>
      </c>
      <c r="D11" s="128">
        <v>17</v>
      </c>
      <c r="E11" s="128">
        <v>17</v>
      </c>
      <c r="F11" s="128">
        <v>57</v>
      </c>
      <c r="G11" s="128">
        <v>92</v>
      </c>
      <c r="H11" s="128">
        <v>41</v>
      </c>
      <c r="I11" s="128">
        <v>57</v>
      </c>
      <c r="J11" s="128">
        <v>29</v>
      </c>
      <c r="K11" s="128">
        <v>15</v>
      </c>
      <c r="L11" s="128">
        <v>38</v>
      </c>
      <c r="M11" s="128">
        <v>87</v>
      </c>
      <c r="N11" s="128">
        <v>38</v>
      </c>
      <c r="O11" s="128">
        <v>17</v>
      </c>
      <c r="P11" s="128">
        <v>31</v>
      </c>
      <c r="Q11" s="128">
        <v>16</v>
      </c>
      <c r="R11" s="128">
        <v>41</v>
      </c>
      <c r="S11" s="61">
        <f t="shared" si="0"/>
        <v>662</v>
      </c>
      <c r="T11" s="61">
        <f t="shared" si="1"/>
        <v>15</v>
      </c>
      <c r="U11" s="61">
        <f t="shared" si="2"/>
        <v>92</v>
      </c>
      <c r="V11" s="61">
        <f t="shared" si="3"/>
        <v>38</v>
      </c>
    </row>
    <row r="12" spans="1:22">
      <c r="A12" t="s">
        <v>34</v>
      </c>
      <c r="B12" s="15">
        <v>14509</v>
      </c>
      <c r="C12" s="129">
        <v>14072</v>
      </c>
      <c r="D12" s="129">
        <v>1672</v>
      </c>
      <c r="E12" s="61">
        <v>2928</v>
      </c>
      <c r="F12" s="129">
        <v>9197</v>
      </c>
      <c r="G12" s="129">
        <v>26823</v>
      </c>
      <c r="H12" s="129">
        <v>6519</v>
      </c>
      <c r="I12" s="129">
        <v>11730</v>
      </c>
      <c r="J12" s="129">
        <v>5401</v>
      </c>
      <c r="K12" s="129">
        <v>1381</v>
      </c>
      <c r="L12" s="129">
        <v>1617</v>
      </c>
      <c r="M12" s="129">
        <v>18884</v>
      </c>
      <c r="N12" s="129">
        <v>3662</v>
      </c>
      <c r="O12" s="129">
        <v>2266</v>
      </c>
      <c r="P12" s="129">
        <v>5828</v>
      </c>
      <c r="Q12" s="129">
        <v>1764</v>
      </c>
      <c r="R12" s="129">
        <v>9361</v>
      </c>
      <c r="S12" s="61">
        <f t="shared" si="0"/>
        <v>137614</v>
      </c>
      <c r="T12" s="61">
        <f t="shared" si="1"/>
        <v>1381</v>
      </c>
      <c r="U12" s="61">
        <f t="shared" si="2"/>
        <v>26823</v>
      </c>
      <c r="V12" s="61">
        <f t="shared" si="3"/>
        <v>5828</v>
      </c>
    </row>
    <row r="13" spans="1:22">
      <c r="A13" t="s">
        <v>33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61"/>
      <c r="T13" s="61"/>
      <c r="U13" s="61"/>
      <c r="V13" s="61"/>
    </row>
    <row r="14" spans="1:22">
      <c r="A14" t="s">
        <v>32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61"/>
      <c r="T14" s="61"/>
      <c r="U14" s="61"/>
      <c r="V14" s="61"/>
    </row>
    <row r="15" spans="1:22">
      <c r="A15" t="s">
        <v>31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61"/>
      <c r="T15" s="61"/>
      <c r="U15" s="61"/>
      <c r="V15" s="61"/>
    </row>
    <row r="16" spans="1:22">
      <c r="A16" t="s">
        <v>30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61"/>
      <c r="T16" s="61"/>
      <c r="U16" s="61"/>
      <c r="V16" s="61"/>
    </row>
    <row r="17" spans="1:22">
      <c r="A17" t="s">
        <v>89</v>
      </c>
      <c r="B17" s="15">
        <v>11506553.056000005</v>
      </c>
      <c r="C17" s="15">
        <v>40704089.520000003</v>
      </c>
      <c r="D17" s="15">
        <v>2172986.696</v>
      </c>
      <c r="E17" s="15">
        <v>5412828.7520000003</v>
      </c>
      <c r="F17" s="15">
        <v>35643504.119999997</v>
      </c>
      <c r="G17" s="15">
        <v>83124969.15200001</v>
      </c>
      <c r="H17" s="15">
        <v>31358949.536000002</v>
      </c>
      <c r="I17" s="15">
        <v>117114679.54400001</v>
      </c>
      <c r="J17" s="15">
        <v>12101848.352</v>
      </c>
      <c r="K17" s="15">
        <v>2552590.4480000003</v>
      </c>
      <c r="L17" s="15">
        <v>12030817.576000001</v>
      </c>
      <c r="M17" s="15">
        <v>62017365.192000002</v>
      </c>
      <c r="N17" s="15">
        <v>7679891.0159999998</v>
      </c>
      <c r="O17" s="15">
        <v>6351124.824000001</v>
      </c>
      <c r="P17" s="15">
        <v>12641064.040000001</v>
      </c>
      <c r="Q17" s="15">
        <v>4549092.9359999998</v>
      </c>
      <c r="R17" s="15">
        <v>47817455.520000003</v>
      </c>
      <c r="S17" s="61">
        <f t="shared" si="0"/>
        <v>494779810.27999997</v>
      </c>
      <c r="T17" s="61">
        <f t="shared" si="1"/>
        <v>2172986.696</v>
      </c>
      <c r="U17" s="61">
        <f t="shared" si="2"/>
        <v>117114679.54400001</v>
      </c>
      <c r="V17" s="61">
        <f t="shared" si="3"/>
        <v>12101848.352</v>
      </c>
    </row>
    <row r="18" spans="1:22">
      <c r="A18" t="s">
        <v>91</v>
      </c>
      <c r="B18" s="15">
        <v>8</v>
      </c>
      <c r="C18" s="15">
        <v>2</v>
      </c>
      <c r="D18" s="15">
        <v>4.503879191889407</v>
      </c>
      <c r="E18" s="15">
        <v>5.2270129997502259</v>
      </c>
      <c r="F18" s="15">
        <v>13.134506356640337</v>
      </c>
      <c r="G18" s="15">
        <v>12.713473524597665</v>
      </c>
      <c r="H18" s="15">
        <v>7.146105751689829</v>
      </c>
      <c r="I18" s="15">
        <v>4.7128032233397592</v>
      </c>
      <c r="J18" s="15">
        <v>7.0679194430299273</v>
      </c>
      <c r="K18" s="15">
        <v>4.5474998916298492</v>
      </c>
      <c r="L18" s="15">
        <v>4.6505465861210595</v>
      </c>
      <c r="M18" s="15">
        <v>14.357216071026853</v>
      </c>
      <c r="N18" s="15">
        <v>7.7000977754039894</v>
      </c>
      <c r="O18" s="15">
        <v>4.092243283737087</v>
      </c>
      <c r="P18" s="15">
        <v>8.6596809432552746</v>
      </c>
      <c r="Q18" s="15">
        <v>7.0160906121821469</v>
      </c>
      <c r="R18" s="15">
        <v>3.4172447383929145</v>
      </c>
      <c r="S18" s="63">
        <f t="shared" si="0"/>
        <v>118.94632039268636</v>
      </c>
      <c r="T18" s="63">
        <f t="shared" si="1"/>
        <v>2</v>
      </c>
      <c r="U18" s="63">
        <f t="shared" si="2"/>
        <v>14.357216071026853</v>
      </c>
      <c r="V18" s="63">
        <f t="shared" si="3"/>
        <v>7.0160906121821469</v>
      </c>
    </row>
    <row r="19" spans="1:22">
      <c r="A19" t="s">
        <v>88</v>
      </c>
      <c r="B19" s="15">
        <v>2876638.2640000014</v>
      </c>
      <c r="C19" s="15">
        <v>10176022.380000001</v>
      </c>
      <c r="D19" s="15">
        <v>543246.674</v>
      </c>
      <c r="E19" s="15">
        <v>1353207.1880000001</v>
      </c>
      <c r="F19" s="15">
        <v>8910876.0299999993</v>
      </c>
      <c r="G19" s="15">
        <v>20781242.288000003</v>
      </c>
      <c r="H19" s="15">
        <v>7839737.3840000005</v>
      </c>
      <c r="I19" s="15">
        <v>29278669.886000004</v>
      </c>
      <c r="J19" s="15">
        <v>3025462.088</v>
      </c>
      <c r="K19" s="15">
        <v>638147.61200000008</v>
      </c>
      <c r="L19" s="15">
        <v>3007704.3940000003</v>
      </c>
      <c r="M19" s="15">
        <v>15504341.298</v>
      </c>
      <c r="N19" s="15">
        <v>1919972.754</v>
      </c>
      <c r="O19" s="15">
        <v>1587781.2060000002</v>
      </c>
      <c r="P19" s="15">
        <v>3160266.0100000002</v>
      </c>
      <c r="Q19" s="15">
        <v>1137273.2339999999</v>
      </c>
      <c r="R19" s="15">
        <v>11954363.880000001</v>
      </c>
      <c r="S19" s="61">
        <f t="shared" si="0"/>
        <v>123694952.56999999</v>
      </c>
      <c r="T19" s="61">
        <f t="shared" si="1"/>
        <v>543246.674</v>
      </c>
      <c r="U19" s="61">
        <f t="shared" si="2"/>
        <v>29278669.886000004</v>
      </c>
      <c r="V19" s="61">
        <f t="shared" si="3"/>
        <v>3025462.088</v>
      </c>
    </row>
    <row r="20" spans="1:22">
      <c r="A20" t="s">
        <v>90</v>
      </c>
      <c r="B20" s="15">
        <v>1</v>
      </c>
      <c r="C20" s="15">
        <v>1</v>
      </c>
      <c r="D20" s="15">
        <v>0.42592635433041726</v>
      </c>
      <c r="E20" s="15">
        <v>0.88824158572467093</v>
      </c>
      <c r="F20" s="15">
        <v>0.95275980623416512</v>
      </c>
      <c r="G20" s="15">
        <v>1.0784701073325125</v>
      </c>
      <c r="H20" s="15">
        <v>0.97879159535439964</v>
      </c>
      <c r="I20" s="15">
        <v>0.47365389819800541</v>
      </c>
      <c r="J20" s="15">
        <v>0.74337862859590631</v>
      </c>
      <c r="K20" s="15">
        <v>0.61554672449255365</v>
      </c>
      <c r="L20" s="15">
        <v>0.60903778803727526</v>
      </c>
      <c r="M20" s="15">
        <v>1.4211354565103793</v>
      </c>
      <c r="N20" s="15">
        <v>0.73679982281554834</v>
      </c>
      <c r="O20" s="15">
        <v>0.52755118364459808</v>
      </c>
      <c r="P20" s="15">
        <v>0.58655246226525426</v>
      </c>
      <c r="Q20" s="15">
        <v>0.81591875367209743</v>
      </c>
      <c r="R20" s="15">
        <v>0.38994040572523481</v>
      </c>
      <c r="S20" s="63">
        <f t="shared" si="0"/>
        <v>13.243704572933018</v>
      </c>
      <c r="T20" s="63">
        <f t="shared" si="1"/>
        <v>0.38994040572523481</v>
      </c>
      <c r="U20" s="63">
        <f t="shared" si="2"/>
        <v>1.4211354565103793</v>
      </c>
      <c r="V20" s="63">
        <f t="shared" si="3"/>
        <v>0.74337862859590631</v>
      </c>
    </row>
    <row r="21" spans="1:22">
      <c r="A21" t="s">
        <v>111</v>
      </c>
      <c r="B21" s="15">
        <v>8318000</v>
      </c>
      <c r="C21" s="15">
        <v>5867000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61"/>
      <c r="T21" s="61"/>
      <c r="U21" s="61"/>
      <c r="V21" s="61"/>
    </row>
    <row r="22" spans="1:22">
      <c r="A22" t="s">
        <v>112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61"/>
      <c r="T22" s="61"/>
      <c r="U22" s="61"/>
      <c r="V22" s="61"/>
    </row>
    <row r="23" spans="1:22">
      <c r="A23" t="s">
        <v>113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61"/>
      <c r="T23" s="61"/>
      <c r="U23" s="61"/>
      <c r="V23" s="61"/>
    </row>
    <row r="24" spans="1:22">
      <c r="A24" t="s">
        <v>101</v>
      </c>
      <c r="B24" s="15">
        <v>387000</v>
      </c>
      <c r="C24" s="15">
        <v>13000</v>
      </c>
      <c r="D24" s="15"/>
      <c r="E24" s="61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61"/>
      <c r="T24" s="61"/>
      <c r="U24" s="61"/>
      <c r="V24" s="61"/>
    </row>
    <row r="25" spans="1:22">
      <c r="A25" t="s">
        <v>14</v>
      </c>
      <c r="B25" s="15">
        <v>20000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61"/>
      <c r="T25" s="61"/>
      <c r="U25" s="61"/>
      <c r="V25" s="61"/>
    </row>
    <row r="26" spans="1:22">
      <c r="A26" t="s">
        <v>102</v>
      </c>
      <c r="B26" s="15">
        <v>5658000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61"/>
      <c r="T26" s="61"/>
      <c r="U26" s="61"/>
      <c r="V26" s="61"/>
    </row>
    <row r="27" spans="1:22">
      <c r="A27" t="s">
        <v>97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61"/>
      <c r="T27" s="61"/>
      <c r="U27" s="61"/>
      <c r="V27" s="61"/>
    </row>
    <row r="28" spans="1:22">
      <c r="A28" t="s">
        <v>98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1"/>
      <c r="T28" s="61"/>
      <c r="U28" s="61"/>
      <c r="V28" s="61"/>
    </row>
    <row r="29" spans="1:2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1"/>
      <c r="T29" s="61"/>
      <c r="U29" s="61"/>
      <c r="V29" s="61"/>
    </row>
    <row r="30" spans="1:2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1"/>
      <c r="T30" s="61"/>
      <c r="U30" s="61"/>
      <c r="V30" s="61"/>
    </row>
    <row r="31" spans="1:22">
      <c r="A31" t="s">
        <v>133</v>
      </c>
      <c r="B31" s="64">
        <v>61307</v>
      </c>
      <c r="C31" s="15"/>
      <c r="D31" s="15"/>
      <c r="E31" s="15"/>
      <c r="F31" s="64">
        <v>12089093</v>
      </c>
      <c r="G31" s="64">
        <v>1070711</v>
      </c>
      <c r="H31" s="15"/>
      <c r="I31" s="64">
        <v>516801</v>
      </c>
      <c r="J31" s="15"/>
      <c r="K31" s="64"/>
      <c r="L31" s="15"/>
      <c r="M31" s="64">
        <v>1177250</v>
      </c>
      <c r="N31" s="64">
        <v>62952</v>
      </c>
      <c r="O31" s="15"/>
      <c r="P31" s="64">
        <v>340156</v>
      </c>
      <c r="Q31" s="15"/>
      <c r="R31" s="64">
        <v>448164</v>
      </c>
      <c r="S31" s="61">
        <f t="shared" si="0"/>
        <v>15766434</v>
      </c>
      <c r="T31" s="61">
        <f t="shared" si="1"/>
        <v>61307</v>
      </c>
      <c r="U31" s="61">
        <f t="shared" si="2"/>
        <v>12089093</v>
      </c>
      <c r="V31" s="61">
        <f t="shared" si="3"/>
        <v>482482.5</v>
      </c>
    </row>
    <row r="32" spans="1:22">
      <c r="A32" t="s">
        <v>128</v>
      </c>
      <c r="B32" s="64">
        <v>9514776</v>
      </c>
      <c r="C32" s="64">
        <v>10714799</v>
      </c>
      <c r="D32" s="64">
        <v>1777301</v>
      </c>
      <c r="E32" s="64">
        <v>1366034</v>
      </c>
      <c r="F32" s="64">
        <v>19789907</v>
      </c>
      <c r="G32" s="64">
        <v>60713707</v>
      </c>
      <c r="H32" s="64">
        <v>11205966</v>
      </c>
      <c r="I32" s="64">
        <v>35156839</v>
      </c>
      <c r="J32" s="64">
        <v>8893807</v>
      </c>
      <c r="K32" s="64">
        <v>269035</v>
      </c>
      <c r="L32" s="64">
        <v>372830</v>
      </c>
      <c r="M32" s="64">
        <v>36496966</v>
      </c>
      <c r="N32" s="64">
        <v>2972100</v>
      </c>
      <c r="O32" s="64">
        <v>4482313</v>
      </c>
      <c r="P32" s="64">
        <v>8823507</v>
      </c>
      <c r="Q32" s="64">
        <v>3374934</v>
      </c>
      <c r="R32" s="64">
        <v>39876033</v>
      </c>
      <c r="S32" s="61">
        <f t="shared" si="0"/>
        <v>255800854</v>
      </c>
      <c r="T32" s="61">
        <f t="shared" si="1"/>
        <v>269035</v>
      </c>
      <c r="U32" s="61">
        <f t="shared" si="2"/>
        <v>60713707</v>
      </c>
      <c r="V32" s="61">
        <f t="shared" si="3"/>
        <v>8893807</v>
      </c>
    </row>
    <row r="33" spans="1:22">
      <c r="A33" t="s">
        <v>130</v>
      </c>
      <c r="B33" s="64">
        <v>579744</v>
      </c>
      <c r="C33" s="64">
        <v>1510303</v>
      </c>
      <c r="D33" s="64">
        <v>288438</v>
      </c>
      <c r="E33" s="64">
        <v>3052252</v>
      </c>
      <c r="F33" s="64">
        <v>5083782</v>
      </c>
      <c r="G33" s="64">
        <v>12796511</v>
      </c>
      <c r="H33" s="64">
        <v>727935</v>
      </c>
      <c r="I33" s="64">
        <v>2889696</v>
      </c>
      <c r="J33" s="64">
        <v>843775</v>
      </c>
      <c r="K33" s="64">
        <v>149561</v>
      </c>
      <c r="L33" s="64">
        <v>142391</v>
      </c>
      <c r="M33" s="64">
        <v>2691651</v>
      </c>
      <c r="N33" s="64">
        <v>1252443</v>
      </c>
      <c r="O33" s="64">
        <v>1655345</v>
      </c>
      <c r="P33" s="64">
        <v>1333155</v>
      </c>
      <c r="Q33" s="64">
        <v>261342</v>
      </c>
      <c r="R33" s="64">
        <v>5799507</v>
      </c>
      <c r="S33" s="61">
        <f t="shared" si="0"/>
        <v>41057831</v>
      </c>
      <c r="T33" s="61">
        <f t="shared" si="1"/>
        <v>142391</v>
      </c>
      <c r="U33" s="61">
        <f t="shared" si="2"/>
        <v>12796511</v>
      </c>
      <c r="V33" s="61">
        <f t="shared" si="3"/>
        <v>1333155</v>
      </c>
    </row>
    <row r="34" spans="1:22">
      <c r="A34" t="s">
        <v>136</v>
      </c>
      <c r="B34" s="15"/>
      <c r="C34" s="15"/>
      <c r="D34" s="15"/>
      <c r="E34" s="15"/>
      <c r="F34" s="15"/>
      <c r="G34" s="64">
        <v>46652</v>
      </c>
      <c r="H34" s="15"/>
      <c r="I34" s="64">
        <v>246463</v>
      </c>
      <c r="J34" s="15"/>
      <c r="K34" s="64"/>
      <c r="L34" s="15"/>
      <c r="M34" s="64">
        <v>78234</v>
      </c>
      <c r="N34" s="64">
        <v>111</v>
      </c>
      <c r="O34" s="64">
        <v>69712</v>
      </c>
      <c r="P34" s="64">
        <v>108250</v>
      </c>
      <c r="Q34" s="64"/>
      <c r="R34" s="64"/>
      <c r="S34" s="61">
        <f t="shared" si="0"/>
        <v>549422</v>
      </c>
      <c r="T34" s="61">
        <f t="shared" si="1"/>
        <v>111</v>
      </c>
      <c r="U34" s="61">
        <f t="shared" si="2"/>
        <v>246463</v>
      </c>
      <c r="V34" s="61">
        <f t="shared" si="3"/>
        <v>73973</v>
      </c>
    </row>
    <row r="35" spans="1:22">
      <c r="A35" t="s">
        <v>134</v>
      </c>
      <c r="B35" s="64">
        <v>190785</v>
      </c>
      <c r="C35" s="64">
        <v>463254</v>
      </c>
      <c r="D35" s="64">
        <v>33666</v>
      </c>
      <c r="E35" s="64">
        <v>186</v>
      </c>
      <c r="F35" s="64">
        <v>110242</v>
      </c>
      <c r="G35" s="64">
        <v>592423</v>
      </c>
      <c r="H35" s="64">
        <v>153758</v>
      </c>
      <c r="I35" s="64">
        <v>307276</v>
      </c>
      <c r="J35" s="64">
        <v>49963</v>
      </c>
      <c r="K35" s="64">
        <v>46684</v>
      </c>
      <c r="L35" s="15"/>
      <c r="M35" s="64">
        <v>196940</v>
      </c>
      <c r="N35" s="64">
        <v>186944</v>
      </c>
      <c r="O35" s="15"/>
      <c r="P35" s="64">
        <v>293643</v>
      </c>
      <c r="Q35" s="64">
        <v>33221</v>
      </c>
      <c r="R35" s="64">
        <v>311577</v>
      </c>
      <c r="S35" s="61">
        <f t="shared" si="0"/>
        <v>2970562</v>
      </c>
      <c r="T35" s="61">
        <f t="shared" si="1"/>
        <v>186</v>
      </c>
      <c r="U35" s="61">
        <f t="shared" si="2"/>
        <v>592423</v>
      </c>
      <c r="V35" s="61">
        <f t="shared" si="3"/>
        <v>186944</v>
      </c>
    </row>
    <row r="36" spans="1:22">
      <c r="A36" t="s">
        <v>132</v>
      </c>
      <c r="B36" s="64">
        <v>1468831</v>
      </c>
      <c r="C36" s="64">
        <v>627451</v>
      </c>
      <c r="D36" s="64">
        <v>351208</v>
      </c>
      <c r="E36" s="64">
        <v>407875</v>
      </c>
      <c r="F36" s="64">
        <v>1099640</v>
      </c>
      <c r="G36" s="64">
        <v>1109576</v>
      </c>
      <c r="H36" s="64">
        <v>902253</v>
      </c>
      <c r="I36" s="64">
        <v>649800</v>
      </c>
      <c r="J36" s="64">
        <v>193148</v>
      </c>
      <c r="K36" s="64">
        <v>242619</v>
      </c>
      <c r="L36" s="64">
        <v>494784</v>
      </c>
      <c r="M36" s="64">
        <v>1071346</v>
      </c>
      <c r="N36" s="64">
        <v>9153</v>
      </c>
      <c r="O36" s="64">
        <v>490323</v>
      </c>
      <c r="P36" s="64">
        <v>901236</v>
      </c>
      <c r="Q36" s="64">
        <v>633829</v>
      </c>
      <c r="R36" s="64">
        <v>1201510</v>
      </c>
      <c r="S36" s="61">
        <f t="shared" si="0"/>
        <v>11854582</v>
      </c>
      <c r="T36" s="61">
        <f t="shared" si="1"/>
        <v>9153</v>
      </c>
      <c r="U36" s="61">
        <f t="shared" si="2"/>
        <v>1468831</v>
      </c>
      <c r="V36" s="61">
        <f t="shared" si="3"/>
        <v>633829</v>
      </c>
    </row>
    <row r="37" spans="1:22">
      <c r="A37" t="s">
        <v>138</v>
      </c>
      <c r="B37" s="15"/>
      <c r="C37" s="15"/>
      <c r="D37" s="15"/>
      <c r="E37" s="15"/>
      <c r="F37" s="15"/>
      <c r="G37" s="15"/>
      <c r="H37" s="15"/>
      <c r="I37" s="64"/>
      <c r="J37" s="15"/>
      <c r="K37" s="64"/>
      <c r="L37" s="64">
        <v>11625721</v>
      </c>
      <c r="M37" s="64"/>
      <c r="N37" s="64"/>
      <c r="O37" s="64"/>
      <c r="P37" s="64"/>
      <c r="Q37" s="64"/>
      <c r="R37" s="64"/>
      <c r="S37" s="61">
        <f t="shared" si="0"/>
        <v>11625721</v>
      </c>
      <c r="T37" s="61">
        <f t="shared" si="1"/>
        <v>11625721</v>
      </c>
      <c r="U37" s="61">
        <f t="shared" si="2"/>
        <v>11625721</v>
      </c>
      <c r="V37" s="61">
        <f t="shared" si="3"/>
        <v>11625721</v>
      </c>
    </row>
    <row r="38" spans="1:22">
      <c r="A38" t="s">
        <v>129</v>
      </c>
      <c r="B38" s="64">
        <v>191911</v>
      </c>
      <c r="C38" s="64">
        <v>31935842</v>
      </c>
      <c r="D38" s="15"/>
      <c r="E38" s="15"/>
      <c r="F38" s="64">
        <v>227398</v>
      </c>
      <c r="G38" s="64">
        <v>7055943</v>
      </c>
      <c r="H38" s="64">
        <v>5004703</v>
      </c>
      <c r="I38" s="64">
        <v>95548258</v>
      </c>
      <c r="J38" s="64">
        <v>1996531</v>
      </c>
      <c r="K38" s="64"/>
      <c r="L38" s="15"/>
      <c r="M38" s="64">
        <v>3286891</v>
      </c>
      <c r="N38" s="64">
        <v>155639</v>
      </c>
      <c r="O38" s="15"/>
      <c r="P38" s="15"/>
      <c r="Q38" s="15"/>
      <c r="R38" s="64">
        <v>6459361</v>
      </c>
      <c r="S38" s="61">
        <f t="shared" si="0"/>
        <v>151862477</v>
      </c>
      <c r="T38" s="61">
        <f t="shared" si="1"/>
        <v>155639</v>
      </c>
      <c r="U38" s="61">
        <f t="shared" si="2"/>
        <v>95548258</v>
      </c>
      <c r="V38" s="61">
        <f t="shared" si="3"/>
        <v>4145797</v>
      </c>
    </row>
    <row r="39" spans="1:22">
      <c r="A39" t="s">
        <v>135</v>
      </c>
      <c r="B39" s="15"/>
      <c r="C39" s="15"/>
      <c r="D39" s="15"/>
      <c r="E39" s="15"/>
      <c r="F39" s="64">
        <v>1838794</v>
      </c>
      <c r="G39" s="15"/>
      <c r="H39" s="64">
        <v>13027245</v>
      </c>
      <c r="I39" s="64">
        <v>3076355</v>
      </c>
      <c r="J39" s="64">
        <v>1557386</v>
      </c>
      <c r="K39" s="64">
        <v>1036716</v>
      </c>
      <c r="L39" s="64">
        <v>1499455</v>
      </c>
      <c r="M39" s="64">
        <v>10292256</v>
      </c>
      <c r="N39" s="64">
        <v>953973</v>
      </c>
      <c r="O39" s="15"/>
      <c r="P39" s="64">
        <v>1447657</v>
      </c>
      <c r="Q39" s="15"/>
      <c r="R39" s="64">
        <v>17345</v>
      </c>
      <c r="S39" s="61">
        <f t="shared" si="0"/>
        <v>34747182</v>
      </c>
      <c r="T39" s="61">
        <f t="shared" si="1"/>
        <v>17345</v>
      </c>
      <c r="U39" s="61">
        <f t="shared" si="2"/>
        <v>13027245</v>
      </c>
      <c r="V39" s="61">
        <f t="shared" si="3"/>
        <v>1528420.5</v>
      </c>
    </row>
    <row r="40" spans="1:22">
      <c r="A40" t="s">
        <v>139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64">
        <v>280332</v>
      </c>
      <c r="M40" s="64"/>
      <c r="N40" s="64"/>
      <c r="O40" s="15"/>
      <c r="P40" s="64"/>
      <c r="Q40" s="15"/>
      <c r="R40" s="64"/>
      <c r="S40" s="61">
        <f t="shared" si="0"/>
        <v>280332</v>
      </c>
      <c r="T40" s="61">
        <f t="shared" si="1"/>
        <v>280332</v>
      </c>
      <c r="U40" s="61">
        <f t="shared" si="2"/>
        <v>280332</v>
      </c>
      <c r="V40" s="61">
        <f t="shared" si="3"/>
        <v>280332</v>
      </c>
    </row>
    <row r="41" spans="1:22">
      <c r="A41" t="s">
        <v>137</v>
      </c>
      <c r="B41" s="15"/>
      <c r="C41" s="15"/>
      <c r="D41" s="15"/>
      <c r="E41" s="15"/>
      <c r="F41" s="15"/>
      <c r="G41" s="64">
        <v>900197</v>
      </c>
      <c r="H41" s="64">
        <v>14044</v>
      </c>
      <c r="I41" s="15"/>
      <c r="J41" s="64">
        <v>45360</v>
      </c>
      <c r="K41" s="15"/>
      <c r="L41" s="15"/>
      <c r="M41" s="64">
        <v>11211573</v>
      </c>
      <c r="N41" s="64">
        <v>18889</v>
      </c>
      <c r="O41" s="15"/>
      <c r="P41" s="64">
        <v>184753</v>
      </c>
      <c r="Q41" s="15"/>
      <c r="R41" s="64"/>
      <c r="S41" s="61">
        <f t="shared" si="0"/>
        <v>12374816</v>
      </c>
      <c r="T41" s="61">
        <f t="shared" si="1"/>
        <v>14044</v>
      </c>
      <c r="U41" s="61">
        <f t="shared" si="2"/>
        <v>11211573</v>
      </c>
      <c r="V41" s="61">
        <f t="shared" si="3"/>
        <v>115056.5</v>
      </c>
    </row>
    <row r="42" spans="1:22">
      <c r="A42" t="s">
        <v>131</v>
      </c>
      <c r="B42" s="64">
        <v>2375835</v>
      </c>
      <c r="C42" s="64">
        <v>5628460</v>
      </c>
      <c r="D42" s="64">
        <v>265619</v>
      </c>
      <c r="E42" s="64">
        <v>1939686</v>
      </c>
      <c r="F42" s="64">
        <v>4315520</v>
      </c>
      <c r="G42" s="64">
        <v>19620487</v>
      </c>
      <c r="H42" s="64">
        <v>8162779</v>
      </c>
      <c r="I42" s="64">
        <v>8001857</v>
      </c>
      <c r="J42" s="64">
        <v>1547336</v>
      </c>
      <c r="K42" s="64">
        <v>1446120</v>
      </c>
      <c r="L42" s="64">
        <v>1499455</v>
      </c>
      <c r="M42" s="64">
        <v>842291</v>
      </c>
      <c r="N42" s="64">
        <v>3987654</v>
      </c>
      <c r="O42" s="64">
        <v>1241211</v>
      </c>
      <c r="P42" s="64">
        <v>2368969</v>
      </c>
      <c r="Q42" s="64">
        <v>1383037</v>
      </c>
      <c r="R42" s="64">
        <v>5658319</v>
      </c>
      <c r="S42" s="61">
        <f t="shared" si="0"/>
        <v>70284635</v>
      </c>
      <c r="T42" s="61">
        <f t="shared" si="1"/>
        <v>265619</v>
      </c>
      <c r="U42" s="61">
        <f t="shared" si="2"/>
        <v>19620487</v>
      </c>
      <c r="V42" s="61">
        <f t="shared" si="3"/>
        <v>2368969</v>
      </c>
    </row>
    <row r="43" spans="1:22"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64"/>
      <c r="Q43" s="15"/>
      <c r="R43" s="15"/>
      <c r="S43" s="61"/>
      <c r="T43" s="61"/>
      <c r="U43" s="61"/>
      <c r="V43" s="61"/>
    </row>
    <row r="44" spans="1:2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61"/>
      <c r="T44" s="61"/>
      <c r="U44" s="61"/>
      <c r="V44" s="61"/>
    </row>
    <row r="45" spans="1:22">
      <c r="A45" t="s">
        <v>133</v>
      </c>
      <c r="B45" s="15">
        <v>2</v>
      </c>
      <c r="C45" s="15"/>
      <c r="D45" s="15"/>
      <c r="E45" s="15"/>
      <c r="F45" s="15">
        <v>12</v>
      </c>
      <c r="G45" s="15">
        <v>6</v>
      </c>
      <c r="H45" s="15"/>
      <c r="I45" s="15">
        <v>1</v>
      </c>
      <c r="J45" s="15"/>
      <c r="K45" s="15"/>
      <c r="L45" s="15"/>
      <c r="M45" s="15">
        <v>4</v>
      </c>
      <c r="N45" s="15">
        <v>2</v>
      </c>
      <c r="O45" s="15"/>
      <c r="P45" s="15">
        <v>2</v>
      </c>
      <c r="Q45" s="15"/>
      <c r="R45" s="15">
        <v>2</v>
      </c>
      <c r="S45" s="61">
        <f t="shared" si="0"/>
        <v>31</v>
      </c>
      <c r="T45" s="61">
        <f t="shared" si="1"/>
        <v>1</v>
      </c>
      <c r="U45" s="61">
        <f t="shared" si="2"/>
        <v>12</v>
      </c>
      <c r="V45" s="61">
        <f t="shared" si="3"/>
        <v>2</v>
      </c>
    </row>
    <row r="46" spans="1:22">
      <c r="A46" t="s">
        <v>128</v>
      </c>
      <c r="B46" s="15">
        <v>26</v>
      </c>
      <c r="C46" s="15">
        <v>14</v>
      </c>
      <c r="D46" s="15">
        <v>9</v>
      </c>
      <c r="E46" s="15">
        <v>12</v>
      </c>
      <c r="F46" s="15">
        <v>34</v>
      </c>
      <c r="G46" s="15">
        <v>61</v>
      </c>
      <c r="H46" s="15">
        <v>30</v>
      </c>
      <c r="I46" s="15">
        <v>24</v>
      </c>
      <c r="J46" s="15">
        <v>18</v>
      </c>
      <c r="K46" s="15">
        <v>2</v>
      </c>
      <c r="L46" s="15">
        <v>10</v>
      </c>
      <c r="M46" s="15">
        <v>62</v>
      </c>
      <c r="N46" s="15">
        <v>39</v>
      </c>
      <c r="O46" s="15">
        <v>7</v>
      </c>
      <c r="P46" s="15">
        <v>16</v>
      </c>
      <c r="Q46" s="15">
        <v>10</v>
      </c>
      <c r="R46" s="15">
        <v>17</v>
      </c>
      <c r="S46" s="61">
        <f t="shared" si="0"/>
        <v>391</v>
      </c>
      <c r="T46" s="61">
        <f t="shared" si="1"/>
        <v>2</v>
      </c>
      <c r="U46" s="61">
        <f t="shared" si="2"/>
        <v>62</v>
      </c>
      <c r="V46" s="61">
        <f t="shared" si="3"/>
        <v>17</v>
      </c>
    </row>
    <row r="47" spans="1:22">
      <c r="A47" t="s">
        <v>130</v>
      </c>
      <c r="B47" s="15">
        <v>8</v>
      </c>
      <c r="C47" s="15">
        <v>7</v>
      </c>
      <c r="D47" s="15">
        <v>3</v>
      </c>
      <c r="E47" s="15">
        <v>5</v>
      </c>
      <c r="F47" s="15">
        <v>8</v>
      </c>
      <c r="G47" s="15">
        <v>17</v>
      </c>
      <c r="H47" s="15">
        <v>5</v>
      </c>
      <c r="I47" s="15">
        <v>13</v>
      </c>
      <c r="J47" s="15">
        <v>6</v>
      </c>
      <c r="K47" s="15">
        <v>6</v>
      </c>
      <c r="L47" s="15">
        <v>1</v>
      </c>
      <c r="M47" s="15">
        <v>16</v>
      </c>
      <c r="N47" s="15">
        <v>9</v>
      </c>
      <c r="O47" s="15">
        <v>2</v>
      </c>
      <c r="P47" s="126">
        <v>6</v>
      </c>
      <c r="Q47" s="15">
        <v>2</v>
      </c>
      <c r="R47" s="15">
        <v>28</v>
      </c>
      <c r="S47" s="61">
        <f t="shared" si="0"/>
        <v>142</v>
      </c>
      <c r="T47" s="61">
        <f t="shared" si="1"/>
        <v>1</v>
      </c>
      <c r="U47" s="61">
        <f t="shared" si="2"/>
        <v>28</v>
      </c>
      <c r="V47" s="61">
        <f t="shared" si="3"/>
        <v>6</v>
      </c>
    </row>
    <row r="48" spans="1:22">
      <c r="A48" t="s">
        <v>136</v>
      </c>
      <c r="B48" s="64"/>
      <c r="C48" s="15"/>
      <c r="D48" s="15"/>
      <c r="E48" s="15"/>
      <c r="F48" s="15"/>
      <c r="G48" s="15">
        <v>3</v>
      </c>
      <c r="H48" s="15"/>
      <c r="I48" s="15">
        <v>2</v>
      </c>
      <c r="J48" s="15"/>
      <c r="K48" s="15"/>
      <c r="L48" s="15"/>
      <c r="M48" s="15">
        <v>2</v>
      </c>
      <c r="N48" s="15">
        <v>2</v>
      </c>
      <c r="O48" s="15">
        <v>1</v>
      </c>
      <c r="P48" s="15">
        <v>1</v>
      </c>
      <c r="Q48" s="15"/>
      <c r="R48" s="15"/>
      <c r="S48" s="61">
        <f t="shared" si="0"/>
        <v>11</v>
      </c>
      <c r="T48" s="61">
        <f t="shared" si="1"/>
        <v>1</v>
      </c>
      <c r="U48" s="61">
        <f t="shared" si="2"/>
        <v>3</v>
      </c>
      <c r="V48" s="61">
        <f t="shared" si="3"/>
        <v>2</v>
      </c>
    </row>
    <row r="49" spans="1:22">
      <c r="A49" t="s">
        <v>134</v>
      </c>
      <c r="B49" s="15">
        <v>4</v>
      </c>
      <c r="C49" s="15">
        <v>15</v>
      </c>
      <c r="D49" s="15">
        <v>2</v>
      </c>
      <c r="E49" s="15">
        <v>1</v>
      </c>
      <c r="F49" s="15">
        <v>4</v>
      </c>
      <c r="G49" s="15">
        <v>8</v>
      </c>
      <c r="H49" s="15">
        <v>1</v>
      </c>
      <c r="I49" s="15">
        <v>8</v>
      </c>
      <c r="J49" s="15">
        <v>1</v>
      </c>
      <c r="K49" s="15">
        <v>2</v>
      </c>
      <c r="L49" s="15"/>
      <c r="M49" s="15">
        <v>5</v>
      </c>
      <c r="N49" s="15">
        <v>6</v>
      </c>
      <c r="O49" s="15"/>
      <c r="P49" s="15">
        <v>2</v>
      </c>
      <c r="Q49" s="15">
        <v>1</v>
      </c>
      <c r="R49" s="15">
        <v>3</v>
      </c>
      <c r="S49" s="61">
        <f t="shared" si="0"/>
        <v>63</v>
      </c>
      <c r="T49" s="61">
        <f t="shared" si="1"/>
        <v>1</v>
      </c>
      <c r="U49" s="61">
        <f t="shared" si="2"/>
        <v>15</v>
      </c>
      <c r="V49" s="61">
        <f t="shared" si="3"/>
        <v>3</v>
      </c>
    </row>
    <row r="50" spans="1:22">
      <c r="A50" t="s">
        <v>132</v>
      </c>
      <c r="B50" s="15">
        <v>10</v>
      </c>
      <c r="C50" s="15">
        <v>5</v>
      </c>
      <c r="D50" s="15">
        <v>4</v>
      </c>
      <c r="E50" s="15">
        <v>1</v>
      </c>
      <c r="F50" s="15">
        <v>9</v>
      </c>
      <c r="G50" s="15">
        <v>21</v>
      </c>
      <c r="H50" s="15">
        <v>4</v>
      </c>
      <c r="I50" s="15">
        <v>32</v>
      </c>
      <c r="J50" s="15">
        <v>6</v>
      </c>
      <c r="K50" s="15">
        <v>5</v>
      </c>
      <c r="L50" s="15">
        <v>2</v>
      </c>
      <c r="M50" s="15">
        <v>29</v>
      </c>
      <c r="N50" s="15">
        <v>1</v>
      </c>
      <c r="O50" s="15">
        <v>6</v>
      </c>
      <c r="P50" s="15">
        <v>3</v>
      </c>
      <c r="Q50" s="15">
        <v>5</v>
      </c>
      <c r="R50" s="15">
        <v>15</v>
      </c>
      <c r="S50" s="61">
        <f t="shared" si="0"/>
        <v>158</v>
      </c>
      <c r="T50" s="61">
        <f t="shared" si="1"/>
        <v>1</v>
      </c>
      <c r="U50" s="61">
        <f t="shared" si="2"/>
        <v>32</v>
      </c>
      <c r="V50" s="61">
        <f t="shared" si="3"/>
        <v>5</v>
      </c>
    </row>
    <row r="51" spans="1:22">
      <c r="A51" t="s">
        <v>138</v>
      </c>
      <c r="B51" s="64"/>
      <c r="C51" s="15"/>
      <c r="D51" s="15"/>
      <c r="E51" s="15"/>
      <c r="F51" s="15"/>
      <c r="G51" s="15"/>
      <c r="H51" s="15"/>
      <c r="I51" s="15"/>
      <c r="J51" s="15"/>
      <c r="K51" s="15"/>
      <c r="L51" s="15">
        <v>8</v>
      </c>
      <c r="M51" s="15"/>
      <c r="N51" s="15"/>
      <c r="O51" s="15"/>
      <c r="P51" s="15"/>
      <c r="Q51" s="15"/>
      <c r="R51" s="15"/>
      <c r="S51" s="61">
        <f t="shared" si="0"/>
        <v>8</v>
      </c>
      <c r="T51" s="61">
        <f t="shared" si="1"/>
        <v>8</v>
      </c>
      <c r="U51" s="61">
        <f t="shared" si="2"/>
        <v>8</v>
      </c>
      <c r="V51" s="61">
        <f t="shared" si="3"/>
        <v>8</v>
      </c>
    </row>
    <row r="52" spans="1:22">
      <c r="A52" t="s">
        <v>129</v>
      </c>
      <c r="B52" s="64">
        <v>2</v>
      </c>
      <c r="C52" s="15">
        <v>1</v>
      </c>
      <c r="D52" s="15"/>
      <c r="E52" s="15"/>
      <c r="F52" s="15">
        <v>3</v>
      </c>
      <c r="G52" s="15">
        <v>3</v>
      </c>
      <c r="H52" s="15">
        <v>3</v>
      </c>
      <c r="I52" s="15">
        <v>5</v>
      </c>
      <c r="J52" s="15">
        <v>2</v>
      </c>
      <c r="K52" s="15"/>
      <c r="L52" s="15"/>
      <c r="M52" s="15">
        <v>11</v>
      </c>
      <c r="N52" s="15">
        <v>7</v>
      </c>
      <c r="O52" s="15"/>
      <c r="P52" s="15"/>
      <c r="Q52" s="15"/>
      <c r="R52" s="15">
        <v>1</v>
      </c>
      <c r="S52" s="61">
        <f t="shared" si="0"/>
        <v>38</v>
      </c>
      <c r="T52" s="61">
        <f t="shared" si="1"/>
        <v>1</v>
      </c>
      <c r="U52" s="61">
        <f t="shared" si="2"/>
        <v>11</v>
      </c>
      <c r="V52" s="61">
        <f t="shared" si="3"/>
        <v>3</v>
      </c>
    </row>
    <row r="53" spans="1:22">
      <c r="A53" t="s">
        <v>135</v>
      </c>
      <c r="B53" s="64"/>
      <c r="C53" s="15"/>
      <c r="D53" s="15"/>
      <c r="E53" s="15"/>
      <c r="F53" s="15">
        <v>3</v>
      </c>
      <c r="G53" s="15"/>
      <c r="H53" s="15">
        <v>7</v>
      </c>
      <c r="I53" s="15">
        <v>3</v>
      </c>
      <c r="J53" s="15">
        <v>2</v>
      </c>
      <c r="K53" s="15">
        <v>1</v>
      </c>
      <c r="L53" s="15">
        <v>2</v>
      </c>
      <c r="M53" s="15">
        <v>5</v>
      </c>
      <c r="N53" s="15">
        <v>3</v>
      </c>
      <c r="O53" s="15"/>
      <c r="P53" s="15">
        <v>1</v>
      </c>
      <c r="Q53" s="15"/>
      <c r="R53" s="15">
        <v>2</v>
      </c>
      <c r="S53" s="61">
        <f t="shared" si="0"/>
        <v>29</v>
      </c>
      <c r="T53" s="61">
        <f t="shared" si="1"/>
        <v>1</v>
      </c>
      <c r="U53" s="61">
        <f t="shared" si="2"/>
        <v>7</v>
      </c>
      <c r="V53" s="61">
        <f t="shared" si="3"/>
        <v>2.5</v>
      </c>
    </row>
    <row r="54" spans="1:22">
      <c r="A54" t="s">
        <v>139</v>
      </c>
      <c r="B54" s="64"/>
      <c r="C54" s="15"/>
      <c r="D54" s="15"/>
      <c r="E54" s="15"/>
      <c r="F54" s="15"/>
      <c r="G54" s="15"/>
      <c r="H54" s="15"/>
      <c r="I54" s="15"/>
      <c r="J54" s="15"/>
      <c r="K54" s="15"/>
      <c r="L54" s="15">
        <v>33</v>
      </c>
      <c r="M54" s="15"/>
      <c r="N54" s="15"/>
      <c r="O54" s="15"/>
      <c r="P54" s="15"/>
      <c r="Q54" s="15"/>
      <c r="R54" s="15"/>
      <c r="S54" s="61">
        <f t="shared" si="0"/>
        <v>33</v>
      </c>
      <c r="T54" s="61">
        <f t="shared" si="1"/>
        <v>33</v>
      </c>
      <c r="U54" s="61">
        <f t="shared" si="2"/>
        <v>33</v>
      </c>
      <c r="V54" s="61">
        <f t="shared" si="3"/>
        <v>33</v>
      </c>
    </row>
    <row r="55" spans="1:22">
      <c r="A55" t="s">
        <v>137</v>
      </c>
      <c r="B55" s="64"/>
      <c r="C55" s="15"/>
      <c r="D55" s="15"/>
      <c r="E55" s="15"/>
      <c r="F55" s="15"/>
      <c r="G55" s="15">
        <v>1</v>
      </c>
      <c r="H55" s="15">
        <v>2</v>
      </c>
      <c r="I55" s="15"/>
      <c r="J55" s="15">
        <v>1</v>
      </c>
      <c r="K55" s="15"/>
      <c r="L55" s="15"/>
      <c r="M55" s="15">
        <v>5</v>
      </c>
      <c r="N55" s="15">
        <v>1</v>
      </c>
      <c r="O55" s="15"/>
      <c r="P55" s="15">
        <v>1</v>
      </c>
      <c r="Q55" s="15"/>
      <c r="R55" s="15"/>
      <c r="S55" s="61">
        <f t="shared" si="0"/>
        <v>11</v>
      </c>
      <c r="T55" s="61">
        <f t="shared" si="1"/>
        <v>1</v>
      </c>
      <c r="U55" s="61">
        <f t="shared" si="2"/>
        <v>5</v>
      </c>
      <c r="V55" s="61">
        <f t="shared" si="3"/>
        <v>1</v>
      </c>
    </row>
    <row r="56" spans="1:22">
      <c r="A56" t="s">
        <v>131</v>
      </c>
      <c r="B56" s="15">
        <v>7</v>
      </c>
      <c r="C56" s="15">
        <v>15</v>
      </c>
      <c r="D56" s="15">
        <v>6</v>
      </c>
      <c r="E56" s="15">
        <v>7</v>
      </c>
      <c r="F56" s="15">
        <v>13</v>
      </c>
      <c r="G56" s="15">
        <v>30</v>
      </c>
      <c r="H56" s="15">
        <v>7</v>
      </c>
      <c r="I56" s="15">
        <v>19</v>
      </c>
      <c r="J56" s="15">
        <v>8</v>
      </c>
      <c r="K56" s="15">
        <v>6</v>
      </c>
      <c r="L56" s="15">
        <v>10</v>
      </c>
      <c r="M56" s="15">
        <v>6</v>
      </c>
      <c r="N56" s="15">
        <v>12</v>
      </c>
      <c r="O56" s="15">
        <v>6</v>
      </c>
      <c r="P56" s="15">
        <v>11</v>
      </c>
      <c r="Q56" s="15">
        <v>7</v>
      </c>
      <c r="R56" s="15">
        <v>11</v>
      </c>
      <c r="S56" s="61">
        <f t="shared" si="0"/>
        <v>181</v>
      </c>
      <c r="T56" s="61">
        <f t="shared" si="1"/>
        <v>6</v>
      </c>
      <c r="U56" s="61">
        <f t="shared" si="2"/>
        <v>30</v>
      </c>
      <c r="V56" s="61">
        <f t="shared" si="3"/>
        <v>8</v>
      </c>
    </row>
    <row r="57" spans="1:2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</row>
    <row r="58" spans="1:22">
      <c r="B58" s="64"/>
      <c r="C58" s="15"/>
      <c r="D58" s="15"/>
      <c r="E58" s="15"/>
      <c r="F58" s="15">
        <v>0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</row>
    <row r="59" spans="1:22">
      <c r="B59" s="64"/>
      <c r="C59" s="96"/>
      <c r="D59" s="130"/>
      <c r="E59" s="127"/>
      <c r="F59" s="60"/>
      <c r="G59" s="15"/>
      <c r="H59" s="15"/>
      <c r="I59" s="6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</row>
    <row r="60" spans="1:22">
      <c r="B60" s="64"/>
      <c r="C60" s="96"/>
      <c r="D60" s="130"/>
      <c r="E60" s="127"/>
      <c r="F60" s="60"/>
      <c r="G60" s="15"/>
      <c r="H60" s="15"/>
      <c r="I60" s="63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</row>
    <row r="61" spans="1:22">
      <c r="B61" s="64"/>
      <c r="C61" s="96"/>
      <c r="D61" s="130"/>
      <c r="E61" s="127"/>
      <c r="F61" s="60"/>
      <c r="G61" s="15"/>
      <c r="H61" s="15"/>
      <c r="I61" s="6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</row>
    <row r="62" spans="1:22">
      <c r="B62" s="26"/>
      <c r="C62" s="9"/>
      <c r="D62" s="38"/>
      <c r="E62" s="8"/>
      <c r="F62" s="10"/>
      <c r="I62" s="28"/>
    </row>
    <row r="63" spans="1:22">
      <c r="C63" s="9"/>
      <c r="D63" s="38"/>
      <c r="E63" s="8"/>
      <c r="F63" s="10"/>
    </row>
    <row r="64" spans="1:22">
      <c r="C64" s="9"/>
      <c r="D64" s="38"/>
      <c r="E64" s="8"/>
      <c r="F64" s="10"/>
    </row>
    <row r="65" spans="3:6">
      <c r="C65" s="9"/>
      <c r="D65" s="38"/>
      <c r="E65" s="8"/>
      <c r="F65" s="10"/>
    </row>
    <row r="66" spans="3:6">
      <c r="C66" s="9"/>
      <c r="D66" s="38"/>
      <c r="E66" s="8"/>
      <c r="F66" s="10"/>
    </row>
    <row r="67" spans="3:6">
      <c r="C67" s="9"/>
      <c r="D67" s="38"/>
      <c r="E67" s="8"/>
      <c r="F67" s="10"/>
    </row>
    <row r="68" spans="3:6">
      <c r="C68" s="9"/>
      <c r="D68" s="38"/>
      <c r="E68" s="8"/>
      <c r="F68" s="10"/>
    </row>
    <row r="69" spans="3:6">
      <c r="C69" s="9"/>
      <c r="D69" s="38"/>
      <c r="E69" s="8"/>
      <c r="F69" s="10"/>
    </row>
    <row r="70" spans="3:6">
      <c r="C70" s="9"/>
      <c r="D70" s="38"/>
      <c r="E70" s="8"/>
      <c r="F70" s="10"/>
    </row>
    <row r="71" spans="3:6">
      <c r="C71" s="9"/>
      <c r="D71" s="38"/>
      <c r="E71" s="8"/>
      <c r="F71" s="10"/>
    </row>
    <row r="72" spans="3:6">
      <c r="C72" s="9"/>
      <c r="D72" s="38"/>
      <c r="E72" s="8"/>
      <c r="F72" s="10"/>
    </row>
    <row r="73" spans="3:6">
      <c r="C73" s="9"/>
      <c r="D73" s="38"/>
      <c r="E73" s="8"/>
      <c r="F73" s="10"/>
    </row>
    <row r="74" spans="3:6">
      <c r="C74" s="9"/>
      <c r="D74" s="38"/>
      <c r="E74" s="8"/>
      <c r="F74" s="10"/>
    </row>
    <row r="75" spans="3:6">
      <c r="C75" s="9"/>
      <c r="D75" s="38"/>
      <c r="E75" s="8"/>
      <c r="F75" s="10"/>
    </row>
    <row r="76" spans="3:6">
      <c r="C76" s="9"/>
      <c r="D76" s="38"/>
      <c r="E76" s="8"/>
      <c r="F76" s="10"/>
    </row>
    <row r="77" spans="3:6">
      <c r="C77" s="9"/>
      <c r="D77" s="38"/>
      <c r="E77" s="8"/>
      <c r="F77" s="10"/>
    </row>
    <row r="78" spans="3:6">
      <c r="C78" s="9"/>
      <c r="D78" s="38"/>
      <c r="E78" s="8"/>
      <c r="F78" s="10"/>
    </row>
    <row r="79" spans="3:6">
      <c r="C79" s="9"/>
      <c r="D79" s="38"/>
      <c r="E79" s="8"/>
      <c r="F79" s="10"/>
    </row>
    <row r="80" spans="3:6">
      <c r="C80" s="9"/>
      <c r="D80" s="38"/>
      <c r="E80" s="8"/>
      <c r="F80" s="10"/>
    </row>
    <row r="81" spans="3:6">
      <c r="C81" s="9"/>
      <c r="D81" s="38"/>
      <c r="E81" s="8"/>
      <c r="F81" s="10"/>
    </row>
    <row r="82" spans="3:6">
      <c r="C82" s="9"/>
      <c r="D82" s="38"/>
      <c r="E82" s="8"/>
      <c r="F82" s="10"/>
    </row>
    <row r="83" spans="3:6">
      <c r="C83" s="9"/>
      <c r="D83" s="38"/>
      <c r="E83" s="8"/>
      <c r="F83" s="10"/>
    </row>
    <row r="84" spans="3:6">
      <c r="F84" s="10"/>
    </row>
    <row r="85" spans="3:6">
      <c r="F85" s="10"/>
    </row>
    <row r="86" spans="3:6">
      <c r="F8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G58"/>
  <sheetViews>
    <sheetView zoomScale="80" zoomScaleNormal="80" workbookViewId="0">
      <pane xSplit="1" topLeftCell="K1" activePane="topRight" state="frozen"/>
      <selection activeCell="A35" sqref="A35"/>
      <selection pane="topRight" activeCell="A35" sqref="A35"/>
    </sheetView>
  </sheetViews>
  <sheetFormatPr defaultRowHeight="15"/>
  <cols>
    <col min="1" max="1" width="49.7109375" customWidth="1"/>
    <col min="2" max="18" width="10.7109375" style="50" customWidth="1"/>
    <col min="19" max="19" width="11.85546875" customWidth="1"/>
    <col min="20" max="20" width="10.140625" customWidth="1"/>
    <col min="21" max="21" width="10.28515625" customWidth="1"/>
    <col min="29" max="29" width="9.42578125" bestFit="1" customWidth="1"/>
    <col min="30" max="33" width="9.28515625" bestFit="1" customWidth="1"/>
  </cols>
  <sheetData>
    <row r="1" spans="1:23">
      <c r="B1" s="54" t="s">
        <v>45</v>
      </c>
      <c r="C1" s="54" t="s">
        <v>44</v>
      </c>
      <c r="D1" s="54" t="s">
        <v>94</v>
      </c>
      <c r="E1" s="54" t="s">
        <v>43</v>
      </c>
      <c r="F1" s="54" t="s">
        <v>42</v>
      </c>
      <c r="G1" s="54" t="s">
        <v>41</v>
      </c>
      <c r="H1" s="54" t="s">
        <v>40</v>
      </c>
      <c r="I1" s="54" t="s">
        <v>47</v>
      </c>
      <c r="J1" s="54" t="s">
        <v>49</v>
      </c>
      <c r="K1" s="54" t="s">
        <v>95</v>
      </c>
      <c r="L1" s="54" t="s">
        <v>96</v>
      </c>
      <c r="M1" s="54" t="s">
        <v>50</v>
      </c>
      <c r="N1" s="54" t="s">
        <v>51</v>
      </c>
      <c r="O1" s="54" t="s">
        <v>53</v>
      </c>
      <c r="P1" s="54" t="s">
        <v>52</v>
      </c>
      <c r="Q1" s="54" t="s">
        <v>54</v>
      </c>
      <c r="R1" s="54" t="s">
        <v>55</v>
      </c>
      <c r="S1" s="54" t="s">
        <v>57</v>
      </c>
      <c r="T1" s="54" t="s">
        <v>58</v>
      </c>
      <c r="U1" s="54" t="s">
        <v>59</v>
      </c>
      <c r="V1" s="54" t="s">
        <v>60</v>
      </c>
      <c r="W1" s="54" t="s">
        <v>80</v>
      </c>
    </row>
    <row r="2" spans="1:23">
      <c r="A2" t="s">
        <v>188</v>
      </c>
      <c r="B2" s="57">
        <f>'Base Spend Data'!B2/'Base Spend Data'!$S2</f>
        <v>3.401196010969041E-2</v>
      </c>
      <c r="C2" s="57">
        <f>'Base Spend Data'!C2/'Base Spend Data'!$S2</f>
        <v>2.5097738488373472E-2</v>
      </c>
      <c r="D2" s="57">
        <f>'Base Spend Data'!D2/'Base Spend Data'!$S2</f>
        <v>4.0028043049508716E-2</v>
      </c>
      <c r="E2" s="57">
        <f>'Base Spend Data'!E2/'Base Spend Data'!$S2</f>
        <v>6.3517522212171731E-2</v>
      </c>
      <c r="F2" s="57">
        <f>'Base Spend Data'!F2/'Base Spend Data'!$S2</f>
        <v>4.9572677447332153E-2</v>
      </c>
      <c r="G2" s="57">
        <f>'Base Spend Data'!G2/'Base Spend Data'!$S2</f>
        <v>0.17612408801683377</v>
      </c>
      <c r="H2" s="57">
        <f>'Base Spend Data'!H2/'Base Spend Data'!$S2</f>
        <v>3.6651560316895308E-2</v>
      </c>
      <c r="I2" s="57">
        <f>'Base Spend Data'!I2/'Base Spend Data'!$S2</f>
        <v>7.1194081701267162E-2</v>
      </c>
      <c r="J2" s="57">
        <f>'Base Spend Data'!J2/'Base Spend Data'!$S2</f>
        <v>1.7195726671652964E-2</v>
      </c>
      <c r="K2" s="57">
        <f>'Base Spend Data'!K2/'Base Spend Data'!$S2</f>
        <v>8.6105963520703328E-3</v>
      </c>
      <c r="L2" s="57">
        <f>'Base Spend Data'!L2/'Base Spend Data'!$S2</f>
        <v>2.6229700853333343E-2</v>
      </c>
      <c r="M2" s="57">
        <f>'Base Spend Data'!M2/'Base Spend Data'!$S2</f>
        <v>0.1166392634940943</v>
      </c>
      <c r="N2" s="57">
        <f>'Base Spend Data'!N2/'Base Spend Data'!$S2</f>
        <v>1.2174266577206905E-2</v>
      </c>
      <c r="O2" s="57">
        <f>'Base Spend Data'!O2/'Base Spend Data'!$S2</f>
        <v>0.11039583535086972</v>
      </c>
      <c r="P2" s="57">
        <f>'Base Spend Data'!P2/'Base Spend Data'!$S2</f>
        <v>6.6605958383018929E-2</v>
      </c>
      <c r="Q2" s="57">
        <f>'Base Spend Data'!Q2/'Base Spend Data'!$S2</f>
        <v>7.7642547181365679E-2</v>
      </c>
      <c r="R2" s="57">
        <f>'Base Spend Data'!R2/'Base Spend Data'!$S2</f>
        <v>6.8308433794315032E-2</v>
      </c>
      <c r="S2" s="14">
        <f>SUM(B2:R2)</f>
        <v>0.99999999999999978</v>
      </c>
      <c r="T2" s="14">
        <f>MIN(B2:R2)</f>
        <v>8.6105963520703328E-3</v>
      </c>
      <c r="U2" s="14">
        <f>MAX(B2:R2)</f>
        <v>0.17612408801683377</v>
      </c>
      <c r="V2" s="14">
        <f>MEDIAN(B2:R2)</f>
        <v>4.9572677447332153E-2</v>
      </c>
      <c r="W2" s="14">
        <f>AVERAGE(B2:R2)</f>
        <v>5.8823529411764691E-2</v>
      </c>
    </row>
    <row r="3" spans="1:23">
      <c r="A3" s="2" t="s">
        <v>182</v>
      </c>
      <c r="B3" s="51">
        <f>'SNL Data - Incomplete'!B13/'Base Spend Data'!B2</f>
        <v>1.0568331924648993</v>
      </c>
      <c r="C3" s="51">
        <f>'SNL Data - Incomplete'!C13/'Base Spend Data'!C2</f>
        <v>0.71439614939150531</v>
      </c>
      <c r="D3" s="51">
        <f>'SNL Data - Incomplete'!D13/'Base Spend Data'!D2</f>
        <v>0.42029429821096309</v>
      </c>
      <c r="E3" s="51">
        <f>'SNL Data - Incomplete'!E13/'Base Spend Data'!E2</f>
        <v>0.90054045087882706</v>
      </c>
      <c r="F3" s="51">
        <f>'SNL Data - Incomplete'!F13/'Base Spend Data'!F2</f>
        <v>1.1969056490679602</v>
      </c>
      <c r="G3" s="51">
        <f>'SNL Data - Incomplete'!G13/'Base Spend Data'!G2</f>
        <v>0.58314437675204411</v>
      </c>
      <c r="H3" s="51">
        <f>'SNL Data - Incomplete'!H13/'Base Spend Data'!H2</f>
        <v>0.49707795380138564</v>
      </c>
      <c r="I3" s="51">
        <f>'SNL Data - Incomplete'!I13/'Base Spend Data'!I2</f>
        <v>1.0861411026751404</v>
      </c>
      <c r="J3" s="51">
        <f>'SNL Data - Incomplete'!J13/'Base Spend Data'!J2</f>
        <v>0.57758852095742752</v>
      </c>
      <c r="K3" s="51">
        <f>'SNL Data - Incomplete'!K13/'Base Spend Data'!K2</f>
        <v>0.80630829497417267</v>
      </c>
      <c r="L3" s="51">
        <f>'SNL Data - Incomplete'!L13/'Base Spend Data'!L2</f>
        <v>0.31991453671471043</v>
      </c>
      <c r="M3" s="51">
        <f>'SNL Data - Incomplete'!M13/'Base Spend Data'!M2</f>
        <v>0.23183267466163715</v>
      </c>
      <c r="N3" s="51">
        <f>'SNL Data - Incomplete'!N13/'Base Spend Data'!N2</f>
        <v>0.87985761008663932</v>
      </c>
      <c r="O3" s="51">
        <f>'SNL Data - Incomplete'!O13/'Base Spend Data'!O2</f>
        <v>1.044821631197927</v>
      </c>
      <c r="P3" s="51">
        <f>'SNL Data - Incomplete'!P13/'Base Spend Data'!P2</f>
        <v>0.45403403144830856</v>
      </c>
      <c r="Q3" s="51">
        <f>'SNL Data - Incomplete'!Q13/'Base Spend Data'!Q2</f>
        <v>0.93647878370382609</v>
      </c>
      <c r="R3" s="51">
        <f>'SNL Data - Incomplete'!R13/'Base Spend Data'!R2</f>
        <v>1.0542334522419705</v>
      </c>
      <c r="S3" s="14">
        <f t="shared" ref="S3:S42" si="0">SUM(B3:R3)</f>
        <v>12.760402709229343</v>
      </c>
      <c r="T3" s="14">
        <f t="shared" ref="T3:T42" si="1">MIN(B3:R3)</f>
        <v>0.23183267466163715</v>
      </c>
      <c r="U3" s="14">
        <f t="shared" ref="U3:U42" si="2">MAX(B3:R3)</f>
        <v>1.1969056490679602</v>
      </c>
      <c r="V3" s="14">
        <f t="shared" ref="V3:V42" si="3">MEDIAN(B3:R3)</f>
        <v>0.80630829497417267</v>
      </c>
      <c r="W3" s="14">
        <f t="shared" ref="W3:W42" si="4">AVERAGE(B3:R3)</f>
        <v>0.75061192407231425</v>
      </c>
    </row>
    <row r="4" spans="1:23">
      <c r="A4" s="2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4"/>
      <c r="T4" s="14"/>
      <c r="U4" s="14"/>
      <c r="V4" s="14"/>
      <c r="W4" s="14"/>
    </row>
    <row r="5" spans="1:23">
      <c r="A5" s="2"/>
      <c r="B5" s="51">
        <f>B8-B7</f>
        <v>1.7161583772313305E-2</v>
      </c>
      <c r="C5" s="51">
        <f t="shared" ref="C5:R5" si="5">C8-C7</f>
        <v>-0.14369623078030408</v>
      </c>
      <c r="D5" s="51">
        <f t="shared" si="5"/>
        <v>-0.30792645178600597</v>
      </c>
      <c r="E5" s="51">
        <f t="shared" si="5"/>
        <v>-3.1263953253122201E-2</v>
      </c>
      <c r="F5" s="51">
        <f t="shared" si="5"/>
        <v>6.3334590736155494E-2</v>
      </c>
      <c r="G5" s="51">
        <f t="shared" si="5"/>
        <v>-0.22580104891090363</v>
      </c>
      <c r="H5" s="51">
        <f t="shared" si="5"/>
        <v>-0.16509373780411618</v>
      </c>
      <c r="I5" s="51">
        <f t="shared" si="5"/>
        <v>2.2771142969452318E-2</v>
      </c>
      <c r="J5" s="51">
        <f t="shared" si="5"/>
        <v>-0.2875567946962313</v>
      </c>
      <c r="K5" s="51">
        <f t="shared" si="5"/>
        <v>-8.5039286832134131E-2</v>
      </c>
      <c r="L5" s="51">
        <f t="shared" si="5"/>
        <v>-0.58158290539799329</v>
      </c>
      <c r="M5" s="51">
        <f t="shared" si="5"/>
        <v>-0.54829061795103573</v>
      </c>
      <c r="N5" s="51">
        <f t="shared" si="5"/>
        <v>-3.2491957860895065E-2</v>
      </c>
      <c r="O5" s="51">
        <f t="shared" si="5"/>
        <v>1.8671305467213739E-2</v>
      </c>
      <c r="P5" s="51">
        <f t="shared" si="5"/>
        <v>-0.32173764457251763</v>
      </c>
      <c r="Q5" s="51">
        <f t="shared" si="5"/>
        <v>-2.5198007514675047E-2</v>
      </c>
      <c r="R5" s="51">
        <f t="shared" si="5"/>
        <v>1.8202284660282231E-2</v>
      </c>
      <c r="S5" s="14">
        <f t="shared" si="0"/>
        <v>-2.6155377297545175</v>
      </c>
      <c r="T5" s="14">
        <f t="shared" si="1"/>
        <v>-0.58158290539799329</v>
      </c>
      <c r="U5" s="14">
        <f t="shared" si="2"/>
        <v>6.3334590736155494E-2</v>
      </c>
      <c r="V5" s="14">
        <f t="shared" si="3"/>
        <v>-8.5039286832134131E-2</v>
      </c>
      <c r="W5" s="14">
        <f t="shared" si="4"/>
        <v>-0.15385516057379514</v>
      </c>
    </row>
    <row r="6" spans="1:23">
      <c r="A6" s="2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14"/>
      <c r="T6" s="14"/>
      <c r="U6" s="14"/>
      <c r="V6" s="14"/>
      <c r="W6" s="14"/>
    </row>
    <row r="7" spans="1:23">
      <c r="A7" s="34" t="s">
        <v>183</v>
      </c>
      <c r="B7" s="51">
        <f>'Base Spend Data'!B2/'Base Spend Data'!B$63</f>
        <v>0.301964099287796</v>
      </c>
      <c r="C7" s="51">
        <f>'Base Spend Data'!C2/'Base Spend Data'!C$63</f>
        <v>0.50313127947732961</v>
      </c>
      <c r="D7" s="51">
        <f>'Base Spend Data'!D2/'Base Spend Data'!D$63</f>
        <v>0.53117720049278516</v>
      </c>
      <c r="E7" s="51">
        <f>'Base Spend Data'!E2/'Base Spend Data'!E$63</f>
        <v>0.31433837705249268</v>
      </c>
      <c r="F7" s="51">
        <f>'Base Spend Data'!F2/'Base Spend Data'!F$63</f>
        <v>0.32164943482294994</v>
      </c>
      <c r="G7" s="51">
        <f>'Base Spend Data'!G2/'Base Spend Data'!G$63</f>
        <v>0.54167686920368507</v>
      </c>
      <c r="H7" s="51">
        <f>'Base Spend Data'!H2/'Base Spend Data'!H$63</f>
        <v>0.32826904100147009</v>
      </c>
      <c r="I7" s="51">
        <f>'Base Spend Data'!I2/'Base Spend Data'!I$63</f>
        <v>0.26434701045478781</v>
      </c>
      <c r="J7" s="51">
        <f>'Base Spend Data'!J2/'Base Spend Data'!J$63</f>
        <v>0.68075042692495125</v>
      </c>
      <c r="K7" s="51">
        <f>'Base Spend Data'!K2/'Base Spend Data'!K$63</f>
        <v>0.43904454669752008</v>
      </c>
      <c r="L7" s="51">
        <f>'Base Spend Data'!L2/'Base Spend Data'!L$63</f>
        <v>0.85516150071571906</v>
      </c>
      <c r="M7" s="51">
        <f>'Base Spend Data'!M2/'Base Spend Data'!M$63</f>
        <v>0.71376456647583175</v>
      </c>
      <c r="N7" s="51">
        <f>'Base Spend Data'!N2/'Base Spend Data'!N$63</f>
        <v>0.27044540968700803</v>
      </c>
      <c r="O7" s="51">
        <f>'Base Spend Data'!O2/'Base Spend Data'!O$63</f>
        <v>0.41656907542618254</v>
      </c>
      <c r="P7" s="51">
        <f>'Base Spend Data'!P2/'Base Spend Data'!P$63</f>
        <v>0.58929981556543831</v>
      </c>
      <c r="Q7" s="51">
        <f>'Base Spend Data'!Q2/'Base Spend Data'!Q$63</f>
        <v>0.39668647711635219</v>
      </c>
      <c r="R7" s="51">
        <f>'Base Spend Data'!R2/'Base Spend Data'!R$63</f>
        <v>0.33562836050100808</v>
      </c>
      <c r="S7" s="14">
        <f t="shared" si="0"/>
        <v>7.8039034909033091</v>
      </c>
      <c r="T7" s="14">
        <f t="shared" si="1"/>
        <v>0.26434701045478781</v>
      </c>
      <c r="U7" s="14">
        <f t="shared" si="2"/>
        <v>0.85516150071571906</v>
      </c>
      <c r="V7" s="14">
        <f t="shared" si="3"/>
        <v>0.41656907542618254</v>
      </c>
      <c r="W7" s="14">
        <f t="shared" si="4"/>
        <v>0.45905314652372409</v>
      </c>
    </row>
    <row r="8" spans="1:23">
      <c r="A8" s="34" t="s">
        <v>181</v>
      </c>
      <c r="B8" s="51">
        <f>'SNL Data - Incomplete'!B13/'Base Spend Data'!B$63</f>
        <v>0.3191256830601093</v>
      </c>
      <c r="C8" s="51">
        <f>'SNL Data - Incomplete'!C13/'Base Spend Data'!C$63</f>
        <v>0.35943504869702553</v>
      </c>
      <c r="D8" s="51">
        <f>'SNL Data - Incomplete'!D13/'Base Spend Data'!D$63</f>
        <v>0.22325074870677919</v>
      </c>
      <c r="E8" s="51">
        <f>'SNL Data - Incomplete'!E13/'Base Spend Data'!E$63</f>
        <v>0.28307442379937048</v>
      </c>
      <c r="F8" s="51">
        <f>'SNL Data - Incomplete'!F13/'Base Spend Data'!F$63</f>
        <v>0.38498402555910544</v>
      </c>
      <c r="G8" s="51">
        <f>'SNL Data - Incomplete'!G13/'Base Spend Data'!G$63</f>
        <v>0.31587582029278144</v>
      </c>
      <c r="H8" s="51">
        <f>'SNL Data - Incomplete'!H13/'Base Spend Data'!H$63</f>
        <v>0.1631753031973539</v>
      </c>
      <c r="I8" s="51">
        <f>'SNL Data - Incomplete'!I13/'Base Spend Data'!I$63</f>
        <v>0.28711815342424013</v>
      </c>
      <c r="J8" s="51">
        <f>'SNL Data - Incomplete'!J13/'Base Spend Data'!J$63</f>
        <v>0.39319363222871995</v>
      </c>
      <c r="K8" s="51">
        <f>'SNL Data - Incomplete'!K13/'Base Spend Data'!K$63</f>
        <v>0.35400525986538595</v>
      </c>
      <c r="L8" s="51">
        <f>'SNL Data - Incomplete'!L13/'Base Spend Data'!L$63</f>
        <v>0.27357859531772577</v>
      </c>
      <c r="M8" s="51">
        <f>'SNL Data - Incomplete'!M13/'Base Spend Data'!M$63</f>
        <v>0.16547394852479599</v>
      </c>
      <c r="N8" s="51">
        <f>'SNL Data - Incomplete'!N13/'Base Spend Data'!N$63</f>
        <v>0.23795345182611297</v>
      </c>
      <c r="O8" s="51">
        <f>'SNL Data - Incomplete'!O13/'Base Spend Data'!O$63</f>
        <v>0.43524038089339628</v>
      </c>
      <c r="P8" s="51">
        <f>'SNL Data - Incomplete'!P13/'Base Spend Data'!P$63</f>
        <v>0.26756217099292068</v>
      </c>
      <c r="Q8" s="51">
        <f>'SNL Data - Incomplete'!Q13/'Base Spend Data'!Q$63</f>
        <v>0.37148846960167714</v>
      </c>
      <c r="R8" s="51">
        <f>'SNL Data - Incomplete'!R13/'Base Spend Data'!R$63</f>
        <v>0.35383064516129031</v>
      </c>
      <c r="S8" s="14">
        <f t="shared" si="0"/>
        <v>5.1883657611487903</v>
      </c>
      <c r="T8" s="14">
        <f t="shared" si="1"/>
        <v>0.1631753031973539</v>
      </c>
      <c r="U8" s="14">
        <f t="shared" si="2"/>
        <v>0.43524038089339628</v>
      </c>
      <c r="V8" s="14">
        <f t="shared" si="3"/>
        <v>0.31587582029278144</v>
      </c>
      <c r="W8" s="14">
        <f t="shared" si="4"/>
        <v>0.30519798594992886</v>
      </c>
    </row>
    <row r="9" spans="1:23">
      <c r="A9" s="2" t="s">
        <v>184</v>
      </c>
      <c r="B9" s="51">
        <f>'SNL Data - Incomplete'!B11/'Base Spend Data'!B$63</f>
        <v>0.24936247723132968</v>
      </c>
      <c r="C9" s="51">
        <f>'SNL Data - Incomplete'!C11/'Base Spend Data'!C$63</f>
        <v>0.40914961173993158</v>
      </c>
      <c r="D9" s="51">
        <f>'SNL Data - Incomplete'!D11/'Base Spend Data'!D$63</f>
        <v>0.23876939831200653</v>
      </c>
      <c r="E9" s="51">
        <f>'SNL Data - Incomplete'!E11/'Base Spend Data'!E$63</f>
        <v>3.1475276677835312E-2</v>
      </c>
      <c r="F9" s="51">
        <f>'SNL Data - Incomplete'!F11/'Base Spend Data'!F$63</f>
        <v>0</v>
      </c>
      <c r="G9" s="51">
        <f>'SNL Data - Incomplete'!G11/'Base Spend Data'!G$63</f>
        <v>0.35222110045431598</v>
      </c>
      <c r="H9" s="51">
        <f>'SNL Data - Incomplete'!H11/'Base Spend Data'!H$63</f>
        <v>0</v>
      </c>
      <c r="I9" s="51">
        <f>'SNL Data - Incomplete'!I11/'Base Spend Data'!I$63</f>
        <v>0.18823798278357584</v>
      </c>
      <c r="J9" s="51">
        <f>'SNL Data - Incomplete'!J11/'Base Spend Data'!J$63</f>
        <v>0.3125406107862248</v>
      </c>
      <c r="K9" s="51">
        <f>'SNL Data - Incomplete'!K11/'Base Spend Data'!K$63</f>
        <v>0.33381524356691683</v>
      </c>
      <c r="L9" s="51">
        <f>'SNL Data - Incomplete'!L11/'Base Spend Data'!L$63</f>
        <v>0.12374581939799331</v>
      </c>
      <c r="M9" s="51">
        <f>'SNL Data - Incomplete'!M11/'Base Spend Data'!M$63</f>
        <v>0.266541117388575</v>
      </c>
      <c r="N9" s="51">
        <f>'SNL Data - Incomplete'!N11/'Base Spend Data'!N$63</f>
        <v>0.25768077684204194</v>
      </c>
      <c r="O9" s="51">
        <f>'SNL Data - Incomplete'!O11/'Base Spend Data'!O$63</f>
        <v>2.2373616164744134E-2</v>
      </c>
      <c r="P9" s="51">
        <f>'SNL Data - Incomplete'!P11/'Base Spend Data'!P$63</f>
        <v>0</v>
      </c>
      <c r="Q9" s="51">
        <f>'SNL Data - Incomplete'!Q11/'Base Spend Data'!Q$63</f>
        <v>3.2285115303983231E-2</v>
      </c>
      <c r="R9" s="51">
        <f>'SNL Data - Incomplete'!R11/'Base Spend Data'!R$63</f>
        <v>0.27016129032258063</v>
      </c>
      <c r="S9" s="14">
        <f t="shared" si="0"/>
        <v>3.0883594369720546</v>
      </c>
      <c r="T9" s="14">
        <f t="shared" si="1"/>
        <v>0</v>
      </c>
      <c r="U9" s="14">
        <f t="shared" si="2"/>
        <v>0.40914961173993158</v>
      </c>
      <c r="V9" s="14">
        <f t="shared" si="3"/>
        <v>0.23876939831200653</v>
      </c>
      <c r="W9" s="14">
        <f t="shared" si="4"/>
        <v>0.18166820217482674</v>
      </c>
    </row>
    <row r="10" spans="1:23">
      <c r="A10" s="2" t="s">
        <v>185</v>
      </c>
      <c r="B10" s="51">
        <f>'SNL Data - Incomplete'!B12/'Base Spend Data'!B$63</f>
        <v>0.11912568306010929</v>
      </c>
      <c r="C10" s="51">
        <f>'SNL Data - Incomplete'!C12/'Base Spend Data'!C$63</f>
        <v>0</v>
      </c>
      <c r="D10" s="51">
        <f>'SNL Data - Incomplete'!D12/'Base Spend Data'!D$63</f>
        <v>0.20882112714402395</v>
      </c>
      <c r="E10" s="51">
        <f>'SNL Data - Incomplete'!E12/'Base Spend Data'!E$63</f>
        <v>0.19981724032896742</v>
      </c>
      <c r="F10" s="51">
        <f>'SNL Data - Incomplete'!F12/'Base Spend Data'!F$63</f>
        <v>0</v>
      </c>
      <c r="G10" s="51">
        <f>'SNL Data - Incomplete'!G12/'Base Spend Data'!G$63</f>
        <v>0</v>
      </c>
      <c r="H10" s="51">
        <f>'SNL Data - Incomplete'!H12/'Base Spend Data'!H$63</f>
        <v>0</v>
      </c>
      <c r="I10" s="51">
        <f>'SNL Data - Incomplete'!I12/'Base Spend Data'!I$63</f>
        <v>0.32276986363982629</v>
      </c>
      <c r="J10" s="51">
        <f>'SNL Data - Incomplete'!J12/'Base Spend Data'!J$63</f>
        <v>2.883365821962313E-2</v>
      </c>
      <c r="K10" s="51">
        <f>'SNL Data - Incomplete'!K12/'Base Spend Data'!K$63</f>
        <v>0.13787793513669583</v>
      </c>
      <c r="L10" s="51">
        <f>'SNL Data - Incomplete'!L12/'Base Spend Data'!L$63</f>
        <v>0.37257525083612042</v>
      </c>
      <c r="M10" s="51">
        <f>'SNL Data - Incomplete'!M12/'Base Spend Data'!M$63</f>
        <v>0</v>
      </c>
      <c r="N10" s="51">
        <f>'SNL Data - Incomplete'!N12/'Base Spend Data'!N$63</f>
        <v>0.23228237001359089</v>
      </c>
      <c r="O10" s="51">
        <f>'SNL Data - Incomplete'!O12/'Base Spend Data'!O$63</f>
        <v>0.29983742355035997</v>
      </c>
      <c r="P10" s="51">
        <f>'SNL Data - Incomplete'!P12/'Base Spend Data'!P$63</f>
        <v>0</v>
      </c>
      <c r="Q10" s="51">
        <f>'SNL Data - Incomplete'!Q12/'Base Spend Data'!Q$63</f>
        <v>0.40157232704402518</v>
      </c>
      <c r="R10" s="51">
        <f>'SNL Data - Incomplete'!R12/'Base Spend Data'!R$63</f>
        <v>0.11985887096774193</v>
      </c>
      <c r="S10" s="14">
        <f t="shared" si="0"/>
        <v>2.4433717499410843</v>
      </c>
      <c r="T10" s="14">
        <f t="shared" si="1"/>
        <v>0</v>
      </c>
      <c r="U10" s="14">
        <f t="shared" si="2"/>
        <v>0.40157232704402518</v>
      </c>
      <c r="V10" s="14">
        <f t="shared" si="3"/>
        <v>0.11985887096774193</v>
      </c>
      <c r="W10" s="14">
        <f t="shared" si="4"/>
        <v>0.14372774999653437</v>
      </c>
    </row>
    <row r="11" spans="1:23">
      <c r="A11" s="2"/>
      <c r="B11" s="51">
        <f>SUM(B8:B10)</f>
        <v>0.68761384335154829</v>
      </c>
      <c r="C11" s="51">
        <f t="shared" ref="C11:R11" si="6">SUM(C8:C10)</f>
        <v>0.76858466043695706</v>
      </c>
      <c r="D11" s="51">
        <f t="shared" si="6"/>
        <v>0.67084127416280959</v>
      </c>
      <c r="E11" s="51">
        <f t="shared" si="6"/>
        <v>0.51436694080617318</v>
      </c>
      <c r="F11" s="51">
        <f t="shared" si="6"/>
        <v>0.38498402555910544</v>
      </c>
      <c r="G11" s="51">
        <f t="shared" si="6"/>
        <v>0.66809692074709748</v>
      </c>
      <c r="H11" s="51">
        <f t="shared" si="6"/>
        <v>0.1631753031973539</v>
      </c>
      <c r="I11" s="51">
        <f t="shared" si="6"/>
        <v>0.79812599984764221</v>
      </c>
      <c r="J11" s="51">
        <f t="shared" si="6"/>
        <v>0.73456790123456783</v>
      </c>
      <c r="K11" s="51">
        <f t="shared" si="6"/>
        <v>0.82569843856899872</v>
      </c>
      <c r="L11" s="51">
        <f t="shared" si="6"/>
        <v>0.76989966555183953</v>
      </c>
      <c r="M11" s="51">
        <f t="shared" si="6"/>
        <v>0.43201506591337102</v>
      </c>
      <c r="N11" s="51">
        <f t="shared" si="6"/>
        <v>0.72791659868174574</v>
      </c>
      <c r="O11" s="51">
        <f t="shared" si="6"/>
        <v>0.75745142060850035</v>
      </c>
      <c r="P11" s="51">
        <f t="shared" si="6"/>
        <v>0.26756217099292068</v>
      </c>
      <c r="Q11" s="51">
        <f t="shared" si="6"/>
        <v>0.80534591194968552</v>
      </c>
      <c r="R11" s="51">
        <f t="shared" si="6"/>
        <v>0.74385080645161294</v>
      </c>
      <c r="S11" s="14">
        <f t="shared" si="0"/>
        <v>10.720096948061931</v>
      </c>
      <c r="T11" s="14">
        <f t="shared" si="1"/>
        <v>0.1631753031973539</v>
      </c>
      <c r="U11" s="14">
        <f t="shared" si="2"/>
        <v>0.82569843856899872</v>
      </c>
      <c r="V11" s="14">
        <f t="shared" si="3"/>
        <v>0.72791659868174574</v>
      </c>
      <c r="W11" s="14">
        <f t="shared" si="4"/>
        <v>0.63059393812129005</v>
      </c>
    </row>
    <row r="12" spans="1:23">
      <c r="A12" s="2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14"/>
      <c r="T12" s="14"/>
      <c r="U12" s="14"/>
      <c r="V12" s="14"/>
      <c r="W12" s="14"/>
    </row>
    <row r="13" spans="1:23">
      <c r="A13" s="2"/>
      <c r="E13" s="52"/>
      <c r="S13" s="14"/>
      <c r="T13" s="14"/>
      <c r="U13" s="14"/>
      <c r="V13" s="14"/>
      <c r="W13" s="14"/>
    </row>
    <row r="14" spans="1:23">
      <c r="A14" s="9" t="s">
        <v>29</v>
      </c>
      <c r="B14" s="53">
        <f>'Base Spend Data'!B33/'Base Spend Data'!B$2</f>
        <v>2.4308070849489351E-2</v>
      </c>
      <c r="C14" s="53">
        <f>'Base Spend Data'!C33/'Base Spend Data'!C$2</f>
        <v>1.7841176843529875E-2</v>
      </c>
      <c r="D14" s="53">
        <f>'Base Spend Data'!D33/'Base Spend Data'!D$2</f>
        <v>1.7792436823633026E-3</v>
      </c>
      <c r="E14" s="53">
        <f>'Base Spend Data'!E33/'Base Spend Data'!E$2</f>
        <v>3.1444760958214634E-3</v>
      </c>
      <c r="F14" s="53">
        <f>'Base Spend Data'!F33/'Base Spend Data'!F$2</f>
        <v>3.498843287384177E-2</v>
      </c>
      <c r="G14" s="53">
        <f>'Base Spend Data'!G33/'Base Spend Data'!G$2</f>
        <v>1.6942325149930729E-2</v>
      </c>
      <c r="H14" s="53">
        <f>'Base Spend Data'!H33/'Base Spend Data'!H$2</f>
        <v>1.6394587226060572E-2</v>
      </c>
      <c r="I14" s="53">
        <f>'Base Spend Data'!I33/'Base Spend Data'!I$2</f>
        <v>2.501570107422843E-2</v>
      </c>
      <c r="J14" s="53">
        <f>'Base Spend Data'!J33/'Base Spend Data'!J$2</f>
        <v>7.7614843680311074E-2</v>
      </c>
      <c r="K14" s="53">
        <f>'Base Spend Data'!K33/'Base Spend Data'!K$2</f>
        <v>8.5061212657059262E-3</v>
      </c>
      <c r="L14" s="53">
        <f>'Base Spend Data'!L33/'Base Spend Data'!L$2</f>
        <v>4.2044684684801326E-3</v>
      </c>
      <c r="M14" s="53">
        <f>'Base Spend Data'!M33/'Base Spend Data'!M$2</f>
        <v>2.3213016106571251E-2</v>
      </c>
      <c r="N14" s="53">
        <f>'Base Spend Data'!N33/'Base Spend Data'!N$2</f>
        <v>3.9296738536565422E-2</v>
      </c>
      <c r="O14" s="53">
        <f>'Base Spend Data'!O33/'Base Spend Data'!O$2</f>
        <v>3.7318084878656376E-6</v>
      </c>
      <c r="P14" s="53">
        <f>'Base Spend Data'!P33/'Base Spend Data'!P$2</f>
        <v>2.1115763072386056E-3</v>
      </c>
      <c r="Q14" s="53">
        <f>'Base Spend Data'!Q33/'Base Spend Data'!Q$2</f>
        <v>1.7136881050655069E-4</v>
      </c>
      <c r="R14" s="53">
        <f>'Base Spend Data'!R33/'Base Spend Data'!R$2</f>
        <v>2.8869761747676616E-2</v>
      </c>
      <c r="S14" s="14">
        <f t="shared" si="0"/>
        <v>0.32440564052680892</v>
      </c>
      <c r="T14" s="14">
        <f t="shared" si="1"/>
        <v>3.7318084878656376E-6</v>
      </c>
      <c r="U14" s="14">
        <f t="shared" si="2"/>
        <v>7.7614843680311074E-2</v>
      </c>
      <c r="V14" s="14">
        <f t="shared" si="3"/>
        <v>1.6942325149930729E-2</v>
      </c>
      <c r="W14" s="14">
        <f t="shared" si="4"/>
        <v>1.9082684736871112E-2</v>
      </c>
    </row>
    <row r="15" spans="1:23">
      <c r="A15" s="9" t="s">
        <v>28</v>
      </c>
      <c r="B15" s="53">
        <f>'Base Spend Data'!B34/'Base Spend Data'!B$2</f>
        <v>9.7833731728096777E-3</v>
      </c>
      <c r="C15" s="53">
        <f>'Base Spend Data'!C34/'Base Spend Data'!C$2</f>
        <v>4.1592734338276108E-2</v>
      </c>
      <c r="D15" s="53">
        <f>'Base Spend Data'!D34/'Base Spend Data'!D$2</f>
        <v>1.3922163390504259E-3</v>
      </c>
      <c r="E15" s="53">
        <f>'Base Spend Data'!E34/'Base Spend Data'!E$2</f>
        <v>2.1854695323062947E-3</v>
      </c>
      <c r="F15" s="53">
        <f>'Base Spend Data'!F34/'Base Spend Data'!F$2</f>
        <v>1.8439622853477312E-2</v>
      </c>
      <c r="G15" s="53">
        <f>'Base Spend Data'!G34/'Base Spend Data'!G$2</f>
        <v>1.210393985434377E-2</v>
      </c>
      <c r="H15" s="53">
        <f>'Base Spend Data'!H34/'Base Spend Data'!H$2</f>
        <v>2.1942345817449034E-2</v>
      </c>
      <c r="I15" s="53">
        <f>'Base Spend Data'!I34/'Base Spend Data'!I$2</f>
        <v>4.2187273540516677E-2</v>
      </c>
      <c r="J15" s="53">
        <f>'Base Spend Data'!J34/'Base Spend Data'!J$2</f>
        <v>1.8048669413558049E-2</v>
      </c>
      <c r="K15" s="53">
        <f>'Base Spend Data'!K34/'Base Spend Data'!K$2</f>
        <v>7.6025962318788396E-3</v>
      </c>
      <c r="L15" s="53">
        <f>'Base Spend Data'!L34/'Base Spend Data'!L$2</f>
        <v>1.1762938359184705E-2</v>
      </c>
      <c r="M15" s="53">
        <f>'Base Spend Data'!M34/'Base Spend Data'!M$2</f>
        <v>1.3635860819355914E-2</v>
      </c>
      <c r="N15" s="53">
        <f>'Base Spend Data'!N34/'Base Spend Data'!N$2</f>
        <v>1.6178222015431086E-2</v>
      </c>
      <c r="O15" s="53">
        <f>'Base Spend Data'!O34/'Base Spend Data'!O$2</f>
        <v>1.4754074614357273E-3</v>
      </c>
      <c r="P15" s="53">
        <f>'Base Spend Data'!P34/'Base Spend Data'!P$2</f>
        <v>4.8672602339530557E-3</v>
      </c>
      <c r="Q15" s="53">
        <f>'Base Spend Data'!Q34/'Base Spend Data'!Q$2</f>
        <v>1.5025850097562595E-3</v>
      </c>
      <c r="R15" s="53">
        <f>'Base Spend Data'!R34/'Base Spend Data'!R$2</f>
        <v>1.7952550288559993E-2</v>
      </c>
      <c r="S15" s="14">
        <f t="shared" si="0"/>
        <v>0.24265306528134295</v>
      </c>
      <c r="T15" s="14">
        <f t="shared" si="1"/>
        <v>1.3922163390504259E-3</v>
      </c>
      <c r="U15" s="14">
        <f t="shared" si="2"/>
        <v>4.2187273540516677E-2</v>
      </c>
      <c r="V15" s="14">
        <f t="shared" si="3"/>
        <v>1.210393985434377E-2</v>
      </c>
      <c r="W15" s="14">
        <f t="shared" si="4"/>
        <v>1.4273709722431938E-2</v>
      </c>
    </row>
    <row r="16" spans="1:23">
      <c r="A16" s="9" t="s">
        <v>27</v>
      </c>
      <c r="B16" s="53">
        <f>'Base Spend Data'!B35/'Base Spend Data'!B$2</f>
        <v>0.14395383205320492</v>
      </c>
      <c r="C16" s="53">
        <f>'Base Spend Data'!C35/'Base Spend Data'!C$2</f>
        <v>0.30762802369277586</v>
      </c>
      <c r="D16" s="53">
        <f>'Base Spend Data'!D35/'Base Spend Data'!D$2</f>
        <v>0.10466648499415898</v>
      </c>
      <c r="E16" s="53">
        <f>'Base Spend Data'!E35/'Base Spend Data'!E$2</f>
        <v>5.5481201361746391E-2</v>
      </c>
      <c r="F16" s="53">
        <f>'Base Spend Data'!F35/'Base Spend Data'!F$2</f>
        <v>0.18361476638226065</v>
      </c>
      <c r="G16" s="53">
        <f>'Base Spend Data'!G35/'Base Spend Data'!G$2</f>
        <v>0.21371442365737858</v>
      </c>
      <c r="H16" s="53">
        <f>'Base Spend Data'!H35/'Base Spend Data'!H$2</f>
        <v>0.17914938418286372</v>
      </c>
      <c r="I16" s="53">
        <f>'Base Spend Data'!I35/'Base Spend Data'!I$2</f>
        <v>4.9761121502645993E-2</v>
      </c>
      <c r="J16" s="53">
        <f>'Base Spend Data'!J35/'Base Spend Data'!J$2</f>
        <v>5.7367060021462114E-2</v>
      </c>
      <c r="K16" s="53">
        <f>'Base Spend Data'!K35/'Base Spend Data'!K$2</f>
        <v>0.33811247863323191</v>
      </c>
      <c r="L16" s="53">
        <f>'Base Spend Data'!L35/'Base Spend Data'!L$2</f>
        <v>4.4552758116158803E-2</v>
      </c>
      <c r="M16" s="53">
        <f>'Base Spend Data'!M35/'Base Spend Data'!M$2</f>
        <v>0.6307616894948459</v>
      </c>
      <c r="N16" s="53">
        <f>'Base Spend Data'!N35/'Base Spend Data'!N$2</f>
        <v>0.1190827990270998</v>
      </c>
      <c r="O16" s="53">
        <f>'Base Spend Data'!O35/'Base Spend Data'!O$2</f>
        <v>7.1789705307662849E-2</v>
      </c>
      <c r="P16" s="53">
        <f>'Base Spend Data'!P35/'Base Spend Data'!P$2</f>
        <v>0.11313621988573447</v>
      </c>
      <c r="Q16" s="53">
        <f>'Base Spend Data'!Q35/'Base Spend Data'!Q$2</f>
        <v>6.5629473607332886E-2</v>
      </c>
      <c r="R16" s="53">
        <f>'Base Spend Data'!R35/'Base Spend Data'!R$2</f>
        <v>0.32804891947061099</v>
      </c>
      <c r="S16" s="14">
        <f t="shared" si="0"/>
        <v>3.0064503413911745</v>
      </c>
      <c r="T16" s="14">
        <f t="shared" si="1"/>
        <v>4.4552758116158803E-2</v>
      </c>
      <c r="U16" s="14">
        <f t="shared" si="2"/>
        <v>0.6307616894948459</v>
      </c>
      <c r="V16" s="14">
        <f t="shared" si="3"/>
        <v>0.1190827990270998</v>
      </c>
      <c r="W16" s="14">
        <f t="shared" si="4"/>
        <v>0.17685002008183379</v>
      </c>
    </row>
    <row r="17" spans="1:23">
      <c r="A17" s="9" t="s">
        <v>24</v>
      </c>
      <c r="B17" s="53">
        <f>'Base Spend Data'!B39/'Base Spend Data'!B$2</f>
        <v>3.4037195537938453E-3</v>
      </c>
      <c r="C17" s="53">
        <f>'Base Spend Data'!C39/'Base Spend Data'!C$2</f>
        <v>2.6426103334626226E-3</v>
      </c>
      <c r="D17" s="53">
        <f>'Base Spend Data'!D39/'Base Spend Data'!D$2</f>
        <v>3.8328800031831446E-3</v>
      </c>
      <c r="E17" s="53">
        <f>'Base Spend Data'!E39/'Base Spend Data'!E$2</f>
        <v>2.3217540259290449E-2</v>
      </c>
      <c r="F17" s="53">
        <f>'Base Spend Data'!F39/'Base Spend Data'!F$2</f>
        <v>7.9156101247252544E-3</v>
      </c>
      <c r="G17" s="53">
        <f>'Base Spend Data'!G39/'Base Spend Data'!G$2</f>
        <v>5.8534224208356819E-3</v>
      </c>
      <c r="H17" s="53">
        <f>'Base Spend Data'!H39/'Base Spend Data'!H$2</f>
        <v>5.2998454462672803E-2</v>
      </c>
      <c r="I17" s="53">
        <f>'Base Spend Data'!I39/'Base Spend Data'!I$2</f>
        <v>6.7568156428749228E-3</v>
      </c>
      <c r="J17" s="53">
        <f>'Base Spend Data'!J39/'Base Spend Data'!J$2</f>
        <v>0.32688262124497169</v>
      </c>
      <c r="K17" s="53">
        <f>'Base Spend Data'!K39/'Base Spend Data'!K$2</f>
        <v>2.2006142692526831E-3</v>
      </c>
      <c r="L17" s="53">
        <f>'Base Spend Data'!L39/'Base Spend Data'!L$2</f>
        <v>9.3202533081171044E-4</v>
      </c>
      <c r="M17" s="53">
        <f>'Base Spend Data'!M39/'Base Spend Data'!M$2</f>
        <v>1.2234236052380554E-2</v>
      </c>
      <c r="N17" s="53">
        <f>'Base Spend Data'!N39/'Base Spend Data'!N$2</f>
        <v>7.296530726789003E-3</v>
      </c>
      <c r="O17" s="53">
        <f>'Base Spend Data'!O39/'Base Spend Data'!O$2</f>
        <v>7.2898845050840015E-3</v>
      </c>
      <c r="P17" s="53">
        <f>'Base Spend Data'!P39/'Base Spend Data'!P$2</f>
        <v>1.0291045085970689E-2</v>
      </c>
      <c r="Q17" s="53">
        <f>'Base Spend Data'!Q39/'Base Spend Data'!Q$2</f>
        <v>7.8910040737287419E-3</v>
      </c>
      <c r="R17" s="53">
        <f>'Base Spend Data'!R39/'Base Spend Data'!R$2</f>
        <v>6.0035481842665725E-3</v>
      </c>
      <c r="S17" s="14">
        <f t="shared" si="0"/>
        <v>0.4876425622740943</v>
      </c>
      <c r="T17" s="14">
        <f t="shared" si="1"/>
        <v>9.3202533081171044E-4</v>
      </c>
      <c r="U17" s="14">
        <f t="shared" si="2"/>
        <v>0.32688262124497169</v>
      </c>
      <c r="V17" s="14">
        <f t="shared" si="3"/>
        <v>7.2898845050840015E-3</v>
      </c>
      <c r="W17" s="14">
        <f t="shared" si="4"/>
        <v>2.8684856604358488E-2</v>
      </c>
    </row>
    <row r="18" spans="1:23">
      <c r="A18" s="9" t="s">
        <v>18</v>
      </c>
      <c r="B18" s="53">
        <f>'Base Spend Data'!B48/'Base Spend Data'!B$2</f>
        <v>1.3123690341600467E-2</v>
      </c>
      <c r="C18" s="53">
        <f>'Base Spend Data'!C48/'Base Spend Data'!C$2</f>
        <v>1.5014544423173265E-2</v>
      </c>
      <c r="D18" s="53">
        <f>'Base Spend Data'!D48/'Base Spend Data'!D$2</f>
        <v>5.986456588014665E-3</v>
      </c>
      <c r="E18" s="53">
        <f>'Base Spend Data'!E48/'Base Spend Data'!E$2</f>
        <v>1.3347474691700353E-2</v>
      </c>
      <c r="F18" s="53">
        <f>'Base Spend Data'!F48/'Base Spend Data'!F$2</f>
        <v>9.1242513798795132E-3</v>
      </c>
      <c r="G18" s="53">
        <f>'Base Spend Data'!G48/'Base Spend Data'!G$2</f>
        <v>1.4427170049741455E-2</v>
      </c>
      <c r="H18" s="53">
        <f>'Base Spend Data'!H48/'Base Spend Data'!H$2</f>
        <v>1.7376223368944975E-2</v>
      </c>
      <c r="I18" s="53">
        <f>'Base Spend Data'!I48/'Base Spend Data'!I$2</f>
        <v>7.2696599737543241E-3</v>
      </c>
      <c r="J18" s="53">
        <f>'Base Spend Data'!J48/'Base Spend Data'!J$2</f>
        <v>1.9088366954926207E-2</v>
      </c>
      <c r="K18" s="53">
        <f>'Base Spend Data'!K48/'Base Spend Data'!K$2</f>
        <v>9.0739549711145884E-3</v>
      </c>
      <c r="L18" s="53">
        <f>'Base Spend Data'!L48/'Base Spend Data'!L$2</f>
        <v>4.022342867005751E-3</v>
      </c>
      <c r="M18" s="53">
        <f>'Base Spend Data'!M48/'Base Spend Data'!M$2</f>
        <v>7.4086331317227347E-3</v>
      </c>
      <c r="N18" s="53">
        <f>'Base Spend Data'!N48/'Base Spend Data'!N$2</f>
        <v>2.0220540800031602E-2</v>
      </c>
      <c r="O18" s="53">
        <f>'Base Spend Data'!O48/'Base Spend Data'!O$2</f>
        <v>7.6220049137897834E-3</v>
      </c>
      <c r="P18" s="53">
        <f>'Base Spend Data'!P48/'Base Spend Data'!P$2</f>
        <v>1.1740447466995032E-2</v>
      </c>
      <c r="Q18" s="53">
        <f>'Base Spend Data'!Q48/'Base Spend Data'!Q$2</f>
        <v>6.8963900796955597E-3</v>
      </c>
      <c r="R18" s="53">
        <f>'Base Spend Data'!R48/'Base Spend Data'!R$2</f>
        <v>1.2784071648950027E-2</v>
      </c>
      <c r="S18" s="14">
        <f t="shared" si="0"/>
        <v>0.19452622365104028</v>
      </c>
      <c r="T18" s="14">
        <f t="shared" si="1"/>
        <v>4.022342867005751E-3</v>
      </c>
      <c r="U18" s="14">
        <f t="shared" si="2"/>
        <v>2.0220540800031602E-2</v>
      </c>
      <c r="V18" s="14">
        <f t="shared" si="3"/>
        <v>1.1740447466995032E-2</v>
      </c>
      <c r="W18" s="14">
        <f t="shared" si="4"/>
        <v>1.1442719038296486E-2</v>
      </c>
    </row>
    <row r="19" spans="1:23">
      <c r="A19" s="9" t="s">
        <v>17</v>
      </c>
      <c r="B19" s="53">
        <f>'Base Spend Data'!B49/'Base Spend Data'!B$2</f>
        <v>1.2502694071920567E-2</v>
      </c>
      <c r="C19" s="53">
        <f>'Base Spend Data'!C49/'Base Spend Data'!C$2</f>
        <v>2.101694514265535E-3</v>
      </c>
      <c r="D19" s="53">
        <f>'Base Spend Data'!D49/'Base Spend Data'!D$2</f>
        <v>1.5728916523810802E-3</v>
      </c>
      <c r="E19" s="53">
        <f>'Base Spend Data'!E49/'Base Spend Data'!E$2</f>
        <v>9.7522289742466121E-3</v>
      </c>
      <c r="F19" s="53">
        <f>'Base Spend Data'!F49/'Base Spend Data'!F$2</f>
        <v>1.1949905553317302E-2</v>
      </c>
      <c r="G19" s="53">
        <f>'Base Spend Data'!G49/'Base Spend Data'!G$2</f>
        <v>1.8251747059979017E-2</v>
      </c>
      <c r="H19" s="53">
        <f>'Base Spend Data'!H49/'Base Spend Data'!H$2</f>
        <v>8.8987446329544008E-3</v>
      </c>
      <c r="I19" s="53">
        <f>'Base Spend Data'!I49/'Base Spend Data'!I$2</f>
        <v>1.6284577112843937E-2</v>
      </c>
      <c r="J19" s="53">
        <f>'Base Spend Data'!J49/'Base Spend Data'!J$2</f>
        <v>7.0194334145074373E-3</v>
      </c>
      <c r="K19" s="53">
        <f>'Base Spend Data'!K49/'Base Spend Data'!K$2</f>
        <v>2.0859073405729584E-2</v>
      </c>
      <c r="L19" s="53">
        <f>'Base Spend Data'!L49/'Base Spend Data'!L$2</f>
        <v>0</v>
      </c>
      <c r="M19" s="53">
        <f>'Base Spend Data'!M49/'Base Spend Data'!M$2</f>
        <v>5.231370798205702E-3</v>
      </c>
      <c r="N19" s="53">
        <f>'Base Spend Data'!N49/'Base Spend Data'!N$2</f>
        <v>1.7067455833733761E-2</v>
      </c>
      <c r="O19" s="53">
        <f>'Base Spend Data'!O49/'Base Spend Data'!O$2</f>
        <v>9.947532262990319E-3</v>
      </c>
      <c r="P19" s="53">
        <f>'Base Spend Data'!P49/'Base Spend Data'!P$2</f>
        <v>8.6519061401581776E-3</v>
      </c>
      <c r="Q19" s="53">
        <f>'Base Spend Data'!Q49/'Base Spend Data'!Q$2</f>
        <v>8.8799519536158691E-3</v>
      </c>
      <c r="R19" s="53">
        <f>'Base Spend Data'!R49/'Base Spend Data'!R$2</f>
        <v>8.330943538850822E-3</v>
      </c>
      <c r="S19" s="14">
        <f t="shared" si="0"/>
        <v>0.16730215091970013</v>
      </c>
      <c r="T19" s="14">
        <f t="shared" si="1"/>
        <v>0</v>
      </c>
      <c r="U19" s="14">
        <f t="shared" si="2"/>
        <v>2.0859073405729584E-2</v>
      </c>
      <c r="V19" s="14">
        <f t="shared" si="3"/>
        <v>8.8987446329544008E-3</v>
      </c>
      <c r="W19" s="14">
        <f t="shared" si="4"/>
        <v>9.841302995276479E-3</v>
      </c>
    </row>
    <row r="20" spans="1:23">
      <c r="A20" s="9" t="s">
        <v>15</v>
      </c>
      <c r="B20" s="53">
        <f>'Base Spend Data'!B52/'Base Spend Data'!B$2</f>
        <v>2.7857201463597457E-2</v>
      </c>
      <c r="C20" s="53">
        <f>'Base Spend Data'!C52/'Base Spend Data'!C$2</f>
        <v>4.0250820536096313E-2</v>
      </c>
      <c r="D20" s="53">
        <f>'Base Spend Data'!D52/'Base Spend Data'!D$2</f>
        <v>0</v>
      </c>
      <c r="E20" s="53">
        <f>'Base Spend Data'!E52/'Base Spend Data'!E$2</f>
        <v>0</v>
      </c>
      <c r="F20" s="53">
        <f>'Base Spend Data'!F52/'Base Spend Data'!F$2</f>
        <v>4.3200593134769115E-2</v>
      </c>
      <c r="G20" s="53">
        <f>'Base Spend Data'!G52/'Base Spend Data'!G$2</f>
        <v>3.2156099948326355E-2</v>
      </c>
      <c r="H20" s="53">
        <f>'Base Spend Data'!H52/'Base Spend Data'!H$2</f>
        <v>7.0293412728867979E-2</v>
      </c>
      <c r="I20" s="53">
        <f>'Base Spend Data'!I52/'Base Spend Data'!I$2</f>
        <v>0.10356962732585936</v>
      </c>
      <c r="J20" s="53">
        <f>'Base Spend Data'!J52/'Base Spend Data'!J$2</f>
        <v>0</v>
      </c>
      <c r="K20" s="53">
        <f>'Base Spend Data'!K52/'Base Spend Data'!K$2</f>
        <v>0</v>
      </c>
      <c r="L20" s="53">
        <f>'Base Spend Data'!L52/'Base Spend Data'!L$2</f>
        <v>2.2068378565506884E-2</v>
      </c>
      <c r="M20" s="53">
        <f>'Base Spend Data'!M52/'Base Spend Data'!M$2</f>
        <v>0</v>
      </c>
      <c r="N20" s="53">
        <f>'Base Spend Data'!N52/'Base Spend Data'!N$2</f>
        <v>0</v>
      </c>
      <c r="O20" s="53">
        <f>'Base Spend Data'!O52/'Base Spend Data'!O$2</f>
        <v>2.2302019104915041E-2</v>
      </c>
      <c r="P20" s="53">
        <f>'Base Spend Data'!P52/'Base Spend Data'!P$2</f>
        <v>0.102201498287757</v>
      </c>
      <c r="Q20" s="53">
        <f>'Base Spend Data'!Q52/'Base Spend Data'!Q$2</f>
        <v>6.3470944143808564E-2</v>
      </c>
      <c r="R20" s="53">
        <f>'Base Spend Data'!R52/'Base Spend Data'!R$2</f>
        <v>0.1155472183181015</v>
      </c>
      <c r="S20" s="14">
        <f t="shared" si="0"/>
        <v>0.64291781355760547</v>
      </c>
      <c r="T20" s="14">
        <f t="shared" si="1"/>
        <v>0</v>
      </c>
      <c r="U20" s="14">
        <f t="shared" si="2"/>
        <v>0.1155472183181015</v>
      </c>
      <c r="V20" s="14">
        <f t="shared" si="3"/>
        <v>2.7857201463597457E-2</v>
      </c>
      <c r="W20" s="14">
        <f t="shared" si="4"/>
        <v>3.7818694915153266E-2</v>
      </c>
    </row>
    <row r="21" spans="1:23">
      <c r="A21" s="9" t="s">
        <v>12</v>
      </c>
      <c r="B21" s="53">
        <f>'Base Spend Data'!B56/'Base Spend Data'!B$2</f>
        <v>5.094794604931379E-2</v>
      </c>
      <c r="C21" s="53">
        <f>'Base Spend Data'!C56/'Base Spend Data'!C$2</f>
        <v>4.7206038401560131E-2</v>
      </c>
      <c r="D21" s="53">
        <f>'Base Spend Data'!D56/'Base Spend Data'!D$2</f>
        <v>0.10228730082672201</v>
      </c>
      <c r="E21" s="53">
        <f>'Base Spend Data'!E56/'Base Spend Data'!E$2</f>
        <v>7.0573866155693318E-2</v>
      </c>
      <c r="F21" s="53">
        <f>'Base Spend Data'!F56/'Base Spend Data'!F$2</f>
        <v>6.2154425730252469E-2</v>
      </c>
      <c r="G21" s="53">
        <f>'Base Spend Data'!G56/'Base Spend Data'!G$2</f>
        <v>3.8595093164700958E-2</v>
      </c>
      <c r="H21" s="53">
        <f>'Base Spend Data'!H56/'Base Spend Data'!H$2</f>
        <v>3.1290008737959988E-4</v>
      </c>
      <c r="I21" s="53">
        <f>'Base Spend Data'!I56/'Base Spend Data'!I$2</f>
        <v>3.4839454567718087E-2</v>
      </c>
      <c r="J21" s="53">
        <f>'Base Spend Data'!J56/'Base Spend Data'!J$2</f>
        <v>3.0410828419659374E-2</v>
      </c>
      <c r="K21" s="53">
        <f>'Base Spend Data'!K56/'Base Spend Data'!K$2</f>
        <v>7.8234833456610295E-2</v>
      </c>
      <c r="L21" s="53">
        <f>'Base Spend Data'!L56/'Base Spend Data'!L$2</f>
        <v>9.7713738149561406E-3</v>
      </c>
      <c r="M21" s="53">
        <f>'Base Spend Data'!M56/'Base Spend Data'!M$2</f>
        <v>1.1658085807685611E-4</v>
      </c>
      <c r="N21" s="53">
        <f>'Base Spend Data'!N56/'Base Spend Data'!N$2</f>
        <v>0.13593674038587261</v>
      </c>
      <c r="O21" s="53">
        <f>'Base Spend Data'!O56/'Base Spend Data'!O$2</f>
        <v>3.6724186053125385E-2</v>
      </c>
      <c r="P21" s="53">
        <f>'Base Spend Data'!P56/'Base Spend Data'!P$2</f>
        <v>4.9534209937826632E-2</v>
      </c>
      <c r="Q21" s="53">
        <f>'Base Spend Data'!Q56/'Base Spend Data'!Q$2</f>
        <v>7.5422308884408928E-2</v>
      </c>
      <c r="R21" s="53">
        <f>'Base Spend Data'!R56/'Base Spend Data'!R$2</f>
        <v>6.0641896987869547E-3</v>
      </c>
      <c r="S21" s="14">
        <f t="shared" si="0"/>
        <v>0.82913227649266352</v>
      </c>
      <c r="T21" s="14">
        <f t="shared" si="1"/>
        <v>1.1658085807685611E-4</v>
      </c>
      <c r="U21" s="14">
        <f t="shared" si="2"/>
        <v>0.13593674038587261</v>
      </c>
      <c r="V21" s="14">
        <f t="shared" si="3"/>
        <v>4.7206038401560131E-2</v>
      </c>
      <c r="W21" s="14">
        <f t="shared" si="4"/>
        <v>4.8772486852509622E-2</v>
      </c>
    </row>
    <row r="22" spans="1:23">
      <c r="A22" s="9" t="s">
        <v>11</v>
      </c>
      <c r="B22" s="53">
        <f>'Base Spend Data'!B57/'Base Spend Data'!B$2</f>
        <v>0.20143079777497838</v>
      </c>
      <c r="C22" s="53">
        <f>'Base Spend Data'!C57/'Base Spend Data'!C$2</f>
        <v>3.9479930362069461E-2</v>
      </c>
      <c r="D22" s="53">
        <f>'Base Spend Data'!D57/'Base Spend Data'!D$2</f>
        <v>0.18809586299769715</v>
      </c>
      <c r="E22" s="53">
        <f>'Base Spend Data'!E57/'Base Spend Data'!E$2</f>
        <v>0.2864720176414135</v>
      </c>
      <c r="F22" s="53">
        <f>'Base Spend Data'!F57/'Base Spend Data'!F$2</f>
        <v>0.13911622296940157</v>
      </c>
      <c r="G22" s="53">
        <f>'Base Spend Data'!G57/'Base Spend Data'!G$2</f>
        <v>0.1030082963140392</v>
      </c>
      <c r="H22" s="53">
        <f>'Base Spend Data'!H57/'Base Spend Data'!H$2</f>
        <v>3.3252618768114402E-3</v>
      </c>
      <c r="I22" s="53">
        <f>'Base Spend Data'!I57/'Base Spend Data'!I$2</f>
        <v>0.1921186750655372</v>
      </c>
      <c r="J22" s="53">
        <f>'Base Spend Data'!J57/'Base Spend Data'!J$2</f>
        <v>7.8822094735961995E-2</v>
      </c>
      <c r="K22" s="53">
        <f>'Base Spend Data'!K57/'Base Spend Data'!K$2</f>
        <v>0.10851219054886618</v>
      </c>
      <c r="L22" s="53">
        <f>'Base Spend Data'!L57/'Base Spend Data'!L$2</f>
        <v>1.6261957929802843E-2</v>
      </c>
      <c r="M22" s="53">
        <f>'Base Spend Data'!M57/'Base Spend Data'!M$2</f>
        <v>1.9023175551269142E-3</v>
      </c>
      <c r="N22" s="53">
        <f>'Base Spend Data'!N57/'Base Spend Data'!N$2</f>
        <v>0.13278165398058264</v>
      </c>
      <c r="O22" s="53">
        <f>'Base Spend Data'!O57/'Base Spend Data'!O$2</f>
        <v>0.25664245284572285</v>
      </c>
      <c r="P22" s="53">
        <f>'Base Spend Data'!P57/'Base Spend Data'!P$2</f>
        <v>0.16925218427377597</v>
      </c>
      <c r="Q22" s="53">
        <f>'Base Spend Data'!Q57/'Base Spend Data'!Q$2</f>
        <v>0.2621571396779046</v>
      </c>
      <c r="R22" s="53">
        <f>'Base Spend Data'!R57/'Base Spend Data'!R$2</f>
        <v>2.6286605278806302E-2</v>
      </c>
      <c r="S22" s="14">
        <f t="shared" si="0"/>
        <v>2.2056656618284984</v>
      </c>
      <c r="T22" s="14">
        <f t="shared" si="1"/>
        <v>1.9023175551269142E-3</v>
      </c>
      <c r="U22" s="14">
        <f t="shared" si="2"/>
        <v>0.2864720176414135</v>
      </c>
      <c r="V22" s="14">
        <f t="shared" si="3"/>
        <v>0.13278165398058264</v>
      </c>
      <c r="W22" s="14">
        <f t="shared" si="4"/>
        <v>0.12974503893108813</v>
      </c>
    </row>
    <row r="23" spans="1:23">
      <c r="A23" s="9" t="s">
        <v>10</v>
      </c>
      <c r="B23" s="53">
        <f>'Base Spend Data'!B58/'Base Spend Data'!B$2</f>
        <v>3.4919189413922247E-2</v>
      </c>
      <c r="C23" s="53">
        <f>'Base Spend Data'!C58/'Base Spend Data'!C$2</f>
        <v>3.7425789857572E-2</v>
      </c>
      <c r="D23" s="53">
        <f>'Base Spend Data'!D58/'Base Spend Data'!D$2</f>
        <v>2.1242545527082102E-2</v>
      </c>
      <c r="E23" s="53">
        <f>'Base Spend Data'!E58/'Base Spend Data'!E$2</f>
        <v>6.920213004599377E-3</v>
      </c>
      <c r="F23" s="53">
        <f>'Base Spend Data'!F58/'Base Spend Data'!F$2</f>
        <v>7.5996755597835752E-2</v>
      </c>
      <c r="G23" s="53">
        <f>'Base Spend Data'!G58/'Base Spend Data'!G$2</f>
        <v>0.11483906493889552</v>
      </c>
      <c r="H23" s="53">
        <f>'Base Spend Data'!H58/'Base Spend Data'!H$2</f>
        <v>2.0952975656594149E-2</v>
      </c>
      <c r="I23" s="53">
        <f>'Base Spend Data'!I58/'Base Spend Data'!I$2</f>
        <v>1.347144283339898E-2</v>
      </c>
      <c r="J23" s="53">
        <f>'Base Spend Data'!J58/'Base Spend Data'!J$2</f>
        <v>1.261532439473319E-2</v>
      </c>
      <c r="K23" s="53">
        <f>'Base Spend Data'!K58/'Base Spend Data'!K$2</f>
        <v>2.8529934714368918E-2</v>
      </c>
      <c r="L23" s="53">
        <f>'Base Spend Data'!L58/'Base Spend Data'!L$2</f>
        <v>5.7576870140174019E-3</v>
      </c>
      <c r="M23" s="53">
        <f>'Base Spend Data'!M58/'Base Spend Data'!M$2</f>
        <v>3.0768237798358987E-2</v>
      </c>
      <c r="N23" s="53">
        <f>'Base Spend Data'!N58/'Base Spend Data'!N$2</f>
        <v>7.6904104522181521E-2</v>
      </c>
      <c r="O23" s="53">
        <f>'Base Spend Data'!O58/'Base Spend Data'!O$2</f>
        <v>1.2095084095252652E-2</v>
      </c>
      <c r="P23" s="53">
        <f>'Base Spend Data'!P58/'Base Spend Data'!P$2</f>
        <v>2.402806181825794E-2</v>
      </c>
      <c r="Q23" s="53">
        <f>'Base Spend Data'!Q58/'Base Spend Data'!Q$2</f>
        <v>4.5180248773434191E-3</v>
      </c>
      <c r="R23" s="53">
        <f>'Base Spend Data'!R58/'Base Spend Data'!R$2</f>
        <v>2.2887548422176645E-2</v>
      </c>
      <c r="S23" s="14">
        <f t="shared" si="0"/>
        <v>0.5438719844865908</v>
      </c>
      <c r="T23" s="14">
        <f t="shared" si="1"/>
        <v>4.5180248773434191E-3</v>
      </c>
      <c r="U23" s="14">
        <f t="shared" si="2"/>
        <v>0.11483906493889552</v>
      </c>
      <c r="V23" s="14">
        <f t="shared" si="3"/>
        <v>2.2887548422176645E-2</v>
      </c>
      <c r="W23" s="14">
        <f t="shared" si="4"/>
        <v>3.1992469675681812E-2</v>
      </c>
    </row>
    <row r="24" spans="1:23">
      <c r="S24" s="14"/>
      <c r="T24" s="14"/>
      <c r="U24" s="14"/>
      <c r="V24" s="14"/>
      <c r="W24" s="14"/>
    </row>
    <row r="25" spans="1:23">
      <c r="A25" s="2" t="s">
        <v>61</v>
      </c>
      <c r="B25" s="53">
        <f>'Base Spend Data'!B70/'Base Spend Data'!B$76</f>
        <v>0.57570479633878269</v>
      </c>
      <c r="C25" s="53">
        <f>'Base Spend Data'!C70/'Base Spend Data'!C$76</f>
        <v>0.27008165151748575</v>
      </c>
      <c r="D25" s="53">
        <f>'Base Spend Data'!D70/'Base Spend Data'!D$76</f>
        <v>0</v>
      </c>
      <c r="E25" s="53">
        <f>'Base Spend Data'!E70/'Base Spend Data'!E$76</f>
        <v>0</v>
      </c>
      <c r="F25" s="53">
        <f>'Base Spend Data'!F70/'Base Spend Data'!F$76</f>
        <v>0.59831857297506374</v>
      </c>
      <c r="G25" s="53">
        <f>'Base Spend Data'!G70/'Base Spend Data'!G$76</f>
        <v>0.40399006991535957</v>
      </c>
      <c r="H25" s="53">
        <f>'Base Spend Data'!H70/'Base Spend Data'!H$76</f>
        <v>0</v>
      </c>
      <c r="I25" s="53">
        <f>'Base Spend Data'!I70/'Base Spend Data'!I$76</f>
        <v>0.69970721924501345</v>
      </c>
      <c r="J25" s="53">
        <f>'Base Spend Data'!J70/'Base Spend Data'!J$76</f>
        <v>0.55956563786800861</v>
      </c>
      <c r="K25" s="53">
        <f>'Base Spend Data'!K70/'Base Spend Data'!K$76</f>
        <v>0.34799577439990609</v>
      </c>
      <c r="L25" s="53">
        <f>'Base Spend Data'!L70/'Base Spend Data'!L$76</f>
        <v>0.11782244878330288</v>
      </c>
      <c r="M25" s="53">
        <f>'Base Spend Data'!M70/'Base Spend Data'!M$76</f>
        <v>0.29632368667303305</v>
      </c>
      <c r="N25" s="53">
        <f>'Base Spend Data'!N70/'Base Spend Data'!N$76</f>
        <v>0.14082619671125579</v>
      </c>
      <c r="O25" s="53">
        <f>'Base Spend Data'!O70/'Base Spend Data'!O$76</f>
        <v>0</v>
      </c>
      <c r="P25" s="53">
        <f>'Base Spend Data'!P70/'Base Spend Data'!P$76</f>
        <v>0</v>
      </c>
      <c r="Q25" s="53">
        <f>'Base Spend Data'!Q70/'Base Spend Data'!Q$76</f>
        <v>0.1332496917519306</v>
      </c>
      <c r="R25" s="53">
        <f>'Base Spend Data'!R70/'Base Spend Data'!R$76</f>
        <v>0.39390944905624775</v>
      </c>
      <c r="S25" s="14">
        <f t="shared" si="0"/>
        <v>4.5374951952353904</v>
      </c>
      <c r="T25" s="14">
        <f t="shared" si="1"/>
        <v>0</v>
      </c>
      <c r="U25" s="14">
        <f t="shared" si="2"/>
        <v>0.69970721924501345</v>
      </c>
      <c r="V25" s="14">
        <f t="shared" si="3"/>
        <v>0.27008165151748575</v>
      </c>
      <c r="W25" s="14">
        <f t="shared" si="4"/>
        <v>0.26691148207267001</v>
      </c>
    </row>
    <row r="26" spans="1:23">
      <c r="A26" s="2" t="s">
        <v>62</v>
      </c>
      <c r="B26" s="53">
        <f>'Base Spend Data'!B71/'Base Spend Data'!B$76</f>
        <v>7.4473579896938175E-2</v>
      </c>
      <c r="C26" s="53">
        <f>'Base Spend Data'!C71/'Base Spend Data'!C$76</f>
        <v>0.17650130950546913</v>
      </c>
      <c r="D26" s="53">
        <f>'Base Spend Data'!D71/'Base Spend Data'!D$76</f>
        <v>0</v>
      </c>
      <c r="E26" s="53">
        <f>'Base Spend Data'!E71/'Base Spend Data'!E$76</f>
        <v>0</v>
      </c>
      <c r="F26" s="53">
        <f>'Base Spend Data'!F71/'Base Spend Data'!F$76</f>
        <v>9.1782740419561859E-2</v>
      </c>
      <c r="G26" s="53">
        <f>'Base Spend Data'!G71/'Base Spend Data'!G$76</f>
        <v>0.13890499477333987</v>
      </c>
      <c r="H26" s="53">
        <f>'Base Spend Data'!H71/'Base Spend Data'!H$76</f>
        <v>0</v>
      </c>
      <c r="I26" s="53">
        <f>'Base Spend Data'!I71/'Base Spend Data'!I$76</f>
        <v>0.1287956257893019</v>
      </c>
      <c r="J26" s="53">
        <f>'Base Spend Data'!J71/'Base Spend Data'!J$76</f>
        <v>0.11482495960294306</v>
      </c>
      <c r="K26" s="53">
        <f>'Base Spend Data'!K71/'Base Spend Data'!K$76</f>
        <v>0</v>
      </c>
      <c r="L26" s="53">
        <f>'Base Spend Data'!L71/'Base Spend Data'!L$76</f>
        <v>0.15268827546407618</v>
      </c>
      <c r="M26" s="53">
        <f>'Base Spend Data'!M71/'Base Spend Data'!M$76</f>
        <v>4.325119676107516E-2</v>
      </c>
      <c r="N26" s="53">
        <f>'Base Spend Data'!N71/'Base Spend Data'!N$76</f>
        <v>0</v>
      </c>
      <c r="O26" s="53">
        <f>'Base Spend Data'!O71/'Base Spend Data'!O$76</f>
        <v>0.29472288154771614</v>
      </c>
      <c r="P26" s="53">
        <f>'Base Spend Data'!P71/'Base Spend Data'!P$76</f>
        <v>0</v>
      </c>
      <c r="Q26" s="53">
        <f>'Base Spend Data'!Q71/'Base Spend Data'!Q$76</f>
        <v>0.4152443992587625</v>
      </c>
      <c r="R26" s="53">
        <f>'Base Spend Data'!R71/'Base Spend Data'!R$76</f>
        <v>0.18119100728947421</v>
      </c>
      <c r="S26" s="14">
        <f t="shared" si="0"/>
        <v>1.8123809703086582</v>
      </c>
      <c r="T26" s="14">
        <f t="shared" si="1"/>
        <v>0</v>
      </c>
      <c r="U26" s="14">
        <f t="shared" si="2"/>
        <v>0.4152443992587625</v>
      </c>
      <c r="V26" s="14">
        <f t="shared" si="3"/>
        <v>9.1782740419561859E-2</v>
      </c>
      <c r="W26" s="14">
        <f t="shared" si="4"/>
        <v>0.10661064531227402</v>
      </c>
    </row>
    <row r="27" spans="1:23">
      <c r="A27" s="2" t="s">
        <v>63</v>
      </c>
      <c r="B27" s="53">
        <f>'Base Spend Data'!B72/'Base Spend Data'!B$76</f>
        <v>0.27187661409472558</v>
      </c>
      <c r="C27" s="53">
        <f>'Base Spend Data'!C72/'Base Spend Data'!C$76</f>
        <v>0.53843629641041435</v>
      </c>
      <c r="D27" s="53">
        <f>'Base Spend Data'!D72/'Base Spend Data'!D$76</f>
        <v>8.3917500709104906E-2</v>
      </c>
      <c r="E27" s="53">
        <f>'Base Spend Data'!E72/'Base Spend Data'!E$76</f>
        <v>0.40794294311538853</v>
      </c>
      <c r="F27" s="53">
        <f>'Base Spend Data'!F72/'Base Spend Data'!F$76</f>
        <v>0.18014739324724877</v>
      </c>
      <c r="G27" s="53">
        <f>'Base Spend Data'!G72/'Base Spend Data'!G$76</f>
        <v>0.32244600858212652</v>
      </c>
      <c r="H27" s="53">
        <f>'Base Spend Data'!H72/'Base Spend Data'!H$76</f>
        <v>0</v>
      </c>
      <c r="I27" s="53">
        <f>'Base Spend Data'!I72/'Base Spend Data'!I$76</f>
        <v>6.844164013981581E-2</v>
      </c>
      <c r="J27" s="53">
        <f>'Base Spend Data'!J72/'Base Spend Data'!J$76</f>
        <v>0.18976986349140054</v>
      </c>
      <c r="K27" s="53">
        <f>'Base Spend Data'!K72/'Base Spend Data'!K$76</f>
        <v>0.50413756675861254</v>
      </c>
      <c r="L27" s="53">
        <f>'Base Spend Data'!L72/'Base Spend Data'!L$76</f>
        <v>0</v>
      </c>
      <c r="M27" s="53">
        <f>'Base Spend Data'!M72/'Base Spend Data'!M$76</f>
        <v>0.48729131316761642</v>
      </c>
      <c r="N27" s="53">
        <f>'Base Spend Data'!N72/'Base Spend Data'!N$76</f>
        <v>0.8561618735304064</v>
      </c>
      <c r="O27" s="53">
        <f>'Base Spend Data'!O72/'Base Spend Data'!O$76</f>
        <v>0.18707008615381374</v>
      </c>
      <c r="P27" s="53">
        <f>'Base Spend Data'!P72/'Base Spend Data'!P$76</f>
        <v>0</v>
      </c>
      <c r="Q27" s="53">
        <f>'Base Spend Data'!Q72/'Base Spend Data'!Q$76</f>
        <v>0.23217749320412148</v>
      </c>
      <c r="R27" s="53">
        <f>'Base Spend Data'!R72/'Base Spend Data'!R$76</f>
        <v>0.27983088210238816</v>
      </c>
      <c r="S27" s="14">
        <f t="shared" si="0"/>
        <v>4.6096474747071836</v>
      </c>
      <c r="T27" s="14">
        <f t="shared" si="1"/>
        <v>0</v>
      </c>
      <c r="U27" s="14">
        <f t="shared" si="2"/>
        <v>0.8561618735304064</v>
      </c>
      <c r="V27" s="14">
        <f t="shared" si="3"/>
        <v>0.23217749320412148</v>
      </c>
      <c r="W27" s="14">
        <f t="shared" si="4"/>
        <v>0.27115573380630492</v>
      </c>
    </row>
    <row r="28" spans="1:23">
      <c r="A28" s="2" t="s">
        <v>64</v>
      </c>
      <c r="B28" s="53">
        <f>'Base Spend Data'!B73/'Base Spend Data'!B$76</f>
        <v>2.7387058413712747E-2</v>
      </c>
      <c r="C28" s="53">
        <f>'Base Spend Data'!C73/'Base Spend Data'!C$76</f>
        <v>2.9271298721306425E-3</v>
      </c>
      <c r="D28" s="53">
        <f>'Base Spend Data'!D73/'Base Spend Data'!D$76</f>
        <v>1.4627821224522873E-2</v>
      </c>
      <c r="E28" s="53">
        <f>'Base Spend Data'!E73/'Base Spend Data'!E$76</f>
        <v>0.499936833159146</v>
      </c>
      <c r="F28" s="53">
        <f>'Base Spend Data'!F73/'Base Spend Data'!F$76</f>
        <v>2.6420317420773876E-2</v>
      </c>
      <c r="G28" s="53">
        <f>'Base Spend Data'!G73/'Base Spend Data'!G$76</f>
        <v>3.7361032163799317E-2</v>
      </c>
      <c r="H28" s="53">
        <f>'Base Spend Data'!H73/'Base Spend Data'!H$76</f>
        <v>0</v>
      </c>
      <c r="I28" s="53">
        <f>'Base Spend Data'!I73/'Base Spend Data'!I$76</f>
        <v>1.0027386115854148E-2</v>
      </c>
      <c r="J28" s="53">
        <f>'Base Spend Data'!J73/'Base Spend Data'!J$76</f>
        <v>0.10583319310097339</v>
      </c>
      <c r="K28" s="53">
        <f>'Base Spend Data'!K73/'Base Spend Data'!K$76</f>
        <v>5.9862667996948171E-2</v>
      </c>
      <c r="L28" s="53">
        <f>'Base Spend Data'!L73/'Base Spend Data'!L$76</f>
        <v>0.51505241896700971</v>
      </c>
      <c r="M28" s="53">
        <f>'Base Spend Data'!M73/'Base Spend Data'!M$76</f>
        <v>0.14651803675506975</v>
      </c>
      <c r="N28" s="53">
        <f>'Base Spend Data'!N73/'Base Spend Data'!N$76</f>
        <v>1.7930025715431619E-3</v>
      </c>
      <c r="O28" s="53">
        <f>'Base Spend Data'!O73/'Base Spend Data'!O$76</f>
        <v>7.7627901836228803E-5</v>
      </c>
      <c r="P28" s="53">
        <f>'Base Spend Data'!P73/'Base Spend Data'!P$76</f>
        <v>0</v>
      </c>
      <c r="Q28" s="53">
        <f>'Base Spend Data'!Q73/'Base Spend Data'!Q$76</f>
        <v>1.6764368686322437E-3</v>
      </c>
      <c r="R28" s="53">
        <f>'Base Spend Data'!R73/'Base Spend Data'!R$76</f>
        <v>6.9723125797818675E-4</v>
      </c>
      <c r="S28" s="14">
        <f t="shared" si="0"/>
        <v>1.4501981937899304</v>
      </c>
      <c r="T28" s="14">
        <f t="shared" si="1"/>
        <v>0</v>
      </c>
      <c r="U28" s="14">
        <f t="shared" si="2"/>
        <v>0.51505241896700971</v>
      </c>
      <c r="V28" s="14">
        <f t="shared" si="3"/>
        <v>1.4627821224522873E-2</v>
      </c>
      <c r="W28" s="14">
        <f t="shared" si="4"/>
        <v>8.5305776105290027E-2</v>
      </c>
    </row>
    <row r="29" spans="1:23">
      <c r="A29" s="2" t="s">
        <v>65</v>
      </c>
      <c r="B29" s="53">
        <f>'Base Spend Data'!B74/'Base Spend Data'!B$76</f>
        <v>4.9729132382794201E-2</v>
      </c>
      <c r="C29" s="53">
        <f>'Base Spend Data'!C74/'Base Spend Data'!C$76</f>
        <v>0</v>
      </c>
      <c r="D29" s="53">
        <f>'Base Spend Data'!D74/'Base Spend Data'!D$76</f>
        <v>0.90145467806637225</v>
      </c>
      <c r="E29" s="53">
        <f>'Base Spend Data'!E74/'Base Spend Data'!E$76</f>
        <v>0</v>
      </c>
      <c r="F29" s="53">
        <f>'Base Spend Data'!F74/'Base Spend Data'!F$76</f>
        <v>7.5170064403621159E-2</v>
      </c>
      <c r="G29" s="53">
        <f>'Base Spend Data'!G74/'Base Spend Data'!G$76</f>
        <v>6.5259208547345404E-2</v>
      </c>
      <c r="H29" s="53">
        <f>'Base Spend Data'!H74/'Base Spend Data'!H$76</f>
        <v>0</v>
      </c>
      <c r="I29" s="53">
        <f>'Base Spend Data'!I74/'Base Spend Data'!I$76</f>
        <v>9.2980829718902078E-2</v>
      </c>
      <c r="J29" s="53">
        <f>'Base Spend Data'!J74/'Base Spend Data'!J$76</f>
        <v>0</v>
      </c>
      <c r="K29" s="53">
        <f>'Base Spend Data'!K74/'Base Spend Data'!K$76</f>
        <v>8.8003990844533114E-2</v>
      </c>
      <c r="L29" s="53">
        <f>'Base Spend Data'!L74/'Base Spend Data'!L$76</f>
        <v>0.21443685678561122</v>
      </c>
      <c r="M29" s="53">
        <f>'Base Spend Data'!M74/'Base Spend Data'!M$76</f>
        <v>0</v>
      </c>
      <c r="N29" s="53">
        <f>'Base Spend Data'!N74/'Base Spend Data'!N$76</f>
        <v>1.1796069549626065E-3</v>
      </c>
      <c r="O29" s="53">
        <f>'Base Spend Data'!O74/'Base Spend Data'!O$76</f>
        <v>0.50463530674862767</v>
      </c>
      <c r="P29" s="53">
        <f>'Base Spend Data'!P74/'Base Spend Data'!P$76</f>
        <v>0</v>
      </c>
      <c r="Q29" s="53">
        <f>'Base Spend Data'!Q74/'Base Spend Data'!Q$76</f>
        <v>0.20530402993791774</v>
      </c>
      <c r="R29" s="53">
        <f>'Base Spend Data'!R74/'Base Spend Data'!R$76</f>
        <v>0.14431638572091357</v>
      </c>
      <c r="S29" s="14">
        <f t="shared" si="0"/>
        <v>2.3424700901116013</v>
      </c>
      <c r="T29" s="14">
        <f t="shared" si="1"/>
        <v>0</v>
      </c>
      <c r="U29" s="14">
        <f t="shared" si="2"/>
        <v>0.90145467806637225</v>
      </c>
      <c r="V29" s="14">
        <f t="shared" si="3"/>
        <v>6.5259208547345404E-2</v>
      </c>
      <c r="W29" s="14">
        <f t="shared" si="4"/>
        <v>0.1377923582418589</v>
      </c>
    </row>
    <row r="30" spans="1:23">
      <c r="A30" s="2" t="s">
        <v>66</v>
      </c>
      <c r="B30" s="53">
        <f>'Base Spend Data'!B75/'Base Spend Data'!B$76</f>
        <v>8.2881887304656998E-4</v>
      </c>
      <c r="C30" s="53">
        <f>'Base Spend Data'!C75/'Base Spend Data'!C$76</f>
        <v>1.2053612694500076E-2</v>
      </c>
      <c r="D30" s="53">
        <f>'Base Spend Data'!D75/'Base Spend Data'!D$76</f>
        <v>0</v>
      </c>
      <c r="E30" s="53">
        <f>'Base Spend Data'!E75/'Base Spend Data'!E$76</f>
        <v>9.2120223725465411E-2</v>
      </c>
      <c r="F30" s="53">
        <f>'Base Spend Data'!F75/'Base Spend Data'!F$76</f>
        <v>2.8160911533730567E-2</v>
      </c>
      <c r="G30" s="53">
        <f>'Base Spend Data'!G75/'Base Spend Data'!G$76</f>
        <v>3.2038686018029221E-2</v>
      </c>
      <c r="H30" s="53">
        <f>'Base Spend Data'!H75/'Base Spend Data'!H$76</f>
        <v>0</v>
      </c>
      <c r="I30" s="53">
        <f>'Base Spend Data'!I75/'Base Spend Data'!I$76</f>
        <v>4.7298991112519563E-5</v>
      </c>
      <c r="J30" s="53">
        <f>'Base Spend Data'!J75/'Base Spend Data'!J$76</f>
        <v>3.0006345936674447E-2</v>
      </c>
      <c r="K30" s="53">
        <f>'Base Spend Data'!K75/'Base Spend Data'!K$76</f>
        <v>0</v>
      </c>
      <c r="L30" s="53">
        <f>'Base Spend Data'!L75/'Base Spend Data'!L$76</f>
        <v>0</v>
      </c>
      <c r="M30" s="53">
        <f>'Base Spend Data'!M75/'Base Spend Data'!M$76</f>
        <v>2.6615766643205658E-2</v>
      </c>
      <c r="N30" s="53">
        <f>'Base Spend Data'!N75/'Base Spend Data'!N$76</f>
        <v>3.9320231832086883E-5</v>
      </c>
      <c r="O30" s="53">
        <f>'Base Spend Data'!O75/'Base Spend Data'!O$76</f>
        <v>1.3494097648006147E-2</v>
      </c>
      <c r="P30" s="53">
        <f>'Base Spend Data'!P75/'Base Spend Data'!P$76</f>
        <v>1</v>
      </c>
      <c r="Q30" s="53">
        <f>'Base Spend Data'!Q75/'Base Spend Data'!Q$76</f>
        <v>1.2347948978635344E-2</v>
      </c>
      <c r="R30" s="53">
        <f>'Base Spend Data'!R75/'Base Spend Data'!R$76</f>
        <v>5.5044572998277905E-5</v>
      </c>
      <c r="S30" s="14">
        <f t="shared" si="0"/>
        <v>1.2478080758472365</v>
      </c>
      <c r="T30" s="14">
        <f t="shared" si="1"/>
        <v>0</v>
      </c>
      <c r="U30" s="14">
        <f t="shared" si="2"/>
        <v>1</v>
      </c>
      <c r="V30" s="14">
        <f t="shared" si="3"/>
        <v>1.2053612694500076E-2</v>
      </c>
      <c r="W30" s="14">
        <f t="shared" si="4"/>
        <v>7.3400475049837446E-2</v>
      </c>
    </row>
    <row r="31" spans="1:23">
      <c r="S31" s="14"/>
      <c r="T31" s="14"/>
      <c r="U31" s="14"/>
      <c r="V31" s="14"/>
      <c r="W31" s="14"/>
    </row>
    <row r="32" spans="1:23">
      <c r="A32" s="2" t="s">
        <v>6</v>
      </c>
      <c r="B32" s="50" t="str">
        <f>IF(B25&gt;10%,B1,"")</f>
        <v>Ameren</v>
      </c>
      <c r="C32" s="50" t="str">
        <f t="shared" ref="C32:R32" si="7">IF(C25&gt;10%,C1,"")</f>
        <v>APS</v>
      </c>
      <c r="D32" s="50" t="str">
        <f t="shared" si="7"/>
        <v/>
      </c>
      <c r="E32" s="50" t="str">
        <f t="shared" si="7"/>
        <v/>
      </c>
      <c r="F32" s="50" t="str">
        <f t="shared" si="7"/>
        <v>DTE</v>
      </c>
      <c r="G32" s="50" t="str">
        <f t="shared" si="7"/>
        <v>Duke</v>
      </c>
      <c r="H32" s="50" t="str">
        <f t="shared" si="7"/>
        <v/>
      </c>
      <c r="I32" s="50" t="str">
        <f t="shared" si="7"/>
        <v>FirstEnergy</v>
      </c>
      <c r="J32" s="50" t="str">
        <f t="shared" si="7"/>
        <v>KCP&amp;L</v>
      </c>
      <c r="K32" s="50" t="str">
        <f t="shared" si="7"/>
        <v>LCRA</v>
      </c>
      <c r="L32" s="50" t="str">
        <f t="shared" si="7"/>
        <v>NB Power</v>
      </c>
      <c r="M32" s="50" t="str">
        <f t="shared" si="7"/>
        <v>NRG</v>
      </c>
      <c r="N32" s="50" t="str">
        <f t="shared" si="7"/>
        <v>NV Energy</v>
      </c>
      <c r="O32" s="50" t="str">
        <f t="shared" si="7"/>
        <v/>
      </c>
      <c r="P32" s="50" t="str">
        <f t="shared" si="7"/>
        <v/>
      </c>
      <c r="Q32" s="50" t="str">
        <f t="shared" si="7"/>
        <v>SCE</v>
      </c>
      <c r="R32" s="50" t="str">
        <f t="shared" si="7"/>
        <v>TVA</v>
      </c>
      <c r="S32" s="14"/>
      <c r="T32" s="14"/>
      <c r="U32" s="14"/>
      <c r="V32" s="14"/>
      <c r="W32" s="14"/>
    </row>
    <row r="33" spans="1:26">
      <c r="A33" s="2" t="s">
        <v>4</v>
      </c>
      <c r="B33" s="50" t="str">
        <f t="shared" ref="B33:R33" si="8">IF(B27&gt;15%,B1,"")</f>
        <v>Ameren</v>
      </c>
      <c r="C33" s="50" t="str">
        <f t="shared" si="8"/>
        <v>APS</v>
      </c>
      <c r="D33" s="50" t="str">
        <f t="shared" si="8"/>
        <v/>
      </c>
      <c r="E33" s="50" t="str">
        <f t="shared" si="8"/>
        <v>ConEd</v>
      </c>
      <c r="F33" s="50" t="str">
        <f t="shared" si="8"/>
        <v>DTE</v>
      </c>
      <c r="G33" s="50" t="str">
        <f t="shared" si="8"/>
        <v>Duke</v>
      </c>
      <c r="H33" s="50" t="str">
        <f t="shared" si="8"/>
        <v/>
      </c>
      <c r="I33" s="50" t="str">
        <f t="shared" si="8"/>
        <v/>
      </c>
      <c r="J33" s="50" t="str">
        <f t="shared" si="8"/>
        <v>KCP&amp;L</v>
      </c>
      <c r="K33" s="50" t="str">
        <f t="shared" si="8"/>
        <v>LCRA</v>
      </c>
      <c r="L33" s="50" t="str">
        <f t="shared" si="8"/>
        <v/>
      </c>
      <c r="M33" s="50" t="str">
        <f t="shared" si="8"/>
        <v>NRG</v>
      </c>
      <c r="N33" s="50" t="str">
        <f t="shared" si="8"/>
        <v>NV Energy</v>
      </c>
      <c r="O33" s="50" t="str">
        <f t="shared" si="8"/>
        <v>PG&amp;E</v>
      </c>
      <c r="P33" s="50" t="str">
        <f t="shared" si="8"/>
        <v/>
      </c>
      <c r="Q33" s="50" t="str">
        <f t="shared" si="8"/>
        <v>SCE</v>
      </c>
      <c r="R33" s="50" t="str">
        <f t="shared" si="8"/>
        <v>TVA</v>
      </c>
      <c r="S33" s="14"/>
      <c r="T33" s="14"/>
      <c r="U33" s="14"/>
      <c r="V33" s="14"/>
      <c r="W33" s="14"/>
    </row>
    <row r="34" spans="1:26">
      <c r="A34" s="2" t="s">
        <v>186</v>
      </c>
      <c r="B34" s="50" t="str">
        <f t="shared" ref="B34:R34" si="9">IF(B22&lt;20%,B1,"")</f>
        <v/>
      </c>
      <c r="C34" s="50" t="str">
        <f t="shared" si="9"/>
        <v>APS</v>
      </c>
      <c r="D34" s="50" t="str">
        <f t="shared" si="9"/>
        <v>BC Hydro</v>
      </c>
      <c r="E34" s="50" t="str">
        <f t="shared" si="9"/>
        <v/>
      </c>
      <c r="F34" s="50" t="str">
        <f t="shared" si="9"/>
        <v>DTE</v>
      </c>
      <c r="G34" s="50" t="str">
        <f t="shared" si="9"/>
        <v>Duke</v>
      </c>
      <c r="H34" s="50" t="str">
        <f t="shared" si="9"/>
        <v>EFH</v>
      </c>
      <c r="I34" s="50" t="str">
        <f t="shared" si="9"/>
        <v>FirstEnergy</v>
      </c>
      <c r="J34" s="50" t="str">
        <f t="shared" si="9"/>
        <v>KCP&amp;L</v>
      </c>
      <c r="K34" s="50" t="str">
        <f t="shared" si="9"/>
        <v>LCRA</v>
      </c>
      <c r="L34" s="50" t="str">
        <f t="shared" si="9"/>
        <v>NB Power</v>
      </c>
      <c r="M34" s="50" t="str">
        <f t="shared" si="9"/>
        <v>NRG</v>
      </c>
      <c r="N34" s="50" t="str">
        <f t="shared" si="9"/>
        <v>NV Energy</v>
      </c>
      <c r="O34" s="50" t="str">
        <f t="shared" si="9"/>
        <v/>
      </c>
      <c r="P34" s="50" t="str">
        <f t="shared" si="9"/>
        <v>PSEG</v>
      </c>
      <c r="Q34" s="50" t="str">
        <f t="shared" si="9"/>
        <v/>
      </c>
      <c r="R34" s="50" t="str">
        <f t="shared" si="9"/>
        <v>TVA</v>
      </c>
      <c r="S34" s="14"/>
      <c r="T34" s="14"/>
      <c r="U34" s="14"/>
      <c r="V34" s="14"/>
      <c r="W34" s="14"/>
    </row>
    <row r="35" spans="1:26">
      <c r="A35" s="2" t="s">
        <v>187</v>
      </c>
      <c r="B35" s="50" t="str">
        <f>IF(B8&gt;20%,B1,"")</f>
        <v>Ameren</v>
      </c>
      <c r="C35" s="50" t="str">
        <f t="shared" ref="C35:R35" si="10">IF(C8&gt;20%,C1,"")</f>
        <v>APS</v>
      </c>
      <c r="D35" s="50" t="str">
        <f t="shared" si="10"/>
        <v>BC Hydro</v>
      </c>
      <c r="E35" s="50" t="str">
        <f t="shared" si="10"/>
        <v>ConEd</v>
      </c>
      <c r="F35" s="50" t="str">
        <f t="shared" si="10"/>
        <v>DTE</v>
      </c>
      <c r="G35" s="50" t="str">
        <f t="shared" si="10"/>
        <v>Duke</v>
      </c>
      <c r="H35" s="50" t="str">
        <f t="shared" si="10"/>
        <v/>
      </c>
      <c r="I35" s="50" t="str">
        <f t="shared" si="10"/>
        <v>FirstEnergy</v>
      </c>
      <c r="J35" s="50" t="str">
        <f t="shared" si="10"/>
        <v>KCP&amp;L</v>
      </c>
      <c r="K35" s="50" t="str">
        <f t="shared" si="10"/>
        <v>LCRA</v>
      </c>
      <c r="L35" s="50" t="str">
        <f t="shared" si="10"/>
        <v>NB Power</v>
      </c>
      <c r="M35" s="50" t="str">
        <f t="shared" si="10"/>
        <v/>
      </c>
      <c r="N35" s="50" t="str">
        <f t="shared" si="10"/>
        <v>NV Energy</v>
      </c>
      <c r="O35" s="50" t="str">
        <f t="shared" si="10"/>
        <v>PG&amp;E</v>
      </c>
      <c r="P35" s="50" t="str">
        <f t="shared" si="10"/>
        <v>PSEG</v>
      </c>
      <c r="Q35" s="50" t="str">
        <f t="shared" si="10"/>
        <v>SCE</v>
      </c>
      <c r="R35" s="50" t="str">
        <f t="shared" si="10"/>
        <v>TVA</v>
      </c>
      <c r="S35" s="14"/>
      <c r="T35" s="14"/>
      <c r="U35" s="14"/>
      <c r="V35" s="14"/>
      <c r="W35" s="14"/>
    </row>
    <row r="36" spans="1:26">
      <c r="A36" s="2" t="s">
        <v>189</v>
      </c>
      <c r="B36" s="50" t="str">
        <f>IF(B2&lt;5%,B1,"")</f>
        <v>Ameren</v>
      </c>
      <c r="C36" s="50" t="str">
        <f t="shared" ref="C36:R36" si="11">IF(C2&lt;5%,C1,"")</f>
        <v>APS</v>
      </c>
      <c r="D36" s="50" t="str">
        <f t="shared" si="11"/>
        <v>BC Hydro</v>
      </c>
      <c r="E36" s="50" t="str">
        <f t="shared" si="11"/>
        <v/>
      </c>
      <c r="F36" s="50" t="str">
        <f t="shared" si="11"/>
        <v>DTE</v>
      </c>
      <c r="G36" s="50" t="str">
        <f t="shared" si="11"/>
        <v/>
      </c>
      <c r="H36" s="50" t="str">
        <f t="shared" si="11"/>
        <v>EFH</v>
      </c>
      <c r="I36" s="50" t="str">
        <f t="shared" si="11"/>
        <v/>
      </c>
      <c r="J36" s="50" t="str">
        <f t="shared" si="11"/>
        <v>KCP&amp;L</v>
      </c>
      <c r="K36" s="50" t="str">
        <f t="shared" si="11"/>
        <v>LCRA</v>
      </c>
      <c r="L36" s="50" t="str">
        <f t="shared" si="11"/>
        <v>NB Power</v>
      </c>
      <c r="M36" s="50" t="str">
        <f t="shared" si="11"/>
        <v/>
      </c>
      <c r="N36" s="50" t="str">
        <f t="shared" si="11"/>
        <v>NV Energy</v>
      </c>
      <c r="O36" s="50" t="str">
        <f t="shared" si="11"/>
        <v/>
      </c>
      <c r="P36" s="50" t="str">
        <f t="shared" si="11"/>
        <v/>
      </c>
      <c r="Q36" s="50" t="str">
        <f t="shared" si="11"/>
        <v/>
      </c>
      <c r="R36" s="50" t="str">
        <f t="shared" si="11"/>
        <v/>
      </c>
      <c r="S36" s="14"/>
      <c r="T36" s="14"/>
      <c r="U36" s="14"/>
      <c r="V36" s="14"/>
      <c r="W36" s="14"/>
    </row>
    <row r="37" spans="1:26">
      <c r="A37" s="2" t="s">
        <v>189</v>
      </c>
      <c r="B37" s="50" t="str">
        <f>IF('Base Spend Data'!B2&lt;2500000000,'Similiar Utilities Analysis'!B1,"")</f>
        <v>Ameren</v>
      </c>
      <c r="C37" s="50" t="str">
        <f>IF('Base Spend Data'!C2&lt;2500000000,'Similiar Utilities Analysis'!C1,"")</f>
        <v>APS</v>
      </c>
      <c r="D37" s="50" t="str">
        <f>IF('Base Spend Data'!D2&lt;2500000000,'Similiar Utilities Analysis'!D1,"")</f>
        <v>BC Hydro</v>
      </c>
      <c r="E37" s="50" t="str">
        <f>IF('Base Spend Data'!E2&lt;2500000000,'Similiar Utilities Analysis'!E1,"")</f>
        <v/>
      </c>
      <c r="F37" s="50" t="str">
        <f>IF('Base Spend Data'!F2&lt;2500000000,'Similiar Utilities Analysis'!F1,"")</f>
        <v>DTE</v>
      </c>
      <c r="G37" s="50" t="str">
        <f>IF('Base Spend Data'!G2&lt;2500000000,'Similiar Utilities Analysis'!G1,"")</f>
        <v/>
      </c>
      <c r="H37" s="50" t="str">
        <f>IF('Base Spend Data'!H2&lt;2500000000,'Similiar Utilities Analysis'!H1,"")</f>
        <v>EFH</v>
      </c>
      <c r="I37" s="50" t="str">
        <f>IF('Base Spend Data'!I2&lt;2500000000,'Similiar Utilities Analysis'!I1,"")</f>
        <v/>
      </c>
      <c r="J37" s="50" t="str">
        <f>IF('Base Spend Data'!J2&lt;2500000000,'Similiar Utilities Analysis'!J1,"")</f>
        <v>KCP&amp;L</v>
      </c>
      <c r="K37" s="50" t="str">
        <f>IF('Base Spend Data'!K2&lt;2500000000,'Similiar Utilities Analysis'!K1,"")</f>
        <v>LCRA</v>
      </c>
      <c r="L37" s="50" t="str">
        <f>IF('Base Spend Data'!L2&lt;2500000000,'Similiar Utilities Analysis'!L1,"")</f>
        <v>NB Power</v>
      </c>
      <c r="M37" s="50" t="str">
        <f>IF('Base Spend Data'!M2&lt;2500000000,'Similiar Utilities Analysis'!M1,"")</f>
        <v/>
      </c>
      <c r="N37" s="50" t="str">
        <f>IF('Base Spend Data'!N2&lt;2500000000,'Similiar Utilities Analysis'!N1,"")</f>
        <v>NV Energy</v>
      </c>
      <c r="O37" s="50" t="str">
        <f>IF('Base Spend Data'!O2&lt;2500000000,'Similiar Utilities Analysis'!O1,"")</f>
        <v/>
      </c>
      <c r="P37" s="50" t="str">
        <f>IF('Base Spend Data'!P2&lt;2500000000,'Similiar Utilities Analysis'!P1,"")</f>
        <v/>
      </c>
      <c r="Q37" s="50" t="str">
        <f>IF('Base Spend Data'!Q2&lt;2500000000,'Similiar Utilities Analysis'!Q1,"")</f>
        <v/>
      </c>
      <c r="R37" s="50" t="str">
        <f>IF('Base Spend Data'!R2&lt;2500000000,'Similiar Utilities Analysis'!R1,"")</f>
        <v/>
      </c>
      <c r="S37" s="14"/>
      <c r="T37" s="14"/>
      <c r="U37" s="14"/>
      <c r="V37" s="14"/>
      <c r="W37" s="14"/>
    </row>
    <row r="38" spans="1:26">
      <c r="A38" s="2" t="s">
        <v>191</v>
      </c>
      <c r="B38" s="50" t="str">
        <f>IF(B58&lt;5%,B1,"")</f>
        <v/>
      </c>
      <c r="C38" s="50" t="str">
        <f t="shared" ref="C38:R38" si="12">IF(C58&lt;5%,C1,"")</f>
        <v>APS</v>
      </c>
      <c r="D38" s="50" t="str">
        <f t="shared" si="12"/>
        <v/>
      </c>
      <c r="E38" s="50" t="str">
        <f t="shared" si="12"/>
        <v>ConEd</v>
      </c>
      <c r="F38" s="50" t="str">
        <f t="shared" si="12"/>
        <v/>
      </c>
      <c r="G38" s="50" t="str">
        <f t="shared" si="12"/>
        <v/>
      </c>
      <c r="H38" s="50" t="str">
        <f t="shared" si="12"/>
        <v/>
      </c>
      <c r="I38" s="50" t="str">
        <f t="shared" si="12"/>
        <v/>
      </c>
      <c r="J38" s="50" t="str">
        <f t="shared" si="12"/>
        <v>KCP&amp;L</v>
      </c>
      <c r="K38" s="50" t="str">
        <f t="shared" si="12"/>
        <v>LCRA</v>
      </c>
      <c r="L38" s="50" t="str">
        <f t="shared" si="12"/>
        <v>NB Power</v>
      </c>
      <c r="M38" s="50" t="str">
        <f t="shared" si="12"/>
        <v/>
      </c>
      <c r="N38" s="50" t="str">
        <f t="shared" si="12"/>
        <v>NV Energy</v>
      </c>
      <c r="O38" s="50" t="str">
        <f t="shared" si="12"/>
        <v>PG&amp;E</v>
      </c>
      <c r="P38" s="50" t="str">
        <f t="shared" si="12"/>
        <v>PSEG</v>
      </c>
      <c r="Q38" s="50" t="str">
        <f t="shared" si="12"/>
        <v>SCE</v>
      </c>
      <c r="R38" s="50" t="str">
        <f t="shared" si="12"/>
        <v/>
      </c>
      <c r="S38" s="14"/>
      <c r="T38" s="14"/>
      <c r="U38" s="14"/>
      <c r="V38" s="14"/>
      <c r="W38" s="14"/>
    </row>
    <row r="39" spans="1:26">
      <c r="A39" s="2" t="s">
        <v>192</v>
      </c>
      <c r="B39" s="50" t="str">
        <f>IF('Base Spend Data'!B76&lt;15000,'Similiar Utilities Analysis'!B1,"")</f>
        <v/>
      </c>
      <c r="C39" s="50" t="str">
        <f>IF('Base Spend Data'!C76&lt;15000,'Similiar Utilities Analysis'!C1,"")</f>
        <v>APS</v>
      </c>
      <c r="D39" s="50" t="str">
        <f>IF('Base Spend Data'!D76&lt;15000,'Similiar Utilities Analysis'!D1,"")</f>
        <v>BC Hydro</v>
      </c>
      <c r="E39" s="50" t="str">
        <f>IF('Base Spend Data'!E76&lt;15000,'Similiar Utilities Analysis'!E1,"")</f>
        <v>ConEd</v>
      </c>
      <c r="F39" s="50" t="str">
        <f>IF('Base Spend Data'!F76&lt;15000,'Similiar Utilities Analysis'!F1,"")</f>
        <v>DTE</v>
      </c>
      <c r="G39" s="50" t="str">
        <f>IF('Base Spend Data'!G76&lt;15000,'Similiar Utilities Analysis'!G1,"")</f>
        <v/>
      </c>
      <c r="H39" s="50" t="str">
        <f>IF('Base Spend Data'!H76&lt;15000,'Similiar Utilities Analysis'!H1,"")</f>
        <v/>
      </c>
      <c r="I39" s="50" t="str">
        <f>IF('Base Spend Data'!I76&lt;15000,'Similiar Utilities Analysis'!I1,"")</f>
        <v/>
      </c>
      <c r="J39" s="50" t="str">
        <f>IF('Base Spend Data'!J76&lt;15000,'Similiar Utilities Analysis'!J1,"")</f>
        <v>KCP&amp;L</v>
      </c>
      <c r="K39" s="50" t="str">
        <f>IF('Base Spend Data'!K76&lt;15000,'Similiar Utilities Analysis'!K1,"")</f>
        <v>LCRA</v>
      </c>
      <c r="L39" s="50" t="str">
        <f>IF('Base Spend Data'!L76&lt;15000,'Similiar Utilities Analysis'!L1,"")</f>
        <v>NB Power</v>
      </c>
      <c r="M39" s="50" t="str">
        <f>IF('Base Spend Data'!M76&lt;15000,'Similiar Utilities Analysis'!M1,"")</f>
        <v/>
      </c>
      <c r="N39" s="50" t="str">
        <f>IF('Base Spend Data'!N76&lt;15000,'Similiar Utilities Analysis'!N1,"")</f>
        <v>NV Energy</v>
      </c>
      <c r="O39" s="50" t="str">
        <f>IF('Base Spend Data'!O76&lt;15000,'Similiar Utilities Analysis'!O1,"")</f>
        <v>PG&amp;E</v>
      </c>
      <c r="P39" s="50" t="str">
        <f>IF('Base Spend Data'!P76&lt;15000,'Similiar Utilities Analysis'!P1,"")</f>
        <v>PSEG</v>
      </c>
      <c r="Q39" s="50" t="str">
        <f>IF('Base Spend Data'!Q76&lt;15000,'Similiar Utilities Analysis'!Q1,"")</f>
        <v>SCE</v>
      </c>
      <c r="R39" s="50" t="str">
        <f>IF('Base Spend Data'!R76&lt;15000,'Similiar Utilities Analysis'!R1,"")</f>
        <v/>
      </c>
    </row>
    <row r="40" spans="1:26">
      <c r="S40" s="14"/>
      <c r="T40" s="14"/>
      <c r="U40" s="14"/>
      <c r="V40" s="14"/>
      <c r="W40" s="14"/>
    </row>
    <row r="41" spans="1:26">
      <c r="A41" s="35" t="s">
        <v>141</v>
      </c>
      <c r="B41" s="55" t="e">
        <f>'Base Spend Data'!#REF!</f>
        <v>#REF!</v>
      </c>
      <c r="C41" s="55" t="e">
        <f>'Base Spend Data'!#REF!</f>
        <v>#REF!</v>
      </c>
      <c r="D41" s="55" t="e">
        <f>'Base Spend Data'!#REF!</f>
        <v>#REF!</v>
      </c>
      <c r="E41" s="55" t="e">
        <f>'Base Spend Data'!#REF!</f>
        <v>#REF!</v>
      </c>
      <c r="F41" s="55" t="e">
        <f>'Base Spend Data'!#REF!</f>
        <v>#REF!</v>
      </c>
      <c r="G41" s="55" t="e">
        <f>'Base Spend Data'!#REF!</f>
        <v>#REF!</v>
      </c>
      <c r="H41" s="55" t="e">
        <f>'Base Spend Data'!#REF!</f>
        <v>#REF!</v>
      </c>
      <c r="I41" s="55" t="e">
        <f>'Base Spend Data'!#REF!</f>
        <v>#REF!</v>
      </c>
      <c r="J41" s="55" t="e">
        <f>'Base Spend Data'!#REF!</f>
        <v>#REF!</v>
      </c>
      <c r="K41" s="55" t="e">
        <f>'Base Spend Data'!#REF!</f>
        <v>#REF!</v>
      </c>
      <c r="L41" s="55" t="e">
        <f>'Base Spend Data'!#REF!</f>
        <v>#REF!</v>
      </c>
      <c r="M41" s="55" t="e">
        <f>'Base Spend Data'!#REF!</f>
        <v>#REF!</v>
      </c>
      <c r="N41" s="55" t="e">
        <f>'Base Spend Data'!#REF!</f>
        <v>#REF!</v>
      </c>
      <c r="O41" s="55" t="e">
        <f>'Base Spend Data'!#REF!</f>
        <v>#REF!</v>
      </c>
      <c r="P41" s="55" t="e">
        <f>'Base Spend Data'!#REF!</f>
        <v>#REF!</v>
      </c>
      <c r="Q41" s="55" t="e">
        <f>'Base Spend Data'!#REF!</f>
        <v>#REF!</v>
      </c>
      <c r="R41" s="55" t="e">
        <f>'Base Spend Data'!#REF!</f>
        <v>#REF!</v>
      </c>
      <c r="S41" s="14" t="e">
        <f t="shared" si="0"/>
        <v>#REF!</v>
      </c>
      <c r="T41" s="14" t="e">
        <f t="shared" si="1"/>
        <v>#REF!</v>
      </c>
      <c r="U41" s="14" t="e">
        <f t="shared" si="2"/>
        <v>#REF!</v>
      </c>
      <c r="V41" s="14" t="e">
        <f t="shared" si="3"/>
        <v>#REF!</v>
      </c>
      <c r="W41" s="14" t="e">
        <f t="shared" si="4"/>
        <v>#REF!</v>
      </c>
    </row>
    <row r="42" spans="1:26">
      <c r="A42" t="s">
        <v>82</v>
      </c>
      <c r="B42" s="56">
        <f>Analysis!B10</f>
        <v>502.35845608787884</v>
      </c>
      <c r="C42" s="56">
        <f>Analysis!C10</f>
        <v>1068.1619686404154</v>
      </c>
      <c r="D42" s="56">
        <f>Analysis!D10</f>
        <v>1026.8493986368421</v>
      </c>
      <c r="E42" s="56">
        <f>Analysis!E10</f>
        <v>644.98305741458341</v>
      </c>
      <c r="F42" s="56">
        <f>Analysis!F10</f>
        <v>732.19107708787874</v>
      </c>
      <c r="G42" s="56">
        <f>Analysis!G10</f>
        <v>1114.8694835246754</v>
      </c>
      <c r="H42" s="56">
        <f>Analysis!H10</f>
        <v>1020.8229263600001</v>
      </c>
      <c r="I42" s="56">
        <f>Analysis!I10</f>
        <v>1334.6473870153845</v>
      </c>
      <c r="J42" s="56">
        <f>Analysis!J10</f>
        <v>1637.6317421453693</v>
      </c>
      <c r="K42" s="56">
        <f>Analysis!K10</f>
        <v>381.53689544545455</v>
      </c>
      <c r="L42" s="56">
        <f>Analysis!L10</f>
        <v>3240.0279878099773</v>
      </c>
      <c r="M42" s="56">
        <f>Analysis!M10</f>
        <v>2572.459172841629</v>
      </c>
      <c r="N42" s="56">
        <f>Analysis!N10</f>
        <v>447.16507884702338</v>
      </c>
      <c r="O42" s="56">
        <f>Analysis!O10</f>
        <v>572.42795183829787</v>
      </c>
      <c r="P42" s="56">
        <f>Analysis!P10</f>
        <v>811.61317098749998</v>
      </c>
      <c r="Q42" s="56">
        <f>Analysis!Q10</f>
        <v>756.87779833800005</v>
      </c>
      <c r="R42" s="56">
        <f>Analysis!R10</f>
        <v>369.93703735222221</v>
      </c>
      <c r="S42" s="5">
        <f t="shared" si="0"/>
        <v>18234.56059037313</v>
      </c>
      <c r="T42" s="5">
        <f t="shared" si="1"/>
        <v>369.93703735222221</v>
      </c>
      <c r="U42" s="5">
        <f t="shared" si="2"/>
        <v>3240.0279878099773</v>
      </c>
      <c r="V42" s="5">
        <f t="shared" si="3"/>
        <v>811.61317098749998</v>
      </c>
      <c r="W42" s="5">
        <f t="shared" si="4"/>
        <v>1072.6212111984194</v>
      </c>
    </row>
    <row r="43" spans="1:26">
      <c r="B43" s="37" t="e">
        <f>IF(AND(B44&gt;=0,B45&lt;=0),1,IF(AND(B44&lt;=0,B45&lt;0),3,IF(AND(B44&gt;=0,B45&gt;0),2,IF(AND(B44&lt;0,B45&gt;0),4))))</f>
        <v>#REF!</v>
      </c>
      <c r="C43" s="37" t="e">
        <f t="shared" ref="C43:R43" si="13">IF(AND(C44&gt;=0,C45&lt;=0),1,IF(AND(C44&lt;=0,C45&lt;0),3,IF(AND(C44&gt;=0,C45&gt;0),2,IF(AND(C44&lt;0,C45&gt;0),4))))</f>
        <v>#REF!</v>
      </c>
      <c r="D43" s="37" t="e">
        <f t="shared" si="13"/>
        <v>#REF!</v>
      </c>
      <c r="E43" s="37" t="e">
        <f t="shared" si="13"/>
        <v>#REF!</v>
      </c>
      <c r="F43" s="37" t="e">
        <f>IF(AND(F44&gt;0,F45&lt;=0),1,IF(AND(F44&lt;=0,F45&lt;0),3,IF(AND(F44&gt;=0,F45&gt;0),2,IF(AND(F44&lt;0,F45&gt;0),4))))</f>
        <v>#REF!</v>
      </c>
      <c r="G43" s="37" t="e">
        <f t="shared" si="13"/>
        <v>#REF!</v>
      </c>
      <c r="H43" s="37" t="e">
        <f t="shared" si="13"/>
        <v>#REF!</v>
      </c>
      <c r="I43" s="37" t="e">
        <f t="shared" si="13"/>
        <v>#REF!</v>
      </c>
      <c r="J43" s="37" t="e">
        <f t="shared" si="13"/>
        <v>#REF!</v>
      </c>
      <c r="K43" s="37" t="e">
        <f t="shared" si="13"/>
        <v>#REF!</v>
      </c>
      <c r="L43" s="37" t="e">
        <f t="shared" si="13"/>
        <v>#REF!</v>
      </c>
      <c r="M43" s="37" t="e">
        <f t="shared" si="13"/>
        <v>#REF!</v>
      </c>
      <c r="N43" s="37" t="e">
        <f t="shared" si="13"/>
        <v>#REF!</v>
      </c>
      <c r="O43" s="37" t="e">
        <f t="shared" si="13"/>
        <v>#REF!</v>
      </c>
      <c r="P43" s="37" t="e">
        <f>IF(AND(P44&gt;=0,P45&lt;=0),1,IF(AND(P44&lt;=0,P45&lt;0),3,IF(AND(P44&gt;=0,P45&gt;0),2,IF(AND(P44&lt;0,P45&gt;=0),4))))</f>
        <v>#REF!</v>
      </c>
      <c r="Q43" s="37" t="e">
        <f t="shared" si="13"/>
        <v>#REF!</v>
      </c>
      <c r="R43" s="37" t="e">
        <f t="shared" si="13"/>
        <v>#REF!</v>
      </c>
      <c r="S43" s="31" t="e">
        <f>COUNTIF($B43:$R43,"1")/COUNT($B43:$R43)</f>
        <v>#DIV/0!</v>
      </c>
      <c r="T43" s="31" t="e">
        <f>COUNTIF($B43:$R43,"2")/COUNT($B43:$R43)</f>
        <v>#DIV/0!</v>
      </c>
      <c r="U43" s="31" t="e">
        <f>COUNTIF($B43:$R43,"3")/COUNT($B43:$R43)</f>
        <v>#DIV/0!</v>
      </c>
      <c r="V43" s="31" t="e">
        <f>COUNTIF($B43:$R43,"4")/COUNT($B43:$R43)</f>
        <v>#DIV/0!</v>
      </c>
    </row>
    <row r="44" spans="1:26">
      <c r="A44" s="35" t="s">
        <v>141</v>
      </c>
      <c r="B44" s="55" t="e">
        <f>B41-$V41</f>
        <v>#REF!</v>
      </c>
      <c r="C44" s="55" t="e">
        <f t="shared" ref="C44:R44" si="14">C41-$V41</f>
        <v>#REF!</v>
      </c>
      <c r="D44" s="55" t="e">
        <f t="shared" si="14"/>
        <v>#REF!</v>
      </c>
      <c r="E44" s="55" t="e">
        <f t="shared" si="14"/>
        <v>#REF!</v>
      </c>
      <c r="F44" s="55" t="e">
        <f t="shared" si="14"/>
        <v>#REF!</v>
      </c>
      <c r="G44" s="55" t="e">
        <f t="shared" si="14"/>
        <v>#REF!</v>
      </c>
      <c r="H44" s="55" t="e">
        <f t="shared" si="14"/>
        <v>#REF!</v>
      </c>
      <c r="I44" s="55" t="e">
        <f t="shared" si="14"/>
        <v>#REF!</v>
      </c>
      <c r="J44" s="55" t="e">
        <f t="shared" si="14"/>
        <v>#REF!</v>
      </c>
      <c r="K44" s="55" t="e">
        <f t="shared" si="14"/>
        <v>#REF!</v>
      </c>
      <c r="L44" s="55" t="e">
        <f t="shared" si="14"/>
        <v>#REF!</v>
      </c>
      <c r="M44" s="55" t="e">
        <f t="shared" si="14"/>
        <v>#REF!</v>
      </c>
      <c r="N44" s="55" t="e">
        <f t="shared" si="14"/>
        <v>#REF!</v>
      </c>
      <c r="O44" s="55" t="e">
        <f t="shared" si="14"/>
        <v>#REF!</v>
      </c>
      <c r="P44" s="55" t="e">
        <f t="shared" si="14"/>
        <v>#REF!</v>
      </c>
      <c r="Q44" s="55" t="e">
        <f t="shared" si="14"/>
        <v>#REF!</v>
      </c>
      <c r="R44" s="55" t="e">
        <f t="shared" si="14"/>
        <v>#REF!</v>
      </c>
    </row>
    <row r="45" spans="1:26">
      <c r="A45" t="s">
        <v>82</v>
      </c>
      <c r="B45" s="56">
        <f>B42-$V42</f>
        <v>-309.25471489962115</v>
      </c>
      <c r="C45" s="56">
        <f t="shared" ref="C45:R45" si="15">C42-$V42</f>
        <v>256.54879765291537</v>
      </c>
      <c r="D45" s="56">
        <f t="shared" si="15"/>
        <v>215.23622764934214</v>
      </c>
      <c r="E45" s="56">
        <f t="shared" si="15"/>
        <v>-166.63011357291657</v>
      </c>
      <c r="F45" s="56">
        <f t="shared" si="15"/>
        <v>-79.422093899621245</v>
      </c>
      <c r="G45" s="56">
        <f t="shared" si="15"/>
        <v>303.2563125371754</v>
      </c>
      <c r="H45" s="56">
        <f t="shared" si="15"/>
        <v>209.20975537250013</v>
      </c>
      <c r="I45" s="56">
        <f t="shared" si="15"/>
        <v>523.03421602788455</v>
      </c>
      <c r="J45" s="56">
        <f t="shared" si="15"/>
        <v>826.01857115786936</v>
      </c>
      <c r="K45" s="56">
        <f t="shared" si="15"/>
        <v>-430.07627554204544</v>
      </c>
      <c r="L45" s="56">
        <f t="shared" si="15"/>
        <v>2428.4148168224774</v>
      </c>
      <c r="M45" s="56">
        <f t="shared" si="15"/>
        <v>1760.8460018541291</v>
      </c>
      <c r="N45" s="56">
        <f t="shared" si="15"/>
        <v>-364.4480921404766</v>
      </c>
      <c r="O45" s="56">
        <f t="shared" si="15"/>
        <v>-239.18521914920211</v>
      </c>
      <c r="P45" s="56">
        <f t="shared" si="15"/>
        <v>0</v>
      </c>
      <c r="Q45" s="56">
        <f t="shared" si="15"/>
        <v>-54.735372649499936</v>
      </c>
      <c r="R45" s="56">
        <f t="shared" si="15"/>
        <v>-441.67613363527778</v>
      </c>
      <c r="U45" s="14"/>
      <c r="V45" s="14"/>
      <c r="W45" s="14"/>
      <c r="X45" s="14"/>
      <c r="Y45" s="14"/>
      <c r="Z45" s="14"/>
    </row>
    <row r="46" spans="1:26">
      <c r="U46" s="14"/>
      <c r="V46" s="14"/>
      <c r="W46" s="14"/>
      <c r="X46" s="14"/>
      <c r="Y46" s="14"/>
      <c r="Z46" s="14"/>
    </row>
    <row r="47" spans="1:26">
      <c r="A47" t="s">
        <v>29</v>
      </c>
      <c r="B47" s="50" t="str">
        <f>IF(AND(B14&gt;1.5%,B14&lt;30%),B1,"")</f>
        <v>Ameren</v>
      </c>
      <c r="C47" s="50" t="str">
        <f t="shared" ref="C47:R47" si="16">IF(AND(C14&gt;1.5%,C14&lt;30%),C1,"")</f>
        <v>APS</v>
      </c>
      <c r="D47" s="50" t="str">
        <f t="shared" si="16"/>
        <v/>
      </c>
      <c r="E47" s="50" t="str">
        <f t="shared" si="16"/>
        <v/>
      </c>
      <c r="F47" s="50" t="str">
        <f t="shared" si="16"/>
        <v>DTE</v>
      </c>
      <c r="G47" s="50" t="str">
        <f t="shared" si="16"/>
        <v>Duke</v>
      </c>
      <c r="H47" s="50" t="str">
        <f t="shared" si="16"/>
        <v>EFH</v>
      </c>
      <c r="I47" s="50" t="str">
        <f t="shared" si="16"/>
        <v>FirstEnergy</v>
      </c>
      <c r="J47" s="50" t="str">
        <f t="shared" si="16"/>
        <v>KCP&amp;L</v>
      </c>
      <c r="K47" s="50" t="str">
        <f t="shared" si="16"/>
        <v/>
      </c>
      <c r="L47" s="50" t="str">
        <f t="shared" si="16"/>
        <v/>
      </c>
      <c r="M47" s="50" t="str">
        <f t="shared" si="16"/>
        <v>NRG</v>
      </c>
      <c r="N47" s="50" t="str">
        <f t="shared" si="16"/>
        <v>NV Energy</v>
      </c>
      <c r="O47" s="50" t="str">
        <f t="shared" si="16"/>
        <v/>
      </c>
      <c r="P47" s="50" t="str">
        <f t="shared" si="16"/>
        <v/>
      </c>
      <c r="Q47" s="50" t="str">
        <f t="shared" si="16"/>
        <v/>
      </c>
      <c r="R47" s="50" t="str">
        <f t="shared" si="16"/>
        <v>TVA</v>
      </c>
    </row>
    <row r="48" spans="1:26">
      <c r="A48" t="s">
        <v>5</v>
      </c>
      <c r="B48" s="50" t="str">
        <f>IF(B20&gt;3%,B1,"")</f>
        <v/>
      </c>
      <c r="C48" s="50" t="str">
        <f>IF(C20&gt;3%,C1,"")</f>
        <v>APS</v>
      </c>
      <c r="D48" s="50" t="str">
        <f t="shared" ref="D48:R48" si="17">IF(D20&gt;3%,D1,"")</f>
        <v/>
      </c>
      <c r="E48" s="50" t="str">
        <f t="shared" si="17"/>
        <v/>
      </c>
      <c r="F48" s="50" t="str">
        <f t="shared" si="17"/>
        <v>DTE</v>
      </c>
      <c r="G48" s="50" t="str">
        <f t="shared" si="17"/>
        <v>Duke</v>
      </c>
      <c r="H48" s="50" t="str">
        <f t="shared" si="17"/>
        <v>EFH</v>
      </c>
      <c r="I48" s="50" t="str">
        <f t="shared" si="17"/>
        <v>FirstEnergy</v>
      </c>
      <c r="J48" s="50" t="str">
        <f t="shared" si="17"/>
        <v/>
      </c>
      <c r="K48" s="50" t="str">
        <f t="shared" si="17"/>
        <v/>
      </c>
      <c r="L48" s="50" t="str">
        <f t="shared" si="17"/>
        <v/>
      </c>
      <c r="M48" s="50" t="str">
        <f t="shared" si="17"/>
        <v/>
      </c>
      <c r="N48" s="50" t="str">
        <f t="shared" si="17"/>
        <v/>
      </c>
      <c r="O48" s="50" t="str">
        <f t="shared" si="17"/>
        <v/>
      </c>
      <c r="P48" s="50" t="str">
        <f t="shared" si="17"/>
        <v>PSEG</v>
      </c>
      <c r="Q48" s="50" t="str">
        <f t="shared" si="17"/>
        <v>SCE</v>
      </c>
      <c r="R48" s="50" t="str">
        <f t="shared" si="17"/>
        <v>TVA</v>
      </c>
    </row>
    <row r="49" spans="1:33">
      <c r="A49" t="s">
        <v>190</v>
      </c>
      <c r="B49" s="50" t="str">
        <f>IF(B22&lt;15%,B1,"")</f>
        <v/>
      </c>
      <c r="C49" s="50" t="str">
        <f t="shared" ref="C49:R49" si="18">IF(C22&lt;15%,C1,"")</f>
        <v>APS</v>
      </c>
      <c r="D49" s="50" t="str">
        <f t="shared" si="18"/>
        <v/>
      </c>
      <c r="E49" s="50" t="str">
        <f t="shared" si="18"/>
        <v/>
      </c>
      <c r="F49" s="50" t="str">
        <f t="shared" si="18"/>
        <v>DTE</v>
      </c>
      <c r="G49" s="50" t="str">
        <f t="shared" si="18"/>
        <v>Duke</v>
      </c>
      <c r="H49" s="50" t="str">
        <f t="shared" si="18"/>
        <v>EFH</v>
      </c>
      <c r="I49" s="50" t="str">
        <f t="shared" si="18"/>
        <v/>
      </c>
      <c r="J49" s="50" t="str">
        <f t="shared" si="18"/>
        <v>KCP&amp;L</v>
      </c>
      <c r="K49" s="50" t="str">
        <f t="shared" si="18"/>
        <v>LCRA</v>
      </c>
      <c r="L49" s="50" t="str">
        <f t="shared" si="18"/>
        <v>NB Power</v>
      </c>
      <c r="M49" s="50" t="str">
        <f t="shared" si="18"/>
        <v>NRG</v>
      </c>
      <c r="N49" s="50" t="str">
        <f t="shared" si="18"/>
        <v>NV Energy</v>
      </c>
      <c r="O49" s="50" t="str">
        <f t="shared" si="18"/>
        <v/>
      </c>
      <c r="P49" s="50" t="str">
        <f t="shared" si="18"/>
        <v/>
      </c>
      <c r="Q49" s="50" t="str">
        <f t="shared" si="18"/>
        <v/>
      </c>
      <c r="R49" s="50" t="str">
        <f t="shared" si="18"/>
        <v>TVA</v>
      </c>
      <c r="AC49" s="14"/>
      <c r="AD49" s="14"/>
      <c r="AE49" s="14"/>
      <c r="AF49" s="14"/>
      <c r="AG49" s="14"/>
    </row>
    <row r="50" spans="1:33">
      <c r="A50" t="s">
        <v>10</v>
      </c>
      <c r="B50" s="50" t="str">
        <f>IF(B23&gt;3%,B1,"")</f>
        <v>Ameren</v>
      </c>
      <c r="C50" s="50" t="str">
        <f t="shared" ref="C50:R50" si="19">IF(C23&gt;3%,C1,"")</f>
        <v>APS</v>
      </c>
      <c r="D50" s="50" t="str">
        <f t="shared" si="19"/>
        <v/>
      </c>
      <c r="E50" s="50" t="str">
        <f t="shared" si="19"/>
        <v/>
      </c>
      <c r="F50" s="50" t="str">
        <f t="shared" si="19"/>
        <v>DTE</v>
      </c>
      <c r="G50" s="50" t="str">
        <f t="shared" si="19"/>
        <v>Duke</v>
      </c>
      <c r="H50" s="50" t="str">
        <f t="shared" si="19"/>
        <v/>
      </c>
      <c r="I50" s="50" t="str">
        <f t="shared" si="19"/>
        <v/>
      </c>
      <c r="J50" s="50" t="str">
        <f t="shared" si="19"/>
        <v/>
      </c>
      <c r="K50" s="50" t="str">
        <f t="shared" si="19"/>
        <v/>
      </c>
      <c r="L50" s="50" t="str">
        <f t="shared" si="19"/>
        <v/>
      </c>
      <c r="M50" s="50" t="str">
        <f t="shared" si="19"/>
        <v>NRG</v>
      </c>
      <c r="N50" s="50" t="str">
        <f t="shared" si="19"/>
        <v>NV Energy</v>
      </c>
      <c r="O50" s="50" t="str">
        <f t="shared" si="19"/>
        <v/>
      </c>
      <c r="P50" s="50" t="str">
        <f t="shared" si="19"/>
        <v/>
      </c>
      <c r="Q50" s="50" t="str">
        <f t="shared" si="19"/>
        <v/>
      </c>
      <c r="R50" s="50" t="str">
        <f t="shared" si="19"/>
        <v/>
      </c>
      <c r="AC50" s="14"/>
      <c r="AD50" s="14"/>
      <c r="AE50" s="14"/>
      <c r="AF50" s="14"/>
      <c r="AG50" s="14"/>
    </row>
    <row r="52" spans="1:33">
      <c r="A52" s="2" t="s">
        <v>61</v>
      </c>
      <c r="B52" s="53">
        <f>'Base Spend Data'!B70/'Base Spend Data'!$S70</f>
        <v>0.1147593837309993</v>
      </c>
      <c r="C52" s="53">
        <f>'Base Spend Data'!C70/'Base Spend Data'!$S70</f>
        <v>2.0988219372685576E-2</v>
      </c>
      <c r="D52" s="53">
        <f>'Base Spend Data'!D70/'Base Spend Data'!$S70</f>
        <v>0</v>
      </c>
      <c r="E52" s="53">
        <f>'Base Spend Data'!E70/'Base Spend Data'!$S70</f>
        <v>0</v>
      </c>
      <c r="F52" s="53">
        <f>'Base Spend Data'!F70/'Base Spend Data'!$S70</f>
        <v>8.7409450816440651E-2</v>
      </c>
      <c r="G52" s="53">
        <f>'Base Spend Data'!G70/'Base Spend Data'!$S70</f>
        <v>0.25475431476055699</v>
      </c>
      <c r="H52" s="53">
        <f>'Base Spend Data'!H70/'Base Spend Data'!$S70</f>
        <v>0</v>
      </c>
      <c r="I52" s="53">
        <f>'Base Spend Data'!I70/'Base Spend Data'!$S70</f>
        <v>0.17710604408280309</v>
      </c>
      <c r="J52" s="53">
        <f>'Base Spend Data'!J70/'Base Spend Data'!$S70</f>
        <v>3.304216882975862E-2</v>
      </c>
      <c r="K52" s="53">
        <f>'Base Spend Data'!K70/'Base Spend Data'!$S70</f>
        <v>1.4197666621452186E-2</v>
      </c>
      <c r="L52" s="53">
        <f>'Base Spend Data'!L70/'Base Spend Data'!$S70</f>
        <v>5.8663096757834311E-3</v>
      </c>
      <c r="M52" s="53">
        <f>'Base Spend Data'!M70/'Base Spend Data'!$S70</f>
        <v>9.2391025216631451E-2</v>
      </c>
      <c r="N52" s="53">
        <f>'Base Spend Data'!N70/'Base Spend Data'!$S70</f>
        <v>1.0719543586740751E-2</v>
      </c>
      <c r="O52" s="53">
        <f>'Base Spend Data'!O70/'Base Spend Data'!$S70</f>
        <v>0</v>
      </c>
      <c r="P52" s="53">
        <f>'Base Spend Data'!P70/'Base Spend Data'!$S70</f>
        <v>0</v>
      </c>
      <c r="Q52" s="53">
        <f>'Base Spend Data'!Q70/'Base Spend Data'!$S70</f>
        <v>8.8497471680390044E-3</v>
      </c>
      <c r="R52" s="53">
        <f>'Base Spend Data'!R70/'Base Spend Data'!$S70</f>
        <v>0.17991612613810898</v>
      </c>
    </row>
    <row r="53" spans="1:33">
      <c r="A53" s="2" t="s">
        <v>62</v>
      </c>
      <c r="B53" s="53">
        <f>'Base Spend Data'!B71/'Base Spend Data'!$S71</f>
        <v>4.5372997138939788E-2</v>
      </c>
      <c r="C53" s="53">
        <f>'Base Spend Data'!C71/'Base Spend Data'!$S71</f>
        <v>4.1921356154975123E-2</v>
      </c>
      <c r="D53" s="53">
        <f>'Base Spend Data'!D71/'Base Spend Data'!$S71</f>
        <v>0</v>
      </c>
      <c r="E53" s="53">
        <f>'Base Spend Data'!E71/'Base Spend Data'!$S71</f>
        <v>0</v>
      </c>
      <c r="F53" s="53">
        <f>'Base Spend Data'!F71/'Base Spend Data'!$S71</f>
        <v>4.0982061931945618E-2</v>
      </c>
      <c r="G53" s="53">
        <f>'Base Spend Data'!G71/'Base Spend Data'!$S71</f>
        <v>0.26771678321550374</v>
      </c>
      <c r="H53" s="53">
        <f>'Base Spend Data'!H71/'Base Spend Data'!$S71</f>
        <v>0</v>
      </c>
      <c r="I53" s="53">
        <f>'Base Spend Data'!I71/'Base Spend Data'!$S71</f>
        <v>9.9638003983310047E-2</v>
      </c>
      <c r="J53" s="53">
        <f>'Base Spend Data'!J71/'Base Spend Data'!$S71</f>
        <v>2.0723384620676251E-2</v>
      </c>
      <c r="K53" s="53">
        <f>'Base Spend Data'!K71/'Base Spend Data'!$S71</f>
        <v>0</v>
      </c>
      <c r="L53" s="53">
        <f>'Base Spend Data'!L71/'Base Spend Data'!$S71</f>
        <v>2.3235365470344167E-2</v>
      </c>
      <c r="M53" s="53">
        <f>'Base Spend Data'!M71/'Base Spend Data'!$S71</f>
        <v>4.121624514298531E-2</v>
      </c>
      <c r="N53" s="53">
        <f>'Base Spend Data'!N71/'Base Spend Data'!$S71</f>
        <v>0</v>
      </c>
      <c r="O53" s="53">
        <f>'Base Spend Data'!O71/'Base Spend Data'!$S71</f>
        <v>8.1964123863891236E-2</v>
      </c>
      <c r="P53" s="53">
        <f>'Base Spend Data'!P71/'Base Spend Data'!$S71</f>
        <v>0</v>
      </c>
      <c r="Q53" s="53">
        <f>'Base Spend Data'!Q71/'Base Spend Data'!$S71</f>
        <v>8.4289855878529149E-2</v>
      </c>
      <c r="R53" s="53">
        <f>'Base Spend Data'!R71/'Base Spend Data'!$S71</f>
        <v>0.25293982259889936</v>
      </c>
    </row>
    <row r="54" spans="1:33">
      <c r="A54" s="2" t="s">
        <v>63</v>
      </c>
      <c r="B54" s="53">
        <f>'Base Spend Data'!B72/'Base Spend Data'!$S72</f>
        <v>7.0493894853095415E-2</v>
      </c>
      <c r="C54" s="53">
        <f>'Base Spend Data'!C72/'Base Spend Data'!$S72</f>
        <v>5.4425964825620725E-2</v>
      </c>
      <c r="D54" s="53">
        <f>'Base Spend Data'!D72/'Base Spend Data'!$S72</f>
        <v>1.6125392798528829E-2</v>
      </c>
      <c r="E54" s="53">
        <f>'Base Spend Data'!E72/'Base Spend Data'!$S72</f>
        <v>5.5313756852123988E-3</v>
      </c>
      <c r="F54" s="53">
        <f>'Base Spend Data'!F72/'Base Spend Data'!$S72</f>
        <v>3.423301760992558E-2</v>
      </c>
      <c r="G54" s="53">
        <f>'Base Spend Data'!G72/'Base Spend Data'!$S72</f>
        <v>0.2644838496132319</v>
      </c>
      <c r="H54" s="53">
        <f>'Base Spend Data'!H72/'Base Spend Data'!$S72</f>
        <v>0</v>
      </c>
      <c r="I54" s="53">
        <f>'Base Spend Data'!I72/'Base Spend Data'!$S72</f>
        <v>2.2533503987900737E-2</v>
      </c>
      <c r="J54" s="53">
        <f>'Base Spend Data'!J72/'Base Spend Data'!$S72</f>
        <v>1.4575922413735376E-2</v>
      </c>
      <c r="K54" s="53">
        <f>'Base Spend Data'!K72/'Base Spend Data'!$S72</f>
        <v>2.6753669558544205E-2</v>
      </c>
      <c r="L54" s="53">
        <f>'Base Spend Data'!L72/'Base Spend Data'!$S72</f>
        <v>0</v>
      </c>
      <c r="M54" s="53">
        <f>'Base Spend Data'!M72/'Base Spend Data'!$S72</f>
        <v>0.19762568190322924</v>
      </c>
      <c r="N54" s="53">
        <f>'Base Spend Data'!N72/'Base Spend Data'!$S72</f>
        <v>8.4769578181214528E-2</v>
      </c>
      <c r="O54" s="53">
        <f>'Base Spend Data'!O72/'Base Spend Data'!$S72</f>
        <v>2.2141075307530938E-2</v>
      </c>
      <c r="P54" s="53">
        <f>'Base Spend Data'!P72/'Base Spend Data'!$S72</f>
        <v>0</v>
      </c>
      <c r="Q54" s="53">
        <f>'Base Spend Data'!Q72/'Base Spend Data'!$S72</f>
        <v>2.0057465885567484E-2</v>
      </c>
      <c r="R54" s="53">
        <f>'Base Spend Data'!R72/'Base Spend Data'!$S72</f>
        <v>0.16624960737666253</v>
      </c>
    </row>
    <row r="55" spans="1:33">
      <c r="A55" s="2" t="s">
        <v>64</v>
      </c>
      <c r="B55" s="53">
        <f>'Base Spend Data'!B73/'Base Spend Data'!$S73</f>
        <v>4.4165589968987236E-2</v>
      </c>
      <c r="C55" s="53">
        <f>'Base Spend Data'!C73/'Base Spend Data'!$S73</f>
        <v>1.8402329153744683E-3</v>
      </c>
      <c r="D55" s="53">
        <f>'Base Spend Data'!D73/'Base Spend Data'!$S73</f>
        <v>1.7482212696057448E-2</v>
      </c>
      <c r="E55" s="53">
        <f>'Base Spend Data'!E73/'Base Spend Data'!$S73</f>
        <v>4.2160704634868741E-2</v>
      </c>
      <c r="F55" s="53">
        <f>'Base Spend Data'!F73/'Base Spend Data'!$S73</f>
        <v>3.1225846942985712E-2</v>
      </c>
      <c r="G55" s="53">
        <f>'Base Spend Data'!G73/'Base Spend Data'!$S73</f>
        <v>0.1905987343071717</v>
      </c>
      <c r="H55" s="53">
        <f>'Base Spend Data'!H73/'Base Spend Data'!$S73</f>
        <v>0</v>
      </c>
      <c r="I55" s="53">
        <f>'Base Spend Data'!I73/'Base Spend Data'!$S73</f>
        <v>2.0533125161020384E-2</v>
      </c>
      <c r="J55" s="53">
        <f>'Base Spend Data'!J73/'Base Spend Data'!$S73</f>
        <v>5.0557977990814337E-2</v>
      </c>
      <c r="K55" s="53">
        <f>'Base Spend Data'!K73/'Base Spend Data'!$S73</f>
        <v>1.9758290249283765E-2</v>
      </c>
      <c r="L55" s="53">
        <f>'Base Spend Data'!L73/'Base Spend Data'!$S73</f>
        <v>0.20746204761747952</v>
      </c>
      <c r="M55" s="53">
        <f>'Base Spend Data'!M73/'Base Spend Data'!$S73</f>
        <v>0.36957688202557348</v>
      </c>
      <c r="N55" s="53">
        <f>'Base Spend Data'!N73/'Base Spend Data'!$S73</f>
        <v>1.1041397492246811E-3</v>
      </c>
      <c r="O55" s="53">
        <f>'Base Spend Data'!O73/'Base Spend Data'!$S73</f>
        <v>5.7144074740575593E-5</v>
      </c>
      <c r="P55" s="53">
        <f>'Base Spend Data'!P73/'Base Spend Data'!$S73</f>
        <v>0</v>
      </c>
      <c r="Q55" s="53">
        <f>'Base Spend Data'!Q73/'Base Spend Data'!$S73</f>
        <v>9.007455848938187E-4</v>
      </c>
      <c r="R55" s="53">
        <f>'Base Spend Data'!R73/'Base Spend Data'!$S73</f>
        <v>2.5763260815242555E-3</v>
      </c>
    </row>
    <row r="56" spans="1:33">
      <c r="A56" s="2" t="s">
        <v>65</v>
      </c>
      <c r="B56" s="53">
        <f>'Base Spend Data'!B74/'Base Spend Data'!$S74</f>
        <v>2.7644904539941045E-2</v>
      </c>
      <c r="C56" s="53">
        <f>'Base Spend Data'!C74/'Base Spend Data'!$S74</f>
        <v>0</v>
      </c>
      <c r="D56" s="53">
        <f>'Base Spend Data'!D74/'Base Spend Data'!$S74</f>
        <v>0.37138658894931664</v>
      </c>
      <c r="E56" s="53">
        <f>'Base Spend Data'!E74/'Base Spend Data'!$S74</f>
        <v>0</v>
      </c>
      <c r="F56" s="53">
        <f>'Base Spend Data'!F74/'Base Spend Data'!$S74</f>
        <v>3.062574642076947E-2</v>
      </c>
      <c r="G56" s="53">
        <f>'Base Spend Data'!G74/'Base Spend Data'!$S74</f>
        <v>0.11476474954150524</v>
      </c>
      <c r="H56" s="53">
        <f>'Base Spend Data'!H74/'Base Spend Data'!$S74</f>
        <v>0</v>
      </c>
      <c r="I56" s="53">
        <f>'Base Spend Data'!I74/'Base Spend Data'!$S74</f>
        <v>6.5633610861910024E-2</v>
      </c>
      <c r="J56" s="53">
        <f>'Base Spend Data'!J74/'Base Spend Data'!$S74</f>
        <v>0</v>
      </c>
      <c r="K56" s="53">
        <f>'Base Spend Data'!K74/'Base Spend Data'!$S74</f>
        <v>1.0012931004261254E-2</v>
      </c>
      <c r="L56" s="53">
        <f>'Base Spend Data'!L74/'Base Spend Data'!$S74</f>
        <v>2.9775031242414759E-2</v>
      </c>
      <c r="M56" s="53">
        <f>'Base Spend Data'!M74/'Base Spend Data'!$S74</f>
        <v>0</v>
      </c>
      <c r="N56" s="53">
        <f>'Base Spend Data'!N74/'Base Spend Data'!$S74</f>
        <v>2.5040674402120511E-4</v>
      </c>
      <c r="O56" s="53">
        <f>'Base Spend Data'!O74/'Base Spend Data'!$S74</f>
        <v>0.12805500401151604</v>
      </c>
      <c r="P56" s="53">
        <f>'Base Spend Data'!P74/'Base Spend Data'!$S74</f>
        <v>0</v>
      </c>
      <c r="Q56" s="53">
        <f>'Base Spend Data'!Q74/'Base Spend Data'!$S74</f>
        <v>3.8025766520084124E-2</v>
      </c>
      <c r="R56" s="53">
        <f>'Base Spend Data'!R74/'Base Spend Data'!$S74</f>
        <v>0.18382526016426015</v>
      </c>
    </row>
    <row r="57" spans="1:33">
      <c r="A57" s="2" t="s">
        <v>66</v>
      </c>
      <c r="B57" s="53">
        <f>'Base Spend Data'!B75/'Base Spend Data'!$S75</f>
        <v>4.2483760736385188E-3</v>
      </c>
      <c r="C57" s="53">
        <f>'Base Spend Data'!C75/'Base Spend Data'!$S75</f>
        <v>2.4086445217498385E-2</v>
      </c>
      <c r="D57" s="53">
        <f>'Base Spend Data'!D75/'Base Spend Data'!$S75</f>
        <v>0</v>
      </c>
      <c r="E57" s="53">
        <f>'Base Spend Data'!E75/'Base Spend Data'!$S75</f>
        <v>2.4692916294677215E-2</v>
      </c>
      <c r="F57" s="53">
        <f>'Base Spend Data'!F75/'Base Spend Data'!$S75</f>
        <v>0.10579072130037251</v>
      </c>
      <c r="G57" s="53">
        <f>'Base Spend Data'!G75/'Base Spend Data'!$S75</f>
        <v>0.51951790167164369</v>
      </c>
      <c r="H57" s="53">
        <f>'Base Spend Data'!H75/'Base Spend Data'!$S75</f>
        <v>0</v>
      </c>
      <c r="I57" s="53">
        <f>'Base Spend Data'!I75/'Base Spend Data'!$S75</f>
        <v>3.078533386694579E-4</v>
      </c>
      <c r="J57" s="53">
        <f>'Base Spend Data'!J75/'Base Spend Data'!$S75</f>
        <v>4.5562294123079772E-2</v>
      </c>
      <c r="K57" s="53">
        <f>'Base Spend Data'!K75/'Base Spend Data'!$S75</f>
        <v>0</v>
      </c>
      <c r="L57" s="53">
        <f>'Base Spend Data'!L75/'Base Spend Data'!$S75</f>
        <v>0</v>
      </c>
      <c r="M57" s="53">
        <f>'Base Spend Data'!M75/'Base Spend Data'!$S75</f>
        <v>0.21339162023212144</v>
      </c>
      <c r="N57" s="53">
        <f>'Base Spend Data'!N75/'Base Spend Data'!$S75</f>
        <v>7.6963334667364474E-5</v>
      </c>
      <c r="O57" s="53">
        <f>'Base Spend Data'!O75/'Base Spend Data'!$S75</f>
        <v>3.15734384139396E-2</v>
      </c>
      <c r="P57" s="53">
        <f>'Base Spend Data'!P75/'Base Spend Data'!$S75</f>
        <v>9.0170242896284222E-3</v>
      </c>
      <c r="Q57" s="53">
        <f>'Base Spend Data'!Q75/'Base Spend Data'!$S75</f>
        <v>2.1087953698857867E-2</v>
      </c>
      <c r="R57" s="53">
        <f>'Base Spend Data'!R75/'Base Spend Data'!$S75</f>
        <v>6.4649201120586157E-4</v>
      </c>
    </row>
    <row r="58" spans="1:33">
      <c r="A58" s="2" t="s">
        <v>0</v>
      </c>
      <c r="B58" s="53">
        <f>'Base Spend Data'!B76/'Base Spend Data'!$S76</f>
        <v>7.0899378256115975E-2</v>
      </c>
      <c r="C58" s="53">
        <f>'Base Spend Data'!C76/'Base Spend Data'!$S76</f>
        <v>2.7639779958225655E-2</v>
      </c>
      <c r="D58" s="53">
        <f>'Base Spend Data'!D76/'Base Spend Data'!$S76</f>
        <v>5.2543685841091585E-2</v>
      </c>
      <c r="E58" s="53">
        <f>'Base Spend Data'!E76/'Base Spend Data'!$S76</f>
        <v>3.7076309979088987E-3</v>
      </c>
      <c r="F58" s="53">
        <f>'Base Spend Data'!F76/'Base Spend Data'!$S76</f>
        <v>5.1961295962045746E-2</v>
      </c>
      <c r="G58" s="53">
        <f>'Base Spend Data'!G76/'Base Spend Data'!$S76</f>
        <v>0.22428742509666474</v>
      </c>
      <c r="H58" s="53">
        <f>'Base Spend Data'!H76/'Base Spend Data'!$S76</f>
        <v>6.9178226036255425E-2</v>
      </c>
      <c r="I58" s="53">
        <f>'Base Spend Data'!I76/'Base Spend Data'!$S76</f>
        <v>9.0026651032938332E-2</v>
      </c>
      <c r="J58" s="53">
        <f>'Base Spend Data'!J76/'Base Spend Data'!$S76</f>
        <v>2.1002528160554125E-2</v>
      </c>
      <c r="K58" s="53">
        <f>'Base Spend Data'!K76/'Base Spend Data'!$S76</f>
        <v>1.4510990932312647E-2</v>
      </c>
      <c r="L58" s="53">
        <f>'Base Spend Data'!L76/'Base Spend Data'!$S76</f>
        <v>1.7708876427402383E-2</v>
      </c>
      <c r="M58" s="53">
        <f>'Base Spend Data'!M76/'Base Spend Data'!$S76</f>
        <v>0.11089640946015436</v>
      </c>
      <c r="N58" s="53">
        <f>'Base Spend Data'!N76/'Base Spend Data'!$S76</f>
        <v>2.707365628769013E-2</v>
      </c>
      <c r="O58" s="53">
        <f>'Base Spend Data'!O76/'Base Spend Data'!$S76</f>
        <v>3.2363623171052222E-2</v>
      </c>
      <c r="P58" s="53">
        <f>'Base Spend Data'!P76/'Base Spend Data'!$S76</f>
        <v>1.2472179247826674E-4</v>
      </c>
      <c r="Q58" s="53">
        <f>'Base Spend Data'!Q76/'Base Spend Data'!$S76</f>
        <v>2.3622111619574438E-2</v>
      </c>
      <c r="R58" s="53">
        <f>'Base Spend Data'!R76/'Base Spend Data'!$S76</f>
        <v>0.1624530089675352</v>
      </c>
      <c r="S58" s="53"/>
      <c r="T58" s="53"/>
    </row>
  </sheetData>
  <conditionalFormatting sqref="B43:R4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B43:R43">
    <cfRule type="cellIs" dxfId="9" priority="7" operator="equal">
      <formula>4</formula>
    </cfRule>
    <cfRule type="cellIs" dxfId="8" priority="8" operator="equal">
      <formula>3</formula>
    </cfRule>
    <cfRule type="cellIs" dxfId="7" priority="9" operator="equal">
      <formula>2</formula>
    </cfRule>
    <cfRule type="cellIs" dxfId="6" priority="10" operator="equal">
      <formula>1</formula>
    </cfRule>
  </conditionalFormatting>
  <conditionalFormatting sqref="S43:V4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S43:V43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6"/>
  <sheetViews>
    <sheetView zoomScale="80" zoomScaleNormal="80" workbookViewId="0">
      <pane xSplit="1" topLeftCell="B1" activePane="topRight" state="frozen"/>
      <selection activeCell="A35" sqref="A35"/>
      <selection pane="topRight" activeCell="D17" sqref="D17"/>
    </sheetView>
  </sheetViews>
  <sheetFormatPr defaultRowHeight="15"/>
  <cols>
    <col min="1" max="1" width="49.7109375" customWidth="1"/>
    <col min="2" max="6" width="10.7109375" style="50" customWidth="1"/>
    <col min="7" max="7" width="11.85546875" customWidth="1"/>
    <col min="8" max="8" width="10.140625" customWidth="1"/>
    <col min="9" max="9" width="10.28515625" customWidth="1"/>
    <col min="17" max="17" width="9.42578125" bestFit="1" customWidth="1"/>
    <col min="18" max="21" width="9.28515625" bestFit="1" customWidth="1"/>
  </cols>
  <sheetData>
    <row r="1" spans="1:14">
      <c r="B1" s="54" t="s">
        <v>44</v>
      </c>
      <c r="C1" s="54" t="s">
        <v>42</v>
      </c>
      <c r="D1" s="54" t="s">
        <v>49</v>
      </c>
      <c r="E1" s="54" t="s">
        <v>95</v>
      </c>
      <c r="F1" s="54" t="s">
        <v>51</v>
      </c>
      <c r="G1" s="54" t="s">
        <v>57</v>
      </c>
      <c r="H1" s="54" t="s">
        <v>58</v>
      </c>
      <c r="I1" s="54" t="s">
        <v>59</v>
      </c>
      <c r="J1" s="54" t="s">
        <v>60</v>
      </c>
      <c r="K1" s="54" t="s">
        <v>80</v>
      </c>
    </row>
    <row r="2" spans="1:14">
      <c r="A2" s="35" t="s">
        <v>141</v>
      </c>
      <c r="B2" s="55">
        <v>0.70476068395446367</v>
      </c>
      <c r="C2" s="55">
        <v>0.52933690358157715</v>
      </c>
      <c r="D2" s="55">
        <v>0.41604031658305096</v>
      </c>
      <c r="E2" s="55">
        <v>0.54785598777603872</v>
      </c>
      <c r="F2" s="55">
        <v>1.3230178586497285</v>
      </c>
      <c r="G2" s="14">
        <v>3.5210117505448588</v>
      </c>
      <c r="H2" s="14">
        <v>0.41604031658305096</v>
      </c>
      <c r="I2" s="14">
        <v>1.3230178586497285</v>
      </c>
      <c r="J2" s="14">
        <v>0.54785598777603872</v>
      </c>
      <c r="K2" s="14">
        <v>0.70420235010897181</v>
      </c>
    </row>
    <row r="3" spans="1:14">
      <c r="A3" t="s">
        <v>82</v>
      </c>
      <c r="B3" s="56">
        <v>1068.1619686404154</v>
      </c>
      <c r="C3" s="56">
        <v>732.19107708787874</v>
      </c>
      <c r="D3" s="56">
        <v>1637.6317421453693</v>
      </c>
      <c r="E3" s="56">
        <v>381.53689544545455</v>
      </c>
      <c r="F3" s="56">
        <v>447.16507884702338</v>
      </c>
      <c r="G3" s="5">
        <v>4266.6867621661413</v>
      </c>
      <c r="H3" s="5">
        <v>381.53689544545455</v>
      </c>
      <c r="I3" s="5">
        <v>1637.6317421453693</v>
      </c>
      <c r="J3" s="5">
        <v>732.19107708787874</v>
      </c>
      <c r="K3" s="5">
        <v>853.33735243322826</v>
      </c>
    </row>
    <row r="5" spans="1:14">
      <c r="A5" s="35" t="s">
        <v>141</v>
      </c>
      <c r="B5" s="55">
        <v>0.15690469617842495</v>
      </c>
      <c r="C5" s="55">
        <v>-1.8519084194461577E-2</v>
      </c>
      <c r="D5" s="55">
        <v>-0.13181567119298776</v>
      </c>
      <c r="E5" s="55">
        <v>0</v>
      </c>
      <c r="F5" s="55">
        <v>0.77516187087368982</v>
      </c>
    </row>
    <row r="6" spans="1:14">
      <c r="A6" t="s">
        <v>82</v>
      </c>
      <c r="B6" s="56">
        <v>335.97089155253661</v>
      </c>
      <c r="C6" s="56">
        <v>0</v>
      </c>
      <c r="D6" s="56">
        <v>905.44066505749061</v>
      </c>
      <c r="E6" s="56">
        <v>-350.65418164242419</v>
      </c>
      <c r="F6" s="56">
        <v>-285.02599824085536</v>
      </c>
      <c r="I6" s="14"/>
      <c r="J6" s="14"/>
      <c r="K6" s="14"/>
      <c r="L6" s="14"/>
      <c r="M6" s="14"/>
      <c r="N6" s="1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U13"/>
  <sheetViews>
    <sheetView zoomScale="80" zoomScaleNormal="80" workbookViewId="0">
      <pane xSplit="1" topLeftCell="B1" activePane="topRight" state="frozen"/>
      <selection activeCell="A35" sqref="A35"/>
      <selection pane="topRight" activeCell="M19" sqref="M19"/>
    </sheetView>
  </sheetViews>
  <sheetFormatPr defaultRowHeight="15"/>
  <cols>
    <col min="1" max="1" width="49.7109375" customWidth="1"/>
    <col min="2" max="6" width="10.7109375" style="50" customWidth="1"/>
    <col min="7" max="7" width="11.85546875" customWidth="1"/>
    <col min="8" max="8" width="10.140625" customWidth="1"/>
    <col min="9" max="9" width="10.28515625" customWidth="1"/>
    <col min="17" max="17" width="9.42578125" bestFit="1" customWidth="1"/>
    <col min="18" max="21" width="9.28515625" bestFit="1" customWidth="1"/>
  </cols>
  <sheetData>
    <row r="1" spans="1:21">
      <c r="B1" s="54" t="s">
        <v>45</v>
      </c>
      <c r="C1" s="54" t="s">
        <v>44</v>
      </c>
      <c r="D1" s="54" t="s">
        <v>42</v>
      </c>
      <c r="E1" s="54" t="s">
        <v>49</v>
      </c>
      <c r="F1" s="54" t="s">
        <v>95</v>
      </c>
      <c r="G1" s="54" t="s">
        <v>57</v>
      </c>
      <c r="H1" s="54" t="s">
        <v>58</v>
      </c>
      <c r="I1" s="54" t="s">
        <v>59</v>
      </c>
      <c r="J1" s="54" t="s">
        <v>60</v>
      </c>
      <c r="K1" s="54" t="s">
        <v>80</v>
      </c>
    </row>
    <row r="2" spans="1:21">
      <c r="A2" s="35" t="s">
        <v>141</v>
      </c>
      <c r="B2" s="59">
        <v>0.25924607359270291</v>
      </c>
      <c r="C2" s="59">
        <v>0.15690469617842495</v>
      </c>
      <c r="D2" s="59">
        <v>-1.8519084194461577E-2</v>
      </c>
      <c r="E2" s="59">
        <v>-0.13181567119298776</v>
      </c>
      <c r="F2" s="59">
        <v>0</v>
      </c>
      <c r="G2" s="54"/>
      <c r="H2" s="54"/>
      <c r="I2" s="54"/>
      <c r="J2" s="54"/>
      <c r="K2" s="54"/>
    </row>
    <row r="3" spans="1:21">
      <c r="A3" t="s">
        <v>82</v>
      </c>
      <c r="B3" s="58">
        <v>-229.8326209999999</v>
      </c>
      <c r="C3" s="58">
        <v>335.97089155253661</v>
      </c>
      <c r="D3" s="58">
        <v>0</v>
      </c>
      <c r="E3" s="58">
        <v>905.44066505749061</v>
      </c>
      <c r="F3" s="58">
        <v>-350.65418164242419</v>
      </c>
      <c r="G3" s="54"/>
      <c r="H3" s="54"/>
      <c r="I3" s="54"/>
      <c r="J3" s="54"/>
      <c r="K3" s="54"/>
    </row>
    <row r="4" spans="1:21">
      <c r="A4" s="35" t="s">
        <v>141</v>
      </c>
      <c r="B4" s="55">
        <v>0.80710206136874163</v>
      </c>
      <c r="C4" s="55">
        <v>0.70476068395446367</v>
      </c>
      <c r="D4" s="55">
        <v>0.52933690358157715</v>
      </c>
      <c r="E4" s="55">
        <v>0.41604031658305096</v>
      </c>
      <c r="F4" s="55">
        <v>0.54785598777603872</v>
      </c>
      <c r="G4" s="14">
        <f>SUM(B4:F4)</f>
        <v>3.0050959532638721</v>
      </c>
      <c r="H4" s="14">
        <f>MIN(B4:F4)</f>
        <v>0.41604031658305096</v>
      </c>
      <c r="I4" s="14">
        <f>MAX(B4:F4)</f>
        <v>0.80710206136874163</v>
      </c>
      <c r="J4" s="14">
        <f>MEDIAN(B4:F4)</f>
        <v>0.54785598777603872</v>
      </c>
      <c r="K4" s="14">
        <f>AVERAGE(B4:F4)</f>
        <v>0.60101919065277443</v>
      </c>
    </row>
    <row r="5" spans="1:21">
      <c r="A5" t="s">
        <v>82</v>
      </c>
      <c r="B5" s="56">
        <v>502.35845608787884</v>
      </c>
      <c r="C5" s="56">
        <v>1068.1619686404154</v>
      </c>
      <c r="D5" s="56">
        <v>732.19107708787874</v>
      </c>
      <c r="E5" s="56">
        <v>1637.6317421453693</v>
      </c>
      <c r="F5" s="56">
        <v>381.53689544545455</v>
      </c>
      <c r="G5" s="5">
        <f>SUM(B5:F5)</f>
        <v>4321.8801394069969</v>
      </c>
      <c r="H5" s="5">
        <f>MIN(B5:F5)</f>
        <v>381.53689544545455</v>
      </c>
      <c r="I5" s="5">
        <f>MAX(B5:F5)</f>
        <v>1637.6317421453693</v>
      </c>
      <c r="J5" s="5">
        <f>MEDIAN(B5:F5)</f>
        <v>732.19107708787874</v>
      </c>
      <c r="K5" s="5">
        <f>AVERAGE(B5:F5)</f>
        <v>864.37602788139941</v>
      </c>
    </row>
    <row r="8" spans="1:21">
      <c r="I8" s="14"/>
      <c r="J8" s="14"/>
      <c r="K8" s="14"/>
      <c r="L8" s="14"/>
      <c r="M8" s="14"/>
      <c r="N8" s="14"/>
    </row>
    <row r="9" spans="1:21">
      <c r="I9" s="14"/>
      <c r="J9" s="14"/>
      <c r="K9" s="14"/>
      <c r="L9" s="14"/>
      <c r="M9" s="14"/>
      <c r="N9" s="14"/>
    </row>
    <row r="12" spans="1:21">
      <c r="Q12" s="14"/>
      <c r="R12" s="14"/>
      <c r="S12" s="14"/>
      <c r="T12" s="14"/>
      <c r="U12" s="14"/>
    </row>
    <row r="13" spans="1:21">
      <c r="Q13" s="14"/>
      <c r="R13" s="14"/>
      <c r="S13" s="14"/>
      <c r="T13" s="14"/>
      <c r="U13" s="1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Analysis</vt:lpstr>
      <vt:lpstr>Benchmarked Analysis</vt:lpstr>
      <vt:lpstr>Base Supplier Data</vt:lpstr>
      <vt:lpstr>Chemicals Analysis</vt:lpstr>
      <vt:lpstr>Chemicals Benchmarked Analysis</vt:lpstr>
      <vt:lpstr>Chemicals Data</vt:lpstr>
      <vt:lpstr>Similiar Utilities Analysis</vt:lpstr>
      <vt:lpstr>APS - Similiar Capacity MW</vt:lpstr>
      <vt:lpstr>APS - Similar Spend</vt:lpstr>
      <vt:lpstr>SNL Data - Incomplete</vt:lpstr>
      <vt:lpstr>Regressions</vt:lpstr>
      <vt:lpstr>Base Spend Data</vt:lpstr>
    </vt:vector>
  </TitlesOfParts>
  <Company>PowerAdvocate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seth.beck</dc:creator>
  <cp:lastModifiedBy>Tobias</cp:lastModifiedBy>
  <dcterms:created xsi:type="dcterms:W3CDTF">2013-08-22T17:52:53Z</dcterms:created>
  <dcterms:modified xsi:type="dcterms:W3CDTF">2014-03-21T18:59:41Z</dcterms:modified>
</cp:coreProperties>
</file>