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drawings/drawing10.xml" ContentType="application/vnd.openxmlformats-officedocument.drawing+xml"/>
  <Override PartName="/xl/comments1.xml" ContentType="application/vnd.openxmlformats-officedocument.spreadsheetml.comments+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drawings/drawing14.xml" ContentType="application/vnd.openxmlformats-officedocument.drawing+xml"/>
  <Override PartName="/xl/charts/chart7.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drawings/drawing20.xml" ContentType="application/vnd.openxmlformats-officedocument.drawing+xml"/>
  <Override PartName="/xl/drawings/drawing21.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oduction.Unit3\Desktop\PROCESS CALC\PROCESS CALC\"/>
    </mc:Choice>
  </mc:AlternateContent>
  <bookViews>
    <workbookView xWindow="32760" yWindow="32760" windowWidth="24000" windowHeight="9525" tabRatio="599" firstSheet="4" activeTab="4"/>
  </bookViews>
  <sheets>
    <sheet name="Notes &amp; Experience" sheetId="18" r:id="rId1"/>
    <sheet name="Partial-Filled HorizontalVessel" sheetId="14" r:id="rId2"/>
    <sheet name="Horizontal Tank Strapping" sheetId="16" r:id="rId3"/>
    <sheet name="Partial Horizontal" sheetId="20" r:id="rId4"/>
    <sheet name="Partial Vertical" sheetId="21" r:id="rId5"/>
    <sheet name="Partial Cylind. Vol." sheetId="3" r:id="rId6"/>
    <sheet name="Hds Partial Vol." sheetId="13" r:id="rId7"/>
    <sheet name="Partial Ellip. Vol." sheetId="5" r:id="rId8"/>
    <sheet name="Hds Vol &amp; Surf Area " sheetId="15" r:id="rId9"/>
    <sheet name="Mfr's Hds' Vol" sheetId="6" r:id="rId10"/>
    <sheet name="Ellipsoidal Curve Fit" sheetId="7" r:id="rId11"/>
    <sheet name="Ellipsoidal Heads" sheetId="26" r:id="rId12"/>
    <sheet name="ASME F&amp;D Curve Fit" sheetId="8" r:id="rId13"/>
    <sheet name="ASME F&amp;D Heads" sheetId="27" r:id="rId14"/>
    <sheet name="Hemispherical Curve Fit" sheetId="9" r:id="rId15"/>
    <sheet name="Dished Curve Fit" sheetId="10" r:id="rId16"/>
    <sheet name="Dished Heads" sheetId="28" r:id="rId17"/>
    <sheet name="Cylindrical Tank Volume" sheetId="11" r:id="rId18"/>
    <sheet name="Fittings' Volumes" sheetId="19" r:id="rId19"/>
    <sheet name="Torispherical Heads" sheetId="22" r:id="rId20"/>
    <sheet name="F &amp; D Partial Volume" sheetId="24" r:id="rId21"/>
    <sheet name="Vertical F&amp;D Head Volume" sheetId="25" r:id="rId22"/>
    <sheet name="Reference Article" sheetId="23" r:id="rId23"/>
  </sheets>
  <externalReferences>
    <externalReference r:id="rId24"/>
  </externalReferences>
  <definedNames>
    <definedName name="_Fill" localSheetId="1" hidden="1">'Partial-Filled HorizontalVessel'!#REF!</definedName>
    <definedName name="_Regression_Int" localSheetId="1" hidden="1">1</definedName>
    <definedName name="Alpha">'Vertical F&amp;D Head Volume'!$C$9</definedName>
    <definedName name="aone">'Vertical F&amp;D Head Volume'!$C$10</definedName>
    <definedName name="atwo">'Vertical F&amp;D Head Volume'!$C$11</definedName>
    <definedName name="COMPRESSOR">#REF!</definedName>
    <definedName name="D">'Vertical F&amp;D Head Volume'!$F$3</definedName>
    <definedName name="Done">'Vertical F&amp;D Head Volume'!$C$12</definedName>
    <definedName name="f">'Vertical F&amp;D Head Volume'!$F$5</definedName>
    <definedName name="fD">'Vertical F&amp;D Head Volume'!$C$7</definedName>
    <definedName name="FRICTION">'[1]Head Calculations'!#REF!</definedName>
    <definedName name="h">'Vertical F&amp;D Head Volume'!$B$21</definedName>
    <definedName name="k">'Vertical F&amp;D Head Volume'!$F$4</definedName>
    <definedName name="kD">'Vertical F&amp;D Head Volume'!$C$6</definedName>
    <definedName name="_xlnm.Print_Area" localSheetId="12">'ASME F&amp;D Curve Fit'!$A$1:$N$47</definedName>
    <definedName name="_xlnm.Print_Area" localSheetId="17">'Cylindrical Tank Volume'!$A$1:$I$50</definedName>
    <definedName name="_xlnm.Print_Area" localSheetId="15">'Dished Curve Fit'!$A$1:$N$37</definedName>
    <definedName name="_xlnm.Print_Area" localSheetId="10">'Ellipsoidal Curve Fit'!$A$1:$N$49</definedName>
    <definedName name="_xlnm.Print_Area" localSheetId="6">'Hds Partial Vol.'!$A$1:$J$220</definedName>
    <definedName name="_xlnm.Print_Area" localSheetId="8">'Hds Vol &amp; Surf Area '!$A$1:$J$68</definedName>
    <definedName name="_xlnm.Print_Area" localSheetId="14">'Hemispherical Curve Fit'!$A$1:$N$37</definedName>
    <definedName name="_xlnm.Print_Area" localSheetId="2">'Horizontal Tank Strapping'!$A$1:$I$183</definedName>
    <definedName name="_xlnm.Print_Area" localSheetId="7">'Partial Ellip. Vol.'!$A$1:$V$49</definedName>
    <definedName name="_xlnm.Print_Area" localSheetId="1">'Partial-Filled HorizontalVessel'!$A$1:$G$32</definedName>
    <definedName name="Print_Area_MI" localSheetId="1">'Partial-Filled HorizontalVessel'!$A$2:$H$27</definedName>
    <definedName name="s">'Vertical F&amp;D Head Volume'!$C$13</definedName>
    <definedName name="t">'Vertical F&amp;D Head Volume'!$C$14</definedName>
    <definedName name="u">'Vertical F&amp;D Head Volume'!$C$15</definedName>
    <definedName name="VESSEL">'Partial-Filled HorizontalVessel'!$A$2:$H$27</definedName>
  </definedNames>
  <calcPr calcId="162913"/>
</workbook>
</file>

<file path=xl/calcChain.xml><?xml version="1.0" encoding="utf-8"?>
<calcChain xmlns="http://schemas.openxmlformats.org/spreadsheetml/2006/main">
  <c r="H30" i="28" l="1"/>
  <c r="I30" i="28"/>
  <c r="J30" i="28"/>
  <c r="K30" i="28"/>
  <c r="H31" i="28"/>
  <c r="I31" i="28"/>
  <c r="J31" i="28"/>
  <c r="K31" i="28"/>
  <c r="H32" i="28"/>
  <c r="I32" i="28"/>
  <c r="J32" i="28"/>
  <c r="K32" i="28"/>
  <c r="H33" i="28"/>
  <c r="I33" i="28"/>
  <c r="J33" i="28"/>
  <c r="K33" i="28"/>
  <c r="H34" i="28"/>
  <c r="I34" i="28"/>
  <c r="J34" i="28"/>
  <c r="K34" i="28"/>
  <c r="H35" i="28"/>
  <c r="I35" i="28"/>
  <c r="J35" i="28"/>
  <c r="K35" i="28"/>
  <c r="H36" i="28"/>
  <c r="I36" i="28"/>
  <c r="J36" i="28"/>
  <c r="K36" i="28"/>
  <c r="H37" i="28"/>
  <c r="I37" i="28"/>
  <c r="J37" i="28"/>
  <c r="K37" i="28"/>
  <c r="H38" i="28"/>
  <c r="I38" i="28"/>
  <c r="J38" i="28"/>
  <c r="K38" i="28"/>
  <c r="H39" i="28"/>
  <c r="I39" i="28"/>
  <c r="J39" i="28"/>
  <c r="K39" i="28"/>
  <c r="G40" i="28"/>
  <c r="H40" i="28"/>
  <c r="I40" i="28"/>
  <c r="J40" i="28"/>
  <c r="K40" i="28"/>
  <c r="H41" i="28"/>
  <c r="I41" i="28"/>
  <c r="J41" i="28"/>
  <c r="K41" i="28"/>
  <c r="H42" i="28"/>
  <c r="I42" i="28"/>
  <c r="J42" i="28"/>
  <c r="K42" i="28"/>
  <c r="H43" i="28"/>
  <c r="I43" i="28"/>
  <c r="J43" i="28"/>
  <c r="K43" i="28"/>
  <c r="G44" i="28"/>
  <c r="H44" i="28"/>
  <c r="I44" i="28"/>
  <c r="J44" i="28"/>
  <c r="K44" i="28"/>
  <c r="H45" i="28"/>
  <c r="I45" i="28"/>
  <c r="J45" i="28"/>
  <c r="K45" i="28"/>
  <c r="H46" i="28"/>
  <c r="I46" i="28"/>
  <c r="J46" i="28"/>
  <c r="K46" i="28"/>
  <c r="H47" i="28"/>
  <c r="I47" i="28"/>
  <c r="J47" i="28"/>
  <c r="K47" i="28"/>
  <c r="H48" i="28"/>
  <c r="I48" i="28"/>
  <c r="J48" i="28"/>
  <c r="K48" i="28"/>
  <c r="H49" i="28"/>
  <c r="I49" i="28"/>
  <c r="J49" i="28"/>
  <c r="K49" i="28"/>
  <c r="H50" i="28"/>
  <c r="I50" i="28"/>
  <c r="J50" i="28"/>
  <c r="K50" i="28"/>
  <c r="H51" i="28"/>
  <c r="I51" i="28"/>
  <c r="J51" i="28"/>
  <c r="K51" i="28"/>
  <c r="G52" i="28"/>
  <c r="H52" i="28"/>
  <c r="I52" i="28"/>
  <c r="J52" i="28"/>
  <c r="K52" i="28"/>
  <c r="H53" i="28"/>
  <c r="I53" i="28"/>
  <c r="J53" i="28"/>
  <c r="K53" i="28"/>
  <c r="H55" i="28"/>
  <c r="I55" i="28"/>
  <c r="J55" i="28"/>
  <c r="K55" i="28"/>
  <c r="H56" i="28"/>
  <c r="I56" i="28"/>
  <c r="J56" i="28"/>
  <c r="K56" i="28"/>
  <c r="G57" i="28"/>
  <c r="H57" i="28"/>
  <c r="I57" i="28"/>
  <c r="J57" i="28"/>
  <c r="K57" i="28"/>
  <c r="H58" i="28"/>
  <c r="I58" i="28"/>
  <c r="J58" i="28"/>
  <c r="K58" i="28"/>
  <c r="H59" i="28"/>
  <c r="I59" i="28"/>
  <c r="J59" i="28"/>
  <c r="K59" i="28"/>
  <c r="H60" i="28"/>
  <c r="I60" i="28"/>
  <c r="J60" i="28"/>
  <c r="K60" i="28"/>
  <c r="G61" i="28"/>
  <c r="H61" i="28"/>
  <c r="I61" i="28"/>
  <c r="J61" i="28"/>
  <c r="K61" i="28"/>
  <c r="H62" i="28"/>
  <c r="I62" i="28"/>
  <c r="J62" i="28"/>
  <c r="K62" i="28"/>
  <c r="H63" i="28"/>
  <c r="I63" i="28"/>
  <c r="J63" i="28"/>
  <c r="K63" i="28"/>
  <c r="H64" i="28"/>
  <c r="I64" i="28"/>
  <c r="J64" i="28"/>
  <c r="K64" i="28"/>
  <c r="G65" i="28"/>
  <c r="H65" i="28"/>
  <c r="I65" i="28"/>
  <c r="J65" i="28"/>
  <c r="K65" i="28"/>
  <c r="H66" i="28"/>
  <c r="I66" i="28"/>
  <c r="J66" i="28"/>
  <c r="K66" i="28"/>
  <c r="H67" i="28"/>
  <c r="I67" i="28"/>
  <c r="J67" i="28"/>
  <c r="K67" i="28"/>
  <c r="H68" i="28"/>
  <c r="I68" i="28"/>
  <c r="J68" i="28"/>
  <c r="K68" i="28"/>
  <c r="G69" i="28"/>
  <c r="H69" i="28"/>
  <c r="I69" i="28"/>
  <c r="J69" i="28"/>
  <c r="K69" i="28"/>
  <c r="H70" i="28"/>
  <c r="I70" i="28"/>
  <c r="J70" i="28"/>
  <c r="K70" i="28"/>
  <c r="H71" i="28"/>
  <c r="I71" i="28"/>
  <c r="J71" i="28"/>
  <c r="K71" i="28"/>
  <c r="H72" i="28"/>
  <c r="I72" i="28"/>
  <c r="J72" i="28"/>
  <c r="K72" i="28"/>
  <c r="G73" i="28"/>
  <c r="H73" i="28"/>
  <c r="I73" i="28"/>
  <c r="J73" i="28"/>
  <c r="K73" i="28"/>
  <c r="H74" i="28"/>
  <c r="I74" i="28"/>
  <c r="J74" i="28"/>
  <c r="K74" i="28"/>
  <c r="H75" i="28"/>
  <c r="I75" i="28"/>
  <c r="J75" i="28"/>
  <c r="K75" i="28"/>
  <c r="H76" i="28"/>
  <c r="I76" i="28"/>
  <c r="J76" i="28"/>
  <c r="K76" i="28"/>
  <c r="G77" i="28"/>
  <c r="H77" i="28"/>
  <c r="I77" i="28"/>
  <c r="J77" i="28"/>
  <c r="K77" i="28"/>
  <c r="H78" i="28"/>
  <c r="I78" i="28"/>
  <c r="J78" i="28"/>
  <c r="K78" i="28"/>
  <c r="H80" i="28"/>
  <c r="I80" i="28"/>
  <c r="J80" i="28"/>
  <c r="K80" i="28"/>
  <c r="H81" i="28"/>
  <c r="I81" i="28"/>
  <c r="J81" i="28"/>
  <c r="K81" i="28"/>
  <c r="G82" i="28"/>
  <c r="H82" i="28"/>
  <c r="I82" i="28"/>
  <c r="J82" i="28"/>
  <c r="K82" i="28"/>
  <c r="H83" i="28"/>
  <c r="I83" i="28"/>
  <c r="J83" i="28"/>
  <c r="K83" i="28"/>
  <c r="H84" i="28"/>
  <c r="I84" i="28"/>
  <c r="J84" i="28"/>
  <c r="K84" i="28"/>
  <c r="H85" i="28"/>
  <c r="I85" i="28"/>
  <c r="J85" i="28"/>
  <c r="K85" i="28"/>
  <c r="G86" i="28"/>
  <c r="H86" i="28"/>
  <c r="I86" i="28"/>
  <c r="J86" i="28"/>
  <c r="K86" i="28"/>
  <c r="H87" i="28"/>
  <c r="I87" i="28"/>
  <c r="J87" i="28"/>
  <c r="K87" i="28"/>
  <c r="H88" i="28"/>
  <c r="I88" i="28"/>
  <c r="J88" i="28"/>
  <c r="K88" i="28"/>
  <c r="H89" i="28"/>
  <c r="I89" i="28"/>
  <c r="J89" i="28"/>
  <c r="K89" i="28"/>
  <c r="G90" i="28"/>
  <c r="H90" i="28"/>
  <c r="I90" i="28"/>
  <c r="J90" i="28"/>
  <c r="K90" i="28"/>
  <c r="H91" i="28"/>
  <c r="I91" i="28"/>
  <c r="J91" i="28"/>
  <c r="K91" i="28"/>
  <c r="H92" i="28"/>
  <c r="I92" i="28"/>
  <c r="J92" i="28"/>
  <c r="K92" i="28"/>
  <c r="H93" i="28"/>
  <c r="I93" i="28"/>
  <c r="J93" i="28"/>
  <c r="K93" i="28"/>
  <c r="G94" i="28"/>
  <c r="H94" i="28"/>
  <c r="I94" i="28"/>
  <c r="J94" i="28"/>
  <c r="K94" i="28"/>
  <c r="H95" i="28"/>
  <c r="I95" i="28"/>
  <c r="J95" i="28"/>
  <c r="K95" i="28"/>
  <c r="H96" i="28"/>
  <c r="I96" i="28"/>
  <c r="J96" i="28"/>
  <c r="K96" i="28"/>
  <c r="H97" i="28"/>
  <c r="I97" i="28"/>
  <c r="J97" i="28"/>
  <c r="K97" i="28"/>
  <c r="G98" i="28"/>
  <c r="H98" i="28"/>
  <c r="I98" i="28"/>
  <c r="J98" i="28"/>
  <c r="K98" i="28"/>
  <c r="H99" i="28"/>
  <c r="I99" i="28"/>
  <c r="J99" i="28"/>
  <c r="K99" i="28"/>
  <c r="H100" i="28"/>
  <c r="I100" i="28"/>
  <c r="J100" i="28"/>
  <c r="K100" i="28"/>
  <c r="H101" i="28"/>
  <c r="I101" i="28"/>
  <c r="J101" i="28"/>
  <c r="K101" i="28"/>
  <c r="G102" i="28"/>
  <c r="H102" i="28"/>
  <c r="I102" i="28"/>
  <c r="J102" i="28"/>
  <c r="K102" i="28"/>
  <c r="H103" i="28"/>
  <c r="I103" i="28"/>
  <c r="J103" i="28"/>
  <c r="K103" i="28"/>
  <c r="H105" i="28"/>
  <c r="I105" i="28"/>
  <c r="J105" i="28"/>
  <c r="K105" i="28"/>
  <c r="H106" i="28"/>
  <c r="I106" i="28"/>
  <c r="J106" i="28"/>
  <c r="K106" i="28"/>
  <c r="G107" i="28"/>
  <c r="H107" i="28"/>
  <c r="I107" i="28"/>
  <c r="J107" i="28"/>
  <c r="K107" i="28"/>
  <c r="H108" i="28"/>
  <c r="I108" i="28"/>
  <c r="J108" i="28"/>
  <c r="K108" i="28"/>
  <c r="H109" i="28"/>
  <c r="I109" i="28"/>
  <c r="J109" i="28"/>
  <c r="K109" i="28"/>
  <c r="H110" i="28"/>
  <c r="I110" i="28"/>
  <c r="J110" i="28"/>
  <c r="K110" i="28"/>
  <c r="G111" i="28"/>
  <c r="H111" i="28"/>
  <c r="I111" i="28"/>
  <c r="J111" i="28"/>
  <c r="K111" i="28"/>
  <c r="H112" i="28"/>
  <c r="I112" i="28"/>
  <c r="J112" i="28"/>
  <c r="K112" i="28"/>
  <c r="H113" i="28"/>
  <c r="I113" i="28"/>
  <c r="J113" i="28"/>
  <c r="K113" i="28"/>
  <c r="H114" i="28"/>
  <c r="I114" i="28"/>
  <c r="J114" i="28"/>
  <c r="K114" i="28"/>
  <c r="G115" i="28"/>
  <c r="H115" i="28"/>
  <c r="I115" i="28"/>
  <c r="J115" i="28"/>
  <c r="K115" i="28"/>
  <c r="H116" i="28"/>
  <c r="I116" i="28"/>
  <c r="J116" i="28"/>
  <c r="K116" i="28"/>
  <c r="H117" i="28"/>
  <c r="I117" i="28"/>
  <c r="J117" i="28"/>
  <c r="K117" i="28"/>
  <c r="H118" i="28"/>
  <c r="I118" i="28"/>
  <c r="J118" i="28"/>
  <c r="K118" i="28"/>
  <c r="G119" i="28"/>
  <c r="H119" i="28"/>
  <c r="I119" i="28"/>
  <c r="J119" i="28"/>
  <c r="K119" i="28"/>
  <c r="H120" i="28"/>
  <c r="I120" i="28"/>
  <c r="J120" i="28"/>
  <c r="K120" i="28"/>
  <c r="H121" i="28"/>
  <c r="I121" i="28"/>
  <c r="J121" i="28"/>
  <c r="K121" i="28"/>
  <c r="H122" i="28"/>
  <c r="I122" i="28"/>
  <c r="J122" i="28"/>
  <c r="K122" i="28"/>
  <c r="G123" i="28"/>
  <c r="H123" i="28"/>
  <c r="I123" i="28"/>
  <c r="J123" i="28"/>
  <c r="K123" i="28"/>
  <c r="H124" i="28"/>
  <c r="I124" i="28"/>
  <c r="J124" i="28"/>
  <c r="K124" i="28"/>
  <c r="H125" i="28"/>
  <c r="I125" i="28"/>
  <c r="J125" i="28"/>
  <c r="K125" i="28"/>
  <c r="H126" i="28"/>
  <c r="I126" i="28"/>
  <c r="J126" i="28"/>
  <c r="K126" i="28"/>
  <c r="G127" i="28"/>
  <c r="H127" i="28"/>
  <c r="I127" i="28"/>
  <c r="J127" i="28"/>
  <c r="K127" i="28"/>
  <c r="H128" i="28"/>
  <c r="I128" i="28"/>
  <c r="J128" i="28"/>
  <c r="K128" i="28"/>
  <c r="H130" i="28"/>
  <c r="I130" i="28"/>
  <c r="J130" i="28"/>
  <c r="K130" i="28"/>
  <c r="H131" i="28"/>
  <c r="I131" i="28"/>
  <c r="J131" i="28"/>
  <c r="K131" i="28"/>
  <c r="G132" i="28"/>
  <c r="H132" i="28"/>
  <c r="I132" i="28"/>
  <c r="J132" i="28"/>
  <c r="K132" i="28"/>
  <c r="H133" i="28"/>
  <c r="I133" i="28"/>
  <c r="J133" i="28"/>
  <c r="K133" i="28"/>
  <c r="H134" i="28"/>
  <c r="I134" i="28"/>
  <c r="J134" i="28"/>
  <c r="K134" i="28"/>
  <c r="H135" i="28"/>
  <c r="I135" i="28"/>
  <c r="J135" i="28"/>
  <c r="K135" i="28"/>
  <c r="G136" i="28"/>
  <c r="H136" i="28"/>
  <c r="I136" i="28"/>
  <c r="J136" i="28"/>
  <c r="K136" i="28"/>
  <c r="H137" i="28"/>
  <c r="I137" i="28"/>
  <c r="J137" i="28"/>
  <c r="K137" i="28"/>
  <c r="H138" i="28"/>
  <c r="I138" i="28"/>
  <c r="J138" i="28"/>
  <c r="K138" i="28"/>
  <c r="H139" i="28"/>
  <c r="I139" i="28"/>
  <c r="J139" i="28"/>
  <c r="K139" i="28"/>
  <c r="G140" i="28"/>
  <c r="H140" i="28"/>
  <c r="I140" i="28"/>
  <c r="J140" i="28"/>
  <c r="K140" i="28"/>
  <c r="H141" i="28"/>
  <c r="I141" i="28"/>
  <c r="J141" i="28"/>
  <c r="K141" i="28"/>
  <c r="H142" i="28"/>
  <c r="I142" i="28"/>
  <c r="J142" i="28"/>
  <c r="K142" i="28"/>
  <c r="H143" i="28"/>
  <c r="I143" i="28"/>
  <c r="J143" i="28"/>
  <c r="K143" i="28"/>
  <c r="G144" i="28"/>
  <c r="H144" i="28"/>
  <c r="I144" i="28"/>
  <c r="J144" i="28"/>
  <c r="K144" i="28"/>
  <c r="H145" i="28"/>
  <c r="I145" i="28"/>
  <c r="J145" i="28"/>
  <c r="K145" i="28"/>
  <c r="H146" i="28"/>
  <c r="I146" i="28"/>
  <c r="J146" i="28"/>
  <c r="K146" i="28"/>
  <c r="H147" i="28"/>
  <c r="I147" i="28"/>
  <c r="J147" i="28"/>
  <c r="K147" i="28"/>
  <c r="G148" i="28"/>
  <c r="H148" i="28"/>
  <c r="I148" i="28"/>
  <c r="J148" i="28"/>
  <c r="K148" i="28"/>
  <c r="H149" i="28"/>
  <c r="I149" i="28"/>
  <c r="J149" i="28"/>
  <c r="K149" i="28"/>
  <c r="H150" i="28"/>
  <c r="I150" i="28"/>
  <c r="J150" i="28"/>
  <c r="K150" i="28"/>
  <c r="H151" i="28"/>
  <c r="I151" i="28"/>
  <c r="J151" i="28"/>
  <c r="K151" i="28"/>
  <c r="G152" i="28"/>
  <c r="H152" i="28"/>
  <c r="I152" i="28"/>
  <c r="J152" i="28"/>
  <c r="K152" i="28"/>
  <c r="H153" i="28"/>
  <c r="I153" i="28"/>
  <c r="J153" i="28"/>
  <c r="K153" i="28"/>
  <c r="H155" i="28"/>
  <c r="I155" i="28"/>
  <c r="J155" i="28"/>
  <c r="K155" i="28"/>
  <c r="H156" i="28"/>
  <c r="I156" i="28"/>
  <c r="J156" i="28"/>
  <c r="K156" i="28"/>
  <c r="G157" i="28"/>
  <c r="H157" i="28"/>
  <c r="I157" i="28"/>
  <c r="J157" i="28"/>
  <c r="K157" i="28"/>
  <c r="H158" i="28"/>
  <c r="I158" i="28"/>
  <c r="J158" i="28"/>
  <c r="K158" i="28"/>
  <c r="H159" i="28"/>
  <c r="I159" i="28"/>
  <c r="J159" i="28"/>
  <c r="K159" i="28"/>
  <c r="H160" i="28"/>
  <c r="I160" i="28"/>
  <c r="J160" i="28"/>
  <c r="K160" i="28"/>
  <c r="G161" i="28"/>
  <c r="H161" i="28"/>
  <c r="I161" i="28"/>
  <c r="J161" i="28"/>
  <c r="K161" i="28"/>
  <c r="H162" i="28"/>
  <c r="I162" i="28"/>
  <c r="J162" i="28"/>
  <c r="K162" i="28"/>
  <c r="H163" i="28"/>
  <c r="I163" i="28"/>
  <c r="J163" i="28"/>
  <c r="K163" i="28"/>
  <c r="H164" i="28"/>
  <c r="I164" i="28"/>
  <c r="J164" i="28"/>
  <c r="K164" i="28"/>
  <c r="G165" i="28"/>
  <c r="H165" i="28"/>
  <c r="I165" i="28"/>
  <c r="J165" i="28"/>
  <c r="K165" i="28"/>
  <c r="H166" i="28"/>
  <c r="I166" i="28"/>
  <c r="J166" i="28"/>
  <c r="K166" i="28"/>
  <c r="H167" i="28"/>
  <c r="I167" i="28"/>
  <c r="J167" i="28"/>
  <c r="K167" i="28"/>
  <c r="H168" i="28"/>
  <c r="I168" i="28"/>
  <c r="J168" i="28"/>
  <c r="K168" i="28"/>
  <c r="G169" i="28"/>
  <c r="H169" i="28"/>
  <c r="I169" i="28"/>
  <c r="J169" i="28"/>
  <c r="K169" i="28"/>
  <c r="H170" i="28"/>
  <c r="I170" i="28"/>
  <c r="J170" i="28"/>
  <c r="K170" i="28"/>
  <c r="H32" i="27"/>
  <c r="I32" i="27"/>
  <c r="J32" i="27"/>
  <c r="K32" i="27"/>
  <c r="H33" i="27"/>
  <c r="I33" i="27"/>
  <c r="J33" i="27"/>
  <c r="K33" i="27"/>
  <c r="H34" i="27"/>
  <c r="I34" i="27"/>
  <c r="J34" i="27"/>
  <c r="K34" i="27"/>
  <c r="H35" i="27"/>
  <c r="I35" i="27"/>
  <c r="J35" i="27"/>
  <c r="K35" i="27"/>
  <c r="H36" i="27"/>
  <c r="I36" i="27"/>
  <c r="J36" i="27"/>
  <c r="K36" i="27"/>
  <c r="H37" i="27"/>
  <c r="I37" i="27"/>
  <c r="J37" i="27"/>
  <c r="K37" i="27"/>
  <c r="H38" i="27"/>
  <c r="I38" i="27"/>
  <c r="J38" i="27"/>
  <c r="K38" i="27"/>
  <c r="H39" i="27"/>
  <c r="I39" i="27"/>
  <c r="J39" i="27"/>
  <c r="K39" i="27"/>
  <c r="H40" i="27"/>
  <c r="I40" i="27"/>
  <c r="J40" i="27"/>
  <c r="K40" i="27"/>
  <c r="H41" i="27"/>
  <c r="I41" i="27"/>
  <c r="J41" i="27"/>
  <c r="K41" i="27"/>
  <c r="G42" i="27"/>
  <c r="H42" i="27"/>
  <c r="I42" i="27"/>
  <c r="J42" i="27"/>
  <c r="K42" i="27"/>
  <c r="H43" i="27"/>
  <c r="I43" i="27"/>
  <c r="J43" i="27"/>
  <c r="K43" i="27"/>
  <c r="H44" i="27"/>
  <c r="I44" i="27"/>
  <c r="J44" i="27"/>
  <c r="K44" i="27"/>
  <c r="H45" i="27"/>
  <c r="I45" i="27"/>
  <c r="J45" i="27"/>
  <c r="K45" i="27"/>
  <c r="G46" i="27"/>
  <c r="H46" i="27"/>
  <c r="I46" i="27"/>
  <c r="J46" i="27"/>
  <c r="K46" i="27"/>
  <c r="H47" i="27"/>
  <c r="I47" i="27"/>
  <c r="J47" i="27"/>
  <c r="K47" i="27"/>
  <c r="H48" i="27"/>
  <c r="I48" i="27"/>
  <c r="J48" i="27"/>
  <c r="K48" i="27"/>
  <c r="H49" i="27"/>
  <c r="I49" i="27"/>
  <c r="J49" i="27"/>
  <c r="K49" i="27"/>
  <c r="H50" i="27"/>
  <c r="I50" i="27"/>
  <c r="J50" i="27"/>
  <c r="K50" i="27"/>
  <c r="H51" i="27"/>
  <c r="I51" i="27"/>
  <c r="J51" i="27"/>
  <c r="K51" i="27"/>
  <c r="H52" i="27"/>
  <c r="I52" i="27"/>
  <c r="J52" i="27"/>
  <c r="K52" i="27"/>
  <c r="H53" i="27"/>
  <c r="I53" i="27"/>
  <c r="J53" i="27"/>
  <c r="K53" i="27"/>
  <c r="G54" i="27"/>
  <c r="H54" i="27"/>
  <c r="I54" i="27"/>
  <c r="J54" i="27"/>
  <c r="K54" i="27"/>
  <c r="H55" i="27"/>
  <c r="I55" i="27"/>
  <c r="J55" i="27"/>
  <c r="K55" i="27"/>
  <c r="H57" i="27"/>
  <c r="I57" i="27"/>
  <c r="J57" i="27"/>
  <c r="K57" i="27"/>
  <c r="H58" i="27"/>
  <c r="I58" i="27"/>
  <c r="J58" i="27"/>
  <c r="K58" i="27"/>
  <c r="G59" i="27"/>
  <c r="H59" i="27"/>
  <c r="I59" i="27"/>
  <c r="J59" i="27"/>
  <c r="K59" i="27"/>
  <c r="H60" i="27"/>
  <c r="I60" i="27"/>
  <c r="J60" i="27"/>
  <c r="K60" i="27"/>
  <c r="H61" i="27"/>
  <c r="I61" i="27"/>
  <c r="J61" i="27"/>
  <c r="K61" i="27"/>
  <c r="H62" i="27"/>
  <c r="I62" i="27"/>
  <c r="J62" i="27"/>
  <c r="K62" i="27"/>
  <c r="G63" i="27"/>
  <c r="H63" i="27"/>
  <c r="I63" i="27"/>
  <c r="J63" i="27"/>
  <c r="K63" i="27"/>
  <c r="H64" i="27"/>
  <c r="I64" i="27"/>
  <c r="J64" i="27"/>
  <c r="K64" i="27"/>
  <c r="H65" i="27"/>
  <c r="I65" i="27"/>
  <c r="J65" i="27"/>
  <c r="K65" i="27"/>
  <c r="H66" i="27"/>
  <c r="I66" i="27"/>
  <c r="J66" i="27"/>
  <c r="K66" i="27"/>
  <c r="G67" i="27"/>
  <c r="H67" i="27"/>
  <c r="I67" i="27"/>
  <c r="J67" i="27"/>
  <c r="K67" i="27"/>
  <c r="H68" i="27"/>
  <c r="I68" i="27"/>
  <c r="J68" i="27"/>
  <c r="K68" i="27"/>
  <c r="H69" i="27"/>
  <c r="I69" i="27"/>
  <c r="J69" i="27"/>
  <c r="K69" i="27"/>
  <c r="H70" i="27"/>
  <c r="I70" i="27"/>
  <c r="J70" i="27"/>
  <c r="K70" i="27"/>
  <c r="G71" i="27"/>
  <c r="H71" i="27"/>
  <c r="I71" i="27"/>
  <c r="J71" i="27"/>
  <c r="K71" i="27"/>
  <c r="H72" i="27"/>
  <c r="I72" i="27"/>
  <c r="J72" i="27"/>
  <c r="K72" i="27"/>
  <c r="H73" i="27"/>
  <c r="I73" i="27"/>
  <c r="J73" i="27"/>
  <c r="K73" i="27"/>
  <c r="H74" i="27"/>
  <c r="I74" i="27"/>
  <c r="J74" i="27"/>
  <c r="K74" i="27"/>
  <c r="G75" i="27"/>
  <c r="H75" i="27"/>
  <c r="I75" i="27"/>
  <c r="J75" i="27"/>
  <c r="K75" i="27"/>
  <c r="H76" i="27"/>
  <c r="I76" i="27"/>
  <c r="J76" i="27"/>
  <c r="K76" i="27"/>
  <c r="H77" i="27"/>
  <c r="I77" i="27"/>
  <c r="J77" i="27"/>
  <c r="K77" i="27"/>
  <c r="H78" i="27"/>
  <c r="I78" i="27"/>
  <c r="J78" i="27"/>
  <c r="K78" i="27"/>
  <c r="G79" i="27"/>
  <c r="H79" i="27"/>
  <c r="I79" i="27"/>
  <c r="J79" i="27"/>
  <c r="K79" i="27"/>
  <c r="H80" i="27"/>
  <c r="I80" i="27"/>
  <c r="J80" i="27"/>
  <c r="K80" i="27"/>
  <c r="H82" i="27"/>
  <c r="I82" i="27"/>
  <c r="J82" i="27"/>
  <c r="K82" i="27"/>
  <c r="H83" i="27"/>
  <c r="I83" i="27"/>
  <c r="J83" i="27"/>
  <c r="K83" i="27"/>
  <c r="G84" i="27"/>
  <c r="H84" i="27"/>
  <c r="I84" i="27"/>
  <c r="J84" i="27"/>
  <c r="K84" i="27"/>
  <c r="H85" i="27"/>
  <c r="I85" i="27"/>
  <c r="J85" i="27"/>
  <c r="K85" i="27"/>
  <c r="H86" i="27"/>
  <c r="I86" i="27"/>
  <c r="J86" i="27"/>
  <c r="K86" i="27"/>
  <c r="H87" i="27"/>
  <c r="I87" i="27"/>
  <c r="J87" i="27"/>
  <c r="K87" i="27"/>
  <c r="G88" i="27"/>
  <c r="H88" i="27"/>
  <c r="I88" i="27"/>
  <c r="J88" i="27"/>
  <c r="K88" i="27"/>
  <c r="H89" i="27"/>
  <c r="I89" i="27"/>
  <c r="J89" i="27"/>
  <c r="K89" i="27"/>
  <c r="H90" i="27"/>
  <c r="I90" i="27"/>
  <c r="J90" i="27"/>
  <c r="K90" i="27"/>
  <c r="H91" i="27"/>
  <c r="I91" i="27"/>
  <c r="J91" i="27"/>
  <c r="K91" i="27"/>
  <c r="G92" i="27"/>
  <c r="H92" i="27"/>
  <c r="I92" i="27"/>
  <c r="J92" i="27"/>
  <c r="K92" i="27"/>
  <c r="H93" i="27"/>
  <c r="I93" i="27"/>
  <c r="J93" i="27"/>
  <c r="K93" i="27"/>
  <c r="H94" i="27"/>
  <c r="I94" i="27"/>
  <c r="J94" i="27"/>
  <c r="K94" i="27"/>
  <c r="H95" i="27"/>
  <c r="I95" i="27"/>
  <c r="J95" i="27"/>
  <c r="K95" i="27"/>
  <c r="G96" i="27"/>
  <c r="H96" i="27"/>
  <c r="I96" i="27"/>
  <c r="J96" i="27"/>
  <c r="K96" i="27"/>
  <c r="H97" i="27"/>
  <c r="I97" i="27"/>
  <c r="J97" i="27"/>
  <c r="K97" i="27"/>
  <c r="H98" i="27"/>
  <c r="I98" i="27"/>
  <c r="J98" i="27"/>
  <c r="K98" i="27"/>
  <c r="H99" i="27"/>
  <c r="I99" i="27"/>
  <c r="J99" i="27"/>
  <c r="K99" i="27"/>
  <c r="G100" i="27"/>
  <c r="H100" i="27"/>
  <c r="I100" i="27"/>
  <c r="J100" i="27"/>
  <c r="K100" i="27"/>
  <c r="H101" i="27"/>
  <c r="I101" i="27"/>
  <c r="J101" i="27"/>
  <c r="K101" i="27"/>
  <c r="H102" i="27"/>
  <c r="I102" i="27"/>
  <c r="J102" i="27"/>
  <c r="K102" i="27"/>
  <c r="H103" i="27"/>
  <c r="I103" i="27"/>
  <c r="J103" i="27"/>
  <c r="K103" i="27"/>
  <c r="G104" i="27"/>
  <c r="H104" i="27"/>
  <c r="I104" i="27"/>
  <c r="J104" i="27"/>
  <c r="K104" i="27"/>
  <c r="H105" i="27"/>
  <c r="I105" i="27"/>
  <c r="J105" i="27"/>
  <c r="K105" i="27"/>
  <c r="H107" i="27"/>
  <c r="I107" i="27"/>
  <c r="J107" i="27"/>
  <c r="K107" i="27"/>
  <c r="H108" i="27"/>
  <c r="I108" i="27"/>
  <c r="J108" i="27"/>
  <c r="K108" i="27"/>
  <c r="G109" i="27"/>
  <c r="H109" i="27"/>
  <c r="I109" i="27"/>
  <c r="J109" i="27"/>
  <c r="K109" i="27"/>
  <c r="H110" i="27"/>
  <c r="I110" i="27"/>
  <c r="J110" i="27"/>
  <c r="K110" i="27"/>
  <c r="H111" i="27"/>
  <c r="I111" i="27"/>
  <c r="J111" i="27"/>
  <c r="K111" i="27"/>
  <c r="H112" i="27"/>
  <c r="I112" i="27"/>
  <c r="J112" i="27"/>
  <c r="K112" i="27"/>
  <c r="G113" i="27"/>
  <c r="H113" i="27"/>
  <c r="I113" i="27"/>
  <c r="J113" i="27"/>
  <c r="K113" i="27"/>
  <c r="H114" i="27"/>
  <c r="I114" i="27"/>
  <c r="J114" i="27"/>
  <c r="K114" i="27"/>
  <c r="H115" i="27"/>
  <c r="I115" i="27"/>
  <c r="J115" i="27"/>
  <c r="K115" i="27"/>
  <c r="H116" i="27"/>
  <c r="I116" i="27"/>
  <c r="J116" i="27"/>
  <c r="K116" i="27"/>
  <c r="G117" i="27"/>
  <c r="H117" i="27"/>
  <c r="I117" i="27"/>
  <c r="J117" i="27"/>
  <c r="K117" i="27"/>
  <c r="H118" i="27"/>
  <c r="I118" i="27"/>
  <c r="J118" i="27"/>
  <c r="K118" i="27"/>
  <c r="H119" i="27"/>
  <c r="I119" i="27"/>
  <c r="J119" i="27"/>
  <c r="K119" i="27"/>
  <c r="H120" i="27"/>
  <c r="I120" i="27"/>
  <c r="J120" i="27"/>
  <c r="K120" i="27"/>
  <c r="G121" i="27"/>
  <c r="H121" i="27"/>
  <c r="I121" i="27"/>
  <c r="J121" i="27"/>
  <c r="K121" i="27"/>
  <c r="H122" i="27"/>
  <c r="I122" i="27"/>
  <c r="J122" i="27"/>
  <c r="K122" i="27"/>
  <c r="H123" i="27"/>
  <c r="I123" i="27"/>
  <c r="J123" i="27"/>
  <c r="K123" i="27"/>
  <c r="H124" i="27"/>
  <c r="I124" i="27"/>
  <c r="J124" i="27"/>
  <c r="K124" i="27"/>
  <c r="G125" i="27"/>
  <c r="H125" i="27"/>
  <c r="I125" i="27"/>
  <c r="J125" i="27"/>
  <c r="K125" i="27"/>
  <c r="H126" i="27"/>
  <c r="I126" i="27"/>
  <c r="J126" i="27"/>
  <c r="K126" i="27"/>
  <c r="H127" i="27"/>
  <c r="I127" i="27"/>
  <c r="J127" i="27"/>
  <c r="K127" i="27"/>
  <c r="H128" i="27"/>
  <c r="I128" i="27"/>
  <c r="J128" i="27"/>
  <c r="K128" i="27"/>
  <c r="G129" i="27"/>
  <c r="H129" i="27"/>
  <c r="I129" i="27"/>
  <c r="J129" i="27"/>
  <c r="K129" i="27"/>
  <c r="H130" i="27"/>
  <c r="I130" i="27"/>
  <c r="J130" i="27"/>
  <c r="K130" i="27"/>
  <c r="H132" i="27"/>
  <c r="I132" i="27"/>
  <c r="J132" i="27"/>
  <c r="K132" i="27"/>
  <c r="H133" i="27"/>
  <c r="I133" i="27"/>
  <c r="J133" i="27"/>
  <c r="K133" i="27"/>
  <c r="G134" i="27"/>
  <c r="H134" i="27"/>
  <c r="I134" i="27"/>
  <c r="J134" i="27"/>
  <c r="K134" i="27"/>
  <c r="H135" i="27"/>
  <c r="I135" i="27"/>
  <c r="J135" i="27"/>
  <c r="K135" i="27"/>
  <c r="H136" i="27"/>
  <c r="I136" i="27"/>
  <c r="J136" i="27"/>
  <c r="K136" i="27"/>
  <c r="H137" i="27"/>
  <c r="I137" i="27"/>
  <c r="J137" i="27"/>
  <c r="K137" i="27"/>
  <c r="G138" i="27"/>
  <c r="H138" i="27"/>
  <c r="I138" i="27"/>
  <c r="J138" i="27"/>
  <c r="K138" i="27"/>
  <c r="H139" i="27"/>
  <c r="I139" i="27"/>
  <c r="J139" i="27"/>
  <c r="K139" i="27"/>
  <c r="H140" i="27"/>
  <c r="I140" i="27"/>
  <c r="J140" i="27"/>
  <c r="K140" i="27"/>
  <c r="H141" i="27"/>
  <c r="I141" i="27"/>
  <c r="J141" i="27"/>
  <c r="K141" i="27"/>
  <c r="G142" i="27"/>
  <c r="H142" i="27"/>
  <c r="I142" i="27"/>
  <c r="J142" i="27"/>
  <c r="K142" i="27"/>
  <c r="H143" i="27"/>
  <c r="I143" i="27"/>
  <c r="J143" i="27"/>
  <c r="K143" i="27"/>
  <c r="H144" i="27"/>
  <c r="I144" i="27"/>
  <c r="J144" i="27"/>
  <c r="K144" i="27"/>
  <c r="H145" i="27"/>
  <c r="I145" i="27"/>
  <c r="J145" i="27"/>
  <c r="K145" i="27"/>
  <c r="G146" i="27"/>
  <c r="H146" i="27"/>
  <c r="I146" i="27"/>
  <c r="J146" i="27"/>
  <c r="K146" i="27"/>
  <c r="H147" i="27"/>
  <c r="I147" i="27"/>
  <c r="J147" i="27"/>
  <c r="K147" i="27"/>
  <c r="H148" i="27"/>
  <c r="I148" i="27"/>
  <c r="J148" i="27"/>
  <c r="K148" i="27"/>
  <c r="H149" i="27"/>
  <c r="I149" i="27"/>
  <c r="J149" i="27"/>
  <c r="K149" i="27"/>
  <c r="G150" i="27"/>
  <c r="H150" i="27"/>
  <c r="I150" i="27"/>
  <c r="J150" i="27"/>
  <c r="K150" i="27"/>
  <c r="H151" i="27"/>
  <c r="I151" i="27"/>
  <c r="J151" i="27"/>
  <c r="K151" i="27"/>
  <c r="H152" i="27"/>
  <c r="I152" i="27"/>
  <c r="J152" i="27"/>
  <c r="K152" i="27"/>
  <c r="H153" i="27"/>
  <c r="I153" i="27"/>
  <c r="J153" i="27"/>
  <c r="K153" i="27"/>
  <c r="G154" i="27"/>
  <c r="H154" i="27"/>
  <c r="I154" i="27"/>
  <c r="J154" i="27"/>
  <c r="K154" i="27"/>
  <c r="H155" i="27"/>
  <c r="I155" i="27"/>
  <c r="J155" i="27"/>
  <c r="K155" i="27"/>
  <c r="H157" i="27"/>
  <c r="I157" i="27"/>
  <c r="J157" i="27"/>
  <c r="K157" i="27"/>
  <c r="H158" i="27"/>
  <c r="I158" i="27"/>
  <c r="J158" i="27"/>
  <c r="K158" i="27"/>
  <c r="G159" i="27"/>
  <c r="H159" i="27"/>
  <c r="I159" i="27"/>
  <c r="J159" i="27"/>
  <c r="K159" i="27"/>
  <c r="H160" i="27"/>
  <c r="I160" i="27"/>
  <c r="J160" i="27"/>
  <c r="K160" i="27"/>
  <c r="H161" i="27"/>
  <c r="I161" i="27"/>
  <c r="J161" i="27"/>
  <c r="K161" i="27"/>
  <c r="H162" i="27"/>
  <c r="I162" i="27"/>
  <c r="J162" i="27"/>
  <c r="K162" i="27"/>
  <c r="G163" i="27"/>
  <c r="H163" i="27"/>
  <c r="I163" i="27"/>
  <c r="J163" i="27"/>
  <c r="K163" i="27"/>
  <c r="H164" i="27"/>
  <c r="I164" i="27"/>
  <c r="J164" i="27"/>
  <c r="K164" i="27"/>
  <c r="H165" i="27"/>
  <c r="I165" i="27"/>
  <c r="J165" i="27"/>
  <c r="K165" i="27"/>
  <c r="H166" i="27"/>
  <c r="I166" i="27"/>
  <c r="J166" i="27"/>
  <c r="K166" i="27"/>
  <c r="G167" i="27"/>
  <c r="H167" i="27"/>
  <c r="I167" i="27"/>
  <c r="J167" i="27"/>
  <c r="K167" i="27"/>
  <c r="H168" i="27"/>
  <c r="I168" i="27"/>
  <c r="J168" i="27"/>
  <c r="K168" i="27"/>
  <c r="H169" i="27"/>
  <c r="I169" i="27"/>
  <c r="J169" i="27"/>
  <c r="K169" i="27"/>
  <c r="H170" i="27"/>
  <c r="I170" i="27"/>
  <c r="J170" i="27"/>
  <c r="K170" i="27"/>
  <c r="G171" i="27"/>
  <c r="H171" i="27"/>
  <c r="I171" i="27"/>
  <c r="J171" i="27"/>
  <c r="K171" i="27"/>
  <c r="H172" i="27"/>
  <c r="I172" i="27"/>
  <c r="J172" i="27"/>
  <c r="K172" i="27"/>
  <c r="F3" i="26"/>
  <c r="F5" i="26"/>
  <c r="C10" i="26"/>
  <c r="M10" i="26"/>
  <c r="C11" i="26"/>
  <c r="M11" i="26"/>
  <c r="F18" i="26"/>
  <c r="F20" i="26"/>
  <c r="I19" i="26"/>
  <c r="I20" i="26"/>
  <c r="G27" i="26"/>
  <c r="C6" i="25"/>
  <c r="C14" i="25"/>
  <c r="C7" i="25"/>
  <c r="C15" i="25"/>
  <c r="C9" i="25"/>
  <c r="F10" i="25"/>
  <c r="C12" i="25"/>
  <c r="E3" i="24"/>
  <c r="E4" i="24"/>
  <c r="C6" i="24"/>
  <c r="E6" i="24"/>
  <c r="E32" i="10"/>
  <c r="E34" i="10"/>
  <c r="H34" i="10"/>
  <c r="I34" i="8"/>
  <c r="K34" i="8"/>
  <c r="H33" i="7"/>
  <c r="H35" i="7"/>
  <c r="J35" i="7"/>
  <c r="I4" i="6"/>
  <c r="I5" i="6"/>
  <c r="I6" i="6"/>
  <c r="I7" i="6"/>
  <c r="I8" i="6"/>
  <c r="I9" i="6"/>
  <c r="I10" i="6"/>
  <c r="I11" i="6"/>
  <c r="I12" i="6"/>
  <c r="I13" i="6"/>
  <c r="I14" i="6"/>
  <c r="I15" i="6"/>
  <c r="I16" i="6"/>
  <c r="I17" i="6"/>
  <c r="I18" i="6"/>
  <c r="I19" i="6"/>
  <c r="I20" i="6"/>
  <c r="I21" i="6"/>
  <c r="I3" i="6"/>
  <c r="H4" i="6"/>
  <c r="H5" i="6"/>
  <c r="H6" i="6"/>
  <c r="H7" i="6"/>
  <c r="H8" i="6"/>
  <c r="H9" i="6"/>
  <c r="H10" i="6"/>
  <c r="H11" i="6"/>
  <c r="H12" i="6"/>
  <c r="H13" i="6"/>
  <c r="H14" i="6"/>
  <c r="H15" i="6"/>
  <c r="H16" i="6"/>
  <c r="H17" i="6"/>
  <c r="H18" i="6"/>
  <c r="H19" i="6"/>
  <c r="H20" i="6"/>
  <c r="H21" i="6"/>
  <c r="H3" i="6"/>
  <c r="G4" i="6"/>
  <c r="G5" i="6"/>
  <c r="G6" i="6"/>
  <c r="G7" i="6"/>
  <c r="G8" i="6"/>
  <c r="G9" i="6"/>
  <c r="G10" i="6"/>
  <c r="G11" i="6"/>
  <c r="G12" i="6"/>
  <c r="G13" i="6"/>
  <c r="G14" i="6"/>
  <c r="G15" i="6"/>
  <c r="G16" i="6"/>
  <c r="G17" i="6"/>
  <c r="G18" i="6"/>
  <c r="G19" i="6"/>
  <c r="G20" i="6"/>
  <c r="G21" i="6"/>
  <c r="G3" i="6"/>
  <c r="F8" i="6"/>
  <c r="F9" i="6"/>
  <c r="F10" i="6"/>
  <c r="F11" i="6"/>
  <c r="F12" i="6"/>
  <c r="F13" i="6"/>
  <c r="F14" i="6"/>
  <c r="F15" i="6"/>
  <c r="F16" i="6"/>
  <c r="F17" i="6"/>
  <c r="F18" i="6"/>
  <c r="F19" i="6"/>
  <c r="F20" i="6"/>
  <c r="F21" i="6"/>
  <c r="F4" i="6"/>
  <c r="F5" i="6"/>
  <c r="F6" i="6"/>
  <c r="F7" i="6"/>
  <c r="F3" i="6"/>
  <c r="E32" i="9"/>
  <c r="B18" i="14"/>
  <c r="B17" i="14"/>
  <c r="B19" i="14"/>
  <c r="H18" i="11"/>
  <c r="H19" i="11"/>
  <c r="H20" i="11"/>
  <c r="H21" i="11"/>
  <c r="H23" i="11"/>
  <c r="H24" i="11"/>
  <c r="H25" i="11"/>
  <c r="H26" i="11"/>
  <c r="H27" i="11"/>
  <c r="H29" i="11"/>
  <c r="H30" i="11"/>
  <c r="H31" i="11"/>
  <c r="H32" i="11"/>
  <c r="H33" i="11"/>
  <c r="H35" i="11"/>
  <c r="H36" i="11"/>
  <c r="H37" i="11"/>
  <c r="H38" i="11"/>
  <c r="H39" i="11"/>
  <c r="H41" i="11"/>
  <c r="H42" i="11"/>
  <c r="H43" i="11"/>
  <c r="H45" i="11"/>
  <c r="H46" i="11"/>
  <c r="H47" i="11"/>
  <c r="H48" i="11"/>
  <c r="H17" i="11"/>
  <c r="F18" i="11"/>
  <c r="F19" i="11"/>
  <c r="F20" i="11"/>
  <c r="F21" i="11"/>
  <c r="F23" i="11"/>
  <c r="F24" i="11"/>
  <c r="F25" i="11"/>
  <c r="F26" i="11"/>
  <c r="F27" i="11"/>
  <c r="F29" i="11"/>
  <c r="F30" i="11"/>
  <c r="F31" i="11"/>
  <c r="F32" i="11"/>
  <c r="F33" i="11"/>
  <c r="F35" i="11"/>
  <c r="F36" i="11"/>
  <c r="F37" i="11"/>
  <c r="F38" i="11"/>
  <c r="F39" i="11"/>
  <c r="F41" i="11"/>
  <c r="F42" i="11"/>
  <c r="F43" i="11"/>
  <c r="F45" i="11"/>
  <c r="F46" i="11"/>
  <c r="F47" i="11"/>
  <c r="F17" i="11"/>
  <c r="D18" i="11"/>
  <c r="D19" i="11"/>
  <c r="D20" i="11"/>
  <c r="D21" i="11"/>
  <c r="D23" i="11"/>
  <c r="D24" i="11"/>
  <c r="D25" i="11"/>
  <c r="D26" i="11"/>
  <c r="D27" i="11"/>
  <c r="D29" i="11"/>
  <c r="D30" i="11"/>
  <c r="D31" i="11"/>
  <c r="D32" i="11"/>
  <c r="D33" i="11"/>
  <c r="D35" i="11"/>
  <c r="D36" i="11"/>
  <c r="D37" i="11"/>
  <c r="D38" i="11"/>
  <c r="D39" i="11"/>
  <c r="D41" i="11"/>
  <c r="D42" i="11"/>
  <c r="D43" i="11"/>
  <c r="D45" i="11"/>
  <c r="D46" i="11"/>
  <c r="D47" i="11"/>
  <c r="D17" i="11"/>
  <c r="B18" i="11"/>
  <c r="B19" i="11"/>
  <c r="B20" i="11"/>
  <c r="B21" i="11"/>
  <c r="B23" i="11"/>
  <c r="B24" i="11"/>
  <c r="B25" i="11"/>
  <c r="B26" i="11"/>
  <c r="B27" i="11"/>
  <c r="B29" i="11"/>
  <c r="B30" i="11"/>
  <c r="B31" i="11"/>
  <c r="B32" i="11"/>
  <c r="B33" i="11"/>
  <c r="B35" i="11"/>
  <c r="B36" i="11"/>
  <c r="B37" i="11"/>
  <c r="B38" i="11"/>
  <c r="B39" i="11"/>
  <c r="B41" i="11"/>
  <c r="B42" i="11"/>
  <c r="B43" i="11"/>
  <c r="B45" i="11"/>
  <c r="B46" i="11"/>
  <c r="B47" i="11"/>
  <c r="B17" i="11"/>
  <c r="B10" i="15"/>
  <c r="B11" i="15"/>
  <c r="G11" i="15"/>
  <c r="B12" i="15"/>
  <c r="G12" i="15"/>
  <c r="B13" i="15"/>
  <c r="G13" i="15"/>
  <c r="B14" i="15"/>
  <c r="G14" i="15"/>
  <c r="B15" i="15"/>
  <c r="B16" i="15"/>
  <c r="C16" i="15"/>
  <c r="B17" i="15"/>
  <c r="B18" i="15"/>
  <c r="B19" i="15"/>
  <c r="G19" i="15"/>
  <c r="B20" i="15"/>
  <c r="G20" i="15"/>
  <c r="B21" i="15"/>
  <c r="G21" i="15"/>
  <c r="B22" i="15"/>
  <c r="G22" i="15"/>
  <c r="B23" i="15"/>
  <c r="B24" i="15"/>
  <c r="G24" i="15"/>
  <c r="B25" i="15"/>
  <c r="I25" i="15"/>
  <c r="B26" i="15"/>
  <c r="I26" i="15"/>
  <c r="B27" i="15"/>
  <c r="G27" i="15"/>
  <c r="B28" i="15"/>
  <c r="G28" i="15"/>
  <c r="B29" i="15"/>
  <c r="G29" i="15"/>
  <c r="B30" i="15"/>
  <c r="G30" i="15"/>
  <c r="B31" i="15"/>
  <c r="B32" i="15"/>
  <c r="G32" i="15"/>
  <c r="B33" i="15"/>
  <c r="G33" i="15"/>
  <c r="B34" i="15"/>
  <c r="D34" i="15"/>
  <c r="B35" i="15"/>
  <c r="G35" i="15"/>
  <c r="B36" i="15"/>
  <c r="G36" i="15"/>
  <c r="B37" i="15"/>
  <c r="B38" i="15"/>
  <c r="G38" i="15"/>
  <c r="B39" i="15"/>
  <c r="E39" i="15"/>
  <c r="B40" i="15"/>
  <c r="I40" i="15"/>
  <c r="G40" i="15"/>
  <c r="B41" i="15"/>
  <c r="B42" i="15"/>
  <c r="B43" i="15"/>
  <c r="G43" i="15"/>
  <c r="B44" i="15"/>
  <c r="G44" i="15"/>
  <c r="B45" i="15"/>
  <c r="B46" i="15"/>
  <c r="J46" i="15"/>
  <c r="B47" i="15"/>
  <c r="B48" i="15"/>
  <c r="G48" i="15"/>
  <c r="B49" i="15"/>
  <c r="B50" i="15"/>
  <c r="D50" i="15"/>
  <c r="B51" i="15"/>
  <c r="J51" i="15"/>
  <c r="G51" i="15"/>
  <c r="B52" i="15"/>
  <c r="G52" i="15"/>
  <c r="B6" i="15"/>
  <c r="G6" i="15"/>
  <c r="B7" i="15"/>
  <c r="G7" i="15"/>
  <c r="B8" i="15"/>
  <c r="B9" i="15"/>
  <c r="B5" i="15"/>
  <c r="G5" i="15"/>
  <c r="B4" i="15"/>
  <c r="J52" i="15"/>
  <c r="J40" i="15"/>
  <c r="J44" i="15"/>
  <c r="I41" i="15"/>
  <c r="I44" i="15"/>
  <c r="I45" i="15"/>
  <c r="I49" i="15"/>
  <c r="I51" i="15"/>
  <c r="I52" i="15"/>
  <c r="H41" i="15"/>
  <c r="H44" i="15"/>
  <c r="H45" i="15"/>
  <c r="H49" i="15"/>
  <c r="H51" i="15"/>
  <c r="H52" i="15"/>
  <c r="F41" i="15"/>
  <c r="F44" i="15"/>
  <c r="F45" i="15"/>
  <c r="F49" i="15"/>
  <c r="F51" i="15"/>
  <c r="F52" i="15"/>
  <c r="E41" i="15"/>
  <c r="E44" i="15"/>
  <c r="E45" i="15"/>
  <c r="E49" i="15"/>
  <c r="E51" i="15"/>
  <c r="E52" i="15"/>
  <c r="D41" i="15"/>
  <c r="D44" i="15"/>
  <c r="D45" i="15"/>
  <c r="D49" i="15"/>
  <c r="D51" i="15"/>
  <c r="D52" i="15"/>
  <c r="C41" i="15"/>
  <c r="C44" i="15"/>
  <c r="C45" i="15"/>
  <c r="C49" i="15"/>
  <c r="C51" i="15"/>
  <c r="C52" i="15"/>
  <c r="J27" i="15"/>
  <c r="J28" i="15"/>
  <c r="J29" i="15"/>
  <c r="J30" i="15"/>
  <c r="J33" i="15"/>
  <c r="J35" i="15"/>
  <c r="J36" i="15"/>
  <c r="I36" i="15"/>
  <c r="I27" i="15"/>
  <c r="I28" i="15"/>
  <c r="I29" i="15"/>
  <c r="I30" i="15"/>
  <c r="I32" i="15"/>
  <c r="I33" i="15"/>
  <c r="I35" i="15"/>
  <c r="H27" i="15"/>
  <c r="H28" i="15"/>
  <c r="H29" i="15"/>
  <c r="H30" i="15"/>
  <c r="H33" i="15"/>
  <c r="H35" i="15"/>
  <c r="H36" i="15"/>
  <c r="F36" i="15"/>
  <c r="F27" i="15"/>
  <c r="F28" i="15"/>
  <c r="F29" i="15"/>
  <c r="F30" i="15"/>
  <c r="F32" i="15"/>
  <c r="F33" i="15"/>
  <c r="F35" i="15"/>
  <c r="E27" i="15"/>
  <c r="E28" i="15"/>
  <c r="E29" i="15"/>
  <c r="E30" i="15"/>
  <c r="E33" i="15"/>
  <c r="E35" i="15"/>
  <c r="E36" i="15"/>
  <c r="D27" i="15"/>
  <c r="D28" i="15"/>
  <c r="D29" i="15"/>
  <c r="D30" i="15"/>
  <c r="D33" i="15"/>
  <c r="D35" i="15"/>
  <c r="D36" i="15"/>
  <c r="C27" i="15"/>
  <c r="C28" i="15"/>
  <c r="C29" i="15"/>
  <c r="C30" i="15"/>
  <c r="C33" i="15"/>
  <c r="C35" i="15"/>
  <c r="C36" i="15"/>
  <c r="J5" i="15"/>
  <c r="J6" i="15"/>
  <c r="J7" i="15"/>
  <c r="J9" i="15"/>
  <c r="J11" i="15"/>
  <c r="J12" i="15"/>
  <c r="J13" i="15"/>
  <c r="J14" i="15"/>
  <c r="J19" i="15"/>
  <c r="J20" i="15"/>
  <c r="J21" i="15"/>
  <c r="J22" i="15"/>
  <c r="J4" i="15"/>
  <c r="I5" i="15"/>
  <c r="I7" i="15"/>
  <c r="I8" i="15"/>
  <c r="I9" i="15"/>
  <c r="I11" i="15"/>
  <c r="I12" i="15"/>
  <c r="I13" i="15"/>
  <c r="I14" i="15"/>
  <c r="I19" i="15"/>
  <c r="I20" i="15"/>
  <c r="I21" i="15"/>
  <c r="I22" i="15"/>
  <c r="I24" i="15"/>
  <c r="H5" i="15"/>
  <c r="H7" i="15"/>
  <c r="H11" i="15"/>
  <c r="H12" i="15"/>
  <c r="H14" i="15"/>
  <c r="H15" i="15"/>
  <c r="H16" i="15"/>
  <c r="H19" i="15"/>
  <c r="H20" i="15"/>
  <c r="H22" i="15"/>
  <c r="H23" i="15"/>
  <c r="H24" i="15"/>
  <c r="F5" i="15"/>
  <c r="F6" i="15"/>
  <c r="F7" i="15"/>
  <c r="F11" i="15"/>
  <c r="F12" i="15"/>
  <c r="F14" i="15"/>
  <c r="F19" i="15"/>
  <c r="F20" i="15"/>
  <c r="F22" i="15"/>
  <c r="E5" i="15"/>
  <c r="E6" i="15"/>
  <c r="E7" i="15"/>
  <c r="E11" i="15"/>
  <c r="E12" i="15"/>
  <c r="E13" i="15"/>
  <c r="E14" i="15"/>
  <c r="E19" i="15"/>
  <c r="E20" i="15"/>
  <c r="E21" i="15"/>
  <c r="E22" i="15"/>
  <c r="E4" i="15"/>
  <c r="D5" i="15"/>
  <c r="D7" i="15"/>
  <c r="D8" i="15"/>
  <c r="D11" i="15"/>
  <c r="D12" i="15"/>
  <c r="D13" i="15"/>
  <c r="D14" i="15"/>
  <c r="D17" i="15"/>
  <c r="D19" i="15"/>
  <c r="D20" i="15"/>
  <c r="D21" i="15"/>
  <c r="D22" i="15"/>
  <c r="D24" i="15"/>
  <c r="C5" i="15"/>
  <c r="C7" i="15"/>
  <c r="C11" i="15"/>
  <c r="C12" i="15"/>
  <c r="C14" i="15"/>
  <c r="C15" i="15"/>
  <c r="C19" i="15"/>
  <c r="C20" i="15"/>
  <c r="C22" i="15"/>
  <c r="C23" i="15"/>
  <c r="C24" i="15"/>
  <c r="E34" i="9"/>
  <c r="H34" i="9"/>
  <c r="C8" i="16"/>
  <c r="D23" i="16"/>
  <c r="C20" i="16"/>
  <c r="B28" i="16"/>
  <c r="K28" i="16"/>
  <c r="L28" i="16"/>
  <c r="C28" i="16"/>
  <c r="E7" i="16"/>
  <c r="H17" i="16"/>
  <c r="C17" i="16"/>
  <c r="F23" i="16"/>
  <c r="D19" i="16"/>
  <c r="D18" i="16"/>
  <c r="B23" i="16"/>
  <c r="E26" i="14"/>
  <c r="E28" i="14"/>
  <c r="E29" i="14"/>
  <c r="B21" i="14"/>
  <c r="E31" i="14"/>
  <c r="G31" i="14"/>
  <c r="E32" i="14"/>
  <c r="G32" i="14"/>
  <c r="E30" i="14"/>
  <c r="G30" i="14"/>
  <c r="E27" i="14"/>
  <c r="IV8197" i="14"/>
  <c r="IV8196" i="14"/>
  <c r="IV8193" i="14"/>
  <c r="IV8194" i="14"/>
  <c r="IV8195" i="14"/>
  <c r="B20" i="14"/>
  <c r="E15" i="14"/>
  <c r="I50" i="15"/>
  <c r="H50" i="15"/>
  <c r="F50" i="15"/>
  <c r="E50" i="15"/>
  <c r="G50" i="15"/>
  <c r="C50" i="15"/>
  <c r="J50" i="15"/>
  <c r="G39" i="15"/>
  <c r="I39" i="15"/>
  <c r="H39" i="15"/>
  <c r="F39" i="15"/>
  <c r="D39" i="15"/>
  <c r="C39" i="15"/>
  <c r="J39" i="15"/>
  <c r="I18" i="15"/>
  <c r="D18" i="15"/>
  <c r="H18" i="15"/>
  <c r="C18" i="15"/>
  <c r="G18" i="15"/>
  <c r="J18" i="15"/>
  <c r="E18" i="15"/>
  <c r="F18" i="15"/>
  <c r="I42" i="15"/>
  <c r="H42" i="15"/>
  <c r="F42" i="15"/>
  <c r="E42" i="15"/>
  <c r="D42" i="15"/>
  <c r="C42" i="15"/>
  <c r="J42" i="15"/>
  <c r="G42" i="15"/>
  <c r="G31" i="15"/>
  <c r="J31" i="15"/>
  <c r="H31" i="15"/>
  <c r="E31" i="15"/>
  <c r="D31" i="15"/>
  <c r="C31" i="15"/>
  <c r="I31" i="15"/>
  <c r="F31" i="15"/>
  <c r="I10" i="15"/>
  <c r="D10" i="15"/>
  <c r="H10" i="15"/>
  <c r="C10" i="15"/>
  <c r="G10" i="15"/>
  <c r="J10" i="15"/>
  <c r="E10" i="15"/>
  <c r="G8" i="15"/>
  <c r="F8" i="15"/>
  <c r="J8" i="15"/>
  <c r="E8" i="15"/>
  <c r="H8" i="15"/>
  <c r="C8" i="15"/>
  <c r="I34" i="15"/>
  <c r="F34" i="15"/>
  <c r="G34" i="15"/>
  <c r="J34" i="15"/>
  <c r="H34" i="15"/>
  <c r="E34" i="15"/>
  <c r="C34" i="15"/>
  <c r="G23" i="15"/>
  <c r="J23" i="15"/>
  <c r="E23" i="15"/>
  <c r="I23" i="15"/>
  <c r="D23" i="15"/>
  <c r="F23" i="15"/>
  <c r="F10" i="15"/>
  <c r="H4" i="15"/>
  <c r="C4" i="15"/>
  <c r="F4" i="15"/>
  <c r="G4" i="15"/>
  <c r="I4" i="15"/>
  <c r="D4" i="15"/>
  <c r="G47" i="15"/>
  <c r="J47" i="15"/>
  <c r="C47" i="15"/>
  <c r="I47" i="15"/>
  <c r="H47" i="15"/>
  <c r="F47" i="15"/>
  <c r="E47" i="15"/>
  <c r="D47" i="15"/>
  <c r="F26" i="15"/>
  <c r="G26" i="15"/>
  <c r="J26" i="15"/>
  <c r="H26" i="15"/>
  <c r="E26" i="15"/>
  <c r="D26" i="15"/>
  <c r="C26" i="15"/>
  <c r="G15" i="15"/>
  <c r="J15" i="15"/>
  <c r="E15" i="15"/>
  <c r="I15" i="15"/>
  <c r="D15" i="15"/>
  <c r="F15" i="15"/>
  <c r="G45" i="15"/>
  <c r="J45" i="15"/>
  <c r="G37" i="15"/>
  <c r="J37" i="15"/>
  <c r="C6" i="15"/>
  <c r="E24" i="15"/>
  <c r="E16" i="15"/>
  <c r="F21" i="15"/>
  <c r="F13" i="15"/>
  <c r="H6" i="15"/>
  <c r="J24" i="15"/>
  <c r="J16" i="15"/>
  <c r="C32" i="15"/>
  <c r="D32" i="15"/>
  <c r="E32" i="15"/>
  <c r="H32" i="15"/>
  <c r="J32" i="15"/>
  <c r="C48" i="15"/>
  <c r="J48" i="15"/>
  <c r="J43" i="15"/>
  <c r="J38" i="15"/>
  <c r="G49" i="15"/>
  <c r="J49" i="15"/>
  <c r="G41" i="15"/>
  <c r="J41" i="15"/>
  <c r="C21" i="15"/>
  <c r="C13" i="15"/>
  <c r="C9" i="15"/>
  <c r="D6" i="15"/>
  <c r="F24" i="15"/>
  <c r="F16" i="15"/>
  <c r="H21" i="15"/>
  <c r="H13" i="15"/>
  <c r="H9" i="15"/>
  <c r="I6" i="15"/>
  <c r="C37" i="15"/>
  <c r="D48" i="15"/>
  <c r="D37" i="15"/>
  <c r="E48" i="15"/>
  <c r="E37" i="15"/>
  <c r="F48" i="15"/>
  <c r="F37" i="15"/>
  <c r="H48" i="15"/>
  <c r="H37" i="15"/>
  <c r="I48" i="15"/>
  <c r="I37" i="15"/>
  <c r="I46" i="15"/>
  <c r="H46" i="15"/>
  <c r="E46" i="15"/>
  <c r="D46" i="15"/>
  <c r="I38" i="15"/>
  <c r="H38" i="15"/>
  <c r="F38" i="15"/>
  <c r="E38" i="15"/>
  <c r="D38" i="15"/>
  <c r="C38" i="15"/>
  <c r="H10" i="25"/>
  <c r="E21" i="14"/>
  <c r="G21" i="14"/>
  <c r="G15" i="14"/>
  <c r="E16" i="14"/>
  <c r="E17" i="14"/>
  <c r="G29" i="14"/>
  <c r="E9" i="15"/>
  <c r="G9" i="15"/>
  <c r="D9" i="15"/>
  <c r="F9" i="15"/>
  <c r="D28" i="16"/>
  <c r="C46" i="15"/>
  <c r="G46" i="15"/>
  <c r="F46" i="15"/>
  <c r="B29" i="16"/>
  <c r="I17" i="15"/>
  <c r="J17" i="15"/>
  <c r="F17" i="15"/>
  <c r="C17" i="15"/>
  <c r="G17" i="15"/>
  <c r="H17" i="15"/>
  <c r="E17" i="15"/>
  <c r="I16" i="15"/>
  <c r="J25" i="15"/>
  <c r="C10" i="25"/>
  <c r="C40" i="15"/>
  <c r="D40" i="15"/>
  <c r="E40" i="15"/>
  <c r="F40" i="15"/>
  <c r="H40" i="15"/>
  <c r="H9" i="25"/>
  <c r="C13" i="25"/>
  <c r="F9" i="25"/>
  <c r="D16" i="15"/>
  <c r="G25" i="15"/>
  <c r="G16" i="15"/>
  <c r="C11" i="25"/>
  <c r="D14" i="25"/>
  <c r="C25" i="15"/>
  <c r="D25" i="15"/>
  <c r="E25" i="15"/>
  <c r="F25" i="15"/>
  <c r="H25" i="15"/>
  <c r="C43" i="15"/>
  <c r="D43" i="15"/>
  <c r="E43" i="15"/>
  <c r="F43" i="15"/>
  <c r="H43" i="15"/>
  <c r="I43" i="15"/>
  <c r="B30" i="16"/>
  <c r="C29" i="16"/>
  <c r="K29" i="16"/>
  <c r="L29" i="16"/>
  <c r="E28" i="16"/>
  <c r="F28" i="16"/>
  <c r="G17" i="14"/>
  <c r="G16" i="14"/>
  <c r="G19" i="25"/>
  <c r="C19" i="25"/>
  <c r="L19" i="25"/>
  <c r="I19" i="25"/>
  <c r="B22" i="25"/>
  <c r="D22" i="25"/>
  <c r="M22" i="25"/>
  <c r="O22" i="25"/>
  <c r="H22" i="25"/>
  <c r="J22" i="25"/>
  <c r="G23" i="14"/>
  <c r="G22" i="14"/>
  <c r="E22" i="14"/>
  <c r="E23" i="14"/>
  <c r="D29" i="16"/>
  <c r="B31" i="16"/>
  <c r="C30" i="16"/>
  <c r="K30" i="16"/>
  <c r="L30" i="16"/>
  <c r="D30" i="16"/>
  <c r="B32" i="16"/>
  <c r="C31" i="16"/>
  <c r="K31" i="16"/>
  <c r="L31" i="16"/>
  <c r="E29" i="16"/>
  <c r="F29" i="16"/>
  <c r="F30" i="16"/>
  <c r="E30" i="16"/>
  <c r="D31" i="16"/>
  <c r="C32" i="16"/>
  <c r="K32" i="16"/>
  <c r="L32" i="16"/>
  <c r="B33" i="16"/>
  <c r="F31" i="16"/>
  <c r="E31" i="16"/>
  <c r="C33" i="16"/>
  <c r="K33" i="16"/>
  <c r="L33" i="16"/>
  <c r="B34" i="16"/>
  <c r="D32" i="16"/>
  <c r="K34" i="16"/>
  <c r="L34" i="16"/>
  <c r="B35" i="16"/>
  <c r="C34" i="16"/>
  <c r="D34" i="16"/>
  <c r="D33" i="16"/>
  <c r="E32" i="16"/>
  <c r="F32" i="16"/>
  <c r="F33" i="16"/>
  <c r="E33" i="16"/>
  <c r="E34" i="16"/>
  <c r="F34" i="16"/>
  <c r="K35" i="16"/>
  <c r="L35" i="16"/>
  <c r="B36" i="16"/>
  <c r="C35" i="16"/>
  <c r="D35" i="16"/>
  <c r="F35" i="16"/>
  <c r="E35" i="16"/>
  <c r="B37" i="16"/>
  <c r="C36" i="16"/>
  <c r="K36" i="16"/>
  <c r="L36" i="16"/>
  <c r="B38" i="16"/>
  <c r="C37" i="16"/>
  <c r="K37" i="16"/>
  <c r="L37" i="16"/>
  <c r="D36" i="16"/>
  <c r="E36" i="16"/>
  <c r="F36" i="16"/>
  <c r="D37" i="16"/>
  <c r="B39" i="16"/>
  <c r="K38" i="16"/>
  <c r="L38" i="16"/>
  <c r="C38" i="16"/>
  <c r="D38" i="16"/>
  <c r="F38" i="16"/>
  <c r="E38" i="16"/>
  <c r="E37" i="16"/>
  <c r="F37" i="16"/>
  <c r="C39" i="16"/>
  <c r="B40" i="16"/>
  <c r="K39" i="16"/>
  <c r="L39" i="16"/>
  <c r="D39" i="16"/>
  <c r="B41" i="16"/>
  <c r="C40" i="16"/>
  <c r="K40" i="16"/>
  <c r="L40" i="16"/>
  <c r="D40" i="16"/>
  <c r="C41" i="16"/>
  <c r="K41" i="16"/>
  <c r="L41" i="16"/>
  <c r="B42" i="16"/>
  <c r="F39" i="16"/>
  <c r="E39" i="16"/>
  <c r="B43" i="16"/>
  <c r="C42" i="16"/>
  <c r="K42" i="16"/>
  <c r="L42" i="16"/>
  <c r="D41" i="16"/>
  <c r="F40" i="16"/>
  <c r="E40" i="16"/>
  <c r="F41" i="16"/>
  <c r="E41" i="16"/>
  <c r="D42" i="16"/>
  <c r="K43" i="16"/>
  <c r="L43" i="16"/>
  <c r="B44" i="16"/>
  <c r="C43" i="16"/>
  <c r="D43" i="16"/>
  <c r="B45" i="16"/>
  <c r="K44" i="16"/>
  <c r="L44" i="16"/>
  <c r="C44" i="16"/>
  <c r="E42" i="16"/>
  <c r="F42" i="16"/>
  <c r="F43" i="16"/>
  <c r="E43" i="16"/>
  <c r="D44" i="16"/>
  <c r="B46" i="16"/>
  <c r="C45" i="16"/>
  <c r="K45" i="16"/>
  <c r="L45" i="16"/>
  <c r="C46" i="16"/>
  <c r="K46" i="16"/>
  <c r="L46" i="16"/>
  <c r="B47" i="16"/>
  <c r="D45" i="16"/>
  <c r="F44" i="16"/>
  <c r="E44" i="16"/>
  <c r="F45" i="16"/>
  <c r="E45" i="16"/>
  <c r="B48" i="16"/>
  <c r="C47" i="16"/>
  <c r="K47" i="16"/>
  <c r="L47" i="16"/>
  <c r="D46" i="16"/>
  <c r="K48" i="16"/>
  <c r="L48" i="16"/>
  <c r="B49" i="16"/>
  <c r="C48" i="16"/>
  <c r="D48" i="16"/>
  <c r="F46" i="16"/>
  <c r="E46" i="16"/>
  <c r="D47" i="16"/>
  <c r="F47" i="16"/>
  <c r="E47" i="16"/>
  <c r="C49" i="16"/>
  <c r="K49" i="16"/>
  <c r="L49" i="16"/>
  <c r="B50" i="16"/>
  <c r="E48" i="16"/>
  <c r="F48" i="16"/>
  <c r="K50" i="16"/>
  <c r="L50" i="16"/>
  <c r="C50" i="16"/>
  <c r="D50" i="16"/>
  <c r="B51" i="16"/>
  <c r="D49" i="16"/>
  <c r="F49" i="16"/>
  <c r="E49" i="16"/>
  <c r="E50" i="16"/>
  <c r="F50" i="16"/>
  <c r="B52" i="16"/>
  <c r="C51" i="16"/>
  <c r="K51" i="16"/>
  <c r="L51" i="16"/>
  <c r="D51" i="16"/>
  <c r="B53" i="16"/>
  <c r="C52" i="16"/>
  <c r="K52" i="16"/>
  <c r="L52" i="16"/>
  <c r="K53" i="16"/>
  <c r="L53" i="16"/>
  <c r="B54" i="16"/>
  <c r="C53" i="16"/>
  <c r="D53" i="16"/>
  <c r="D52" i="16"/>
  <c r="F51" i="16"/>
  <c r="E51" i="16"/>
  <c r="E52" i="16"/>
  <c r="F52" i="16"/>
  <c r="C54" i="16"/>
  <c r="K54" i="16"/>
  <c r="L54" i="16"/>
  <c r="B55" i="16"/>
  <c r="F53" i="16"/>
  <c r="E53" i="16"/>
  <c r="B56" i="16"/>
  <c r="C55" i="16"/>
  <c r="K55" i="16"/>
  <c r="L55" i="16"/>
  <c r="D54" i="16"/>
  <c r="F54" i="16"/>
  <c r="E54" i="16"/>
  <c r="D55" i="16"/>
  <c r="B57" i="16"/>
  <c r="K56" i="16"/>
  <c r="L56" i="16"/>
  <c r="C56" i="16"/>
  <c r="D56" i="16"/>
  <c r="F56" i="16"/>
  <c r="E56" i="16"/>
  <c r="F55" i="16"/>
  <c r="E55" i="16"/>
  <c r="C57" i="16"/>
  <c r="B58" i="16"/>
  <c r="K57" i="16"/>
  <c r="L57" i="16"/>
  <c r="B59" i="16"/>
  <c r="C58" i="16"/>
  <c r="K58" i="16"/>
  <c r="L58" i="16"/>
  <c r="D57" i="16"/>
  <c r="F57" i="16"/>
  <c r="E57" i="16"/>
  <c r="D58" i="16"/>
  <c r="B60" i="16"/>
  <c r="C59" i="16"/>
  <c r="K59" i="16"/>
  <c r="L59" i="16"/>
  <c r="E58" i="16"/>
  <c r="F58" i="16"/>
  <c r="D59" i="16"/>
  <c r="C60" i="16"/>
  <c r="K60" i="16"/>
  <c r="L60" i="16"/>
  <c r="B61" i="16"/>
  <c r="K61" i="16"/>
  <c r="L61" i="16"/>
  <c r="B62" i="16"/>
  <c r="C61" i="16"/>
  <c r="D61" i="16"/>
  <c r="D60" i="16"/>
  <c r="E59" i="16"/>
  <c r="F59" i="16"/>
  <c r="E60" i="16"/>
  <c r="F60" i="16"/>
  <c r="B63" i="16"/>
  <c r="C62" i="16"/>
  <c r="K62" i="16"/>
  <c r="L62" i="16"/>
  <c r="E61" i="16"/>
  <c r="F61" i="16"/>
  <c r="B64" i="16"/>
  <c r="C63" i="16"/>
  <c r="K63" i="16"/>
  <c r="L63" i="16"/>
  <c r="D62" i="16"/>
  <c r="F62" i="16"/>
  <c r="E62" i="16"/>
  <c r="D63" i="16"/>
  <c r="K64" i="16"/>
  <c r="L64" i="16"/>
  <c r="B65" i="16"/>
  <c r="C64" i="16"/>
  <c r="D64" i="16"/>
  <c r="F64" i="16"/>
  <c r="E64" i="16"/>
  <c r="B66" i="16"/>
  <c r="K65" i="16"/>
  <c r="L65" i="16"/>
  <c r="C65" i="16"/>
  <c r="D65" i="16"/>
  <c r="E63" i="16"/>
  <c r="F63" i="16"/>
  <c r="E65" i="16"/>
  <c r="F65" i="16"/>
  <c r="B67" i="16"/>
  <c r="C66" i="16"/>
  <c r="K66" i="16"/>
  <c r="L66" i="16"/>
  <c r="B68" i="16"/>
  <c r="C67" i="16"/>
  <c r="K67" i="16"/>
  <c r="L67" i="16"/>
  <c r="D66" i="16"/>
  <c r="F66" i="16"/>
  <c r="E66" i="16"/>
  <c r="D67" i="16"/>
  <c r="B69" i="16"/>
  <c r="C68" i="16"/>
  <c r="K68" i="16"/>
  <c r="L68" i="16"/>
  <c r="D68" i="16"/>
  <c r="F67" i="16"/>
  <c r="E67" i="16"/>
  <c r="K69" i="16"/>
  <c r="L69" i="16"/>
  <c r="B70" i="16"/>
  <c r="C69" i="16"/>
  <c r="D69" i="16"/>
  <c r="B71" i="16"/>
  <c r="C70" i="16"/>
  <c r="K70" i="16"/>
  <c r="L70" i="16"/>
  <c r="F68" i="16"/>
  <c r="E68" i="16"/>
  <c r="D70" i="16"/>
  <c r="B72" i="16"/>
  <c r="K71" i="16"/>
  <c r="L71" i="16"/>
  <c r="C71" i="16"/>
  <c r="D71" i="16"/>
  <c r="F69" i="16"/>
  <c r="E69" i="16"/>
  <c r="F71" i="16"/>
  <c r="E71" i="16"/>
  <c r="K72" i="16"/>
  <c r="L72" i="16"/>
  <c r="B73" i="16"/>
  <c r="C72" i="16"/>
  <c r="D72" i="16"/>
  <c r="F70" i="16"/>
  <c r="E70" i="16"/>
  <c r="F72" i="16"/>
  <c r="E72" i="16"/>
  <c r="C73" i="16"/>
  <c r="K73" i="16"/>
  <c r="L73" i="16"/>
  <c r="B74" i="16"/>
  <c r="B75" i="16"/>
  <c r="K74" i="16"/>
  <c r="L74" i="16"/>
  <c r="C74" i="16"/>
  <c r="D73" i="16"/>
  <c r="F73" i="16"/>
  <c r="E73" i="16"/>
  <c r="D74" i="16"/>
  <c r="K75" i="16"/>
  <c r="L75" i="16"/>
  <c r="B76" i="16"/>
  <c r="C75" i="16"/>
  <c r="D75" i="16"/>
  <c r="C76" i="16"/>
  <c r="K76" i="16"/>
  <c r="L76" i="16"/>
  <c r="B77" i="16"/>
  <c r="E75" i="16"/>
  <c r="F75" i="16"/>
  <c r="F74" i="16"/>
  <c r="E74" i="16"/>
  <c r="C77" i="16"/>
  <c r="K77" i="16"/>
  <c r="L77" i="16"/>
  <c r="B78" i="16"/>
  <c r="D76" i="16"/>
  <c r="E76" i="16"/>
  <c r="F76" i="16"/>
  <c r="B79" i="16"/>
  <c r="C78" i="16"/>
  <c r="K78" i="16"/>
  <c r="L78" i="16"/>
  <c r="D77" i="16"/>
  <c r="K79" i="16"/>
  <c r="L79" i="16"/>
  <c r="C79" i="16"/>
  <c r="D79" i="16"/>
  <c r="B80" i="16"/>
  <c r="E77" i="16"/>
  <c r="F77" i="16"/>
  <c r="D78" i="16"/>
  <c r="F78" i="16"/>
  <c r="E78" i="16"/>
  <c r="F79" i="16"/>
  <c r="E79" i="16"/>
  <c r="C80" i="16"/>
  <c r="K80" i="16"/>
  <c r="L80" i="16"/>
  <c r="B81" i="16"/>
  <c r="C81" i="16"/>
  <c r="B82" i="16"/>
  <c r="K81" i="16"/>
  <c r="L81" i="16"/>
  <c r="D80" i="16"/>
  <c r="F80" i="16"/>
  <c r="E80" i="16"/>
  <c r="K82" i="16"/>
  <c r="L82" i="16"/>
  <c r="C82" i="16"/>
  <c r="B83" i="16"/>
  <c r="D81" i="16"/>
  <c r="C83" i="16"/>
  <c r="B84" i="16"/>
  <c r="K83" i="16"/>
  <c r="L83" i="16"/>
  <c r="F81" i="16"/>
  <c r="E81" i="16"/>
  <c r="D82" i="16"/>
  <c r="E82" i="16"/>
  <c r="F82" i="16"/>
  <c r="C84" i="16"/>
  <c r="K84" i="16"/>
  <c r="L84" i="16"/>
  <c r="B85" i="16"/>
  <c r="D83" i="16"/>
  <c r="B86" i="16"/>
  <c r="K85" i="16"/>
  <c r="L85" i="16"/>
  <c r="C85" i="16"/>
  <c r="F83" i="16"/>
  <c r="E83" i="16"/>
  <c r="D84" i="16"/>
  <c r="F84" i="16"/>
  <c r="E84" i="16"/>
  <c r="D85" i="16"/>
  <c r="B87" i="16"/>
  <c r="C86" i="16"/>
  <c r="K86" i="16"/>
  <c r="L86" i="16"/>
  <c r="D86" i="16"/>
  <c r="F85" i="16"/>
  <c r="E85" i="16"/>
  <c r="C87" i="16"/>
  <c r="B88" i="16"/>
  <c r="K87" i="16"/>
  <c r="L87" i="16"/>
  <c r="D87" i="16"/>
  <c r="B89" i="16"/>
  <c r="K88" i="16"/>
  <c r="L88" i="16"/>
  <c r="C88" i="16"/>
  <c r="F86" i="16"/>
  <c r="E86" i="16"/>
  <c r="D88" i="16"/>
  <c r="C89" i="16"/>
  <c r="K89" i="16"/>
  <c r="L89" i="16"/>
  <c r="B90" i="16"/>
  <c r="F87" i="16"/>
  <c r="E87" i="16"/>
  <c r="D89" i="16"/>
  <c r="K90" i="16"/>
  <c r="L90" i="16"/>
  <c r="C90" i="16"/>
  <c r="D90" i="16"/>
  <c r="B91" i="16"/>
  <c r="E88" i="16"/>
  <c r="F88" i="16"/>
  <c r="K91" i="16"/>
  <c r="L91" i="16"/>
  <c r="B92" i="16"/>
  <c r="C91" i="16"/>
  <c r="D91" i="16"/>
  <c r="F90" i="16"/>
  <c r="E90" i="16"/>
  <c r="E89" i="16"/>
  <c r="F89" i="16"/>
  <c r="K92" i="16"/>
  <c r="L92" i="16"/>
  <c r="C92" i="16"/>
  <c r="D92" i="16"/>
  <c r="B93" i="16"/>
  <c r="F91" i="16"/>
  <c r="E91" i="16"/>
  <c r="E92" i="16"/>
  <c r="F92" i="16"/>
  <c r="B94" i="16"/>
  <c r="C93" i="16"/>
  <c r="K93" i="16"/>
  <c r="L93" i="16"/>
  <c r="K94" i="16"/>
  <c r="L94" i="16"/>
  <c r="B95" i="16"/>
  <c r="C94" i="16"/>
  <c r="D94" i="16"/>
  <c r="D93" i="16"/>
  <c r="F93" i="16"/>
  <c r="E93" i="16"/>
  <c r="B96" i="16"/>
  <c r="C95" i="16"/>
  <c r="K95" i="16"/>
  <c r="L95" i="16"/>
  <c r="E94" i="16"/>
  <c r="F94" i="16"/>
  <c r="B97" i="16"/>
  <c r="C96" i="16"/>
  <c r="K96" i="16"/>
  <c r="L96" i="16"/>
  <c r="D95" i="16"/>
  <c r="F95" i="16"/>
  <c r="E95" i="16"/>
  <c r="D96" i="16"/>
  <c r="B98" i="16"/>
  <c r="K97" i="16"/>
  <c r="L97" i="16"/>
  <c r="C97" i="16"/>
  <c r="F96" i="16"/>
  <c r="E96" i="16"/>
  <c r="D97" i="16"/>
  <c r="B99" i="16"/>
  <c r="C98" i="16"/>
  <c r="K98" i="16"/>
  <c r="L98" i="16"/>
  <c r="D98" i="16"/>
  <c r="B100" i="16"/>
  <c r="C99" i="16"/>
  <c r="K99" i="16"/>
  <c r="L99" i="16"/>
  <c r="E97" i="16"/>
  <c r="F97" i="16"/>
  <c r="C100" i="16"/>
  <c r="K100" i="16"/>
  <c r="L100" i="16"/>
  <c r="B101" i="16"/>
  <c r="D99" i="16"/>
  <c r="E98" i="16"/>
  <c r="F98" i="16"/>
  <c r="F99" i="16"/>
  <c r="E99" i="16"/>
  <c r="K101" i="16"/>
  <c r="L101" i="16"/>
  <c r="B102" i="16"/>
  <c r="C101" i="16"/>
  <c r="D101" i="16"/>
  <c r="D100" i="16"/>
  <c r="E101" i="16"/>
  <c r="F101" i="16"/>
  <c r="E100" i="16"/>
  <c r="F100" i="16"/>
  <c r="B103" i="16"/>
  <c r="K102" i="16"/>
  <c r="L102" i="16"/>
  <c r="C102" i="16"/>
  <c r="D102" i="16"/>
  <c r="K103" i="16"/>
  <c r="L103" i="16"/>
  <c r="B104" i="16"/>
  <c r="C103" i="16"/>
  <c r="D103" i="16"/>
  <c r="F103" i="16"/>
  <c r="E103" i="16"/>
  <c r="B105" i="16"/>
  <c r="C104" i="16"/>
  <c r="K104" i="16"/>
  <c r="L104" i="16"/>
  <c r="F102" i="16"/>
  <c r="E102" i="16"/>
  <c r="C105" i="16"/>
  <c r="B106" i="16"/>
  <c r="K105" i="16"/>
  <c r="L105" i="16"/>
  <c r="D104" i="16"/>
  <c r="E104" i="16"/>
  <c r="F104" i="16"/>
  <c r="B107" i="16"/>
  <c r="C106" i="16"/>
  <c r="K106" i="16"/>
  <c r="L106" i="16"/>
  <c r="D105" i="16"/>
  <c r="C107" i="16"/>
  <c r="B108" i="16"/>
  <c r="K107" i="16"/>
  <c r="L107" i="16"/>
  <c r="E105" i="16"/>
  <c r="F105" i="16"/>
  <c r="D106" i="16"/>
  <c r="E106" i="16"/>
  <c r="F106" i="16"/>
  <c r="K108" i="16"/>
  <c r="L108" i="16"/>
  <c r="B109" i="16"/>
  <c r="C108" i="16"/>
  <c r="D108" i="16"/>
  <c r="D107" i="16"/>
  <c r="E108" i="16"/>
  <c r="F108" i="16"/>
  <c r="F107" i="16"/>
  <c r="E107" i="16"/>
  <c r="B110" i="16"/>
  <c r="C109" i="16"/>
  <c r="K109" i="16"/>
  <c r="L109" i="16"/>
  <c r="D109" i="16"/>
  <c r="B111" i="16"/>
  <c r="C110" i="16"/>
  <c r="K110" i="16"/>
  <c r="L110" i="16"/>
  <c r="D110" i="16"/>
  <c r="K111" i="16"/>
  <c r="L111" i="16"/>
  <c r="C111" i="16"/>
  <c r="D111" i="16"/>
  <c r="B112" i="16"/>
  <c r="F109" i="16"/>
  <c r="E109" i="16"/>
  <c r="K112" i="16"/>
  <c r="L112" i="16"/>
  <c r="B113" i="16"/>
  <c r="C112" i="16"/>
  <c r="D112" i="16"/>
  <c r="F111" i="16"/>
  <c r="E111" i="16"/>
  <c r="F110" i="16"/>
  <c r="E110" i="16"/>
  <c r="B114" i="16"/>
  <c r="C113" i="16"/>
  <c r="K113" i="16"/>
  <c r="L113" i="16"/>
  <c r="E112" i="16"/>
  <c r="F112" i="16"/>
  <c r="D113" i="16"/>
  <c r="B115" i="16"/>
  <c r="C114" i="16"/>
  <c r="K114" i="16"/>
  <c r="L114" i="16"/>
  <c r="D114" i="16"/>
  <c r="B116" i="16"/>
  <c r="C115" i="16"/>
  <c r="K115" i="16"/>
  <c r="L115" i="16"/>
  <c r="E113" i="16"/>
  <c r="F113" i="16"/>
  <c r="C116" i="16"/>
  <c r="B117" i="16"/>
  <c r="K116" i="16"/>
  <c r="L116" i="16"/>
  <c r="D115" i="16"/>
  <c r="E114" i="16"/>
  <c r="F114" i="16"/>
  <c r="F115" i="16"/>
  <c r="E115" i="16"/>
  <c r="K117" i="16"/>
  <c r="L117" i="16"/>
  <c r="B118" i="16"/>
  <c r="C117" i="16"/>
  <c r="D117" i="16"/>
  <c r="D116" i="16"/>
  <c r="F117" i="16"/>
  <c r="E117" i="16"/>
  <c r="B119" i="16"/>
  <c r="K118" i="16"/>
  <c r="L118" i="16"/>
  <c r="C118" i="16"/>
  <c r="D118" i="16"/>
  <c r="E116" i="16"/>
  <c r="F116" i="16"/>
  <c r="F118" i="16"/>
  <c r="E118" i="16"/>
  <c r="B120" i="16"/>
  <c r="K119" i="16"/>
  <c r="L119" i="16"/>
  <c r="C119" i="16"/>
  <c r="D119" i="16"/>
  <c r="F119" i="16"/>
  <c r="E119" i="16"/>
  <c r="B121" i="16"/>
  <c r="K120" i="16"/>
  <c r="L120" i="16"/>
  <c r="C120" i="16"/>
  <c r="D120" i="16"/>
  <c r="E120" i="16"/>
  <c r="F120" i="16"/>
  <c r="C121" i="16"/>
  <c r="D121" i="16"/>
  <c r="B122" i="16"/>
  <c r="K121" i="16"/>
  <c r="L121" i="16"/>
  <c r="B123" i="16"/>
  <c r="C122" i="16"/>
  <c r="D122" i="16"/>
  <c r="K122" i="16"/>
  <c r="L122" i="16"/>
  <c r="F121" i="16"/>
  <c r="E121" i="16"/>
  <c r="E122" i="16"/>
  <c r="F122" i="16"/>
  <c r="B124" i="16"/>
  <c r="K123" i="16"/>
  <c r="L123" i="16"/>
  <c r="C123" i="16"/>
  <c r="D123" i="16"/>
  <c r="B125" i="16"/>
  <c r="C124" i="16"/>
  <c r="D124" i="16"/>
  <c r="K124" i="16"/>
  <c r="L124" i="16"/>
  <c r="F123" i="16"/>
  <c r="E123" i="16"/>
  <c r="F124" i="16"/>
  <c r="E124" i="16"/>
  <c r="B126" i="16"/>
  <c r="C125" i="16"/>
  <c r="D125" i="16"/>
  <c r="K125" i="16"/>
  <c r="L125" i="16"/>
  <c r="B127" i="16"/>
  <c r="C126" i="16"/>
  <c r="D126" i="16"/>
  <c r="K126" i="16"/>
  <c r="L126" i="16"/>
  <c r="F125" i="16"/>
  <c r="E125" i="16"/>
  <c r="E126" i="16"/>
  <c r="F126" i="16"/>
  <c r="K127" i="16"/>
  <c r="L127" i="16"/>
  <c r="C127" i="16"/>
  <c r="D127" i="16"/>
  <c r="B128" i="16"/>
  <c r="F127" i="16"/>
  <c r="E127" i="16"/>
  <c r="K128" i="16"/>
  <c r="L128" i="16"/>
  <c r="B129" i="16"/>
  <c r="C128" i="16"/>
  <c r="D128" i="16"/>
  <c r="E128" i="16"/>
  <c r="F128" i="16"/>
  <c r="K129" i="16"/>
  <c r="L129" i="16"/>
  <c r="C129" i="16"/>
  <c r="D129" i="16"/>
  <c r="B130" i="16"/>
  <c r="E129" i="16"/>
  <c r="F129" i="16"/>
  <c r="B131" i="16"/>
  <c r="C130" i="16"/>
  <c r="D130" i="16"/>
  <c r="K130" i="16"/>
  <c r="L130" i="16"/>
  <c r="B132" i="16"/>
  <c r="K131" i="16"/>
  <c r="L131" i="16"/>
  <c r="C131" i="16"/>
  <c r="D131" i="16"/>
  <c r="F130" i="16"/>
  <c r="E130" i="16"/>
  <c r="F131" i="16"/>
  <c r="E131" i="16"/>
  <c r="B133" i="16"/>
  <c r="C132" i="16"/>
  <c r="D132" i="16"/>
  <c r="K132" i="16"/>
  <c r="L132" i="16"/>
  <c r="F132" i="16"/>
  <c r="E132" i="16"/>
  <c r="B134" i="16"/>
  <c r="C133" i="16"/>
  <c r="D133" i="16"/>
  <c r="K133" i="16"/>
  <c r="L133" i="16"/>
  <c r="E133" i="16"/>
  <c r="F133" i="16"/>
  <c r="B135" i="16"/>
  <c r="C134" i="16"/>
  <c r="D134" i="16"/>
  <c r="K134" i="16"/>
  <c r="L134" i="16"/>
  <c r="E134" i="16"/>
  <c r="F134" i="16"/>
  <c r="K135" i="16"/>
  <c r="L135" i="16"/>
  <c r="C135" i="16"/>
  <c r="D135" i="16"/>
  <c r="B136" i="16"/>
  <c r="K136" i="16"/>
  <c r="L136" i="16"/>
  <c r="C136" i="16"/>
  <c r="D136" i="16"/>
  <c r="B137" i="16"/>
  <c r="F135" i="16"/>
  <c r="E135" i="16"/>
  <c r="K137" i="16"/>
  <c r="L137" i="16"/>
  <c r="B138" i="16"/>
  <c r="C137" i="16"/>
  <c r="D137" i="16"/>
  <c r="F136" i="16"/>
  <c r="E136" i="16"/>
  <c r="B139" i="16"/>
  <c r="C138" i="16"/>
  <c r="D138" i="16"/>
  <c r="K138" i="16"/>
  <c r="L138" i="16"/>
  <c r="F137" i="16"/>
  <c r="E137" i="16"/>
  <c r="E138" i="16"/>
  <c r="F138" i="16"/>
  <c r="C139" i="16"/>
  <c r="D139" i="16"/>
  <c r="B140" i="16"/>
  <c r="K139" i="16"/>
  <c r="L139" i="16"/>
  <c r="B141" i="16"/>
  <c r="C140" i="16"/>
  <c r="D140" i="16"/>
  <c r="K140" i="16"/>
  <c r="L140" i="16"/>
  <c r="F139" i="16"/>
  <c r="E139" i="16"/>
  <c r="F140" i="16"/>
  <c r="E140" i="16"/>
  <c r="B142" i="16"/>
  <c r="C141" i="16"/>
  <c r="D141" i="16"/>
  <c r="K141" i="16"/>
  <c r="L141" i="16"/>
  <c r="F141" i="16"/>
  <c r="E141" i="16"/>
  <c r="B143" i="16"/>
  <c r="C142" i="16"/>
  <c r="D142" i="16"/>
  <c r="K142" i="16"/>
  <c r="L142" i="16"/>
  <c r="F142" i="16"/>
  <c r="E142" i="16"/>
  <c r="C143" i="16"/>
  <c r="D143" i="16"/>
  <c r="K143" i="16"/>
  <c r="L143" i="16"/>
  <c r="B144" i="16"/>
  <c r="K144" i="16"/>
  <c r="L144" i="16"/>
  <c r="B145" i="16"/>
  <c r="C144" i="16"/>
  <c r="D144" i="16"/>
  <c r="F143" i="16"/>
  <c r="E143" i="16"/>
  <c r="E144" i="16"/>
  <c r="F144" i="16"/>
  <c r="K145" i="16"/>
  <c r="L145" i="16"/>
  <c r="B146" i="16"/>
  <c r="C145" i="16"/>
  <c r="D145" i="16"/>
  <c r="B147" i="16"/>
  <c r="C146" i="16"/>
  <c r="D146" i="16"/>
  <c r="K146" i="16"/>
  <c r="L146" i="16"/>
  <c r="F145" i="16"/>
  <c r="E145" i="16"/>
  <c r="E146" i="16"/>
  <c r="F146" i="16"/>
  <c r="B148" i="16"/>
  <c r="C147" i="16"/>
  <c r="D147" i="16"/>
  <c r="K147" i="16"/>
  <c r="L147" i="16"/>
  <c r="F147" i="16"/>
  <c r="E147" i="16"/>
  <c r="C148" i="16"/>
  <c r="D148" i="16"/>
  <c r="K148" i="16"/>
  <c r="L148" i="16"/>
  <c r="B149" i="16"/>
  <c r="C149" i="16"/>
  <c r="D149" i="16"/>
  <c r="K149" i="16"/>
  <c r="L149" i="16"/>
  <c r="B150" i="16"/>
  <c r="F148" i="16"/>
  <c r="E148" i="16"/>
  <c r="B151" i="16"/>
  <c r="C150" i="16"/>
  <c r="D150" i="16"/>
  <c r="K150" i="16"/>
  <c r="L150" i="16"/>
  <c r="F149" i="16"/>
  <c r="E149" i="16"/>
  <c r="E150" i="16"/>
  <c r="F150" i="16"/>
  <c r="C151" i="16"/>
  <c r="D151" i="16"/>
  <c r="K151" i="16"/>
  <c r="L151" i="16"/>
  <c r="B152" i="16"/>
  <c r="K152" i="16"/>
  <c r="L152" i="16"/>
  <c r="C152" i="16"/>
  <c r="D152" i="16"/>
  <c r="B153" i="16"/>
  <c r="F151" i="16"/>
  <c r="E151" i="16"/>
  <c r="K153" i="16"/>
  <c r="L153" i="16"/>
  <c r="B154" i="16"/>
  <c r="C153" i="16"/>
  <c r="D153" i="16"/>
  <c r="E152" i="16"/>
  <c r="F152" i="16"/>
  <c r="F153" i="16"/>
  <c r="E153" i="16"/>
  <c r="B155" i="16"/>
  <c r="K154" i="16"/>
  <c r="L154" i="16"/>
  <c r="C154" i="16"/>
  <c r="D154" i="16"/>
  <c r="E154" i="16"/>
  <c r="F154" i="16"/>
  <c r="C155" i="16"/>
  <c r="D155" i="16"/>
  <c r="B156" i="16"/>
  <c r="K155" i="16"/>
  <c r="L155" i="16"/>
  <c r="B157" i="16"/>
  <c r="C156" i="16"/>
  <c r="D156" i="16"/>
  <c r="K156" i="16"/>
  <c r="L156" i="16"/>
  <c r="F155" i="16"/>
  <c r="E155" i="16"/>
  <c r="E156" i="16"/>
  <c r="F156" i="16"/>
  <c r="C157" i="16"/>
  <c r="D157" i="16"/>
  <c r="B158" i="16"/>
  <c r="K157" i="16"/>
  <c r="L157" i="16"/>
  <c r="B159" i="16"/>
  <c r="C158" i="16"/>
  <c r="D158" i="16"/>
  <c r="K158" i="16"/>
  <c r="L158" i="16"/>
  <c r="E157" i="16"/>
  <c r="F157" i="16"/>
  <c r="E158" i="16"/>
  <c r="F158" i="16"/>
  <c r="C159" i="16"/>
  <c r="D159" i="16"/>
  <c r="B160" i="16"/>
  <c r="K159" i="16"/>
  <c r="L159" i="16"/>
  <c r="K160" i="16"/>
  <c r="L160" i="16"/>
  <c r="C160" i="16"/>
  <c r="D160" i="16"/>
  <c r="B161" i="16"/>
  <c r="F159" i="16"/>
  <c r="E159" i="16"/>
  <c r="F160" i="16"/>
  <c r="E160" i="16"/>
  <c r="K161" i="16"/>
  <c r="L161" i="16"/>
  <c r="C161" i="16"/>
  <c r="D161" i="16"/>
  <c r="B162" i="16"/>
  <c r="B163" i="16"/>
  <c r="C162" i="16"/>
  <c r="D162" i="16"/>
  <c r="K162" i="16"/>
  <c r="L162" i="16"/>
  <c r="F161" i="16"/>
  <c r="E161" i="16"/>
  <c r="E162" i="16"/>
  <c r="F162" i="16"/>
  <c r="C163" i="16"/>
  <c r="D163" i="16"/>
  <c r="B164" i="16"/>
  <c r="K163" i="16"/>
  <c r="L163" i="16"/>
  <c r="K164" i="16"/>
  <c r="L164" i="16"/>
  <c r="B165" i="16"/>
  <c r="C164" i="16"/>
  <c r="D164" i="16"/>
  <c r="F163" i="16"/>
  <c r="E163" i="16"/>
  <c r="C165" i="16"/>
  <c r="D165" i="16"/>
  <c r="B166" i="16"/>
  <c r="K165" i="16"/>
  <c r="L165" i="16"/>
  <c r="F164" i="16"/>
  <c r="E164" i="16"/>
  <c r="B167" i="16"/>
  <c r="C166" i="16"/>
  <c r="D166" i="16"/>
  <c r="K166" i="16"/>
  <c r="L166" i="16"/>
  <c r="F165" i="16"/>
  <c r="E165" i="16"/>
  <c r="E166" i="16"/>
  <c r="F166" i="16"/>
  <c r="C167" i="16"/>
  <c r="D167" i="16"/>
  <c r="B168" i="16"/>
  <c r="K167" i="16"/>
  <c r="L167" i="16"/>
  <c r="C168" i="16"/>
  <c r="D168" i="16"/>
  <c r="K168" i="16"/>
  <c r="L168" i="16"/>
  <c r="B169" i="16"/>
  <c r="F167" i="16"/>
  <c r="E167" i="16"/>
  <c r="K169" i="16"/>
  <c r="L169" i="16"/>
  <c r="C169" i="16"/>
  <c r="D169" i="16"/>
  <c r="B170" i="16"/>
  <c r="F168" i="16"/>
  <c r="E168" i="16"/>
  <c r="F169" i="16"/>
  <c r="E169" i="16"/>
  <c r="B171" i="16"/>
  <c r="C170" i="16"/>
  <c r="D170" i="16"/>
  <c r="K170" i="16"/>
  <c r="L170" i="16"/>
  <c r="E170" i="16"/>
  <c r="F170" i="16"/>
  <c r="B172" i="16"/>
  <c r="K171" i="16"/>
  <c r="L171" i="16"/>
  <c r="C171" i="16"/>
  <c r="D171" i="16"/>
  <c r="F171" i="16"/>
  <c r="E171" i="16"/>
  <c r="C172" i="16"/>
  <c r="D172" i="16"/>
  <c r="K172" i="16"/>
  <c r="L172" i="16"/>
  <c r="B173" i="16"/>
  <c r="K173" i="16"/>
  <c r="L173" i="16"/>
  <c r="B174" i="16"/>
  <c r="C173" i="16"/>
  <c r="D173" i="16"/>
  <c r="F172" i="16"/>
  <c r="E172" i="16"/>
  <c r="F173" i="16"/>
  <c r="E173" i="16"/>
  <c r="K174" i="16"/>
  <c r="L174" i="16"/>
  <c r="B175" i="16"/>
  <c r="C174" i="16"/>
  <c r="D174" i="16"/>
  <c r="B176" i="16"/>
  <c r="C175" i="16"/>
  <c r="D175" i="16"/>
  <c r="K175" i="16"/>
  <c r="L175" i="16"/>
  <c r="E174" i="16"/>
  <c r="F174" i="16"/>
  <c r="F175" i="16"/>
  <c r="E175" i="16"/>
  <c r="C176" i="16"/>
  <c r="D176" i="16"/>
  <c r="B177" i="16"/>
  <c r="K176" i="16"/>
  <c r="L176" i="16"/>
  <c r="E176" i="16"/>
  <c r="F176" i="16"/>
  <c r="B178" i="16"/>
  <c r="C177" i="16"/>
  <c r="D177" i="16"/>
  <c r="K177" i="16"/>
  <c r="L177" i="16"/>
  <c r="E177" i="16"/>
  <c r="F177" i="16"/>
  <c r="C178" i="16"/>
  <c r="D178" i="16"/>
  <c r="B179" i="16"/>
  <c r="K178" i="16"/>
  <c r="L178" i="16"/>
  <c r="C179" i="16"/>
  <c r="D179" i="16"/>
  <c r="B180" i="16"/>
  <c r="K179" i="16"/>
  <c r="L179" i="16"/>
  <c r="F178" i="16"/>
  <c r="E178" i="16"/>
  <c r="K180" i="16"/>
  <c r="L180" i="16"/>
  <c r="C180" i="16"/>
  <c r="D180" i="16"/>
  <c r="B181" i="16"/>
  <c r="E179" i="16"/>
  <c r="F179" i="16"/>
  <c r="K181" i="16"/>
  <c r="L181" i="16"/>
  <c r="B182" i="16"/>
  <c r="C181" i="16"/>
  <c r="D181" i="16"/>
  <c r="E180" i="16"/>
  <c r="F180" i="16"/>
  <c r="B183" i="16"/>
  <c r="C182" i="16"/>
  <c r="D182" i="16"/>
  <c r="K182" i="16"/>
  <c r="L182" i="16"/>
  <c r="F181" i="16"/>
  <c r="E181" i="16"/>
  <c r="F182" i="16"/>
  <c r="E182" i="16"/>
  <c r="B184" i="16"/>
  <c r="C183" i="16"/>
  <c r="D183" i="16"/>
  <c r="K183" i="16"/>
  <c r="L183" i="16"/>
  <c r="F183" i="16"/>
  <c r="E183" i="16"/>
  <c r="C184" i="16"/>
  <c r="D184" i="16"/>
  <c r="K184" i="16"/>
  <c r="L184" i="16"/>
  <c r="B185" i="16"/>
  <c r="B186" i="16"/>
  <c r="C185" i="16"/>
  <c r="D185" i="16"/>
  <c r="K185" i="16"/>
  <c r="L185" i="16"/>
  <c r="F184" i="16"/>
  <c r="E184" i="16"/>
  <c r="F185" i="16"/>
  <c r="E185" i="16"/>
  <c r="B187" i="16"/>
  <c r="C186" i="16"/>
  <c r="D186" i="16"/>
  <c r="K186" i="16"/>
  <c r="L186" i="16"/>
  <c r="F186" i="16"/>
  <c r="E186" i="16"/>
  <c r="K187" i="16"/>
  <c r="L187" i="16"/>
  <c r="B188" i="16"/>
  <c r="C187" i="16"/>
  <c r="D187" i="16"/>
  <c r="K188" i="16"/>
  <c r="L188" i="16"/>
  <c r="B189" i="16"/>
  <c r="C188" i="16"/>
  <c r="D188" i="16"/>
  <c r="E187" i="16"/>
  <c r="F187" i="16"/>
  <c r="B190" i="16"/>
  <c r="K189" i="16"/>
  <c r="L189" i="16"/>
  <c r="C189" i="16"/>
  <c r="D189" i="16"/>
  <c r="E188" i="16"/>
  <c r="F188" i="16"/>
  <c r="F189" i="16"/>
  <c r="E189" i="16"/>
  <c r="C190" i="16"/>
  <c r="D190" i="16"/>
  <c r="B191" i="16"/>
  <c r="K190" i="16"/>
  <c r="L190" i="16"/>
  <c r="B192" i="16"/>
  <c r="C191" i="16"/>
  <c r="D191" i="16"/>
  <c r="K191" i="16"/>
  <c r="L191" i="16"/>
  <c r="E190" i="16"/>
  <c r="F190" i="16"/>
  <c r="E191" i="16"/>
  <c r="F191" i="16"/>
  <c r="C192" i="16"/>
  <c r="D192" i="16"/>
  <c r="K192" i="16"/>
  <c r="L192" i="16"/>
  <c r="B193" i="16"/>
  <c r="B194" i="16"/>
  <c r="K193" i="16"/>
  <c r="L193" i="16"/>
  <c r="C193" i="16"/>
  <c r="D193" i="16"/>
  <c r="E192" i="16"/>
  <c r="F192" i="16"/>
  <c r="E193" i="16"/>
  <c r="F193" i="16"/>
  <c r="C194" i="16"/>
  <c r="D194" i="16"/>
  <c r="B195" i="16"/>
  <c r="K194" i="16"/>
  <c r="L194" i="16"/>
  <c r="B196" i="16"/>
  <c r="C195" i="16"/>
  <c r="D195" i="16"/>
  <c r="K195" i="16"/>
  <c r="L195" i="16"/>
  <c r="F194" i="16"/>
  <c r="E194" i="16"/>
  <c r="E195" i="16"/>
  <c r="F195" i="16"/>
  <c r="K196" i="16"/>
  <c r="L196" i="16"/>
  <c r="C196" i="16"/>
  <c r="D196" i="16"/>
  <c r="B197" i="16"/>
  <c r="E196" i="16"/>
  <c r="F196" i="16"/>
  <c r="B198" i="16"/>
  <c r="C197" i="16"/>
  <c r="D197" i="16"/>
  <c r="K197" i="16"/>
  <c r="L197" i="16"/>
  <c r="F197" i="16"/>
  <c r="E197" i="16"/>
  <c r="K198" i="16"/>
  <c r="L198" i="16"/>
  <c r="C198" i="16"/>
  <c r="D198" i="16"/>
  <c r="B199" i="16"/>
  <c r="E198" i="16"/>
  <c r="F198" i="16"/>
  <c r="C199" i="16"/>
  <c r="D199" i="16"/>
  <c r="K199" i="16"/>
  <c r="L199" i="16"/>
  <c r="B200" i="16"/>
  <c r="C200" i="16"/>
  <c r="D200" i="16"/>
  <c r="B201" i="16"/>
  <c r="K200" i="16"/>
  <c r="L200" i="16"/>
  <c r="F199" i="16"/>
  <c r="E199" i="16"/>
  <c r="B202" i="16"/>
  <c r="C201" i="16"/>
  <c r="D201" i="16"/>
  <c r="K201" i="16"/>
  <c r="L201" i="16"/>
  <c r="F200" i="16"/>
  <c r="E200" i="16"/>
  <c r="E201" i="16"/>
  <c r="F201" i="16"/>
  <c r="C202" i="16"/>
  <c r="D202" i="16"/>
  <c r="B203" i="16"/>
  <c r="K202" i="16"/>
  <c r="L202" i="16"/>
  <c r="B204" i="16"/>
  <c r="C203" i="16"/>
  <c r="D203" i="16"/>
  <c r="K203" i="16"/>
  <c r="L203" i="16"/>
  <c r="E202" i="16"/>
  <c r="F202" i="16"/>
  <c r="E203" i="16"/>
  <c r="F203" i="16"/>
  <c r="K204" i="16"/>
  <c r="L204" i="16"/>
  <c r="C204" i="16"/>
  <c r="D204" i="16"/>
  <c r="B205" i="16"/>
  <c r="E204" i="16"/>
  <c r="F204" i="16"/>
  <c r="B206" i="16"/>
  <c r="K205" i="16"/>
  <c r="L205" i="16"/>
  <c r="C205" i="16"/>
  <c r="D205" i="16"/>
  <c r="F205" i="16"/>
  <c r="E205" i="16"/>
  <c r="K206" i="16"/>
  <c r="L206" i="16"/>
  <c r="C206" i="16"/>
  <c r="D206" i="16"/>
  <c r="B207" i="16"/>
  <c r="F206" i="16"/>
  <c r="E206" i="16"/>
  <c r="B208" i="16"/>
  <c r="C207" i="16"/>
  <c r="D207" i="16"/>
  <c r="K207" i="16"/>
  <c r="L207" i="16"/>
  <c r="F207" i="16"/>
  <c r="E207" i="16"/>
  <c r="C208" i="16"/>
  <c r="D208" i="16"/>
  <c r="B209" i="16"/>
  <c r="K208" i="16"/>
  <c r="L208" i="16"/>
  <c r="K209" i="16"/>
  <c r="L209" i="16"/>
  <c r="C209" i="16"/>
  <c r="D209" i="16"/>
  <c r="B210" i="16"/>
  <c r="F208" i="16"/>
  <c r="E208" i="16"/>
  <c r="F209" i="16"/>
  <c r="E209" i="16"/>
  <c r="B211" i="16"/>
  <c r="C210" i="16"/>
  <c r="D210" i="16"/>
  <c r="K210" i="16"/>
  <c r="L210" i="16"/>
  <c r="F210" i="16"/>
  <c r="E210" i="16"/>
  <c r="K211" i="16"/>
  <c r="L211" i="16"/>
  <c r="C211" i="16"/>
  <c r="D211" i="16"/>
  <c r="B212" i="16"/>
  <c r="F211" i="16"/>
  <c r="E211" i="16"/>
  <c r="B213" i="16"/>
  <c r="C212" i="16"/>
  <c r="D212" i="16"/>
  <c r="K212" i="16"/>
  <c r="L212" i="16"/>
  <c r="E212" i="16"/>
  <c r="F212" i="16"/>
  <c r="B214" i="16"/>
  <c r="C213" i="16"/>
  <c r="D213" i="16"/>
  <c r="K213" i="16"/>
  <c r="L213" i="16"/>
  <c r="F213" i="16"/>
  <c r="E213" i="16"/>
  <c r="K214" i="16"/>
  <c r="L214" i="16"/>
  <c r="C214" i="16"/>
  <c r="D214" i="16"/>
  <c r="B215" i="16"/>
  <c r="E214" i="16"/>
  <c r="F214" i="16"/>
  <c r="B216" i="16"/>
  <c r="K215" i="16"/>
  <c r="L215" i="16"/>
  <c r="C215" i="16"/>
  <c r="D215" i="16"/>
  <c r="E215" i="16"/>
  <c r="F215" i="16"/>
  <c r="C216" i="16"/>
  <c r="D216" i="16"/>
  <c r="B217" i="16"/>
  <c r="K216" i="16"/>
  <c r="L216" i="16"/>
  <c r="B218" i="16"/>
  <c r="C217" i="16"/>
  <c r="D217" i="16"/>
  <c r="K217" i="16"/>
  <c r="L217" i="16"/>
  <c r="E216" i="16"/>
  <c r="F216" i="16"/>
  <c r="E217" i="16"/>
  <c r="F217" i="16"/>
  <c r="C218" i="16"/>
  <c r="D218" i="16"/>
  <c r="B219" i="16"/>
  <c r="K218" i="16"/>
  <c r="L218" i="16"/>
  <c r="K219" i="16"/>
  <c r="L219" i="16"/>
  <c r="C219" i="16"/>
  <c r="D219" i="16"/>
  <c r="B220" i="16"/>
  <c r="E218" i="16"/>
  <c r="F218" i="16"/>
  <c r="F219" i="16"/>
  <c r="E219" i="16"/>
  <c r="B221" i="16"/>
  <c r="C220" i="16"/>
  <c r="D220" i="16"/>
  <c r="K220" i="16"/>
  <c r="L220" i="16"/>
  <c r="E220" i="16"/>
  <c r="F220" i="16"/>
  <c r="B222" i="16"/>
  <c r="K221" i="16"/>
  <c r="L221" i="16"/>
  <c r="C221" i="16"/>
  <c r="D221" i="16"/>
  <c r="F221" i="16"/>
  <c r="E221" i="16"/>
  <c r="K222" i="16"/>
  <c r="L222" i="16"/>
  <c r="C222" i="16"/>
  <c r="D222" i="16"/>
  <c r="B223" i="16"/>
  <c r="F222" i="16"/>
  <c r="E222" i="16"/>
  <c r="B224" i="16"/>
  <c r="K223" i="16"/>
  <c r="L223" i="16"/>
  <c r="C223" i="16"/>
  <c r="D223" i="16"/>
  <c r="E223" i="16"/>
  <c r="F223" i="16"/>
  <c r="C224" i="16"/>
  <c r="D224" i="16"/>
  <c r="B225" i="16"/>
  <c r="K224" i="16"/>
  <c r="L224" i="16"/>
  <c r="E224" i="16"/>
  <c r="F224" i="16"/>
  <c r="K225" i="16"/>
  <c r="L225" i="16"/>
  <c r="C225" i="16"/>
  <c r="D225" i="16"/>
  <c r="B226" i="16"/>
  <c r="C226" i="16"/>
  <c r="D226" i="16"/>
  <c r="B227" i="16"/>
  <c r="K226" i="16"/>
  <c r="L226" i="16"/>
  <c r="E225" i="16"/>
  <c r="F225" i="16"/>
  <c r="C227" i="16"/>
  <c r="D227" i="16"/>
  <c r="K227" i="16"/>
  <c r="L227" i="16"/>
  <c r="F226" i="16"/>
  <c r="E226" i="16"/>
  <c r="F227" i="16"/>
  <c r="E227" i="16"/>
  <c r="C8" i="24"/>
  <c r="C9" i="24"/>
  <c r="C11" i="24"/>
  <c r="C12" i="24"/>
  <c r="C10" i="24"/>
  <c r="C13" i="24"/>
  <c r="E13" i="24"/>
  <c r="D19" i="24"/>
  <c r="C14" i="24"/>
  <c r="B19" i="24"/>
  <c r="B20" i="24"/>
  <c r="D20" i="24"/>
  <c r="E14" i="24"/>
  <c r="C15" i="24"/>
  <c r="B33" i="24"/>
  <c r="E15" i="24"/>
  <c r="B32" i="24"/>
  <c r="B31" i="24"/>
  <c r="B35" i="24"/>
  <c r="B34" i="24"/>
  <c r="B30" i="24"/>
  <c r="B28" i="24"/>
  <c r="B27" i="24"/>
  <c r="B25" i="24"/>
  <c r="B26" i="24"/>
  <c r="B29" i="24"/>
  <c r="F25" i="24"/>
  <c r="C25" i="24"/>
  <c r="D25" i="24"/>
  <c r="F34" i="24"/>
  <c r="C34" i="24"/>
  <c r="D34" i="24"/>
  <c r="C27" i="24"/>
  <c r="D27" i="24"/>
  <c r="F27" i="24"/>
  <c r="C35" i="24"/>
  <c r="D35" i="24"/>
  <c r="F35" i="24"/>
  <c r="C33" i="24"/>
  <c r="F33" i="24"/>
  <c r="D33" i="24"/>
  <c r="F29" i="24"/>
  <c r="C29" i="24"/>
  <c r="F28" i="24"/>
  <c r="C28" i="24"/>
  <c r="D28" i="24"/>
  <c r="C31" i="24"/>
  <c r="F31" i="24"/>
  <c r="F26" i="24"/>
  <c r="C26" i="24"/>
  <c r="C30" i="24"/>
  <c r="D30" i="24"/>
  <c r="F30" i="24"/>
  <c r="C32" i="24"/>
  <c r="F32" i="24"/>
  <c r="D32" i="24"/>
  <c r="G26" i="24"/>
  <c r="G31" i="24"/>
  <c r="H31" i="24"/>
  <c r="G29" i="24"/>
  <c r="H29" i="24"/>
  <c r="G35" i="24"/>
  <c r="H35" i="24"/>
  <c r="I35" i="24"/>
  <c r="J35" i="24"/>
  <c r="E35" i="24"/>
  <c r="H26" i="24"/>
  <c r="E33" i="24"/>
  <c r="G33" i="24"/>
  <c r="H33" i="24"/>
  <c r="E34" i="24"/>
  <c r="G34" i="24"/>
  <c r="H34" i="24"/>
  <c r="I34" i="24"/>
  <c r="J34" i="24"/>
  <c r="G30" i="24"/>
  <c r="H30" i="24"/>
  <c r="E30" i="24"/>
  <c r="D31" i="24"/>
  <c r="E31" i="24"/>
  <c r="E28" i="24"/>
  <c r="G28" i="24"/>
  <c r="H28" i="24"/>
  <c r="I28" i="24"/>
  <c r="J28" i="24"/>
  <c r="D29" i="24"/>
  <c r="E29" i="24"/>
  <c r="E32" i="24"/>
  <c r="G32" i="24"/>
  <c r="H32" i="24"/>
  <c r="I32" i="24"/>
  <c r="J32" i="24"/>
  <c r="D26" i="24"/>
  <c r="E26" i="24"/>
  <c r="G27" i="24"/>
  <c r="H27" i="24"/>
  <c r="E27" i="24"/>
  <c r="E25" i="24"/>
  <c r="G25" i="24"/>
  <c r="H25" i="24"/>
  <c r="I25" i="24"/>
  <c r="J25" i="24"/>
  <c r="I29" i="24"/>
  <c r="J29" i="24"/>
  <c r="I27" i="24"/>
  <c r="J27" i="24"/>
  <c r="I31" i="24"/>
  <c r="J31" i="24"/>
  <c r="I30" i="24"/>
  <c r="J30" i="24"/>
  <c r="I26" i="24"/>
  <c r="J26" i="24"/>
  <c r="I33" i="24"/>
  <c r="J33" i="24"/>
</calcChain>
</file>

<file path=xl/comments1.xml><?xml version="1.0" encoding="utf-8"?>
<comments xmlns="http://schemas.openxmlformats.org/spreadsheetml/2006/main">
  <authors>
    <author>CELLIS</author>
  </authors>
  <commentList>
    <comment ref="G25" authorId="0" shapeId="0">
      <text>
        <r>
          <rPr>
            <b/>
            <sz val="8"/>
            <color indexed="12"/>
            <rFont val="Tahoma"/>
            <family val="2"/>
          </rPr>
          <t>Enter the Ellipsoidal Head's ID in Inches</t>
        </r>
      </text>
    </comment>
  </commentList>
</comments>
</file>

<file path=xl/sharedStrings.xml><?xml version="1.0" encoding="utf-8"?>
<sst xmlns="http://schemas.openxmlformats.org/spreadsheetml/2006/main" count="1028" uniqueCount="661">
  <si>
    <t>Torispherical (ASME Flanged &amp; Dished) Heads</t>
  </si>
  <si>
    <t xml:space="preserve">Variables used in Volumetric Equations and their Definitions </t>
  </si>
  <si>
    <t>a</t>
  </si>
  <si>
    <t xml:space="preserve">This is the distance a horizontal tank's heads extend beyond (a&gt;0) or into (a&lt;0) its cylindrical </t>
  </si>
  <si>
    <t xml:space="preserve">section or the depth the bottom extends below the cylindrical section of a vertical tank.  For a </t>
  </si>
  <si>
    <r>
      <t>A</t>
    </r>
    <r>
      <rPr>
        <b/>
        <vertAlign val="subscript"/>
        <sz val="10"/>
        <rFont val="Arial"/>
        <family val="2"/>
      </rPr>
      <t>f</t>
    </r>
  </si>
  <si>
    <t>This is the cross-sectional area of the fluid in a horizontal tank's cylindrical section.</t>
  </si>
  <si>
    <t>D</t>
  </si>
  <si>
    <t>This is the diameter of the cylindrical section of a horizontal or vertical tank.</t>
  </si>
  <si>
    <r>
      <t>D</t>
    </r>
    <r>
      <rPr>
        <b/>
        <vertAlign val="subscript"/>
        <sz val="10"/>
        <rFont val="Arial"/>
        <family val="2"/>
      </rPr>
      <t>H</t>
    </r>
    <r>
      <rPr>
        <b/>
        <sz val="10"/>
        <rFont val="Arial"/>
        <family val="2"/>
      </rPr>
      <t xml:space="preserve"> &amp; D</t>
    </r>
    <r>
      <rPr>
        <b/>
        <vertAlign val="subscript"/>
        <sz val="10"/>
        <rFont val="Arial"/>
        <family val="2"/>
      </rPr>
      <t>W</t>
    </r>
  </si>
  <si>
    <t>horizontal tank with flat heads or a vertical tank with a flat bottom, a = 0.</t>
  </si>
  <si>
    <t xml:space="preserve">These are the major and minor axes, respectively, of the ellipse defining the cross section of the </t>
  </si>
  <si>
    <t>body of a vertical elliptical tank.</t>
  </si>
  <si>
    <r>
      <t>D</t>
    </r>
    <r>
      <rPr>
        <b/>
        <vertAlign val="subscript"/>
        <sz val="10"/>
        <rFont val="Arial"/>
        <family val="2"/>
      </rPr>
      <t>A</t>
    </r>
    <r>
      <rPr>
        <b/>
        <sz val="10"/>
        <rFont val="Arial"/>
        <family val="2"/>
      </rPr>
      <t xml:space="preserve"> &amp; D</t>
    </r>
    <r>
      <rPr>
        <b/>
        <vertAlign val="subscript"/>
        <sz val="10"/>
        <rFont val="Arial"/>
        <family val="2"/>
      </rPr>
      <t>B</t>
    </r>
  </si>
  <si>
    <t>These are the height and width, respectively, of the ellipse defining the cross section of the body</t>
  </si>
  <si>
    <t>of a horizontal elliptical tank.</t>
  </si>
  <si>
    <t>f</t>
  </si>
  <si>
    <t>This is the dish-radius parameter for tanks with torispherical heads or bottoms; fD is the dish radius.</t>
  </si>
  <si>
    <t>This is the height of fluid in a tank measured from the lowest part of the tank to the fluid surface.</t>
  </si>
  <si>
    <t>k</t>
  </si>
  <si>
    <t>Note that this measurement convention is opposite to that of the ASME F&amp;D head.</t>
  </si>
  <si>
    <t>Note that this measurement convention is opposite to that of the Ellipsoidal head.</t>
  </si>
  <si>
    <t xml:space="preserve">This is the knuckle-radius parameter for tanks with torispherical heads or bottoms; kD is the </t>
  </si>
  <si>
    <t>knuckle radius.</t>
  </si>
  <si>
    <t>L</t>
  </si>
  <si>
    <t>This is the length of the cylindrical section of a horizontal tank.</t>
  </si>
  <si>
    <t>R</t>
  </si>
  <si>
    <t>This is the radius of the cylindrical section of a horizontal of vertical tank.</t>
  </si>
  <si>
    <t>This is the radius of a spherical head for a horizontal tank or a spherical bottom of a vertical tank.</t>
  </si>
  <si>
    <r>
      <t>V</t>
    </r>
    <r>
      <rPr>
        <b/>
        <vertAlign val="subscript"/>
        <sz val="10"/>
        <rFont val="Arial"/>
        <family val="2"/>
      </rPr>
      <t>f</t>
    </r>
  </si>
  <si>
    <t>This is the fluid volume, of fluid depth h, in a horizontal or vertical cylindrical tank.</t>
  </si>
  <si>
    <t xml:space="preserve">The following are the specific equations for fluid volumes in horizontal cylindrical tanks with conical, ellipsoidal, </t>
  </si>
  <si>
    <r>
      <t>Volume of one head, Ft</t>
    </r>
    <r>
      <rPr>
        <b/>
        <vertAlign val="superscript"/>
        <sz val="10"/>
        <rFont val="Arial"/>
        <family val="2"/>
      </rPr>
      <t>3</t>
    </r>
  </si>
  <si>
    <t xml:space="preserve">Pressure Vessel Handbook; Eugene F. Megyesy; 8th Edition; Pressure Vessel Handbook </t>
  </si>
  <si>
    <t>Publishing, Inc.</t>
  </si>
  <si>
    <r>
      <t>Internal Surface Area of one head, Ft</t>
    </r>
    <r>
      <rPr>
        <b/>
        <vertAlign val="superscript"/>
        <sz val="10"/>
        <rFont val="Arial"/>
        <family val="2"/>
      </rPr>
      <t>2</t>
    </r>
  </si>
  <si>
    <t xml:space="preserve">          The Internal Diameter is used in calculating the Surface Area; therefore, the resultant Area is slightly less than the </t>
  </si>
  <si>
    <t xml:space="preserve">          actual external surface area.</t>
  </si>
  <si>
    <t>Diameter  ft</t>
  </si>
  <si>
    <t>Head Volume in U.S. Gallons</t>
  </si>
  <si>
    <t>Gallons =</t>
  </si>
  <si>
    <r>
      <t>Ft</t>
    </r>
    <r>
      <rPr>
        <vertAlign val="superscript"/>
        <sz val="10"/>
        <rFont val="Arial"/>
        <family val="2"/>
      </rPr>
      <t>3</t>
    </r>
    <r>
      <rPr>
        <sz val="10"/>
        <rFont val="Arial"/>
        <family val="2"/>
      </rPr>
      <t xml:space="preserve"> </t>
    </r>
  </si>
  <si>
    <t>Internal Diameter, ft</t>
  </si>
  <si>
    <t>Hemispherical Volume, cu. Ft.</t>
  </si>
  <si>
    <r>
      <t>Dished Volume, Ft</t>
    </r>
    <r>
      <rPr>
        <vertAlign val="superscript"/>
        <sz val="10"/>
        <rFont val="Arial"/>
        <family val="2"/>
      </rPr>
      <t>3</t>
    </r>
    <r>
      <rPr>
        <sz val="10"/>
        <rFont val="Arial"/>
        <family val="2"/>
      </rPr>
      <t xml:space="preserve"> </t>
    </r>
  </si>
  <si>
    <t>ASME F&amp;D (also called Torispherical) heads are designed and fabricated in the USA on the basis of using</t>
  </si>
  <si>
    <r>
      <t>the outside</t>
    </r>
    <r>
      <rPr>
        <sz val="10"/>
        <rFont val="Arial"/>
        <family val="2"/>
      </rPr>
      <t xml:space="preserve"> diameter as their nominal diameter.</t>
    </r>
  </si>
  <si>
    <t>VERTICAL TANK BOTTOM TORISPHERICAL HEAD VOLUME CALCULATION</t>
  </si>
  <si>
    <t>mm   =</t>
  </si>
  <si>
    <t>Crown Radius</t>
  </si>
  <si>
    <t>% Knuckle Radius</t>
  </si>
  <si>
    <t>Knuckle Radius</t>
  </si>
  <si>
    <t>mm</t>
  </si>
  <si>
    <t>a =</t>
  </si>
  <si>
    <t>c =</t>
  </si>
  <si>
    <t>ß =</t>
  </si>
  <si>
    <t>radians</t>
  </si>
  <si>
    <t>°</t>
  </si>
  <si>
    <t>x =</t>
  </si>
  <si>
    <t>z =</t>
  </si>
  <si>
    <t>h =</t>
  </si>
  <si>
    <t>x + z</t>
  </si>
  <si>
    <t>Approx. Head Volume  =</t>
  </si>
  <si>
    <t>approximate calculation for knuckle section</t>
  </si>
  <si>
    <t>+</t>
  </si>
  <si>
    <t>litres   =</t>
  </si>
  <si>
    <t>US gals</t>
  </si>
  <si>
    <t>Volume of partially filled Torispherical head:</t>
  </si>
  <si>
    <t>Level in End dish:</t>
  </si>
  <si>
    <t>Liquid Height "h" (mm)</t>
  </si>
  <si>
    <t>Sector Area</t>
  </si>
  <si>
    <t>Knuckle Area</t>
  </si>
  <si>
    <t>Total Head Volume</t>
  </si>
  <si>
    <t>"z"</t>
  </si>
  <si>
    <t>"r"</t>
  </si>
  <si>
    <t>"x"</t>
  </si>
  <si>
    <t>litres</t>
  </si>
  <si>
    <t>%</t>
  </si>
  <si>
    <t>Notes:</t>
  </si>
  <si>
    <t>Sector volume =</t>
  </si>
  <si>
    <t>Knuckle volume =</t>
  </si>
  <si>
    <t>I.D.  =</t>
  </si>
  <si>
    <t>k  =</t>
  </si>
  <si>
    <t>Knuckle-Radius (kD)</t>
  </si>
  <si>
    <t>f   =</t>
  </si>
  <si>
    <t>dish-radius parameter (fD)</t>
  </si>
  <si>
    <t>kD   =</t>
  </si>
  <si>
    <t>fD   =</t>
  </si>
  <si>
    <t>a   =</t>
  </si>
  <si>
    <t>a1   =</t>
  </si>
  <si>
    <t>a2   =</t>
  </si>
  <si>
    <t>D1  =</t>
  </si>
  <si>
    <t>s   =</t>
  </si>
  <si>
    <t>t   =</t>
  </si>
  <si>
    <t>u(h)   =</t>
  </si>
  <si>
    <t>Limits of the Equation</t>
  </si>
  <si>
    <t>Top</t>
  </si>
  <si>
    <t>h  =</t>
  </si>
  <si>
    <t>in</t>
  </si>
  <si>
    <t>V  =</t>
  </si>
  <si>
    <r>
      <t xml:space="preserve">Cos </t>
    </r>
    <r>
      <rPr>
        <sz val="10"/>
        <rFont val="Symbol"/>
        <family val="1"/>
        <charset val="2"/>
      </rPr>
      <t>a</t>
    </r>
    <r>
      <rPr>
        <sz val="10"/>
        <rFont val="Arial"/>
        <family val="2"/>
      </rPr>
      <t xml:space="preserve">  =</t>
    </r>
  </si>
  <si>
    <r>
      <t xml:space="preserve">Sin </t>
    </r>
    <r>
      <rPr>
        <sz val="10"/>
        <rFont val="Symbol"/>
        <family val="1"/>
        <charset val="2"/>
      </rPr>
      <t>a</t>
    </r>
    <r>
      <rPr>
        <sz val="10"/>
        <rFont val="Arial"/>
        <family val="2"/>
      </rPr>
      <t xml:space="preserve">  =</t>
    </r>
  </si>
  <si>
    <r>
      <t xml:space="preserve">Acos </t>
    </r>
    <r>
      <rPr>
        <sz val="10"/>
        <rFont val="Symbol"/>
        <family val="1"/>
        <charset val="2"/>
      </rPr>
      <t>a</t>
    </r>
    <r>
      <rPr>
        <sz val="10"/>
        <rFont val="Arial"/>
        <family val="2"/>
      </rPr>
      <t xml:space="preserve"> =</t>
    </r>
  </si>
  <si>
    <r>
      <t xml:space="preserve">Asin </t>
    </r>
    <r>
      <rPr>
        <sz val="10"/>
        <rFont val="Symbol"/>
        <family val="1"/>
        <charset val="2"/>
      </rPr>
      <t>a</t>
    </r>
    <r>
      <rPr>
        <sz val="10"/>
        <rFont val="Arial"/>
        <family val="2"/>
      </rPr>
      <t xml:space="preserve">  =</t>
    </r>
  </si>
  <si>
    <r>
      <t>in</t>
    </r>
    <r>
      <rPr>
        <vertAlign val="superscript"/>
        <sz val="10"/>
        <rFont val="Arial"/>
        <family val="2"/>
      </rPr>
      <t>3</t>
    </r>
    <r>
      <rPr>
        <sz val="10"/>
        <rFont val="Arial"/>
        <family val="2"/>
      </rPr>
      <t xml:space="preserve">  =</t>
    </r>
  </si>
  <si>
    <t>Approximate area for nozzle attachment</t>
  </si>
  <si>
    <t>Start of Knuckle Radius</t>
  </si>
  <si>
    <t>Inside Depth</t>
  </si>
  <si>
    <t>(= I.D./4)</t>
  </si>
  <si>
    <t>Dish Radius</t>
  </si>
  <si>
    <t>Note:</t>
  </si>
  <si>
    <t>Verify all dimension</t>
  </si>
  <si>
    <t>with vendor drawings</t>
  </si>
  <si>
    <t>NOTE:</t>
  </si>
  <si>
    <t>Ellipsoidal 2:1 heads are fabricated and measured using the Internal Diameter (ID) of the head.</t>
  </si>
  <si>
    <t>Any cylindrical shell fabricated to fit these heads must conform to or match the ID dimension.</t>
  </si>
  <si>
    <t>All Dimensions</t>
  </si>
  <si>
    <t>ASME F&amp;D  heads are fabricated and measured using the Outside Diameter (OD) of the head.</t>
  </si>
  <si>
    <t>Any cylindrical shell fabricated to fit these heads must conform to or match the OD dimension.</t>
  </si>
  <si>
    <t>Not all wall thicknesses are shown. Interpolate for approximate inside depth O.D. dish IDD</t>
  </si>
  <si>
    <t>O.D</t>
  </si>
  <si>
    <t>"T"</t>
  </si>
  <si>
    <t>"R1"</t>
  </si>
  <si>
    <t>"R2"</t>
  </si>
  <si>
    <t>IDD</t>
  </si>
  <si>
    <t>ASME</t>
  </si>
  <si>
    <t>26"</t>
  </si>
  <si>
    <t>28"</t>
  </si>
  <si>
    <t>30"</t>
  </si>
  <si>
    <t>32"</t>
  </si>
  <si>
    <t>36"</t>
  </si>
  <si>
    <t>38"</t>
  </si>
  <si>
    <t>40"</t>
  </si>
  <si>
    <t>42"</t>
  </si>
  <si>
    <t>54"</t>
  </si>
  <si>
    <t>60"</t>
  </si>
  <si>
    <t>66"</t>
  </si>
  <si>
    <t>72"</t>
  </si>
  <si>
    <t>78"</t>
  </si>
  <si>
    <t>84"</t>
  </si>
  <si>
    <t>90"</t>
  </si>
  <si>
    <t>96"</t>
  </si>
  <si>
    <t>102"</t>
  </si>
  <si>
    <t>108"</t>
  </si>
  <si>
    <t>114"</t>
  </si>
  <si>
    <t>120"</t>
  </si>
  <si>
    <t>126"</t>
  </si>
  <si>
    <t>132"</t>
  </si>
  <si>
    <t>138"</t>
  </si>
  <si>
    <t>144"</t>
  </si>
  <si>
    <t>156"</t>
  </si>
  <si>
    <t>168"</t>
  </si>
  <si>
    <t>192"</t>
  </si>
  <si>
    <t>204"</t>
  </si>
  <si>
    <t>210"</t>
  </si>
  <si>
    <t>216"</t>
  </si>
  <si>
    <t>228"</t>
  </si>
  <si>
    <r>
      <t xml:space="preserve">are in </t>
    </r>
    <r>
      <rPr>
        <b/>
        <sz val="10"/>
        <color indexed="12"/>
        <rFont val="Arial"/>
        <family val="2"/>
      </rPr>
      <t>Inches</t>
    </r>
    <r>
      <rPr>
        <b/>
        <sz val="10"/>
        <color indexed="10"/>
        <rFont val="Arial"/>
        <family val="2"/>
      </rPr>
      <t xml:space="preserve"> (mm)</t>
    </r>
  </si>
  <si>
    <r>
      <t xml:space="preserve">Inches </t>
    </r>
    <r>
      <rPr>
        <b/>
        <sz val="10"/>
        <rFont val="Arial"/>
        <family val="2"/>
      </rPr>
      <t>(Flanged &amp; Dished Head ASME Table)</t>
    </r>
  </si>
  <si>
    <r>
      <t xml:space="preserve">Millimeters </t>
    </r>
    <r>
      <rPr>
        <b/>
        <sz val="10"/>
        <rFont val="Arial"/>
        <family val="2"/>
      </rPr>
      <t>(Flanged &amp; Dished Head ASME Table)</t>
    </r>
  </si>
  <si>
    <r>
      <t xml:space="preserve">"T" </t>
    </r>
    <r>
      <rPr>
        <b/>
        <sz val="10"/>
        <color indexed="10"/>
        <rFont val="Arial"/>
        <family val="2"/>
      </rPr>
      <t>(mm)</t>
    </r>
  </si>
  <si>
    <r>
      <t>"R1"</t>
    </r>
    <r>
      <rPr>
        <b/>
        <sz val="10"/>
        <color indexed="10"/>
        <rFont val="Arial"/>
        <family val="2"/>
      </rPr>
      <t>(mm)</t>
    </r>
  </si>
  <si>
    <r>
      <t>"R2"</t>
    </r>
    <r>
      <rPr>
        <b/>
        <sz val="10"/>
        <color indexed="10"/>
        <rFont val="Arial"/>
        <family val="2"/>
      </rPr>
      <t>(mm)</t>
    </r>
  </si>
  <si>
    <r>
      <t>IDD</t>
    </r>
    <r>
      <rPr>
        <b/>
        <sz val="10"/>
        <color indexed="10"/>
        <rFont val="Arial"/>
        <family val="2"/>
      </rPr>
      <t>(mm)</t>
    </r>
  </si>
  <si>
    <t>F &amp; D  heads are fabricated and measured using the Outside Diameter (OD) of the head.</t>
  </si>
  <si>
    <t>240"</t>
  </si>
  <si>
    <r>
      <t xml:space="preserve">Inches </t>
    </r>
    <r>
      <rPr>
        <b/>
        <sz val="10"/>
        <rFont val="Arial"/>
        <family val="2"/>
      </rPr>
      <t>(Flanged &amp; Dished Head Table)</t>
    </r>
  </si>
  <si>
    <r>
      <t xml:space="preserve">Millimeters </t>
    </r>
    <r>
      <rPr>
        <b/>
        <sz val="10"/>
        <rFont val="Arial"/>
        <family val="2"/>
      </rPr>
      <t>(Flanged &amp; Dished Head Table)</t>
    </r>
  </si>
  <si>
    <t xml:space="preserve">Torispherical (also called ASME F&amp;D) heads are designed and fabricated in the USA on the basis of using the </t>
  </si>
  <si>
    <r>
      <t>Tank Internal Diameter</t>
    </r>
    <r>
      <rPr>
        <vertAlign val="superscript"/>
        <sz val="10"/>
        <rFont val="Arial"/>
        <family val="2"/>
      </rPr>
      <t>(3)</t>
    </r>
    <r>
      <rPr>
        <sz val="10"/>
        <rFont val="Arial"/>
        <family val="2"/>
      </rPr>
      <t xml:space="preserve"> </t>
    </r>
  </si>
  <si>
    <r>
      <t>R</t>
    </r>
    <r>
      <rPr>
        <vertAlign val="subscript"/>
        <sz val="10"/>
        <rFont val="Arial"/>
        <family val="2"/>
      </rPr>
      <t>i</t>
    </r>
    <r>
      <rPr>
        <sz val="10"/>
        <rFont val="Arial"/>
        <family val="2"/>
      </rPr>
      <t xml:space="preserve"> </t>
    </r>
  </si>
  <si>
    <r>
      <t>r</t>
    </r>
    <r>
      <rPr>
        <vertAlign val="subscript"/>
        <sz val="10"/>
        <rFont val="Arial"/>
        <family val="2"/>
      </rPr>
      <t>i</t>
    </r>
    <r>
      <rPr>
        <sz val="10"/>
        <rFont val="Arial"/>
        <family val="2"/>
      </rPr>
      <t xml:space="preserve"> </t>
    </r>
  </si>
  <si>
    <r>
      <t>D/2 - r</t>
    </r>
    <r>
      <rPr>
        <vertAlign val="subscript"/>
        <sz val="10"/>
        <rFont val="Arial"/>
        <family val="2"/>
      </rPr>
      <t>i</t>
    </r>
  </si>
  <si>
    <r>
      <t>b  R</t>
    </r>
    <r>
      <rPr>
        <vertAlign val="subscript"/>
        <sz val="10"/>
        <rFont val="Arial"/>
        <family val="2"/>
      </rPr>
      <t>i</t>
    </r>
    <r>
      <rPr>
        <sz val="10"/>
        <rFont val="Arial"/>
        <family val="2"/>
      </rPr>
      <t xml:space="preserve"> / (R</t>
    </r>
    <r>
      <rPr>
        <vertAlign val="subscript"/>
        <sz val="10"/>
        <rFont val="Arial"/>
        <family val="2"/>
      </rPr>
      <t>i</t>
    </r>
    <r>
      <rPr>
        <sz val="10"/>
        <rFont val="Arial"/>
        <family val="2"/>
      </rPr>
      <t xml:space="preserve"> - r</t>
    </r>
    <r>
      <rPr>
        <vertAlign val="subscript"/>
        <sz val="10"/>
        <rFont val="Arial"/>
        <family val="2"/>
      </rPr>
      <t>i</t>
    </r>
    <r>
      <rPr>
        <sz val="10"/>
        <rFont val="Arial"/>
        <family val="2"/>
      </rPr>
      <t>)</t>
    </r>
  </si>
  <si>
    <r>
      <t>((R</t>
    </r>
    <r>
      <rPr>
        <vertAlign val="subscript"/>
        <sz val="10"/>
        <rFont val="Arial"/>
        <family val="2"/>
      </rPr>
      <t>i</t>
    </r>
    <r>
      <rPr>
        <sz val="10"/>
        <rFont val="Arial"/>
        <family val="2"/>
      </rPr>
      <t xml:space="preserve"> - r</t>
    </r>
    <r>
      <rPr>
        <vertAlign val="subscript"/>
        <sz val="10"/>
        <rFont val="Arial"/>
        <family val="2"/>
      </rPr>
      <t>i</t>
    </r>
    <r>
      <rPr>
        <sz val="10"/>
        <rFont val="Arial"/>
        <family val="2"/>
      </rPr>
      <t>)</t>
    </r>
    <r>
      <rPr>
        <vertAlign val="superscript"/>
        <sz val="10"/>
        <rFont val="Arial"/>
        <family val="2"/>
      </rPr>
      <t>2</t>
    </r>
    <r>
      <rPr>
        <sz val="10"/>
        <rFont val="Arial"/>
        <family val="2"/>
      </rPr>
      <t xml:space="preserve"> - b</t>
    </r>
    <r>
      <rPr>
        <vertAlign val="superscript"/>
        <sz val="10"/>
        <rFont val="Arial"/>
        <family val="2"/>
      </rPr>
      <t>2</t>
    </r>
    <r>
      <rPr>
        <sz val="10"/>
        <rFont val="Arial"/>
        <family val="2"/>
      </rPr>
      <t>)</t>
    </r>
    <r>
      <rPr>
        <vertAlign val="superscript"/>
        <sz val="10"/>
        <rFont val="Arial"/>
        <family val="2"/>
      </rPr>
      <t>½</t>
    </r>
    <r>
      <rPr>
        <sz val="10"/>
        <rFont val="Arial"/>
        <family val="2"/>
      </rPr>
      <t xml:space="preserve"> </t>
    </r>
  </si>
  <si>
    <r>
      <t>Sin</t>
    </r>
    <r>
      <rPr>
        <vertAlign val="superscript"/>
        <sz val="10"/>
        <rFont val="Arial"/>
        <family val="2"/>
      </rPr>
      <t>-1</t>
    </r>
    <r>
      <rPr>
        <sz val="10"/>
        <rFont val="Arial"/>
        <family val="2"/>
      </rPr>
      <t xml:space="preserve"> (a / R</t>
    </r>
    <r>
      <rPr>
        <vertAlign val="subscript"/>
        <sz val="10"/>
        <rFont val="Arial"/>
        <family val="2"/>
      </rPr>
      <t>i</t>
    </r>
    <r>
      <rPr>
        <sz val="10"/>
        <rFont val="Arial"/>
        <family val="2"/>
      </rPr>
      <t>)</t>
    </r>
  </si>
  <si>
    <r>
      <t>R</t>
    </r>
    <r>
      <rPr>
        <vertAlign val="subscript"/>
        <sz val="10"/>
        <rFont val="Arial"/>
        <family val="2"/>
      </rPr>
      <t>i</t>
    </r>
    <r>
      <rPr>
        <sz val="10"/>
        <rFont val="Arial"/>
        <family val="2"/>
      </rPr>
      <t xml:space="preserve">  Cos ß   - c</t>
    </r>
  </si>
  <si>
    <r>
      <t>R</t>
    </r>
    <r>
      <rPr>
        <vertAlign val="subscript"/>
        <sz val="10"/>
        <rFont val="Arial"/>
        <family val="2"/>
      </rPr>
      <t>i</t>
    </r>
    <r>
      <rPr>
        <sz val="10"/>
        <rFont val="Arial"/>
        <family val="2"/>
      </rPr>
      <t xml:space="preserve"> - c - x</t>
    </r>
  </si>
  <si>
    <r>
      <t>p</t>
    </r>
    <r>
      <rPr>
        <sz val="10"/>
        <rFont val="Arial"/>
        <family val="2"/>
      </rPr>
      <t xml:space="preserve"> / 6 * z (3a</t>
    </r>
    <r>
      <rPr>
        <vertAlign val="superscript"/>
        <sz val="10"/>
        <rFont val="Arial"/>
        <family val="2"/>
      </rPr>
      <t>2</t>
    </r>
    <r>
      <rPr>
        <sz val="10"/>
        <rFont val="Arial"/>
        <family val="2"/>
      </rPr>
      <t xml:space="preserve"> + z</t>
    </r>
    <r>
      <rPr>
        <vertAlign val="superscript"/>
        <sz val="10"/>
        <rFont val="Arial"/>
        <family val="2"/>
      </rPr>
      <t>2</t>
    </r>
    <r>
      <rPr>
        <sz val="10"/>
        <rFont val="Arial"/>
        <family val="2"/>
      </rPr>
      <t>)</t>
    </r>
  </si>
  <si>
    <r>
      <t xml:space="preserve">+  </t>
    </r>
    <r>
      <rPr>
        <sz val="10"/>
        <rFont val="Symbol"/>
        <family val="1"/>
        <charset val="2"/>
      </rPr>
      <t>p</t>
    </r>
    <r>
      <rPr>
        <sz val="10"/>
        <rFont val="Arial"/>
        <family val="2"/>
      </rPr>
      <t xml:space="preserve"> / 3 * x ((D/2)</t>
    </r>
    <r>
      <rPr>
        <vertAlign val="superscript"/>
        <sz val="10"/>
        <rFont val="Arial"/>
        <family val="2"/>
      </rPr>
      <t>2</t>
    </r>
    <r>
      <rPr>
        <sz val="10"/>
        <rFont val="Arial"/>
        <family val="2"/>
      </rPr>
      <t xml:space="preserve"> + (D/2)a + a</t>
    </r>
    <r>
      <rPr>
        <vertAlign val="superscript"/>
        <sz val="10"/>
        <rFont val="Arial"/>
        <family val="2"/>
      </rPr>
      <t>2</t>
    </r>
    <r>
      <rPr>
        <sz val="10"/>
        <rFont val="Arial"/>
        <family val="2"/>
      </rPr>
      <t>)</t>
    </r>
  </si>
  <si>
    <r>
      <t xml:space="preserve">Volume </t>
    </r>
    <r>
      <rPr>
        <vertAlign val="superscript"/>
        <sz val="10"/>
        <rFont val="Arial"/>
        <family val="2"/>
      </rPr>
      <t>(1)</t>
    </r>
    <r>
      <rPr>
        <sz val="10"/>
        <rFont val="Arial"/>
        <family val="2"/>
      </rPr>
      <t xml:space="preserve"> </t>
    </r>
  </si>
  <si>
    <r>
      <t xml:space="preserve">Volume </t>
    </r>
    <r>
      <rPr>
        <vertAlign val="superscript"/>
        <sz val="10"/>
        <rFont val="Arial"/>
        <family val="2"/>
      </rPr>
      <t>(2)</t>
    </r>
    <r>
      <rPr>
        <sz val="10"/>
        <rFont val="Arial"/>
        <family val="2"/>
      </rPr>
      <t xml:space="preserve"> </t>
    </r>
  </si>
  <si>
    <r>
      <t>PI / 6 * "z" (3 * "r"</t>
    </r>
    <r>
      <rPr>
        <vertAlign val="superscript"/>
        <sz val="10"/>
        <rFont val="Arial"/>
        <family val="2"/>
      </rPr>
      <t>2</t>
    </r>
    <r>
      <rPr>
        <sz val="10"/>
        <rFont val="Arial"/>
        <family val="2"/>
      </rPr>
      <t xml:space="preserve"> + "z"</t>
    </r>
    <r>
      <rPr>
        <vertAlign val="superscript"/>
        <sz val="10"/>
        <rFont val="Arial"/>
        <family val="2"/>
      </rPr>
      <t>2</t>
    </r>
    <r>
      <rPr>
        <sz val="10"/>
        <rFont val="Arial"/>
        <family val="2"/>
      </rPr>
      <t>)</t>
    </r>
  </si>
  <si>
    <r>
      <t>PI / 3 * "x" ("r"</t>
    </r>
    <r>
      <rPr>
        <vertAlign val="superscript"/>
        <sz val="10"/>
        <rFont val="Arial"/>
        <family val="2"/>
      </rPr>
      <t xml:space="preserve">2 </t>
    </r>
    <r>
      <rPr>
        <sz val="10"/>
        <rFont val="Arial"/>
        <family val="2"/>
      </rPr>
      <t>+ "r" * a + a</t>
    </r>
    <r>
      <rPr>
        <vertAlign val="superscript"/>
        <sz val="10"/>
        <rFont val="Arial"/>
        <family val="2"/>
      </rPr>
      <t>2</t>
    </r>
    <r>
      <rPr>
        <sz val="10"/>
        <rFont val="Arial"/>
        <family val="2"/>
      </rPr>
      <t>)</t>
    </r>
  </si>
  <si>
    <t xml:space="preserve">guppy, spherical, and torispherical heads  (use radian angular measure for all trigonometric functions and </t>
  </si>
  <si>
    <t>D/2 = R &gt; 0 for all equations).</t>
  </si>
  <si>
    <r>
      <t>through both the tank centerline and through D</t>
    </r>
    <r>
      <rPr>
        <vertAlign val="subscript"/>
        <sz val="10"/>
        <rFont val="Arial"/>
        <family val="2"/>
      </rPr>
      <t>A</t>
    </r>
    <r>
      <rPr>
        <sz val="10"/>
        <rFont val="Arial"/>
        <family val="2"/>
      </rPr>
      <t>, use D = D</t>
    </r>
    <r>
      <rPr>
        <vertAlign val="subscript"/>
        <sz val="10"/>
        <rFont val="Arial"/>
        <family val="2"/>
      </rPr>
      <t>A</t>
    </r>
    <r>
      <rPr>
        <sz val="10"/>
        <rFont val="Arial"/>
        <family val="2"/>
      </rPr>
      <t xml:space="preserve">. Use the equations above for a vertical cylindrical </t>
    </r>
  </si>
  <si>
    <r>
      <t>tank with the appropriately shaped bottom. Multiply the volume found by D</t>
    </r>
    <r>
      <rPr>
        <vertAlign val="subscript"/>
        <sz val="10"/>
        <rFont val="Arial"/>
        <family val="2"/>
      </rPr>
      <t>B</t>
    </r>
    <r>
      <rPr>
        <sz val="10"/>
        <rFont val="Arial"/>
        <family val="2"/>
      </rPr>
      <t>/D</t>
    </r>
    <r>
      <rPr>
        <vertAlign val="subscript"/>
        <sz val="10"/>
        <rFont val="Arial"/>
        <family val="2"/>
      </rPr>
      <t>A</t>
    </r>
    <r>
      <rPr>
        <sz val="10"/>
        <rFont val="Arial"/>
        <family val="2"/>
      </rPr>
      <t xml:space="preserve"> to get the elliptical tank volume.</t>
    </r>
  </si>
  <si>
    <r>
      <t>through both the tank centerline and through D</t>
    </r>
    <r>
      <rPr>
        <vertAlign val="subscript"/>
        <sz val="10"/>
        <rFont val="Arial"/>
        <family val="2"/>
      </rPr>
      <t>B</t>
    </r>
    <r>
      <rPr>
        <sz val="10"/>
        <rFont val="Arial"/>
        <family val="2"/>
      </rPr>
      <t>, use D = D</t>
    </r>
    <r>
      <rPr>
        <vertAlign val="subscript"/>
        <sz val="10"/>
        <rFont val="Arial"/>
        <family val="2"/>
      </rPr>
      <t>B</t>
    </r>
    <r>
      <rPr>
        <sz val="10"/>
        <rFont val="Arial"/>
        <family val="2"/>
      </rPr>
      <t xml:space="preserve">.  Use the equations above for a vertical cylindrical </t>
    </r>
  </si>
  <si>
    <r>
      <t>tank with the appropriately shaped bottom.  Multiply the volume found by D</t>
    </r>
    <r>
      <rPr>
        <vertAlign val="subscript"/>
        <sz val="10"/>
        <rFont val="Arial"/>
        <family val="2"/>
      </rPr>
      <t>A</t>
    </r>
    <r>
      <rPr>
        <sz val="10"/>
        <rFont val="Arial"/>
        <family val="2"/>
      </rPr>
      <t>/D</t>
    </r>
    <r>
      <rPr>
        <vertAlign val="subscript"/>
        <sz val="10"/>
        <rFont val="Arial"/>
        <family val="2"/>
      </rPr>
      <t>B</t>
    </r>
    <r>
      <rPr>
        <sz val="10"/>
        <rFont val="Arial"/>
        <family val="2"/>
      </rPr>
      <t xml:space="preserve"> to get the desired elliptical tank</t>
    </r>
  </si>
  <si>
    <t>volume.</t>
  </si>
  <si>
    <t>Examples for vertical elliptical tanks</t>
  </si>
  <si>
    <t>Find the fluid volumes (in gal.) of vertical elliptical tanks with conical, spherical and torispherical bottoms with the</t>
  </si>
  <si>
    <t xml:space="preserve">k = 0.2 for the torispherical bottom, fluid height h = 53 in.  Head parameters of each tank defined (1) in a plane </t>
  </si>
  <si>
    <t xml:space="preserve">calculate vertical cylindrical tank volumes with D = 96 in., a = 34 in. (for conical and spherical bottoms), f = 0.9 </t>
  </si>
  <si>
    <t xml:space="preserve">and k = 0.2 (for the torispherical bottom), and h = 53 in., and multiply the volume found by 72/96.  For example 2, </t>
  </si>
  <si>
    <t xml:space="preserve">calculate vertical cylindrical tank volumes with D = 72 in., a = 34 in. (for conical and spherical bottoms), f = 0.9 </t>
  </si>
  <si>
    <t xml:space="preserve">and k = 0.2 (for the torispherical bottom), and h = 53 in., and multiply the volume found by 96/72.  The results are </t>
  </si>
  <si>
    <t>summarized in the following table:</t>
  </si>
  <si>
    <r>
      <t xml:space="preserve"> following measurements: D</t>
    </r>
    <r>
      <rPr>
        <vertAlign val="subscript"/>
        <sz val="10"/>
        <rFont val="Arial"/>
        <family val="2"/>
      </rPr>
      <t>A</t>
    </r>
    <r>
      <rPr>
        <sz val="10"/>
        <rFont val="Arial"/>
        <family val="2"/>
      </rPr>
      <t xml:space="preserve"> = 96 in., D</t>
    </r>
    <r>
      <rPr>
        <vertAlign val="subscript"/>
        <sz val="10"/>
        <rFont val="Arial"/>
        <family val="2"/>
      </rPr>
      <t>B</t>
    </r>
    <r>
      <rPr>
        <sz val="10"/>
        <rFont val="Arial"/>
        <family val="2"/>
      </rPr>
      <t xml:space="preserve"> = 72 in., a = 34 in. for conical and spherical bottoms, f = 0.9 and </t>
    </r>
  </si>
  <si>
    <r>
      <t>through the tank centerline and D</t>
    </r>
    <r>
      <rPr>
        <vertAlign val="subscript"/>
        <sz val="10"/>
        <rFont val="Arial"/>
        <family val="2"/>
      </rPr>
      <t>A</t>
    </r>
    <r>
      <rPr>
        <sz val="10"/>
        <rFont val="Arial"/>
        <family val="2"/>
      </rPr>
      <t xml:space="preserve"> and (2) in a plane through the tank centerline and D</t>
    </r>
    <r>
      <rPr>
        <vertAlign val="subscript"/>
        <sz val="10"/>
        <rFont val="Arial"/>
        <family val="2"/>
      </rPr>
      <t>B</t>
    </r>
    <r>
      <rPr>
        <sz val="10"/>
        <rFont val="Arial"/>
        <family val="2"/>
      </rPr>
      <t xml:space="preserve">.  For example 1, </t>
    </r>
  </si>
  <si>
    <t xml:space="preserve">Calculated values for "a" in the torispherical-bottom cases are 25.684 in. and 22.554 in. for examples 1 and 2, </t>
  </si>
  <si>
    <t>respectively. CP</t>
  </si>
  <si>
    <t xml:space="preserve">Jones is a senior process chemist for Stockhausen Louisiana LLC, Garyville, La. Contact him at </t>
  </si>
  <si>
    <t>Dan.Jones@degussa.com.</t>
  </si>
  <si>
    <r>
      <t xml:space="preserve">spherical head, |a| </t>
    </r>
    <r>
      <rPr>
        <u/>
        <sz val="10"/>
        <rFont val="Arial"/>
        <family val="2"/>
      </rPr>
      <t>&lt;</t>
    </r>
    <r>
      <rPr>
        <sz val="10"/>
        <rFont val="Arial"/>
        <family val="2"/>
      </rPr>
      <t xml:space="preserve"> R, where R is the radius of the cylindrical tank body.  For concave conical, ellipsoidal, </t>
    </r>
  </si>
  <si>
    <r>
      <t xml:space="preserve">guppy, spherical or torispherical heads, |a| </t>
    </r>
    <r>
      <rPr>
        <u/>
        <sz val="10"/>
        <rFont val="Arial"/>
        <family val="2"/>
      </rPr>
      <t>&lt;</t>
    </r>
    <r>
      <rPr>
        <sz val="10"/>
        <rFont val="Arial"/>
        <family val="2"/>
      </rPr>
      <t xml:space="preserve"> L/2.</t>
    </r>
  </si>
  <si>
    <r>
      <t xml:space="preserve">Cylindrical tube of diameter D (D &gt; 0), radius R (R &gt; 0) and length L (L </t>
    </r>
    <r>
      <rPr>
        <u/>
        <sz val="10"/>
        <rFont val="Arial"/>
        <family val="2"/>
      </rPr>
      <t>&gt;</t>
    </r>
    <r>
      <rPr>
        <sz val="10"/>
        <rFont val="Arial"/>
        <family val="2"/>
      </rPr>
      <t xml:space="preserve"> 0)</t>
    </r>
  </si>
  <si>
    <r>
      <t xml:space="preserve">For spherical head of radius r, r </t>
    </r>
    <r>
      <rPr>
        <u/>
        <sz val="10"/>
        <rFont val="Arial"/>
        <family val="2"/>
      </rPr>
      <t>&gt;</t>
    </r>
    <r>
      <rPr>
        <sz val="10"/>
        <rFont val="Arial"/>
        <family val="2"/>
      </rPr>
      <t xml:space="preserve"> R and |a| </t>
    </r>
    <r>
      <rPr>
        <u/>
        <sz val="10"/>
        <rFont val="Arial"/>
        <family val="2"/>
      </rPr>
      <t>&lt;</t>
    </r>
    <r>
      <rPr>
        <sz val="10"/>
        <rFont val="Arial"/>
        <family val="2"/>
      </rPr>
      <t xml:space="preserve"> R</t>
    </r>
  </si>
  <si>
    <r>
      <t xml:space="preserve"> L </t>
    </r>
    <r>
      <rPr>
        <u/>
        <sz val="10"/>
        <rFont val="Arial"/>
        <family val="2"/>
      </rPr>
      <t>&gt;</t>
    </r>
    <r>
      <rPr>
        <sz val="10"/>
        <rFont val="Arial"/>
        <family val="2"/>
      </rPr>
      <t xml:space="preserve"> 0 for a </t>
    </r>
    <r>
      <rPr>
        <u/>
        <sz val="10"/>
        <rFont val="Arial"/>
        <family val="2"/>
      </rPr>
      <t>&gt;</t>
    </r>
    <r>
      <rPr>
        <sz val="10"/>
        <rFont val="Arial"/>
        <family val="2"/>
      </rPr>
      <t xml:space="preserve"> 0, L </t>
    </r>
    <r>
      <rPr>
        <u/>
        <sz val="10"/>
        <rFont val="Arial"/>
        <family val="2"/>
      </rPr>
      <t>&gt;</t>
    </r>
    <r>
      <rPr>
        <sz val="10"/>
        <rFont val="Arial"/>
        <family val="2"/>
      </rPr>
      <t xml:space="preserve"> 2|a| for a &lt; 0</t>
    </r>
  </si>
  <si>
    <r>
      <t xml:space="preserve"> 0 </t>
    </r>
    <r>
      <rPr>
        <u/>
        <sz val="10"/>
        <rFont val="Arial"/>
        <family val="2"/>
      </rPr>
      <t>&lt;</t>
    </r>
    <r>
      <rPr>
        <sz val="10"/>
        <rFont val="Arial"/>
        <family val="2"/>
      </rPr>
      <t xml:space="preserve"> h </t>
    </r>
    <r>
      <rPr>
        <u/>
        <sz val="10"/>
        <rFont val="Arial"/>
        <family val="2"/>
      </rPr>
      <t>&lt;</t>
    </r>
    <r>
      <rPr>
        <sz val="10"/>
        <rFont val="Arial"/>
        <family val="2"/>
      </rPr>
      <t xml:space="preserve"> D.</t>
    </r>
  </si>
  <si>
    <r>
      <t xml:space="preserve">be exactly half of an ellipsoid of revolution.  For a spherical bottom, |a| </t>
    </r>
    <r>
      <rPr>
        <u/>
        <sz val="10"/>
        <rFont val="Arial"/>
        <family val="2"/>
      </rPr>
      <t>&lt;</t>
    </r>
    <r>
      <rPr>
        <sz val="10"/>
        <rFont val="Arial"/>
        <family val="2"/>
      </rPr>
      <t xml:space="preserve"> R, where a is the depth of the spherical </t>
    </r>
  </si>
  <si>
    <t xml:space="preserve">Find the volumes of fluid, in gallons, in horizontal cylindrical tanks 108 inches [in.] in diameter with cylinder </t>
  </si>
  <si>
    <t xml:space="preserve">lengths of 156 in., for conical, ellipsoidal, guppy, spherical and “standard” ASME torispherical (f = 1, k = 0.06) </t>
  </si>
  <si>
    <t xml:space="preserve">heads, each head extending beyond the ends of the cylinder 42 in. (except torispherical), for fluid depths in the </t>
  </si>
  <si>
    <t xml:space="preserve">tanks of 36 in. (example 1) and 84 in. (example 2).  Calculate five times for each fluid depth - for a conical, </t>
  </si>
  <si>
    <t>ellipsoidal, guppy, spherical and torispherical head.</t>
  </si>
  <si>
    <t xml:space="preserve">For example 1, the parameters are D = 108 in., L = 156 in., a = 42 in., h = 36 in., f = 1 and k = 0.06.  The fluid </t>
  </si>
  <si>
    <t xml:space="preserve">volumes are 2,041.19 gallon (gal) for conical heads, 2,380.96 gal for ellipsoidal heads, 1,931.72 gal for guppy </t>
  </si>
  <si>
    <t>heads, 2,303.96 gal for spherical heads and 2,028.63 gal for torispherical heads.</t>
  </si>
  <si>
    <t xml:space="preserve">For example 2, the parameters are D = 108 in., L = 156 in., a = 42 in., h = 84 in., f = 1 and k = 0.06.  The fluid </t>
  </si>
  <si>
    <t xml:space="preserve">volumes are 6,180.54 gal for conical heads, 7,103.45 gal for ellipsoidal heads, 5,954.11 gal for guppy heads, </t>
  </si>
  <si>
    <t>6,935.16 gal for spherical heads, and 5,939.90 gal for torispherical heads.</t>
  </si>
  <si>
    <t xml:space="preserve">For torispherical heads, “a” is not required input; it can be calculated from f, k and D.  For these torispherical </t>
  </si>
  <si>
    <t>head examples, the calculated value is “a” = 18.288 in.</t>
  </si>
  <si>
    <t>Vertical cylindrical tanks</t>
  </si>
  <si>
    <t xml:space="preserve">The fluid volume in a vertical cylindrical tank with either a conical, ellipsoidal, spherical or torispherical bottom can </t>
  </si>
  <si>
    <t xml:space="preserve">be calculated, where the fluid height, h, is measured from the center of the bottom of the tank to the surface of the </t>
  </si>
  <si>
    <t xml:space="preserve">fluid in the tank.  See Fig. 3 and Fig. 4 for tank configurations and dimension parameters, which also are defined </t>
  </si>
  <si>
    <t>in the “Variables and Definitions” sidebar.</t>
  </si>
  <si>
    <t>Figure 2. Parameters for Horizontal Cylindrical Tanks with Torispherical Heads</t>
  </si>
  <si>
    <t xml:space="preserve">A torispherical bottom is an ASME-type bottom defined by a knuckle-radius factor and a dish-radius factor, as </t>
  </si>
  <si>
    <t xml:space="preserve">shown in Fig. 4.  The knuckle radius then will be kD, and the dish radius will be fD.  An ellipsoidal bottom must </t>
  </si>
  <si>
    <t>bottom and R is the radius of the cylindrical section of the tank.</t>
  </si>
  <si>
    <t>The following parameter ranges must be observed:</t>
  </si>
  <si>
    <r>
      <t xml:space="preserve">f </t>
    </r>
    <r>
      <rPr>
        <sz val="10"/>
        <rFont val="Arial"/>
        <family val="2"/>
      </rPr>
      <t>&gt;</t>
    </r>
    <r>
      <rPr>
        <sz val="10"/>
        <rFont val="Arial"/>
        <family val="2"/>
      </rPr>
      <t xml:space="preserve"> 0.5 for a torispherical bottom.</t>
    </r>
  </si>
  <si>
    <r>
      <t xml:space="preserve">a </t>
    </r>
    <r>
      <rPr>
        <u/>
        <sz val="10"/>
        <rFont val="Arial"/>
        <family val="2"/>
      </rPr>
      <t>&gt;</t>
    </r>
    <r>
      <rPr>
        <sz val="10"/>
        <rFont val="Arial"/>
        <family val="2"/>
      </rPr>
      <t xml:space="preserve"> 0 for all vertical tanks, a </t>
    </r>
    <r>
      <rPr>
        <u/>
        <sz val="10"/>
        <rFont val="Arial"/>
        <family val="2"/>
      </rPr>
      <t>&lt;</t>
    </r>
    <r>
      <rPr>
        <sz val="10"/>
        <rFont val="Arial"/>
        <family val="2"/>
      </rPr>
      <t xml:space="preserve"> R for a spherical bottom.</t>
    </r>
  </si>
  <si>
    <r>
      <t xml:space="preserve">0 </t>
    </r>
    <r>
      <rPr>
        <u/>
        <sz val="10"/>
        <rFont val="Arial"/>
        <family val="2"/>
      </rPr>
      <t>&lt;</t>
    </r>
    <r>
      <rPr>
        <sz val="10"/>
        <rFont val="Arial"/>
        <family val="2"/>
      </rPr>
      <t xml:space="preserve"> k </t>
    </r>
    <r>
      <rPr>
        <u/>
        <sz val="10"/>
        <rFont val="Arial"/>
        <family val="2"/>
      </rPr>
      <t>&lt;</t>
    </r>
    <r>
      <rPr>
        <sz val="10"/>
        <rFont val="Arial"/>
        <family val="2"/>
      </rPr>
      <t xml:space="preserve"> 0.5 for a torispherical bottom.</t>
    </r>
  </si>
  <si>
    <r>
      <t xml:space="preserve">|a| </t>
    </r>
    <r>
      <rPr>
        <u/>
        <sz val="10"/>
        <rFont val="Arial"/>
        <family val="2"/>
      </rPr>
      <t>&lt;</t>
    </r>
    <r>
      <rPr>
        <sz val="10"/>
        <rFont val="Arial"/>
        <family val="2"/>
      </rPr>
      <t xml:space="preserve"> R for spherical heads.</t>
    </r>
  </si>
  <si>
    <r>
      <t xml:space="preserve">|a| </t>
    </r>
    <r>
      <rPr>
        <u/>
        <sz val="10"/>
        <rFont val="Arial"/>
        <family val="2"/>
      </rPr>
      <t>&lt;</t>
    </r>
    <r>
      <rPr>
        <sz val="10"/>
        <rFont val="Arial"/>
        <family val="2"/>
      </rPr>
      <t xml:space="preserve"> L/2 for concave ends.</t>
    </r>
  </si>
  <si>
    <r>
      <t xml:space="preserve">0 </t>
    </r>
    <r>
      <rPr>
        <u/>
        <sz val="10"/>
        <rFont val="Arial"/>
        <family val="2"/>
      </rPr>
      <t>&lt;</t>
    </r>
    <r>
      <rPr>
        <sz val="10"/>
        <rFont val="Arial"/>
        <family val="2"/>
      </rPr>
      <t xml:space="preserve"> h </t>
    </r>
    <r>
      <rPr>
        <u/>
        <sz val="10"/>
        <rFont val="Arial"/>
        <family val="2"/>
      </rPr>
      <t>&lt;</t>
    </r>
    <r>
      <rPr>
        <sz val="10"/>
        <rFont val="Arial"/>
        <family val="2"/>
      </rPr>
      <t xml:space="preserve"> 2R for all tanks.</t>
    </r>
  </si>
  <si>
    <r>
      <t xml:space="preserve">0 </t>
    </r>
    <r>
      <rPr>
        <u/>
        <sz val="10"/>
        <rFont val="Arial"/>
        <family val="2"/>
      </rPr>
      <t>&lt;</t>
    </r>
    <r>
      <rPr>
        <sz val="10"/>
        <rFont val="Arial"/>
        <family val="2"/>
      </rPr>
      <t xml:space="preserve"> k </t>
    </r>
    <r>
      <rPr>
        <u/>
        <sz val="10"/>
        <rFont val="Arial"/>
        <family val="2"/>
      </rPr>
      <t>&lt;</t>
    </r>
    <r>
      <rPr>
        <sz val="10"/>
        <rFont val="Arial"/>
        <family val="2"/>
      </rPr>
      <t xml:space="preserve"> 0.5 for torispherical heads.</t>
    </r>
  </si>
  <si>
    <r>
      <t xml:space="preserve">L </t>
    </r>
    <r>
      <rPr>
        <u/>
        <sz val="10"/>
        <rFont val="Arial"/>
        <family val="2"/>
      </rPr>
      <t>&gt;</t>
    </r>
    <r>
      <rPr>
        <sz val="10"/>
        <rFont val="Arial"/>
        <family val="2"/>
      </rPr>
      <t xml:space="preserve"> 0.</t>
    </r>
  </si>
  <si>
    <t>Figure 3. Parameters for Vertical Cylindrical Tanks with Conical, Ellipsoidal or Spherical Bottoms</t>
  </si>
  <si>
    <t>Vertical tank equations</t>
  </si>
  <si>
    <t xml:space="preserve">The specific equations for fluid volumes in vertical cylindrical tanks with conical, ellipsoidal, spherical and </t>
  </si>
  <si>
    <t xml:space="preserve">torispherical bottoms are provided in the Vertical Tank Equations sidebar (use radian angular measure for all </t>
  </si>
  <si>
    <t>trigonometric functions, and D &gt; 0 for all equations).</t>
  </si>
  <si>
    <t>Figure 4. Parameters for Vertical Cylindrical Tanks with Torispherical Bottoms</t>
  </si>
  <si>
    <t>Vertical cylindrical tank examples</t>
  </si>
  <si>
    <t xml:space="preserve">Two examples can be used to check application of the equations for vertical cylindrical tanks; for each example, </t>
  </si>
  <si>
    <t>calculate the fluid volumes for conical, ellipsoidal, spherical and torispherical bottoms.</t>
  </si>
  <si>
    <t xml:space="preserve">For example 1, D = 132 in., a = 33 in., h = 24 in., f = 1, and k = 0.06.  The fluid volumes are 250.67 gal for a </t>
  </si>
  <si>
    <t xml:space="preserve">conical bottom, 783.36 gal for an ellipsoidal bottom, 583.60 gal for a spherical bottom and 904.07 gal for a </t>
  </si>
  <si>
    <t>torispherical bottom.</t>
  </si>
  <si>
    <t xml:space="preserve">For example 2, D = 132 in., a = 33 in., h = 60 in., f = 1, and k = 0.06.  The fluid volumes are 2,251.18 gal for a </t>
  </si>
  <si>
    <t xml:space="preserve">conical bottom, 2,902.83 gal for an ellipsoidal bottom, 2,658.46 gal for a spherical bottom and 3,036.76 gal for </t>
  </si>
  <si>
    <t>a torispherical bottom.</t>
  </si>
  <si>
    <t xml:space="preserve">For a torispherical bottom, parameter "a" is not required input, but can be calculated from the values of f, k, </t>
  </si>
  <si>
    <t>and D.  For these examples, the calculated value is a = 22.353 in.</t>
  </si>
  <si>
    <t>Horizontal and vertical elliptical tanks</t>
  </si>
  <si>
    <t xml:space="preserve">The cross-sections of tank bodies of horizontal and vertical tanks with elliptical bodies are ellipses.  For this </t>
  </si>
  <si>
    <t xml:space="preserve">article, a horizontal elliptical tank must be one of two possible configurations, shown in Fig. 5, where the major </t>
  </si>
  <si>
    <t>and minor axes of the elliptical cross-sections are either vertical or horizontal.</t>
  </si>
  <si>
    <t xml:space="preserve">The heads of horizontal elliptical tanks and the bottoms of vertical elliptical tanks may be any of those described </t>
  </si>
  <si>
    <t xml:space="preserve">above for the corresponding cylindrical tanks, with the assumption that the heads and bottoms are "deformed" </t>
  </si>
  <si>
    <t>proportionately to the deformation of the cylindrical body to form the elliptical body.</t>
  </si>
  <si>
    <t xml:space="preserve">In certain cases such as those with torispherical heads and bottoms and spherical heads and bottoms, it is </t>
  </si>
  <si>
    <t xml:space="preserve">necessary to distinguish which elliptical axis defines the head or bottom shape and which axis has been </t>
  </si>
  <si>
    <t xml:space="preserve">proportionately stretched or compressed from the cylindrical tank shape to form the elliptical tank shape; </t>
  </si>
  <si>
    <t>therefore, this distinction will be made for all cases for the sake of consistency, not necessity.</t>
  </si>
  <si>
    <t xml:space="preserve">To calculate the fluid volume in a horizontal elliptical tank with the elliptical body oriented in one of the two </t>
  </si>
  <si>
    <t xml:space="preserve">orientations shown in Fig. 5 - where the head parameters are defined in the vertical plane through the tank </t>
  </si>
  <si>
    <t xml:space="preserve">equations for horizontal cylindrical tanks with the appropriately shaped heads.  Multiply the volume found by </t>
  </si>
  <si>
    <r>
      <t>centerline (plane goes through D</t>
    </r>
    <r>
      <rPr>
        <vertAlign val="subscript"/>
        <sz val="10"/>
        <rFont val="Arial"/>
        <family val="2"/>
      </rPr>
      <t>H</t>
    </r>
    <r>
      <rPr>
        <sz val="10"/>
        <rFont val="Arial"/>
        <family val="2"/>
      </rPr>
      <t>) - calculate the volume of a horizontal cylindrical tank with D = D</t>
    </r>
    <r>
      <rPr>
        <vertAlign val="subscript"/>
        <sz val="10"/>
        <rFont val="Arial"/>
        <family val="2"/>
      </rPr>
      <t>H</t>
    </r>
    <r>
      <rPr>
        <sz val="10"/>
        <rFont val="Arial"/>
        <family val="2"/>
      </rPr>
      <t xml:space="preserve"> using the </t>
    </r>
  </si>
  <si>
    <r>
      <t>D</t>
    </r>
    <r>
      <rPr>
        <vertAlign val="subscript"/>
        <sz val="10"/>
        <rFont val="Arial"/>
        <family val="2"/>
      </rPr>
      <t>W</t>
    </r>
    <r>
      <rPr>
        <sz val="10"/>
        <rFont val="Arial"/>
        <family val="2"/>
      </rPr>
      <t>/D</t>
    </r>
    <r>
      <rPr>
        <vertAlign val="subscript"/>
        <sz val="10"/>
        <rFont val="Arial"/>
        <family val="2"/>
      </rPr>
      <t>H</t>
    </r>
    <r>
      <rPr>
        <sz val="10"/>
        <rFont val="Arial"/>
        <family val="2"/>
      </rPr>
      <t xml:space="preserve"> to get the elliptical tank fluid volume.</t>
    </r>
  </si>
  <si>
    <t>Figure 5. Cross-sections of Horizontal Elliptical Tanks</t>
  </si>
  <si>
    <t xml:space="preserve">orientations shown in Fig. 5 - where the head parameters are defined in the horizontal plane through the tank </t>
  </si>
  <si>
    <r>
      <t>centerline (plane goes through D</t>
    </r>
    <r>
      <rPr>
        <vertAlign val="subscript"/>
        <sz val="10"/>
        <rFont val="Arial"/>
        <family val="2"/>
      </rPr>
      <t>W</t>
    </r>
    <r>
      <rPr>
        <sz val="10"/>
        <rFont val="Arial"/>
        <family val="2"/>
      </rPr>
      <t>) - calculate the volume of a horizontal cylindrical tank with D = D</t>
    </r>
    <r>
      <rPr>
        <vertAlign val="subscript"/>
        <sz val="10"/>
        <rFont val="Arial"/>
        <family val="2"/>
      </rPr>
      <t>W</t>
    </r>
    <r>
      <rPr>
        <sz val="10"/>
        <rFont val="Arial"/>
        <family val="2"/>
      </rPr>
      <t xml:space="preserve"> and a fluid </t>
    </r>
  </si>
  <si>
    <r>
      <t>height h' = h(D</t>
    </r>
    <r>
      <rPr>
        <vertAlign val="subscript"/>
        <sz val="10"/>
        <rFont val="Arial"/>
        <family val="2"/>
      </rPr>
      <t>W</t>
    </r>
    <r>
      <rPr>
        <sz val="10"/>
        <rFont val="Arial"/>
        <family val="2"/>
      </rPr>
      <t>/D</t>
    </r>
    <r>
      <rPr>
        <vertAlign val="subscript"/>
        <sz val="10"/>
        <rFont val="Arial"/>
        <family val="2"/>
      </rPr>
      <t>H</t>
    </r>
    <r>
      <rPr>
        <sz val="10"/>
        <rFont val="Arial"/>
        <family val="2"/>
      </rPr>
      <t xml:space="preserve">) using the equations for horizontal cylindrical tanks with the appropriately shaped heads. </t>
    </r>
  </si>
  <si>
    <r>
      <t>Multiply the volume found by D</t>
    </r>
    <r>
      <rPr>
        <vertAlign val="subscript"/>
        <sz val="10"/>
        <rFont val="Arial"/>
        <family val="2"/>
      </rPr>
      <t>H</t>
    </r>
    <r>
      <rPr>
        <sz val="10"/>
        <rFont val="Arial"/>
        <family val="2"/>
      </rPr>
      <t>/D</t>
    </r>
    <r>
      <rPr>
        <vertAlign val="subscript"/>
        <sz val="10"/>
        <rFont val="Arial"/>
        <family val="2"/>
      </rPr>
      <t>W</t>
    </r>
    <r>
      <rPr>
        <sz val="10"/>
        <rFont val="Arial"/>
        <family val="2"/>
      </rPr>
      <t xml:space="preserve"> to get the desired elliptical tank fluid volume.</t>
    </r>
  </si>
  <si>
    <t xml:space="preserve">Examples for horizontal elliptical tanks </t>
  </si>
  <si>
    <t xml:space="preserve">Find the fluid volumes (in gal.) of horizontal elliptical tanks with ellipsoidal, spherical and torispherical heads with </t>
  </si>
  <si>
    <t xml:space="preserve">heads, f = 0.8 and k = 0.1 for torispherical heads, fluid height h = 48 in., and head parameters of each tank </t>
  </si>
  <si>
    <t>defined (1) in a horizontal plane through the tank centerline and (2) in a vertical plane through the tank centerline.</t>
  </si>
  <si>
    <r>
      <t>the following measurements: D</t>
    </r>
    <r>
      <rPr>
        <vertAlign val="subscript"/>
        <sz val="10"/>
        <rFont val="Arial"/>
        <family val="2"/>
      </rPr>
      <t>H</t>
    </r>
    <r>
      <rPr>
        <sz val="10"/>
        <rFont val="Arial"/>
        <family val="2"/>
      </rPr>
      <t xml:space="preserve"> = 100 in., D</t>
    </r>
    <r>
      <rPr>
        <vertAlign val="subscript"/>
        <sz val="10"/>
        <rFont val="Arial"/>
        <family val="2"/>
      </rPr>
      <t>W</t>
    </r>
    <r>
      <rPr>
        <sz val="10"/>
        <rFont val="Arial"/>
        <family val="2"/>
      </rPr>
      <t xml:space="preserve"> = 120 in., L = 156 in., a = 25 in. for ellipsoidal and spherical </t>
    </r>
  </si>
  <si>
    <t xml:space="preserve">For example 1, calculate horizontal cylindrical tank volumes with D = 120 in., L = 156 in., a = 25 in. for ellipsoidal </t>
  </si>
  <si>
    <t xml:space="preserve">and spherical heads, f = 0.8 and k = 0.1 for torispherical heads, and h = 57.6 in. (48 in. x 120/100), and multiply </t>
  </si>
  <si>
    <t xml:space="preserve">the volume found by 100/120.  For example 2, calculate horizontal cylindrical tank volumes with D = 100 in., </t>
  </si>
  <si>
    <t xml:space="preserve">L = 156 in., a = 25 in. for ellipsoidal and spherical heads, f = 0.8 and k = 0.1 for torispherical heads, and h = 48, </t>
  </si>
  <si>
    <t>and multiply the volume found by 120/100.  The results are summarized in the following table:</t>
  </si>
  <si>
    <t>The values for "a" in the above torispherical head cases are 27.065 in. for example 1 and 22.554 in. for example 2.</t>
  </si>
  <si>
    <t>defining the cross-section of the tank body.</t>
  </si>
  <si>
    <r>
      <t>For a vertical elliptical tank, define D</t>
    </r>
    <r>
      <rPr>
        <vertAlign val="subscript"/>
        <sz val="10"/>
        <rFont val="Arial"/>
        <family val="2"/>
      </rPr>
      <t>A</t>
    </r>
    <r>
      <rPr>
        <sz val="10"/>
        <rFont val="Arial"/>
        <family val="2"/>
      </rPr>
      <t xml:space="preserve"> and D</t>
    </r>
    <r>
      <rPr>
        <vertAlign val="subscript"/>
        <sz val="10"/>
        <rFont val="Arial"/>
        <family val="2"/>
      </rPr>
      <t>B</t>
    </r>
    <r>
      <rPr>
        <sz val="10"/>
        <rFont val="Arial"/>
        <family val="2"/>
      </rPr>
      <t xml:space="preserve"> to be the major and minor axes, respectively, of the ellipse </t>
    </r>
  </si>
  <si>
    <t xml:space="preserve">To calculate the fluid volume in a vertical elliptical tank, where the bottom parameters are defined in the plane </t>
  </si>
  <si>
    <r>
      <t>Z</t>
    </r>
    <r>
      <rPr>
        <b/>
        <vertAlign val="subscript"/>
        <sz val="10"/>
        <rFont val="Arial"/>
        <family val="2"/>
      </rPr>
      <t>e</t>
    </r>
  </si>
  <si>
    <r>
      <t>f(Z</t>
    </r>
    <r>
      <rPr>
        <b/>
        <vertAlign val="subscript"/>
        <sz val="10"/>
        <rFont val="Arial"/>
        <family val="2"/>
      </rPr>
      <t>e</t>
    </r>
    <r>
      <rPr>
        <b/>
        <sz val="10"/>
        <rFont val="Arial"/>
        <family val="2"/>
      </rPr>
      <t>)</t>
    </r>
  </si>
  <si>
    <r>
      <t>Z</t>
    </r>
    <r>
      <rPr>
        <b/>
        <vertAlign val="subscript"/>
        <sz val="10"/>
        <rFont val="Arial"/>
        <family val="2"/>
      </rPr>
      <t>c</t>
    </r>
  </si>
  <si>
    <r>
      <t>f(Z</t>
    </r>
    <r>
      <rPr>
        <b/>
        <vertAlign val="subscript"/>
        <sz val="10"/>
        <rFont val="Arial"/>
        <family val="2"/>
      </rPr>
      <t>c</t>
    </r>
    <r>
      <rPr>
        <b/>
        <sz val="10"/>
        <rFont val="Arial"/>
        <family val="2"/>
      </rPr>
      <t>)</t>
    </r>
  </si>
  <si>
    <t>Head Volume in Cubic Feet</t>
  </si>
  <si>
    <t>ft</t>
  </si>
  <si>
    <t>Ellipsoidal</t>
  </si>
  <si>
    <t>ASME F&amp;D</t>
  </si>
  <si>
    <t>Hemispherical</t>
  </si>
  <si>
    <t>Dished</t>
  </si>
  <si>
    <t>Diam., in.</t>
  </si>
  <si>
    <t>Gal./in.</t>
  </si>
  <si>
    <t>H/D</t>
  </si>
  <si>
    <t>Vol. Fraction</t>
  </si>
  <si>
    <t xml:space="preserve"> </t>
  </si>
  <si>
    <t>VOLUMES IN PARTIALLY FILLED HORIZONTAL VESSELS</t>
  </si>
  <si>
    <t xml:space="preserve"> Name:</t>
  </si>
  <si>
    <t xml:space="preserve"> Item No:</t>
  </si>
  <si>
    <t>Vessel Volume</t>
  </si>
  <si>
    <t>Flat Heads</t>
  </si>
  <si>
    <t xml:space="preserve"> Case:</t>
  </si>
  <si>
    <t>gal</t>
  </si>
  <si>
    <t>Hemi Heads</t>
  </si>
  <si>
    <t>F &amp; D Heads</t>
  </si>
  <si>
    <t xml:space="preserve">     L/D            =</t>
  </si>
  <si>
    <t xml:space="preserve">     H/D            =</t>
  </si>
  <si>
    <t>Cylindrical radius =</t>
  </si>
  <si>
    <t>r</t>
  </si>
  <si>
    <t xml:space="preserve"> =</t>
  </si>
  <si>
    <t>in.</t>
  </si>
  <si>
    <t>Chord Length       =</t>
  </si>
  <si>
    <t xml:space="preserve">CL </t>
  </si>
  <si>
    <t>Segment Area       =</t>
  </si>
  <si>
    <t>Cylindrical Volume =</t>
  </si>
  <si>
    <t>F &amp; Dished Volume  =</t>
  </si>
  <si>
    <t>Ellipsoidal Volume =</t>
  </si>
  <si>
    <t>Spherical Volume   =</t>
  </si>
  <si>
    <t>ac</t>
  </si>
  <si>
    <t>G</t>
  </si>
  <si>
    <t>h</t>
  </si>
  <si>
    <t>no foul</t>
  </si>
  <si>
    <t>foul</t>
  </si>
  <si>
    <r>
      <t>in</t>
    </r>
    <r>
      <rPr>
        <vertAlign val="superscript"/>
        <sz val="10"/>
        <rFont val="Courier"/>
        <family val="3"/>
      </rPr>
      <t>3</t>
    </r>
  </si>
  <si>
    <r>
      <t>ft</t>
    </r>
    <r>
      <rPr>
        <vertAlign val="superscript"/>
        <sz val="10"/>
        <rFont val="Courier"/>
        <family val="3"/>
      </rPr>
      <t>3</t>
    </r>
  </si>
  <si>
    <r>
      <t>V</t>
    </r>
    <r>
      <rPr>
        <vertAlign val="subscript"/>
        <sz val="10"/>
        <rFont val="Courier"/>
        <family val="3"/>
      </rPr>
      <t>ell</t>
    </r>
    <r>
      <rPr>
        <sz val="10"/>
        <rFont val="Courier"/>
      </rPr>
      <t xml:space="preserve">  </t>
    </r>
  </si>
  <si>
    <t>Internal Diameter</t>
  </si>
  <si>
    <t>Inches</t>
  </si>
  <si>
    <t>Ft</t>
  </si>
  <si>
    <t>Hemisphere</t>
  </si>
  <si>
    <t>Standard F&amp;D</t>
  </si>
  <si>
    <t>Tank Inside Dia. in  =</t>
  </si>
  <si>
    <t>Cylindrical Length, in =</t>
  </si>
  <si>
    <t>Liquid Height, in       =</t>
  </si>
  <si>
    <t>Unit</t>
  </si>
  <si>
    <t>2:1     Ellip. Heads</t>
  </si>
  <si>
    <t>U. S. Gallons</t>
  </si>
  <si>
    <t>T-C-15</t>
  </si>
  <si>
    <t>General Purpose Tank</t>
  </si>
  <si>
    <t>Partial Vol</t>
  </si>
  <si>
    <t>CALIBRATION DATA FOR HORIZONTAL TANK WITH FORMED HEADS</t>
  </si>
  <si>
    <t>Tank Inside Diameter (ID)</t>
  </si>
  <si>
    <t>inches</t>
  </si>
  <si>
    <t>=</t>
  </si>
  <si>
    <t>Tank length, tan/tan</t>
  </si>
  <si>
    <t>feet</t>
  </si>
  <si>
    <t xml:space="preserve">Tank HeadType </t>
  </si>
  <si>
    <t>Note: Place an "x" in only one of the</t>
  </si>
  <si>
    <t xml:space="preserve">     2) Torispherical (ASME F&amp;D)</t>
  </si>
  <si>
    <t>5 head options available.  If more than</t>
  </si>
  <si>
    <t xml:space="preserve">     3) Ellipsoidal (2:1)</t>
  </si>
  <si>
    <t>one option contains an "x", the</t>
  </si>
  <si>
    <t xml:space="preserve">     4) Ellipsoidal (non-std)</t>
  </si>
  <si>
    <t>program will use the  first one it finds.</t>
  </si>
  <si>
    <t xml:space="preserve">     5) Hemispherical</t>
  </si>
  <si>
    <t>Head Volume  =</t>
  </si>
  <si>
    <t>cu.ft.</t>
  </si>
  <si>
    <t>(max 200)</t>
  </si>
  <si>
    <t>Calibration curve for</t>
  </si>
  <si>
    <t>in. dia tank,</t>
  </si>
  <si>
    <t xml:space="preserve">ft tan/tan, </t>
  </si>
  <si>
    <t>heads</t>
  </si>
  <si>
    <t>Angle   rad</t>
  </si>
  <si>
    <t xml:space="preserve">     1) Std. dish (non-pressure)</t>
  </si>
  <si>
    <t>Head type selected:</t>
  </si>
  <si>
    <t>Inside depth of head (IDD):</t>
  </si>
  <si>
    <t>Head thickness:</t>
  </si>
  <si>
    <t>Number of calibration increments:</t>
  </si>
  <si>
    <t>&lt; 15 psig</t>
  </si>
  <si>
    <t>&gt; 200 psig</t>
  </si>
  <si>
    <t>&lt; 200 psig</t>
  </si>
  <si>
    <t>To Suit</t>
  </si>
  <si>
    <t>Varies</t>
  </si>
  <si>
    <t>Pressure</t>
  </si>
  <si>
    <t>Liquid Depth</t>
  </si>
  <si>
    <t>References and Sources:</t>
  </si>
  <si>
    <t>(1)</t>
  </si>
  <si>
    <t>Note:  The Volume and Surface Area attributable to a head's straight flange is not included in this data.</t>
  </si>
  <si>
    <t>(2)</t>
  </si>
  <si>
    <t>Process Vessel Design; L.E. Brownell &amp; E.H. Young; John Wiley &amp; Sons; N.Y.; 1959</t>
  </si>
  <si>
    <t>(3)</t>
  </si>
  <si>
    <t>A. Montemayor personal files</t>
  </si>
  <si>
    <r>
      <t>V</t>
    </r>
    <r>
      <rPr>
        <vertAlign val="subscript"/>
        <sz val="10"/>
        <rFont val="Courier"/>
        <family val="3"/>
      </rPr>
      <t>sph</t>
    </r>
  </si>
  <si>
    <r>
      <t>V</t>
    </r>
    <r>
      <rPr>
        <vertAlign val="subscript"/>
        <sz val="10"/>
        <rFont val="Courier"/>
        <family val="3"/>
      </rPr>
      <t>FD</t>
    </r>
    <r>
      <rPr>
        <sz val="10"/>
        <rFont val="Courier"/>
      </rPr>
      <t xml:space="preserve"> </t>
    </r>
  </si>
  <si>
    <r>
      <t>V</t>
    </r>
    <r>
      <rPr>
        <vertAlign val="subscript"/>
        <sz val="10"/>
        <rFont val="Courier"/>
        <family val="3"/>
      </rPr>
      <t>cyl</t>
    </r>
  </si>
  <si>
    <t>Aseg</t>
  </si>
  <si>
    <r>
      <t>in</t>
    </r>
    <r>
      <rPr>
        <vertAlign val="superscript"/>
        <sz val="12"/>
        <rFont val="Times New Roman"/>
        <family val="1"/>
      </rPr>
      <t>2</t>
    </r>
  </si>
  <si>
    <r>
      <t>in</t>
    </r>
    <r>
      <rPr>
        <vertAlign val="superscript"/>
        <sz val="12"/>
        <rFont val="Times New Roman"/>
        <family val="1"/>
      </rPr>
      <t>3</t>
    </r>
  </si>
  <si>
    <t>1)</t>
  </si>
  <si>
    <t>Always try to design around existing or available standard materials such as:</t>
  </si>
  <si>
    <t>a.</t>
  </si>
  <si>
    <t>Standard pipe caps.  These are usually available off-the-shelf in carbon steel, as well as stainless,</t>
  </si>
  <si>
    <t>b.</t>
  </si>
  <si>
    <t>Standard seamless pipe.  This is basic material that can be readily found available today.  Always</t>
  </si>
  <si>
    <t xml:space="preserve">make this your first priority in selecting the vessel shell because of the convenience of eliminating </t>
  </si>
  <si>
    <t xml:space="preserve">any plate rolling, longitudinal weld seam, and reducing the possibility of stress relief.  This </t>
  </si>
  <si>
    <t xml:space="preserve">option should be rejected only if required alloy, wall thickness, or diameter is not available. </t>
  </si>
  <si>
    <t>2)</t>
  </si>
  <si>
    <t>3)</t>
  </si>
  <si>
    <t>Ellipsoidal 2:1 heads have, by definition, 50% of the volumetric capacity of a hemispherical head with the</t>
  </si>
  <si>
    <t>same internal diameter.</t>
  </si>
  <si>
    <t>4)</t>
  </si>
  <si>
    <t>diameter.</t>
  </si>
  <si>
    <r>
      <t>Ellipsoidal heads are designed and fabricated on the basis of using the</t>
    </r>
    <r>
      <rPr>
        <b/>
        <u/>
        <sz val="10"/>
        <rFont val="Arial"/>
        <family val="2"/>
      </rPr>
      <t xml:space="preserve"> inside</t>
    </r>
    <r>
      <rPr>
        <sz val="10"/>
        <rFont val="Arial"/>
        <family val="2"/>
      </rPr>
      <t xml:space="preserve"> diameter as their nominal </t>
    </r>
  </si>
  <si>
    <t>5)</t>
  </si>
  <si>
    <r>
      <t>outside</t>
    </r>
    <r>
      <rPr>
        <sz val="10"/>
        <rFont val="Arial"/>
        <family val="2"/>
      </rPr>
      <t xml:space="preserve"> diameter as their nominal diameter.</t>
    </r>
  </si>
  <si>
    <t xml:space="preserve">range of 100 psig and for most vessels designed for pressures over 200 psig.  Their inside depth of dish </t>
  </si>
  <si>
    <t xml:space="preserve">Flanged and dished heads are inherently shallower (smaller IDD) than comparable ellipsoidal heads.  </t>
  </si>
  <si>
    <t>These heads (like the ellipsoidal) are formed from a flat plate into a dished shape consisting of two radii:</t>
  </si>
  <si>
    <t xml:space="preserve">the "crown" radius or radius of the dish and the inside-corner radius, sometimes referred to as the </t>
  </si>
  <si>
    <t xml:space="preserve">"knuckle" radius.  Because of the relative shallow dish curvature, ASME F&amp;D heads are subject to </t>
  </si>
  <si>
    <t>higher localized stresses at the knuckle radius as compared to the ellipsoidal type.  The pressure rating</t>
  </si>
  <si>
    <t>of these heads is increased by forming the head so that the knuckle radius is made at least equal to 3</t>
  </si>
  <si>
    <t>times the plate thickness.  For code construction, the radius should in no case be less than 6% of the</t>
  </si>
  <si>
    <t>inside diameter.</t>
  </si>
  <si>
    <t>ASME F&amp;D heads are used for pressure vessels in the general range of from 15 to about 200 psig .</t>
  </si>
  <si>
    <t xml:space="preserve">Although these heads may be used for higher pressures, for pressures in excess of 200 psig it may be </t>
  </si>
  <si>
    <t>more economical to use an ellipsoidal type.</t>
  </si>
  <si>
    <t xml:space="preserve">be accounted for as such in calculating the vessel volume.  These flanges vary in length depending on the </t>
  </si>
  <si>
    <t>head thickness.  A typical head flange length is about 1.5" to 2".</t>
  </si>
  <si>
    <t>6)</t>
  </si>
  <si>
    <t xml:space="preserve">Try to stay away from the immediate area of the knuckle radius with respect to locating nozzles or doing </t>
  </si>
  <si>
    <t>7)</t>
  </si>
  <si>
    <t xml:space="preserve">Be aware of the fact that the outside diameter of the cylindrical section may be bigger than that of the </t>
  </si>
  <si>
    <t xml:space="preserve">head if a flush fit is required between the two inside diameters.  This occurs because the required head </t>
  </si>
  <si>
    <t>thickness for a given design pressure is usually less than for the corresponding cylindrical section.</t>
  </si>
  <si>
    <t>This is especially true in the case of Hemispherical heads.</t>
  </si>
  <si>
    <t>8)</t>
  </si>
  <si>
    <t xml:space="preserve">Hemispherical heads are the strongest of the formed heads for a given thickness.  A sphere is the </t>
  </si>
  <si>
    <t>strongest known vessel shape.  However, the main trade-off here is that all spheres have to be fabricated</t>
  </si>
  <si>
    <t>near the knuckle radius should be consulted with a mechanical or fabrication engineer.</t>
  </si>
  <si>
    <t xml:space="preserve">other welding, cutting or grinding.  The need to locate a nozzle, insulation ring, clips  or other item </t>
  </si>
  <si>
    <r>
      <t>90</t>
    </r>
    <r>
      <rPr>
        <b/>
        <vertAlign val="superscript"/>
        <sz val="10"/>
        <rFont val="Arial"/>
        <family val="2"/>
      </rPr>
      <t>o</t>
    </r>
    <r>
      <rPr>
        <b/>
        <sz val="10"/>
        <rFont val="Arial"/>
        <family val="2"/>
      </rPr>
      <t xml:space="preserve"> Elbows</t>
    </r>
  </si>
  <si>
    <r>
      <t>45</t>
    </r>
    <r>
      <rPr>
        <b/>
        <vertAlign val="superscript"/>
        <sz val="10"/>
        <rFont val="Arial"/>
        <family val="2"/>
      </rPr>
      <t>o</t>
    </r>
    <r>
      <rPr>
        <b/>
        <sz val="10"/>
        <rFont val="Arial"/>
        <family val="2"/>
      </rPr>
      <t xml:space="preserve"> Elbows</t>
    </r>
  </si>
  <si>
    <r>
      <t>180</t>
    </r>
    <r>
      <rPr>
        <b/>
        <vertAlign val="superscript"/>
        <sz val="10"/>
        <rFont val="Arial"/>
        <family val="2"/>
      </rPr>
      <t>o</t>
    </r>
    <r>
      <rPr>
        <b/>
        <sz val="10"/>
        <rFont val="Arial"/>
        <family val="2"/>
      </rPr>
      <t xml:space="preserve"> Returns</t>
    </r>
  </si>
  <si>
    <t>Caps</t>
  </si>
  <si>
    <t>Crosses</t>
  </si>
  <si>
    <t>in sizes up to 42" and in various pipe schedule thicknesses.</t>
  </si>
  <si>
    <t xml:space="preserve">Handbook Publishing Inc.; P.O. Box 35365; Tulsa, OK  74153.  This is probably the most useful and </t>
  </si>
  <si>
    <t xml:space="preserve">practical engineering book ever published in the USA.  It clearly belongs on every process plant </t>
  </si>
  <si>
    <t>engineer's desk.  Study it thoroughly and your project problems will start to fade away.</t>
  </si>
  <si>
    <r>
      <t>Own a copy of Eugene Megyesy's "</t>
    </r>
    <r>
      <rPr>
        <b/>
        <u/>
        <sz val="10"/>
        <rFont val="Arial"/>
        <family val="2"/>
      </rPr>
      <t>Pressure Vessel Handbook</t>
    </r>
    <r>
      <rPr>
        <sz val="10"/>
        <rFont val="Arial"/>
        <family val="2"/>
      </rPr>
      <t xml:space="preserve">" as published by Pressure Vessel </t>
    </r>
  </si>
  <si>
    <r>
      <t>(</t>
    </r>
    <r>
      <rPr>
        <b/>
        <sz val="10"/>
        <rFont val="Arial"/>
        <family val="2"/>
      </rPr>
      <t>IDD</t>
    </r>
    <r>
      <rPr>
        <sz val="10"/>
        <rFont val="Arial"/>
        <family val="2"/>
      </rPr>
      <t>) is defined as half of the minor axis and is equal to 1/4 of the inside diameter of the head.</t>
    </r>
  </si>
  <si>
    <t>as welded spherical segments.  This requires more manual intensive work and results in a higher cost.</t>
  </si>
  <si>
    <t>9)</t>
  </si>
  <si>
    <t xml:space="preserve">Always be cognizant of the need for vessel entry into a vessel as well as vessel internal parts such as </t>
  </si>
  <si>
    <t>trays, baffles, agitators, dip pipes, downcomers, separator vanes, demister pads, etc.  Sometimes these</t>
  </si>
  <si>
    <t xml:space="preserve">items directly affect not only the height of a vessel, but also the diameter.  A chemical engineer should </t>
  </si>
  <si>
    <t xml:space="preserve">take these factors into consideration even though they normally are not considered while doing process </t>
  </si>
  <si>
    <t xml:space="preserve">calculations and simulations.  Often, if not in the majority of cases, these factors and items are the </t>
  </si>
  <si>
    <t>controlling parameters that practically establish the diameter and height of the fabricated vessel regardless</t>
  </si>
  <si>
    <t>of what the simulation program output states.</t>
  </si>
  <si>
    <t>10)</t>
  </si>
  <si>
    <t>operations.  Many times some of these nozzles are not identified early in a project and their introduction</t>
  </si>
  <si>
    <t>later requires costly change orders or, worse, vessel field modifications after the vessel is installed.  Some</t>
  </si>
  <si>
    <t xml:space="preserve">instrument nozzle, liquid temperature probe, sample(s) probe, top head vents, critical high and low level  </t>
  </si>
  <si>
    <t>11)</t>
  </si>
  <si>
    <t>required vessel insulation can be applied in the field without obstructing nozzle flanges and bolts.</t>
  </si>
  <si>
    <t xml:space="preserve">It is always advisable for the process Chemical Engineer to participate in the specification of the ultimate </t>
  </si>
  <si>
    <t>insulation requirements and type since he/she are the most informed people of the temperature ranges</t>
  </si>
  <si>
    <t>and insulation types compatible with the vessel material, temperature, and service.  Again, if this is not</t>
  </si>
  <si>
    <t>modifications that could involve an ASME "R" stamp procedure.</t>
  </si>
  <si>
    <t>The straight flange that forms part of each vessel head is part of the cylindrical vessel portion and should</t>
  </si>
  <si>
    <t>The following are some guidelines and experienced hints for the design and utilization of process vessels.</t>
  </si>
  <si>
    <t xml:space="preserve">probes, etc.  Process Chemical Engineers are the best qualified to identify this need and specify the </t>
  </si>
  <si>
    <t>Do not forget to allow for insulation support rings.  You must allow sufficient nozzle length so that any</t>
  </si>
  <si>
    <t xml:space="preserve">considered initially and is found to be required later, project timing and costs will suffer due to field vessel </t>
  </si>
  <si>
    <t>All volumes expressed in cubic inches</t>
  </si>
  <si>
    <t>Reference: Piping Engineering; Tube Turns Division of Chemetron Corp.; Nov. 1971; p.47</t>
  </si>
  <si>
    <t>Nominal Pipe Size, in.</t>
  </si>
  <si>
    <t>Tees</t>
  </si>
  <si>
    <t>Stub Ends</t>
  </si>
  <si>
    <t>Reducers</t>
  </si>
  <si>
    <t>Long Radius</t>
  </si>
  <si>
    <t>Short Radius</t>
  </si>
  <si>
    <t>Full-size outlets</t>
  </si>
  <si>
    <t>Lap Joint</t>
  </si>
  <si>
    <t>Concentric &amp; Eccentric</t>
  </si>
  <si>
    <t>with Reducing Outlet</t>
  </si>
  <si>
    <t>Standard</t>
  </si>
  <si>
    <t>X-Strong</t>
  </si>
  <si>
    <t>Large end</t>
  </si>
  <si>
    <t>Small end</t>
  </si>
  <si>
    <t>3/8</t>
  </si>
  <si>
    <t>1/2</t>
  </si>
  <si>
    <t>3/4</t>
  </si>
  <si>
    <t>1-1/4</t>
  </si>
  <si>
    <t>1-1/2</t>
  </si>
  <si>
    <t>2-1/2</t>
  </si>
  <si>
    <t>3-1/2</t>
  </si>
  <si>
    <t>V = Volume</t>
  </si>
  <si>
    <t>D = Inside diameter</t>
  </si>
  <si>
    <t>A = Center to face distance</t>
  </si>
  <si>
    <t>A = Center to center distance</t>
  </si>
  <si>
    <t>Full Size Outlet Tees:</t>
  </si>
  <si>
    <t>C= Center to end of run</t>
  </si>
  <si>
    <t>M = center to end of branch</t>
  </si>
  <si>
    <t>Pipe Caps:</t>
  </si>
  <si>
    <t>E = length</t>
  </si>
  <si>
    <t>t = wall thickness</t>
  </si>
  <si>
    <t xml:space="preserve">Crosses: </t>
  </si>
  <si>
    <t>Concentric &amp; eccentric reducers:</t>
  </si>
  <si>
    <r>
      <t xml:space="preserve">V = </t>
    </r>
    <r>
      <rPr>
        <b/>
        <sz val="10"/>
        <rFont val="Symbol"/>
        <family val="1"/>
        <charset val="2"/>
      </rPr>
      <t>P</t>
    </r>
    <r>
      <rPr>
        <b/>
        <vertAlign val="superscript"/>
        <sz val="10"/>
        <rFont val="Arial"/>
        <family val="2"/>
      </rPr>
      <t>2</t>
    </r>
    <r>
      <rPr>
        <b/>
        <sz val="10"/>
        <rFont val="Arial"/>
        <family val="2"/>
      </rPr>
      <t>D</t>
    </r>
    <r>
      <rPr>
        <b/>
        <vertAlign val="superscript"/>
        <sz val="10"/>
        <rFont val="Arial"/>
        <family val="2"/>
      </rPr>
      <t>2</t>
    </r>
    <r>
      <rPr>
        <b/>
        <sz val="10"/>
        <rFont val="Arial"/>
        <family val="2"/>
      </rPr>
      <t>A/8</t>
    </r>
  </si>
  <si>
    <r>
      <t xml:space="preserve">V = </t>
    </r>
    <r>
      <rPr>
        <b/>
        <sz val="10"/>
        <rFont val="Symbol"/>
        <family val="1"/>
        <charset val="2"/>
      </rPr>
      <t>P</t>
    </r>
    <r>
      <rPr>
        <b/>
        <vertAlign val="superscript"/>
        <sz val="10"/>
        <rFont val="Arial"/>
        <family val="2"/>
      </rPr>
      <t>2</t>
    </r>
    <r>
      <rPr>
        <b/>
        <sz val="10"/>
        <rFont val="Arial"/>
        <family val="2"/>
      </rPr>
      <t>D</t>
    </r>
    <r>
      <rPr>
        <b/>
        <vertAlign val="superscript"/>
        <sz val="10"/>
        <rFont val="Arial"/>
        <family val="2"/>
      </rPr>
      <t>2</t>
    </r>
    <r>
      <rPr>
        <b/>
        <sz val="10"/>
        <rFont val="Arial"/>
        <family val="2"/>
      </rPr>
      <t>O/8</t>
    </r>
  </si>
  <si>
    <r>
      <t>V = (</t>
    </r>
    <r>
      <rPr>
        <b/>
        <sz val="10"/>
        <rFont val="Symbol"/>
        <family val="1"/>
        <charset val="2"/>
      </rPr>
      <t>P</t>
    </r>
    <r>
      <rPr>
        <b/>
        <sz val="10"/>
        <rFont val="Arial"/>
        <family val="2"/>
      </rPr>
      <t>D</t>
    </r>
    <r>
      <rPr>
        <b/>
        <vertAlign val="superscript"/>
        <sz val="10"/>
        <rFont val="Arial"/>
        <family val="2"/>
      </rPr>
      <t>2</t>
    </r>
    <r>
      <rPr>
        <b/>
        <sz val="10"/>
        <rFont val="Arial"/>
        <family val="2"/>
      </rPr>
      <t>/2) (C + M/2) - D</t>
    </r>
    <r>
      <rPr>
        <b/>
        <vertAlign val="superscript"/>
        <sz val="10"/>
        <rFont val="Arial"/>
        <family val="2"/>
      </rPr>
      <t>3</t>
    </r>
    <r>
      <rPr>
        <b/>
        <sz val="10"/>
        <rFont val="Arial"/>
        <family val="2"/>
      </rPr>
      <t>/3</t>
    </r>
  </si>
  <si>
    <r>
      <t>V = (</t>
    </r>
    <r>
      <rPr>
        <b/>
        <sz val="10"/>
        <rFont val="Symbol"/>
        <family val="1"/>
        <charset val="2"/>
      </rPr>
      <t>P</t>
    </r>
    <r>
      <rPr>
        <b/>
        <sz val="10"/>
        <rFont val="Arial"/>
        <family val="2"/>
      </rPr>
      <t>D</t>
    </r>
    <r>
      <rPr>
        <b/>
        <vertAlign val="superscript"/>
        <sz val="10"/>
        <rFont val="Arial"/>
        <family val="2"/>
      </rPr>
      <t>2</t>
    </r>
    <r>
      <rPr>
        <b/>
        <sz val="10"/>
        <rFont val="Arial"/>
        <family val="2"/>
      </rPr>
      <t>/4) (E - t - D/12)</t>
    </r>
  </si>
  <si>
    <r>
      <t>V = (</t>
    </r>
    <r>
      <rPr>
        <b/>
        <sz val="10"/>
        <rFont val="Symbol"/>
        <family val="1"/>
        <charset val="2"/>
      </rPr>
      <t>P</t>
    </r>
    <r>
      <rPr>
        <b/>
        <sz val="10"/>
        <rFont val="Arial"/>
        <family val="2"/>
      </rPr>
      <t>D</t>
    </r>
    <r>
      <rPr>
        <b/>
        <vertAlign val="superscript"/>
        <sz val="10"/>
        <rFont val="Arial"/>
        <family val="2"/>
      </rPr>
      <t>2</t>
    </r>
    <r>
      <rPr>
        <b/>
        <sz val="10"/>
        <rFont val="Arial"/>
        <family val="2"/>
      </rPr>
      <t>/2) (C + M) - (2/3)D</t>
    </r>
    <r>
      <rPr>
        <b/>
        <vertAlign val="superscript"/>
        <sz val="10"/>
        <rFont val="Arial"/>
        <family val="2"/>
      </rPr>
      <t>3</t>
    </r>
  </si>
  <si>
    <r>
      <t>90</t>
    </r>
    <r>
      <rPr>
        <b/>
        <vertAlign val="superscript"/>
        <sz val="10"/>
        <rFont val="Arial"/>
        <family val="2"/>
      </rPr>
      <t>o</t>
    </r>
    <r>
      <rPr>
        <b/>
        <sz val="10"/>
        <rFont val="Arial"/>
        <family val="2"/>
      </rPr>
      <t xml:space="preserve"> Elbows:</t>
    </r>
  </si>
  <si>
    <r>
      <t>180</t>
    </r>
    <r>
      <rPr>
        <b/>
        <vertAlign val="superscript"/>
        <sz val="10"/>
        <rFont val="Arial"/>
        <family val="2"/>
      </rPr>
      <t>o</t>
    </r>
    <r>
      <rPr>
        <b/>
        <sz val="10"/>
        <rFont val="Arial"/>
        <family val="2"/>
      </rPr>
      <t xml:space="preserve"> Returns:</t>
    </r>
  </si>
  <si>
    <r>
      <t>45</t>
    </r>
    <r>
      <rPr>
        <b/>
        <vertAlign val="superscript"/>
        <sz val="10"/>
        <rFont val="Arial"/>
        <family val="2"/>
      </rPr>
      <t>o</t>
    </r>
    <r>
      <rPr>
        <b/>
        <sz val="10"/>
        <rFont val="Arial"/>
        <family val="2"/>
      </rPr>
      <t xml:space="preserve"> Elbows:</t>
    </r>
  </si>
  <si>
    <t>Horizontal Cylindrical Tank with Ellipsoidal or Hemispherical Heads</t>
  </si>
  <si>
    <t>Total tank volume =</t>
  </si>
  <si>
    <t xml:space="preserve"> (Total volume in two heads) + (Total volume in cylindrical section)</t>
  </si>
  <si>
    <t>Vertical Cylindrical Tank with Ellipsoidal or Hemispherical Heads</t>
  </si>
  <si>
    <t>Ze =</t>
  </si>
  <si>
    <t>Zc =</t>
  </si>
  <si>
    <r>
      <t>K</t>
    </r>
    <r>
      <rPr>
        <vertAlign val="subscript"/>
        <sz val="10"/>
        <rFont val="Arial"/>
        <family val="2"/>
      </rPr>
      <t>1</t>
    </r>
    <r>
      <rPr>
        <sz val="10"/>
        <rFont val="Arial"/>
        <family val="2"/>
      </rPr>
      <t xml:space="preserve">  =</t>
    </r>
  </si>
  <si>
    <t>2b/D</t>
  </si>
  <si>
    <r>
      <t>H</t>
    </r>
    <r>
      <rPr>
        <vertAlign val="subscript"/>
        <sz val="10"/>
        <rFont val="Arial"/>
        <family val="2"/>
      </rPr>
      <t>1</t>
    </r>
    <r>
      <rPr>
        <sz val="10"/>
        <rFont val="Arial"/>
        <family val="2"/>
      </rPr>
      <t>/D</t>
    </r>
  </si>
  <si>
    <t>Partial tank volume =</t>
  </si>
  <si>
    <r>
      <t xml:space="preserve"> ( 1/6 </t>
    </r>
    <r>
      <rPr>
        <b/>
        <sz val="10"/>
        <rFont val="Symbol"/>
        <family val="1"/>
        <charset val="2"/>
      </rPr>
      <t>p</t>
    </r>
    <r>
      <rPr>
        <b/>
        <sz val="10"/>
        <rFont val="Arial"/>
        <family val="2"/>
      </rPr>
      <t xml:space="preserve"> K</t>
    </r>
    <r>
      <rPr>
        <b/>
        <vertAlign val="subscript"/>
        <sz val="10"/>
        <rFont val="Arial"/>
        <family val="2"/>
      </rPr>
      <t>1</t>
    </r>
    <r>
      <rPr>
        <b/>
        <sz val="10"/>
        <rFont val="Arial"/>
        <family val="2"/>
      </rPr>
      <t xml:space="preserve"> D</t>
    </r>
    <r>
      <rPr>
        <b/>
        <vertAlign val="superscript"/>
        <sz val="10"/>
        <rFont val="Arial"/>
        <family val="2"/>
      </rPr>
      <t>3</t>
    </r>
    <r>
      <rPr>
        <b/>
        <sz val="10"/>
        <rFont val="Arial"/>
        <family val="2"/>
      </rPr>
      <t xml:space="preserve"> )  +  ( 1/4 </t>
    </r>
    <r>
      <rPr>
        <b/>
        <sz val="10"/>
        <rFont val="Symbol"/>
        <family val="1"/>
        <charset val="2"/>
      </rPr>
      <t>p</t>
    </r>
    <r>
      <rPr>
        <b/>
        <sz val="10"/>
        <rFont val="Arial"/>
        <family val="2"/>
      </rPr>
      <t xml:space="preserve"> D</t>
    </r>
    <r>
      <rPr>
        <b/>
        <vertAlign val="superscript"/>
        <sz val="10"/>
        <rFont val="Arial"/>
        <family val="2"/>
      </rPr>
      <t>2</t>
    </r>
    <r>
      <rPr>
        <b/>
        <sz val="10"/>
        <rFont val="Arial"/>
        <family val="2"/>
      </rPr>
      <t xml:space="preserve"> L )</t>
    </r>
  </si>
  <si>
    <r>
      <t xml:space="preserve">( 1/6 </t>
    </r>
    <r>
      <rPr>
        <b/>
        <sz val="10"/>
        <rFont val="Symbol"/>
        <family val="1"/>
        <charset val="2"/>
      </rPr>
      <t>p</t>
    </r>
    <r>
      <rPr>
        <b/>
        <sz val="10"/>
        <rFont val="Arial"/>
        <family val="2"/>
      </rPr>
      <t xml:space="preserve"> K</t>
    </r>
    <r>
      <rPr>
        <b/>
        <vertAlign val="subscript"/>
        <sz val="10"/>
        <rFont val="Arial"/>
        <family val="2"/>
      </rPr>
      <t>1</t>
    </r>
    <r>
      <rPr>
        <b/>
        <sz val="10"/>
        <rFont val="Arial"/>
        <family val="2"/>
      </rPr>
      <t xml:space="preserve"> D</t>
    </r>
    <r>
      <rPr>
        <b/>
        <vertAlign val="superscript"/>
        <sz val="10"/>
        <rFont val="Arial"/>
        <family val="2"/>
      </rPr>
      <t>3</t>
    </r>
    <r>
      <rPr>
        <b/>
        <sz val="10"/>
        <rFont val="Arial"/>
        <family val="2"/>
      </rPr>
      <t xml:space="preserve"> ) ([f(Ze)])  +  ( 1/4 </t>
    </r>
    <r>
      <rPr>
        <b/>
        <sz val="10"/>
        <rFont val="Symbol"/>
        <family val="1"/>
        <charset val="2"/>
      </rPr>
      <t>p</t>
    </r>
    <r>
      <rPr>
        <b/>
        <sz val="10"/>
        <rFont val="Arial"/>
        <family val="2"/>
      </rPr>
      <t xml:space="preserve"> D</t>
    </r>
    <r>
      <rPr>
        <b/>
        <vertAlign val="superscript"/>
        <sz val="10"/>
        <rFont val="Arial"/>
        <family val="2"/>
      </rPr>
      <t>2</t>
    </r>
    <r>
      <rPr>
        <b/>
        <sz val="10"/>
        <rFont val="Arial"/>
        <family val="2"/>
      </rPr>
      <t xml:space="preserve"> L ) ([fZc)])</t>
    </r>
  </si>
  <si>
    <t>f(Zc) = Horizontal cylinder coefficient (from Doolittle tables)</t>
  </si>
  <si>
    <t xml:space="preserve">or, </t>
  </si>
  <si>
    <t>f(Ze) = Ellipsoidal coefficient (from Doolittle tables)</t>
  </si>
  <si>
    <t xml:space="preserve">Where, </t>
  </si>
  <si>
    <t xml:space="preserve">For Ellipsoidal 2:1 heads, </t>
  </si>
  <si>
    <t>b =</t>
  </si>
  <si>
    <t>(1/4) D</t>
  </si>
  <si>
    <r>
      <t>K</t>
    </r>
    <r>
      <rPr>
        <vertAlign val="subscript"/>
        <sz val="10"/>
        <rFont val="Arial"/>
        <family val="2"/>
      </rPr>
      <t>1</t>
    </r>
    <r>
      <rPr>
        <sz val="10"/>
        <rFont val="Arial"/>
        <family val="2"/>
      </rPr>
      <t xml:space="preserve"> =</t>
    </r>
  </si>
  <si>
    <r>
      <t xml:space="preserve">( 1/6 </t>
    </r>
    <r>
      <rPr>
        <b/>
        <sz val="10"/>
        <rFont val="Symbol"/>
        <family val="1"/>
        <charset val="2"/>
      </rPr>
      <t>p</t>
    </r>
    <r>
      <rPr>
        <b/>
        <sz val="10"/>
        <rFont val="Arial"/>
        <family val="2"/>
      </rPr>
      <t xml:space="preserve"> K</t>
    </r>
    <r>
      <rPr>
        <b/>
        <vertAlign val="subscript"/>
        <sz val="10"/>
        <rFont val="Arial"/>
        <family val="2"/>
      </rPr>
      <t>1</t>
    </r>
    <r>
      <rPr>
        <b/>
        <sz val="10"/>
        <rFont val="Arial"/>
        <family val="2"/>
      </rPr>
      <t xml:space="preserve"> D</t>
    </r>
    <r>
      <rPr>
        <b/>
        <vertAlign val="superscript"/>
        <sz val="10"/>
        <rFont val="Arial"/>
        <family val="2"/>
      </rPr>
      <t>3</t>
    </r>
    <r>
      <rPr>
        <b/>
        <sz val="10"/>
        <rFont val="Arial"/>
        <family val="2"/>
      </rPr>
      <t xml:space="preserve"> ) ([f(Ze)])  +  ( 1/4 </t>
    </r>
    <r>
      <rPr>
        <b/>
        <sz val="10"/>
        <rFont val="Symbol"/>
        <family val="1"/>
        <charset val="2"/>
      </rPr>
      <t>p</t>
    </r>
    <r>
      <rPr>
        <b/>
        <sz val="10"/>
        <rFont val="Arial"/>
        <family val="2"/>
      </rPr>
      <t xml:space="preserve"> D</t>
    </r>
    <r>
      <rPr>
        <b/>
        <vertAlign val="superscript"/>
        <sz val="10"/>
        <rFont val="Arial"/>
        <family val="2"/>
      </rPr>
      <t>2</t>
    </r>
    <r>
      <rPr>
        <b/>
        <sz val="10"/>
        <rFont val="Arial"/>
        <family val="2"/>
      </rPr>
      <t xml:space="preserve"> H</t>
    </r>
    <r>
      <rPr>
        <b/>
        <vertAlign val="subscript"/>
        <sz val="10"/>
        <rFont val="Arial"/>
        <family val="2"/>
      </rPr>
      <t>3</t>
    </r>
    <r>
      <rPr>
        <b/>
        <sz val="10"/>
        <rFont val="Arial"/>
        <family val="2"/>
      </rPr>
      <t>)</t>
    </r>
  </si>
  <si>
    <r>
      <t>(H</t>
    </r>
    <r>
      <rPr>
        <vertAlign val="subscript"/>
        <sz val="10"/>
        <rFont val="Arial"/>
        <family val="2"/>
      </rPr>
      <t>1</t>
    </r>
    <r>
      <rPr>
        <sz val="10"/>
        <rFont val="Arial"/>
        <family val="2"/>
      </rPr>
      <t xml:space="preserve"> + H</t>
    </r>
    <r>
      <rPr>
        <vertAlign val="subscript"/>
        <sz val="10"/>
        <rFont val="Arial"/>
        <family val="2"/>
      </rPr>
      <t>2</t>
    </r>
    <r>
      <rPr>
        <sz val="10"/>
        <rFont val="Arial"/>
        <family val="2"/>
      </rPr>
      <t>)</t>
    </r>
    <r>
      <rPr>
        <sz val="10"/>
        <rFont val="Arial"/>
        <family val="2"/>
      </rPr>
      <t>/K</t>
    </r>
    <r>
      <rPr>
        <vertAlign val="subscript"/>
        <sz val="10"/>
        <rFont val="Arial"/>
        <family val="2"/>
      </rPr>
      <t>1</t>
    </r>
    <r>
      <rPr>
        <sz val="10"/>
        <rFont val="Arial"/>
        <family val="2"/>
      </rPr>
      <t>D</t>
    </r>
  </si>
  <si>
    <t>f(Ze) =</t>
  </si>
  <si>
    <t>Ellipsoidal coefficient (from Doolittle tables)</t>
  </si>
  <si>
    <t>x</t>
  </si>
  <si>
    <t>Ellipsoidal Head Inside Diameter  =</t>
  </si>
  <si>
    <t>Volume of Single Ellipsodial Head  =</t>
  </si>
  <si>
    <t>Gallons</t>
  </si>
  <si>
    <r>
      <t>Ft</t>
    </r>
    <r>
      <rPr>
        <vertAlign val="superscript"/>
        <sz val="10"/>
        <rFont val="Arial"/>
        <family val="2"/>
      </rPr>
      <t>3</t>
    </r>
  </si>
  <si>
    <t>Hemispherical Head Inside Diameter  =</t>
  </si>
  <si>
    <t>Volume of Single Hemispherical Head  =</t>
  </si>
  <si>
    <t>ASME F&amp;D Head Inside Diameter  =</t>
  </si>
  <si>
    <t>Volume of Single ASME F&amp;D Head  =</t>
  </si>
  <si>
    <t>Dished Head Inside Diameter  =</t>
  </si>
  <si>
    <t>Volume of Single Dished Head  =</t>
  </si>
  <si>
    <t>I. D., inches</t>
  </si>
  <si>
    <t>Volume, gal.</t>
  </si>
  <si>
    <t>Vol. Gallons</t>
  </si>
  <si>
    <t>US Gals</t>
  </si>
  <si>
    <t>Liters</t>
  </si>
  <si>
    <t>Centimeters</t>
  </si>
  <si>
    <t>Liquid Volume Content</t>
  </si>
  <si>
    <t>VOLUMETRIC CAPACITY FOR BUTT-WELDED FITTINGS</t>
  </si>
  <si>
    <t>These type of heads are used in preference to ASME Flanged and Dished heads for pressures in the</t>
  </si>
  <si>
    <t>12)</t>
  </si>
  <si>
    <t xml:space="preserve">and other information that I saved and used over the course of approximately 40 years of experience </t>
  </si>
  <si>
    <t xml:space="preserve">in Chemical Engineering.  Users will probably find it useful for carrying out day-to-day process plant </t>
  </si>
  <si>
    <t>projects such as:</t>
  </si>
  <si>
    <t>Calculating the maximum volume capacity of a vessel;</t>
  </si>
  <si>
    <t>Calculating the partial volumes of a vessel at different levels ("Strapping" a vessel);</t>
  </si>
  <si>
    <t>Calculating the required vessel size for a given partial volume;</t>
  </si>
  <si>
    <t>Calculating the surface area of a vessel for primer, painting and insulation purposes;</t>
  </si>
  <si>
    <t>Calculating the location of critical liquid levels on a vessel for alarms and shutdown;</t>
  </si>
  <si>
    <t>Calculating the weight of a process vessel for cost estimates or foundation work;</t>
  </si>
  <si>
    <t>1.</t>
  </si>
  <si>
    <t>2.</t>
  </si>
  <si>
    <t>3.</t>
  </si>
  <si>
    <t>4.</t>
  </si>
  <si>
    <t>5.</t>
  </si>
  <si>
    <t>6.</t>
  </si>
  <si>
    <t>7.</t>
  </si>
  <si>
    <t>Calculating the "Line Pack", or volume content, of a piping system with fittings.</t>
  </si>
  <si>
    <t>indicate the utilitarian value of this information to a Process or Project Engineer - especially in an</t>
  </si>
  <si>
    <t xml:space="preserve">computer and a spreadsheet to organize and distribute it for use and exploitation by others.  I hope this </t>
  </si>
  <si>
    <t>and safe project.</t>
  </si>
  <si>
    <t xml:space="preserve">There are probably more uses or applications for this Workbook, but the above should suffice to </t>
  </si>
  <si>
    <t>This Workbook was originally compiled to organize and utilize the techniques, formulas, basic data,</t>
  </si>
  <si>
    <t xml:space="preserve">of these nozzles are: manways, inspection ports, drains, cleaning (spraying) ports, auxiliary level </t>
  </si>
  <si>
    <t>Arthur Montemayor</t>
  </si>
  <si>
    <t xml:space="preserve">operating process plant in the field.  Most of the basic information contained here was kept by me for </t>
  </si>
  <si>
    <t xml:space="preserve">years in notes, 3-ring binders, between pages of text books, in formal calculations, etc.  Thanks to God </t>
  </si>
  <si>
    <t xml:space="preserve">for giving me the good common sense to save and document this information and for giving us the digital </t>
  </si>
  <si>
    <t xml:space="preserve">helps others - especially young, striving, and determined engineers who earnestly want to do a successful </t>
  </si>
  <si>
    <t>As you consider the physical dimensions of a process vessel, always keep in mind that you must have,</t>
  </si>
  <si>
    <t xml:space="preserve">as a minimum, certain required nozzles built into the vessel - besides those required for basic process </t>
  </si>
  <si>
    <t>location and size.  Never expect to lift a vessel by its nozzles.  Lifting lugs are required for this, and a</t>
  </si>
  <si>
    <t>qualified structural or mechanical engineer should be commissioned to design this critical need.</t>
  </si>
  <si>
    <t xml:space="preserve">This information is never taught nor discussed in University courses or academic circles.  It has been </t>
  </si>
  <si>
    <t>historically expected that graduate engineers will learn this information using their own efforts.</t>
  </si>
  <si>
    <t>The following article appeared in "Chemical Processing" magazine on Novermber 17, 2002; pp. 46-50:</t>
  </si>
  <si>
    <t>Computing Fluid Tank Volumes</t>
  </si>
  <si>
    <t>Updated equations allow engineers to calculate the fluid volumes of many tanks quickly and accurately</t>
  </si>
  <si>
    <t>By Dan Jones, Ph.D., P.E.</t>
  </si>
  <si>
    <t xml:space="preserve">Calculating fluid volume in a horizontal or vertical cylindrical tank or elliptical tank can be complicated, depending </t>
  </si>
  <si>
    <t xml:space="preserve">on fluid height and the shape of the heads (ends) of a horizontal tank or the bottom of a vertical tank.  Exact </t>
  </si>
  <si>
    <t xml:space="preserve">equations now are available for several commonly encountered tank shapes.  These equations allow rapid and </t>
  </si>
  <si>
    <t>accurate fluid-volume calculations.</t>
  </si>
  <si>
    <t xml:space="preserve">All volume equations give fluid volumes in cubic units from tank dimensions in consistent linear units.  All </t>
  </si>
  <si>
    <t xml:space="preserve">variables defining tank shapes required for tank volume calculations are defined in the “Variables and Definitions” </t>
  </si>
  <si>
    <t xml:space="preserve">sidebar.  Fig. 1 and Fig. 2 graphically illustrate horizontal tank variables, and Fig. 3 and Fig. 4 graphically </t>
  </si>
  <si>
    <t>illustrate vertical tank variables.</t>
  </si>
  <si>
    <t xml:space="preserve">Exact fluid volumes in elliptical horizontal or vertical tanks can be determined by calculating the fluid volumes of </t>
  </si>
  <si>
    <t xml:space="preserve">appropriate cylindrical horizontal or vertical tanks using the equations described above, and then by adjusting </t>
  </si>
  <si>
    <t>those results using appropriate correction formulas.</t>
  </si>
  <si>
    <t>Horizontal cylindrical tanks</t>
  </si>
  <si>
    <t xml:space="preserve">Fluid volume as a function of fluid height can be calculated for a horizontal cylindrical tank with either conical, </t>
  </si>
  <si>
    <t xml:space="preserve">ellipsoidal, guppy, spherical or torispherical heads where the fluid height, h, is measured from the tank bottom to </t>
  </si>
  <si>
    <t xml:space="preserve">the fluid surface.  A guppy head is a conical head with its apex level with the top of the cylindrical section of the </t>
  </si>
  <si>
    <t>head defined by a knuckle-radius parameter, k, and a dish-radius parameter, f, as shown in Fig. 2.</t>
  </si>
  <si>
    <t>tank, as shown in Fig. 1.  A torispherical head is an American Society of Mechanical Engineers (ASME-type)</t>
  </si>
  <si>
    <t xml:space="preserve">An ellipsoidal head must be exactly half of an ellipsoid of revolution; only a hemi ellipsoid is valid - no “segment” </t>
  </si>
  <si>
    <t xml:space="preserve">of an ellipsoid will work, as is true in the case of a spherical head that can be a spherical segment.  For a </t>
  </si>
  <si>
    <t>Figure 1. Parameters for Horizontal Cylindrical Tanks with Conical, Ellipsoidal, Guppy or Spherical Heads</t>
  </si>
  <si>
    <t xml:space="preserve">1. </t>
  </si>
  <si>
    <t>Both heads of a tank must be identical.  Above diagram is for definition of parameters only.</t>
  </si>
  <si>
    <t xml:space="preserve">2.  </t>
  </si>
  <si>
    <t xml:space="preserve">3. </t>
  </si>
  <si>
    <t xml:space="preserve">4. </t>
  </si>
  <si>
    <t>For convex head other than spherical, 0 &lt; a &lt; a , for concave head a &lt; 0</t>
  </si>
  <si>
    <t xml:space="preserve">6. </t>
  </si>
  <si>
    <t>Ellipsoidal head must be exactly half of an ellipsoid of revolution</t>
  </si>
  <si>
    <t xml:space="preserve">Both heads of a horizontal cylindrical tank must be identical for the equations to work; i.e., if one head is conical, </t>
  </si>
  <si>
    <t xml:space="preserve">the other must be conical with the same dimensions.  However, the equations can be combined to calculate the </t>
  </si>
  <si>
    <t>fluid volume of a horizontal tank with heads of different shapes.</t>
  </si>
  <si>
    <t xml:space="preserve">For instance, if a horizontal cylindrical tank has a conical head on one end and an ellipsoidal head on the other </t>
  </si>
  <si>
    <t xml:space="preserve">end, calculate fluid volumes of two tanks, one with conical heads and the other with ellipsoidal heads, and </t>
  </si>
  <si>
    <t xml:space="preserve">average the results to get the desired fluid volume.  The heads of a horizontal tank can be flat (a = 0), convex </t>
  </si>
  <si>
    <t>(a &gt; 0) or concave (a &lt; 0).</t>
  </si>
  <si>
    <t>The following variables must be within the ranges stated:</t>
  </si>
  <si>
    <t>•</t>
  </si>
  <si>
    <t>f &gt; 0.5 for torispherical heads.</t>
  </si>
  <si>
    <t>D &gt; 0.</t>
  </si>
  <si>
    <t>Horizontal tank equations</t>
  </si>
  <si>
    <t>In the Vf equation for torispherical heads, use + (-) for convex (concave) heads.</t>
  </si>
  <si>
    <t xml:space="preserve">In the horizontal tank equations, Vf is the total volume of fluid in the tank in cubic units consistent with the linear </t>
  </si>
  <si>
    <t xml:space="preserve">units of tank dimension parameters, and Af is the cross-sectional area of fluid in the cylindrical body of the tank </t>
  </si>
  <si>
    <t>in square units consistent with the linear units used for R and h.  The equation for Af is given by:</t>
  </si>
  <si>
    <t>Horizontal cylindrical tank examples</t>
  </si>
  <si>
    <t>Two examples can be used to check application of the equations.</t>
  </si>
  <si>
    <t>Horizontal Tank Equations</t>
  </si>
  <si>
    <t>Conical Heads</t>
  </si>
  <si>
    <t>Ellipsoidal Heads</t>
  </si>
  <si>
    <t>Guppy Heads (Eccentric Cone)</t>
  </si>
  <si>
    <t>Spherical Heads</t>
  </si>
  <si>
    <r>
      <t>For the condition where</t>
    </r>
    <r>
      <rPr>
        <sz val="10"/>
        <rFont val="Arial"/>
        <family val="2"/>
      </rPr>
      <t>:</t>
    </r>
  </si>
  <si>
    <r>
      <t>For the condition where</t>
    </r>
    <r>
      <rPr>
        <sz val="10"/>
        <rFont val="Arial"/>
        <family val="2"/>
      </rPr>
      <t xml:space="preserve">:  </t>
    </r>
  </si>
  <si>
    <t>For the above 5 spherical heads equations: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</si>
</sst>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4" formatCode="0.000000"/>
    <numFmt numFmtId="165" formatCode="0.000"/>
    <numFmt numFmtId="166" formatCode="0.0"/>
    <numFmt numFmtId="167" formatCode="0.0000"/>
    <numFmt numFmtId="168" formatCode="General_)"/>
    <numFmt numFmtId="169" formatCode="dd\-mmm\-yy_)"/>
    <numFmt numFmtId="170" formatCode="0.0_)"/>
    <numFmt numFmtId="171" formatCode="0.000_)"/>
    <numFmt numFmtId="172" formatCode="0_)"/>
    <numFmt numFmtId="173" formatCode="0.00_)"/>
    <numFmt numFmtId="174" formatCode="0.0000_)"/>
    <numFmt numFmtId="175" formatCode=";;;"/>
    <numFmt numFmtId="176" formatCode="0.00000_)"/>
    <numFmt numFmtId="177" formatCode="0.0%"/>
    <numFmt numFmtId="178" formatCode="0.00E+00_)"/>
    <numFmt numFmtId="179" formatCode="0.000E+00_)"/>
    <numFmt numFmtId="180" formatCode="#,##0.0"/>
    <numFmt numFmtId="181" formatCode="#\ ?/2"/>
    <numFmt numFmtId="182" formatCode="#\ ?/4"/>
    <numFmt numFmtId="183" formatCode="#,##0.000"/>
    <numFmt numFmtId="184" formatCode="#,##0.0000"/>
  </numFmts>
  <fonts count="44" x14ac:knownFonts="1">
    <font>
      <sz val="10"/>
      <name val="Arial"/>
    </font>
    <font>
      <sz val="10"/>
      <name val="Arial"/>
      <family val="2"/>
    </font>
    <font>
      <vertAlign val="subscript"/>
      <sz val="10"/>
      <name val="Arial"/>
      <family val="2"/>
    </font>
    <font>
      <b/>
      <sz val="10"/>
      <name val="Arial"/>
      <family val="2"/>
    </font>
    <font>
      <b/>
      <vertAlign val="subscript"/>
      <sz val="10"/>
      <name val="Arial"/>
      <family val="2"/>
    </font>
    <font>
      <sz val="14"/>
      <name val="Arial"/>
      <family val="2"/>
    </font>
    <font>
      <b/>
      <sz val="10"/>
      <name val="Arial"/>
      <family val="2"/>
    </font>
    <font>
      <sz val="8"/>
      <name val="Arial"/>
      <family val="2"/>
    </font>
    <font>
      <b/>
      <sz val="14"/>
      <name val="Arial"/>
      <family val="2"/>
    </font>
    <font>
      <vertAlign val="superscript"/>
      <sz val="10"/>
      <name val="Arial"/>
      <family val="2"/>
    </font>
    <font>
      <sz val="10"/>
      <name val="Symbol"/>
      <family val="1"/>
      <charset val="2"/>
    </font>
    <font>
      <sz val="10"/>
      <name val="Arial"/>
      <family val="2"/>
    </font>
    <font>
      <u/>
      <sz val="10"/>
      <name val="Arial"/>
      <family val="2"/>
    </font>
    <font>
      <b/>
      <u/>
      <sz val="10"/>
      <name val="Arial"/>
      <family val="2"/>
    </font>
    <font>
      <sz val="10"/>
      <name val="Courier"/>
    </font>
    <font>
      <b/>
      <sz val="12"/>
      <name val="Courier"/>
      <family val="3"/>
    </font>
    <font>
      <sz val="10"/>
      <color indexed="12"/>
      <name val="Courier"/>
    </font>
    <font>
      <b/>
      <sz val="10"/>
      <name val="Courier"/>
      <family val="3"/>
    </font>
    <font>
      <vertAlign val="superscript"/>
      <sz val="10"/>
      <name val="Courier"/>
      <family val="3"/>
    </font>
    <font>
      <b/>
      <sz val="10"/>
      <color indexed="10"/>
      <name val="Courier"/>
      <family val="3"/>
    </font>
    <font>
      <vertAlign val="subscript"/>
      <sz val="10"/>
      <name val="Courier"/>
      <family val="3"/>
    </font>
    <font>
      <sz val="12"/>
      <name val="Times New Roman"/>
      <family val="1"/>
    </font>
    <font>
      <vertAlign val="superscript"/>
      <sz val="12"/>
      <name val="Times New Roman"/>
      <family val="1"/>
    </font>
    <font>
      <b/>
      <sz val="10"/>
      <color indexed="10"/>
      <name val="Arial"/>
      <family val="2"/>
    </font>
    <font>
      <b/>
      <sz val="10"/>
      <color indexed="12"/>
      <name val="Courier"/>
      <family val="3"/>
    </font>
    <font>
      <i/>
      <sz val="10"/>
      <name val="Arial"/>
      <family val="2"/>
    </font>
    <font>
      <b/>
      <sz val="12"/>
      <name val="Times New Roman"/>
      <family val="1"/>
    </font>
    <font>
      <b/>
      <vertAlign val="superscript"/>
      <sz val="10"/>
      <name val="Arial"/>
      <family val="2"/>
    </font>
    <font>
      <b/>
      <sz val="10"/>
      <name val="Symbol"/>
      <family val="1"/>
      <charset val="2"/>
    </font>
    <font>
      <sz val="10"/>
      <color indexed="10"/>
      <name val="Arial"/>
      <family val="2"/>
    </font>
    <font>
      <b/>
      <sz val="10"/>
      <color indexed="10"/>
      <name val="Arial"/>
      <family val="2"/>
    </font>
    <font>
      <b/>
      <sz val="13.5"/>
      <color indexed="8"/>
      <name val="Arial"/>
      <family val="2"/>
    </font>
    <font>
      <b/>
      <sz val="10"/>
      <color indexed="8"/>
      <name val="Arial"/>
      <family val="2"/>
    </font>
    <font>
      <b/>
      <i/>
      <sz val="8.5"/>
      <color indexed="8"/>
      <name val="Arial"/>
      <family val="2"/>
    </font>
    <font>
      <b/>
      <sz val="12"/>
      <name val="Arial"/>
      <family val="2"/>
    </font>
    <font>
      <i/>
      <sz val="12"/>
      <color indexed="8"/>
      <name val="Times New Roman"/>
      <family val="1"/>
    </font>
    <font>
      <sz val="14"/>
      <name val="Arial"/>
      <family val="2"/>
    </font>
    <font>
      <u/>
      <sz val="10"/>
      <color indexed="12"/>
      <name val="Arial"/>
      <family val="2"/>
    </font>
    <font>
      <sz val="10"/>
      <name val="Times New Roman"/>
      <family val="1"/>
    </font>
    <font>
      <b/>
      <u/>
      <sz val="12"/>
      <name val="Arial"/>
      <family val="2"/>
    </font>
    <font>
      <b/>
      <sz val="10"/>
      <color indexed="13"/>
      <name val="Arial"/>
      <family val="2"/>
    </font>
    <font>
      <b/>
      <sz val="10"/>
      <color indexed="12"/>
      <name val="Arial"/>
      <family val="2"/>
    </font>
    <font>
      <b/>
      <u/>
      <sz val="10"/>
      <color indexed="10"/>
      <name val="Arial"/>
      <family val="2"/>
    </font>
    <font>
      <b/>
      <sz val="8"/>
      <color indexed="12"/>
      <name val="Tahoma"/>
      <family val="2"/>
    </font>
  </fonts>
  <fills count="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15"/>
        <bgColor indexed="64"/>
      </patternFill>
    </fill>
    <fill>
      <patternFill patternType="solid">
        <fgColor indexed="41"/>
        <bgColor indexed="64"/>
      </patternFill>
    </fill>
    <fill>
      <patternFill patternType="solid">
        <fgColor indexed="11"/>
        <bgColor indexed="64"/>
      </patternFill>
    </fill>
    <fill>
      <patternFill patternType="solid">
        <fgColor indexed="12"/>
        <bgColor indexed="64"/>
      </patternFill>
    </fill>
  </fills>
  <borders count="133">
    <border>
      <left/>
      <right/>
      <top/>
      <bottom/>
      <diagonal/>
    </border>
    <border>
      <left/>
      <right style="medium">
        <color indexed="64"/>
      </right>
      <top/>
      <bottom/>
      <diagonal/>
    </border>
    <border>
      <left style="thin">
        <color indexed="64"/>
      </left>
      <right style="thick">
        <color indexed="64"/>
      </right>
      <top style="thin">
        <color indexed="64"/>
      </top>
      <bottom style="double">
        <color indexed="64"/>
      </bottom>
      <diagonal/>
    </border>
    <border>
      <left style="thick">
        <color indexed="64"/>
      </left>
      <right/>
      <top/>
      <bottom/>
      <diagonal/>
    </border>
    <border>
      <left style="thin">
        <color indexed="64"/>
      </left>
      <right style="thin">
        <color indexed="64"/>
      </right>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ck">
        <color indexed="64"/>
      </top>
      <bottom style="double">
        <color indexed="64"/>
      </bottom>
      <diagonal/>
    </border>
    <border>
      <left style="thick">
        <color indexed="64"/>
      </left>
      <right style="thin">
        <color indexed="64"/>
      </right>
      <top/>
      <bottom/>
      <diagonal/>
    </border>
    <border>
      <left style="thin">
        <color indexed="64"/>
      </left>
      <right style="thick">
        <color indexed="64"/>
      </right>
      <top/>
      <bottom/>
      <diagonal/>
    </border>
    <border>
      <left/>
      <right/>
      <top style="medium">
        <color indexed="64"/>
      </top>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double">
        <color indexed="64"/>
      </left>
      <right/>
      <top style="medium">
        <color indexed="64"/>
      </top>
      <bottom/>
      <diagonal/>
    </border>
    <border>
      <left style="double">
        <color indexed="64"/>
      </left>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diagonal/>
    </border>
    <border>
      <left style="thick">
        <color indexed="64"/>
      </left>
      <right style="thin">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thick">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double">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double">
        <color indexed="64"/>
      </right>
      <top/>
      <bottom style="medium">
        <color indexed="64"/>
      </bottom>
      <diagonal/>
    </border>
    <border>
      <left style="double">
        <color indexed="64"/>
      </left>
      <right/>
      <top/>
      <bottom style="medium">
        <color indexed="64"/>
      </bottom>
      <diagonal/>
    </border>
    <border>
      <left/>
      <right/>
      <top/>
      <bottom style="medium">
        <color indexed="64"/>
      </bottom>
      <diagonal/>
    </border>
    <border>
      <left style="thick">
        <color indexed="64"/>
      </left>
      <right style="thick">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ck">
        <color indexed="64"/>
      </left>
      <right style="double">
        <color indexed="64"/>
      </right>
      <top/>
      <bottom/>
      <diagonal/>
    </border>
    <border>
      <left/>
      <right style="double">
        <color indexed="64"/>
      </right>
      <top style="thin">
        <color indexed="64"/>
      </top>
      <bottom/>
      <diagonal/>
    </border>
    <border>
      <left/>
      <right style="double">
        <color indexed="64"/>
      </right>
      <top/>
      <bottom style="thin">
        <color indexed="64"/>
      </bottom>
      <diagonal/>
    </border>
    <border>
      <left style="thick">
        <color indexed="64"/>
      </left>
      <right style="double">
        <color indexed="64"/>
      </right>
      <top/>
      <bottom style="thick">
        <color indexed="64"/>
      </bottom>
      <diagonal/>
    </border>
    <border>
      <left/>
      <right style="double">
        <color indexed="64"/>
      </right>
      <top/>
      <bottom style="thick">
        <color indexed="64"/>
      </bottom>
      <diagonal/>
    </border>
    <border>
      <left/>
      <right/>
      <top style="thin">
        <color indexed="64"/>
      </top>
      <bottom/>
      <diagonal/>
    </border>
    <border>
      <left/>
      <right style="thick">
        <color indexed="64"/>
      </right>
      <top style="thin">
        <color indexed="64"/>
      </top>
      <bottom/>
      <diagonal/>
    </border>
    <border>
      <left/>
      <right/>
      <top/>
      <bottom style="thin">
        <color indexed="64"/>
      </bottom>
      <diagonal/>
    </border>
    <border>
      <left/>
      <right style="thick">
        <color indexed="64"/>
      </right>
      <top/>
      <bottom style="thin">
        <color indexed="64"/>
      </bottom>
      <diagonal/>
    </border>
    <border>
      <left style="medium">
        <color indexed="64"/>
      </left>
      <right style="medium">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thick">
        <color indexed="64"/>
      </left>
      <right style="thin">
        <color indexed="64"/>
      </right>
      <top style="thick">
        <color indexed="64"/>
      </top>
      <bottom style="double">
        <color indexed="64"/>
      </bottom>
      <diagonal/>
    </border>
    <border>
      <left style="thin">
        <color indexed="64"/>
      </left>
      <right style="thick">
        <color indexed="64"/>
      </right>
      <top style="thick">
        <color indexed="64"/>
      </top>
      <bottom style="double">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style="thick">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diagonal/>
    </border>
    <border>
      <left style="double">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10"/>
      </left>
      <right style="double">
        <color indexed="10"/>
      </right>
      <top style="double">
        <color indexed="10"/>
      </top>
      <bottom style="double">
        <color indexed="10"/>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diagonal/>
    </border>
    <border>
      <left style="double">
        <color indexed="64"/>
      </left>
      <right style="double">
        <color indexed="64"/>
      </right>
      <top/>
      <bottom/>
      <diagonal/>
    </border>
    <border>
      <left style="double">
        <color indexed="64"/>
      </left>
      <right/>
      <top style="thin">
        <color indexed="64"/>
      </top>
      <bottom style="thin">
        <color indexed="64"/>
      </bottom>
      <diagonal/>
    </border>
    <border>
      <left style="double">
        <color indexed="64"/>
      </left>
      <right style="double">
        <color indexed="64"/>
      </right>
      <top/>
      <bottom style="double">
        <color indexed="64"/>
      </bottom>
      <diagonal/>
    </border>
    <border>
      <left style="double">
        <color indexed="64"/>
      </left>
      <right/>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ck">
        <color indexed="64"/>
      </top>
      <bottom/>
      <diagonal/>
    </border>
    <border>
      <left style="thin">
        <color indexed="64"/>
      </left>
      <right style="thin">
        <color indexed="64"/>
      </right>
      <top/>
      <bottom style="double">
        <color indexed="64"/>
      </bottom>
      <diagonal/>
    </border>
    <border>
      <left style="thick">
        <color indexed="64"/>
      </left>
      <right style="thin">
        <color indexed="64"/>
      </right>
      <top style="thick">
        <color indexed="64"/>
      </top>
      <bottom/>
      <diagonal/>
    </border>
    <border>
      <left style="thick">
        <color indexed="64"/>
      </left>
      <right style="thin">
        <color indexed="64"/>
      </right>
      <top/>
      <bottom style="double">
        <color indexed="64"/>
      </bottom>
      <diagonal/>
    </border>
    <border>
      <left style="thin">
        <color indexed="64"/>
      </left>
      <right style="thick">
        <color indexed="64"/>
      </right>
      <top style="thick">
        <color indexed="64"/>
      </top>
      <bottom/>
      <diagonal/>
    </border>
    <border>
      <left style="thin">
        <color indexed="64"/>
      </left>
      <right style="thick">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double">
        <color indexed="64"/>
      </left>
      <right/>
      <top style="medium">
        <color indexed="64"/>
      </top>
      <bottom style="medium">
        <color indexed="64"/>
      </bottom>
      <diagonal/>
    </border>
    <border>
      <left style="double">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style="thin">
        <color indexed="64"/>
      </bottom>
      <diagonal/>
    </border>
    <border>
      <left/>
      <right style="double">
        <color indexed="64"/>
      </right>
      <top style="thick">
        <color indexed="64"/>
      </top>
      <bottom/>
      <diagonal/>
    </border>
    <border>
      <left style="thick">
        <color indexed="64"/>
      </left>
      <right/>
      <top/>
      <bottom style="thin">
        <color indexed="64"/>
      </bottom>
      <diagonal/>
    </border>
    <border>
      <left style="thick">
        <color indexed="64"/>
      </left>
      <right style="double">
        <color indexed="64"/>
      </right>
      <top style="thick">
        <color indexed="64"/>
      </top>
      <bottom/>
      <diagonal/>
    </border>
    <border>
      <left style="thick">
        <color indexed="64"/>
      </left>
      <right style="double">
        <color indexed="64"/>
      </right>
      <top/>
      <bottom style="thin">
        <color indexed="64"/>
      </bottom>
      <diagonal/>
    </border>
  </borders>
  <cellStyleXfs count="5">
    <xf numFmtId="0" fontId="0" fillId="0" borderId="0"/>
    <xf numFmtId="0" fontId="38" fillId="0" borderId="1" applyNumberFormat="0" applyFill="0" applyBorder="0" applyAlignment="0" applyProtection="0">
      <protection locked="0"/>
    </xf>
    <xf numFmtId="0" fontId="37" fillId="0" borderId="0" applyNumberFormat="0" applyFill="0" applyBorder="0" applyAlignment="0" applyProtection="0">
      <alignment vertical="top"/>
      <protection locked="0"/>
    </xf>
    <xf numFmtId="168" fontId="14" fillId="0" borderId="0"/>
    <xf numFmtId="9" fontId="1" fillId="0" borderId="0" applyFont="0" applyFill="0" applyBorder="0" applyAlignment="0" applyProtection="0"/>
  </cellStyleXfs>
  <cellXfs count="491">
    <xf numFmtId="0" fontId="0" fillId="0" borderId="0" xfId="0"/>
    <xf numFmtId="164" fontId="0" fillId="0" borderId="0" xfId="0" applyNumberFormat="1"/>
    <xf numFmtId="165" fontId="0" fillId="0" borderId="0" xfId="0" applyNumberFormat="1"/>
    <xf numFmtId="0" fontId="0" fillId="0" borderId="0" xfId="0" applyAlignment="1">
      <alignment horizontal="center"/>
    </xf>
    <xf numFmtId="0" fontId="3" fillId="0" borderId="0" xfId="0" applyFont="1" applyAlignment="1">
      <alignment horizontal="center" vertical="center"/>
    </xf>
    <xf numFmtId="0" fontId="3" fillId="0" borderId="0" xfId="0" applyFont="1" applyAlignment="1">
      <alignment horizontal="center"/>
    </xf>
    <xf numFmtId="165" fontId="5" fillId="0" borderId="2" xfId="0" applyNumberFormat="1" applyFont="1" applyBorder="1" applyAlignment="1">
      <alignment horizontal="center"/>
    </xf>
    <xf numFmtId="2" fontId="5" fillId="0" borderId="3" xfId="0" applyNumberFormat="1" applyFont="1" applyBorder="1"/>
    <xf numFmtId="165" fontId="5" fillId="0" borderId="4" xfId="0" applyNumberFormat="1" applyFont="1" applyBorder="1"/>
    <xf numFmtId="165" fontId="5" fillId="0" borderId="0" xfId="0" applyNumberFormat="1" applyFont="1" applyBorder="1"/>
    <xf numFmtId="2" fontId="0" fillId="0" borderId="0" xfId="0" applyNumberFormat="1"/>
    <xf numFmtId="165" fontId="0" fillId="0" borderId="5" xfId="0" applyNumberFormat="1" applyBorder="1"/>
    <xf numFmtId="166" fontId="0" fillId="0" borderId="0" xfId="0" applyNumberFormat="1"/>
    <xf numFmtId="168" fontId="14" fillId="0" borderId="0" xfId="3"/>
    <xf numFmtId="170" fontId="14" fillId="0" borderId="0" xfId="3" applyNumberFormat="1" applyProtection="1"/>
    <xf numFmtId="168" fontId="14" fillId="0" borderId="0" xfId="3" applyAlignment="1" applyProtection="1">
      <alignment horizontal="left"/>
    </xf>
    <xf numFmtId="175" fontId="14" fillId="0" borderId="0" xfId="3" applyNumberFormat="1" applyProtection="1"/>
    <xf numFmtId="168" fontId="15" fillId="0" borderId="0" xfId="3" applyFont="1" applyAlignment="1" applyProtection="1">
      <alignment horizontal="center"/>
    </xf>
    <xf numFmtId="170" fontId="16" fillId="0" borderId="0" xfId="3" applyNumberFormat="1" applyFont="1" applyProtection="1">
      <protection locked="0"/>
    </xf>
    <xf numFmtId="168" fontId="16" fillId="0" borderId="0" xfId="3" applyFont="1" applyProtection="1">
      <protection locked="0"/>
    </xf>
    <xf numFmtId="174" fontId="16" fillId="0" borderId="0" xfId="3" applyNumberFormat="1" applyFont="1" applyProtection="1">
      <protection locked="0"/>
    </xf>
    <xf numFmtId="172" fontId="16" fillId="0" borderId="0" xfId="3" applyNumberFormat="1" applyFont="1" applyProtection="1">
      <protection locked="0"/>
    </xf>
    <xf numFmtId="171" fontId="16" fillId="0" borderId="0" xfId="3" applyNumberFormat="1" applyFont="1" applyProtection="1">
      <protection locked="0"/>
    </xf>
    <xf numFmtId="168" fontId="16" fillId="2" borderId="0" xfId="3" applyFont="1" applyFill="1" applyAlignment="1" applyProtection="1">
      <alignment horizontal="left"/>
      <protection locked="0"/>
    </xf>
    <xf numFmtId="173" fontId="16" fillId="0" borderId="0" xfId="3" applyNumberFormat="1" applyFont="1" applyProtection="1">
      <protection locked="0"/>
    </xf>
    <xf numFmtId="173" fontId="14" fillId="0" borderId="0" xfId="3" applyNumberFormat="1" applyProtection="1"/>
    <xf numFmtId="168" fontId="16" fillId="0" borderId="0" xfId="3" applyFont="1" applyAlignment="1" applyProtection="1">
      <alignment horizontal="left"/>
      <protection locked="0"/>
    </xf>
    <xf numFmtId="178" fontId="14" fillId="0" borderId="0" xfId="3" applyNumberFormat="1" applyProtection="1"/>
    <xf numFmtId="171" fontId="14" fillId="0" borderId="0" xfId="3" applyNumberFormat="1" applyProtection="1"/>
    <xf numFmtId="168" fontId="14" fillId="0" borderId="0" xfId="3" applyBorder="1"/>
    <xf numFmtId="168" fontId="14" fillId="0" borderId="0" xfId="3" applyFont="1" applyBorder="1" applyAlignment="1" applyProtection="1">
      <alignment horizontal="center" vertical="center"/>
    </xf>
    <xf numFmtId="174" fontId="14" fillId="0" borderId="0" xfId="3" applyNumberFormat="1" applyProtection="1"/>
    <xf numFmtId="172" fontId="14" fillId="0" borderId="0" xfId="3" applyNumberFormat="1" applyProtection="1"/>
    <xf numFmtId="169" fontId="14" fillId="0" borderId="0" xfId="3" applyNumberFormat="1" applyProtection="1"/>
    <xf numFmtId="178" fontId="16" fillId="0" borderId="0" xfId="3" applyNumberFormat="1" applyFont="1" applyProtection="1">
      <protection locked="0"/>
    </xf>
    <xf numFmtId="176" fontId="14" fillId="0" borderId="0" xfId="3" applyNumberFormat="1" applyProtection="1"/>
    <xf numFmtId="176" fontId="16" fillId="0" borderId="0" xfId="3" applyNumberFormat="1" applyFont="1" applyProtection="1">
      <protection locked="0"/>
    </xf>
    <xf numFmtId="0" fontId="14" fillId="0" borderId="0" xfId="3" applyNumberFormat="1"/>
    <xf numFmtId="0" fontId="14" fillId="0" borderId="0" xfId="3" applyNumberFormat="1" applyAlignment="1" applyProtection="1">
      <alignment horizontal="left"/>
    </xf>
    <xf numFmtId="168" fontId="14" fillId="0" borderId="0" xfId="3" applyFont="1"/>
    <xf numFmtId="0" fontId="14" fillId="0" borderId="0" xfId="3" applyNumberFormat="1" applyFont="1" applyProtection="1"/>
    <xf numFmtId="179" fontId="14" fillId="0" borderId="0" xfId="3" applyNumberFormat="1" applyProtection="1"/>
    <xf numFmtId="10" fontId="14" fillId="0" borderId="0" xfId="3" applyNumberFormat="1" applyProtection="1"/>
    <xf numFmtId="2" fontId="14" fillId="0" borderId="0" xfId="3" applyNumberFormat="1" applyFont="1" applyProtection="1"/>
    <xf numFmtId="168" fontId="14" fillId="0" borderId="0" xfId="3" applyAlignment="1">
      <alignment horizontal="left"/>
    </xf>
    <xf numFmtId="2" fontId="14" fillId="0" borderId="0" xfId="3" applyNumberFormat="1" applyAlignment="1">
      <alignment horizontal="left"/>
    </xf>
    <xf numFmtId="172" fontId="14" fillId="0" borderId="0" xfId="3" applyNumberFormat="1" applyAlignment="1" applyProtection="1">
      <alignment horizontal="left"/>
    </xf>
    <xf numFmtId="166" fontId="14" fillId="0" borderId="0" xfId="3" applyNumberFormat="1" applyAlignment="1">
      <alignment horizontal="left"/>
    </xf>
    <xf numFmtId="166" fontId="14" fillId="0" borderId="0" xfId="3" applyNumberFormat="1" applyFont="1" applyAlignment="1">
      <alignment horizontal="left"/>
    </xf>
    <xf numFmtId="175" fontId="14" fillId="0" borderId="0" xfId="3" applyNumberFormat="1" applyAlignment="1" applyProtection="1">
      <alignment horizontal="left"/>
    </xf>
    <xf numFmtId="169" fontId="16" fillId="0" borderId="0" xfId="3" applyNumberFormat="1" applyFont="1" applyProtection="1">
      <protection locked="0"/>
    </xf>
    <xf numFmtId="168" fontId="14" fillId="0" borderId="0" xfId="3" applyAlignment="1" applyProtection="1">
      <alignment horizontal="center"/>
    </xf>
    <xf numFmtId="168" fontId="14" fillId="0" borderId="0" xfId="3" applyProtection="1"/>
    <xf numFmtId="2" fontId="0" fillId="0" borderId="0" xfId="0" applyNumberFormat="1" applyAlignment="1">
      <alignment horizontal="center"/>
    </xf>
    <xf numFmtId="167" fontId="0" fillId="0" borderId="0" xfId="0" applyNumberFormat="1" applyAlignment="1">
      <alignment horizontal="center"/>
    </xf>
    <xf numFmtId="0" fontId="0" fillId="0" borderId="0" xfId="0" applyBorder="1"/>
    <xf numFmtId="0" fontId="6" fillId="0" borderId="0" xfId="0" applyFont="1" applyBorder="1" applyAlignment="1">
      <alignment horizontal="center"/>
    </xf>
    <xf numFmtId="165" fontId="0" fillId="0" borderId="0" xfId="0" applyNumberFormat="1" applyBorder="1"/>
    <xf numFmtId="166" fontId="0" fillId="0" borderId="0" xfId="0" applyNumberFormat="1" applyBorder="1" applyAlignment="1">
      <alignment horizontal="center"/>
    </xf>
    <xf numFmtId="0" fontId="0" fillId="0" borderId="0" xfId="0" applyBorder="1" applyAlignment="1">
      <alignment horizontal="center"/>
    </xf>
    <xf numFmtId="2" fontId="0" fillId="0" borderId="0" xfId="0" applyNumberFormat="1" applyBorder="1"/>
    <xf numFmtId="1" fontId="0" fillId="0" borderId="0" xfId="0" applyNumberFormat="1" applyBorder="1" applyAlignment="1">
      <alignment horizontal="center"/>
    </xf>
    <xf numFmtId="166" fontId="0" fillId="0" borderId="0" xfId="0" applyNumberFormat="1" applyBorder="1"/>
    <xf numFmtId="0" fontId="0" fillId="0" borderId="6" xfId="0" applyBorder="1"/>
    <xf numFmtId="0" fontId="0" fillId="0" borderId="7" xfId="0" applyBorder="1"/>
    <xf numFmtId="0" fontId="0" fillId="0" borderId="8" xfId="0" applyBorder="1"/>
    <xf numFmtId="0" fontId="0" fillId="0" borderId="3" xfId="0" applyBorder="1"/>
    <xf numFmtId="0" fontId="0" fillId="0" borderId="9" xfId="0" applyBorder="1"/>
    <xf numFmtId="0" fontId="6" fillId="0" borderId="3" xfId="0" applyFont="1" applyBorder="1" applyAlignment="1">
      <alignment horizontal="center"/>
    </xf>
    <xf numFmtId="166" fontId="0" fillId="0" borderId="3" xfId="0" applyNumberFormat="1" applyBorder="1" applyAlignment="1">
      <alignment horizontal="center"/>
    </xf>
    <xf numFmtId="0" fontId="0" fillId="0" borderId="10" xfId="0" applyBorder="1"/>
    <xf numFmtId="0" fontId="0" fillId="0" borderId="11" xfId="0" applyBorder="1"/>
    <xf numFmtId="0" fontId="0" fillId="0" borderId="12" xfId="0" applyBorder="1"/>
    <xf numFmtId="168" fontId="17" fillId="0" borderId="13" xfId="3" applyFont="1" applyBorder="1"/>
    <xf numFmtId="167" fontId="19" fillId="0" borderId="0" xfId="3" applyNumberFormat="1" applyFont="1" applyProtection="1"/>
    <xf numFmtId="170" fontId="19" fillId="0" borderId="0" xfId="3" applyNumberFormat="1" applyFont="1" applyProtection="1"/>
    <xf numFmtId="172" fontId="14" fillId="0" borderId="11" xfId="3" applyNumberFormat="1" applyBorder="1" applyProtection="1"/>
    <xf numFmtId="168" fontId="14" fillId="0" borderId="11" xfId="3" applyBorder="1"/>
    <xf numFmtId="168" fontId="14" fillId="0" borderId="14" xfId="3" applyBorder="1" applyAlignment="1" applyProtection="1">
      <alignment horizontal="left"/>
    </xf>
    <xf numFmtId="168" fontId="14" fillId="0" borderId="15" xfId="3" applyBorder="1" applyAlignment="1" applyProtection="1">
      <alignment horizontal="left"/>
    </xf>
    <xf numFmtId="168" fontId="14" fillId="0" borderId="11" xfId="3" applyBorder="1" applyAlignment="1" applyProtection="1">
      <alignment horizontal="center" vertical="center"/>
    </xf>
    <xf numFmtId="2" fontId="19" fillId="0" borderId="0" xfId="3" applyNumberFormat="1" applyFont="1" applyAlignment="1">
      <alignment horizontal="left"/>
    </xf>
    <xf numFmtId="166" fontId="19" fillId="0" borderId="0" xfId="3" applyNumberFormat="1" applyFont="1" applyAlignment="1" applyProtection="1">
      <alignment horizontal="left"/>
    </xf>
    <xf numFmtId="3" fontId="19" fillId="0" borderId="0" xfId="3" quotePrefix="1" applyNumberFormat="1" applyFont="1" applyAlignment="1" applyProtection="1">
      <alignment horizontal="left"/>
    </xf>
    <xf numFmtId="2" fontId="24" fillId="2" borderId="0" xfId="3" applyNumberFormat="1" applyFont="1" applyFill="1" applyAlignment="1" applyProtection="1">
      <alignment horizontal="right"/>
      <protection locked="0"/>
    </xf>
    <xf numFmtId="168" fontId="24" fillId="2" borderId="0" xfId="3" applyFont="1" applyFill="1" applyAlignment="1" applyProtection="1">
      <alignment horizontal="right"/>
      <protection locked="0"/>
    </xf>
    <xf numFmtId="168" fontId="16" fillId="0" borderId="0" xfId="3" applyFont="1" applyProtection="1"/>
    <xf numFmtId="0" fontId="25" fillId="0" borderId="0" xfId="0" applyFont="1"/>
    <xf numFmtId="0" fontId="0" fillId="0" borderId="0" xfId="0" quotePrefix="1" applyAlignment="1">
      <alignment horizontal="center"/>
    </xf>
    <xf numFmtId="165" fontId="3" fillId="2" borderId="0" xfId="0" applyNumberFormat="1" applyFont="1" applyFill="1" applyProtection="1">
      <protection locked="0"/>
    </xf>
    <xf numFmtId="0" fontId="6" fillId="0" borderId="0" xfId="0" applyFont="1"/>
    <xf numFmtId="0" fontId="6" fillId="0" borderId="0" xfId="0" applyFont="1" applyAlignment="1">
      <alignment horizontal="right"/>
    </xf>
    <xf numFmtId="2" fontId="0" fillId="0" borderId="16" xfId="0" applyNumberFormat="1" applyBorder="1"/>
    <xf numFmtId="164" fontId="0" fillId="0" borderId="17" xfId="0" applyNumberFormat="1" applyBorder="1"/>
    <xf numFmtId="165" fontId="0" fillId="0" borderId="18" xfId="0" applyNumberFormat="1" applyBorder="1"/>
    <xf numFmtId="164" fontId="0" fillId="0" borderId="19" xfId="0" applyNumberFormat="1" applyBorder="1"/>
    <xf numFmtId="165" fontId="0" fillId="0" borderId="20" xfId="0" applyNumberFormat="1" applyBorder="1"/>
    <xf numFmtId="1" fontId="0" fillId="0" borderId="0" xfId="0" applyNumberFormat="1"/>
    <xf numFmtId="0" fontId="0" fillId="0" borderId="0" xfId="0" applyAlignment="1">
      <alignment horizontal="right"/>
    </xf>
    <xf numFmtId="4" fontId="0" fillId="0" borderId="21" xfId="0" applyNumberFormat="1" applyBorder="1"/>
    <xf numFmtId="4" fontId="0" fillId="0" borderId="22" xfId="0" applyNumberFormat="1" applyBorder="1"/>
    <xf numFmtId="180" fontId="0" fillId="0" borderId="16" xfId="0" applyNumberFormat="1" applyBorder="1"/>
    <xf numFmtId="180" fontId="0" fillId="0" borderId="0" xfId="0" applyNumberFormat="1" applyBorder="1"/>
    <xf numFmtId="2" fontId="23" fillId="0" borderId="23" xfId="0" applyNumberFormat="1" applyFont="1" applyBorder="1" applyAlignment="1">
      <alignment horizontal="center"/>
    </xf>
    <xf numFmtId="0" fontId="3" fillId="0" borderId="0" xfId="0" applyFont="1" applyAlignment="1">
      <alignment horizontal="left"/>
    </xf>
    <xf numFmtId="0" fontId="0" fillId="0" borderId="24" xfId="0" applyBorder="1"/>
    <xf numFmtId="0" fontId="0" fillId="0" borderId="14" xfId="0" applyBorder="1"/>
    <xf numFmtId="0" fontId="0" fillId="0" borderId="14" xfId="0" applyBorder="1" applyAlignment="1">
      <alignment horizontal="center"/>
    </xf>
    <xf numFmtId="0" fontId="0" fillId="0" borderId="25" xfId="0" applyBorder="1"/>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3" fillId="0" borderId="0" xfId="0" quotePrefix="1" applyFont="1" applyAlignment="1">
      <alignment horizontal="center"/>
    </xf>
    <xf numFmtId="168" fontId="21" fillId="0" borderId="0" xfId="3" applyFont="1" applyAlignment="1" applyProtection="1">
      <alignment horizontal="right"/>
    </xf>
    <xf numFmtId="168" fontId="21" fillId="0" borderId="0" xfId="3" applyFont="1"/>
    <xf numFmtId="168" fontId="21" fillId="0" borderId="0" xfId="3" applyFont="1" applyAlignment="1">
      <alignment horizontal="center"/>
    </xf>
    <xf numFmtId="168" fontId="21" fillId="0" borderId="0" xfId="3" applyFont="1" applyAlignment="1">
      <alignment horizontal="right"/>
    </xf>
    <xf numFmtId="3" fontId="14" fillId="0" borderId="14" xfId="3" applyNumberFormat="1" applyBorder="1" applyProtection="1"/>
    <xf numFmtId="4" fontId="14" fillId="0" borderId="14" xfId="3" applyNumberFormat="1" applyBorder="1" applyProtection="1"/>
    <xf numFmtId="180" fontId="19" fillId="0" borderId="25" xfId="3" applyNumberFormat="1" applyFont="1" applyBorder="1" applyProtection="1"/>
    <xf numFmtId="180" fontId="19" fillId="0" borderId="30" xfId="3" applyNumberFormat="1" applyFont="1" applyBorder="1" applyProtection="1"/>
    <xf numFmtId="168" fontId="14" fillId="0" borderId="5" xfId="3" applyFont="1" applyBorder="1" applyAlignment="1" applyProtection="1">
      <alignment horizontal="center" vertical="center"/>
    </xf>
    <xf numFmtId="3" fontId="14" fillId="0" borderId="15" xfId="3" applyNumberFormat="1" applyBorder="1" applyProtection="1"/>
    <xf numFmtId="4" fontId="14" fillId="0" borderId="15" xfId="3" applyNumberFormat="1" applyBorder="1" applyProtection="1"/>
    <xf numFmtId="180" fontId="19" fillId="0" borderId="31" xfId="3" applyNumberFormat="1" applyFont="1" applyBorder="1" applyAlignment="1">
      <alignment horizontal="center" vertical="center"/>
    </xf>
    <xf numFmtId="180" fontId="19" fillId="0" borderId="32" xfId="3" applyNumberFormat="1" applyFont="1" applyBorder="1" applyAlignment="1">
      <alignment horizontal="center" vertical="center"/>
    </xf>
    <xf numFmtId="165" fontId="3" fillId="0" borderId="0" xfId="0" applyNumberFormat="1" applyFont="1" applyFill="1" applyProtection="1">
      <protection locked="0"/>
    </xf>
    <xf numFmtId="0" fontId="0" fillId="0" borderId="33" xfId="0" applyBorder="1"/>
    <xf numFmtId="165" fontId="0" fillId="0" borderId="1" xfId="0" applyNumberFormat="1" applyBorder="1"/>
    <xf numFmtId="0" fontId="0" fillId="0" borderId="34" xfId="0" applyBorder="1"/>
    <xf numFmtId="165" fontId="0" fillId="0" borderId="35" xfId="0" applyNumberFormat="1" applyBorder="1"/>
    <xf numFmtId="2" fontId="0" fillId="0" borderId="22" xfId="0" applyNumberFormat="1" applyBorder="1"/>
    <xf numFmtId="2" fontId="0" fillId="0" borderId="36" xfId="0" applyNumberFormat="1" applyBorder="1"/>
    <xf numFmtId="0" fontId="0" fillId="0" borderId="37" xfId="0" applyBorder="1"/>
    <xf numFmtId="3" fontId="0" fillId="0" borderId="38" xfId="0" applyNumberFormat="1" applyBorder="1"/>
    <xf numFmtId="3" fontId="0" fillId="0" borderId="1" xfId="0" applyNumberFormat="1" applyBorder="1"/>
    <xf numFmtId="1" fontId="0" fillId="0" borderId="1" xfId="0" applyNumberFormat="1" applyBorder="1"/>
    <xf numFmtId="2" fontId="0" fillId="0" borderId="39" xfId="0" applyNumberFormat="1" applyBorder="1"/>
    <xf numFmtId="2" fontId="0" fillId="0" borderId="40" xfId="0" applyNumberFormat="1" applyBorder="1"/>
    <xf numFmtId="166" fontId="0" fillId="0" borderId="41" xfId="0" applyNumberFormat="1" applyBorder="1"/>
    <xf numFmtId="1" fontId="0" fillId="0" borderId="35" xfId="0" applyNumberFormat="1" applyBorder="1"/>
    <xf numFmtId="0" fontId="3" fillId="0" borderId="42" xfId="0" applyFont="1"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42" xfId="0" applyBorder="1" applyAlignment="1">
      <alignment horizontal="center"/>
    </xf>
    <xf numFmtId="0" fontId="0" fillId="0" borderId="42" xfId="0" applyBorder="1"/>
    <xf numFmtId="0" fontId="0" fillId="0" borderId="45" xfId="0" applyBorder="1" applyAlignment="1">
      <alignment horizontal="center"/>
    </xf>
    <xf numFmtId="0" fontId="0" fillId="0" borderId="46" xfId="0" applyBorder="1" applyAlignment="1">
      <alignment horizontal="center"/>
    </xf>
    <xf numFmtId="0" fontId="0" fillId="0" borderId="47" xfId="0" applyBorder="1"/>
    <xf numFmtId="0" fontId="0" fillId="0" borderId="48" xfId="0" applyBorder="1"/>
    <xf numFmtId="181" fontId="3" fillId="0" borderId="47" xfId="0" applyNumberFormat="1" applyFont="1" applyBorder="1" applyAlignment="1">
      <alignment horizontal="center"/>
    </xf>
    <xf numFmtId="166" fontId="0" fillId="0" borderId="42" xfId="0" applyNumberFormat="1" applyBorder="1"/>
    <xf numFmtId="166" fontId="0" fillId="0" borderId="36" xfId="0" quotePrefix="1" applyNumberFormat="1" applyBorder="1" applyAlignment="1">
      <alignment horizontal="center"/>
    </xf>
    <xf numFmtId="182" fontId="3" fillId="0" borderId="47" xfId="0" applyNumberFormat="1" applyFont="1" applyBorder="1" applyAlignment="1">
      <alignment horizontal="center"/>
    </xf>
    <xf numFmtId="0" fontId="3" fillId="0" borderId="47" xfId="0" applyFont="1" applyBorder="1" applyAlignment="1">
      <alignment horizontal="center"/>
    </xf>
    <xf numFmtId="166" fontId="0" fillId="0" borderId="49" xfId="0" quotePrefix="1" applyNumberFormat="1" applyBorder="1" applyAlignment="1">
      <alignment horizontal="center"/>
    </xf>
    <xf numFmtId="182" fontId="3" fillId="0" borderId="47" xfId="0" quotePrefix="1" applyNumberFormat="1" applyFont="1" applyBorder="1" applyAlignment="1">
      <alignment horizontal="center"/>
    </xf>
    <xf numFmtId="0" fontId="3" fillId="0" borderId="47" xfId="0" quotePrefix="1" applyFont="1" applyBorder="1" applyAlignment="1">
      <alignment horizontal="center"/>
    </xf>
    <xf numFmtId="1" fontId="0" fillId="0" borderId="36" xfId="0" applyNumberFormat="1" applyBorder="1" applyAlignment="1">
      <alignment horizontal="center"/>
    </xf>
    <xf numFmtId="166" fontId="0" fillId="0" borderId="48" xfId="0" quotePrefix="1" applyNumberFormat="1" applyBorder="1" applyAlignment="1">
      <alignment horizontal="center"/>
    </xf>
    <xf numFmtId="166" fontId="0" fillId="0" borderId="3" xfId="0" applyNumberFormat="1" applyBorder="1"/>
    <xf numFmtId="1" fontId="0" fillId="0" borderId="48" xfId="0" applyNumberFormat="1" applyBorder="1" applyAlignment="1">
      <alignment horizontal="center"/>
    </xf>
    <xf numFmtId="0" fontId="3" fillId="0" borderId="50" xfId="0" applyFont="1" applyBorder="1" applyAlignment="1">
      <alignment horizontal="center"/>
    </xf>
    <xf numFmtId="1" fontId="0" fillId="0" borderId="49" xfId="0" applyNumberFormat="1" applyBorder="1" applyAlignment="1">
      <alignment horizontal="center"/>
    </xf>
    <xf numFmtId="0" fontId="0" fillId="0" borderId="49" xfId="0" applyBorder="1" applyAlignment="1">
      <alignment horizontal="center"/>
    </xf>
    <xf numFmtId="0" fontId="0" fillId="0" borderId="36" xfId="0" applyBorder="1" applyAlignment="1">
      <alignment horizontal="center"/>
    </xf>
    <xf numFmtId="0" fontId="0" fillId="0" borderId="48" xfId="0" applyBorder="1" applyAlignment="1">
      <alignment horizontal="center"/>
    </xf>
    <xf numFmtId="0" fontId="0" fillId="0" borderId="51" xfId="0" applyBorder="1" applyAlignment="1">
      <alignment horizontal="center"/>
    </xf>
    <xf numFmtId="180" fontId="0" fillId="0" borderId="0" xfId="0" applyNumberFormat="1"/>
    <xf numFmtId="180" fontId="0" fillId="0" borderId="11" xfId="0" applyNumberFormat="1" applyBorder="1"/>
    <xf numFmtId="3" fontId="0" fillId="0" borderId="0" xfId="0" applyNumberFormat="1" applyBorder="1"/>
    <xf numFmtId="3" fontId="0" fillId="0" borderId="9" xfId="0" applyNumberFormat="1" applyBorder="1"/>
    <xf numFmtId="3" fontId="0" fillId="0" borderId="52" xfId="0" applyNumberFormat="1" applyBorder="1"/>
    <xf numFmtId="3" fontId="0" fillId="0" borderId="53" xfId="0" applyNumberFormat="1" applyBorder="1"/>
    <xf numFmtId="3" fontId="0" fillId="0" borderId="54" xfId="0" applyNumberFormat="1" applyBorder="1"/>
    <xf numFmtId="3" fontId="0" fillId="0" borderId="55" xfId="0" applyNumberFormat="1" applyBorder="1"/>
    <xf numFmtId="3" fontId="0" fillId="0" borderId="11" xfId="0" applyNumberFormat="1" applyBorder="1"/>
    <xf numFmtId="3" fontId="0" fillId="0" borderId="12" xfId="0" applyNumberFormat="1" applyBorder="1"/>
    <xf numFmtId="180" fontId="0" fillId="0" borderId="52" xfId="0" applyNumberFormat="1" applyBorder="1"/>
    <xf numFmtId="180" fontId="0" fillId="0" borderId="53" xfId="0" applyNumberFormat="1" applyBorder="1"/>
    <xf numFmtId="180" fontId="0" fillId="0" borderId="9" xfId="0" applyNumberFormat="1" applyBorder="1"/>
    <xf numFmtId="180" fontId="0" fillId="0" borderId="54" xfId="0" applyNumberFormat="1" applyBorder="1"/>
    <xf numFmtId="180" fontId="0" fillId="0" borderId="55" xfId="0" applyNumberFormat="1" applyBorder="1"/>
    <xf numFmtId="165" fontId="23" fillId="0" borderId="0" xfId="0" applyNumberFormat="1" applyFont="1" applyFill="1" applyProtection="1"/>
    <xf numFmtId="0" fontId="0" fillId="0" borderId="0" xfId="0" quotePrefix="1" applyAlignment="1">
      <alignment horizontal="right"/>
    </xf>
    <xf numFmtId="16" fontId="0" fillId="0" borderId="0" xfId="0" applyNumberFormat="1"/>
    <xf numFmtId="16" fontId="0" fillId="0" borderId="0" xfId="0" quotePrefix="1" applyNumberFormat="1"/>
    <xf numFmtId="2" fontId="23" fillId="0" borderId="23" xfId="0" applyNumberFormat="1" applyFont="1" applyBorder="1"/>
    <xf numFmtId="0" fontId="0" fillId="0" borderId="0" xfId="0" quotePrefix="1" applyAlignment="1">
      <alignment horizontal="left"/>
    </xf>
    <xf numFmtId="4" fontId="23" fillId="0" borderId="23" xfId="0" applyNumberFormat="1" applyFont="1" applyBorder="1"/>
    <xf numFmtId="166" fontId="11" fillId="0" borderId="0" xfId="0" applyNumberFormat="1" applyFont="1" applyBorder="1"/>
    <xf numFmtId="1" fontId="3" fillId="2" borderId="0" xfId="0" applyNumberFormat="1" applyFont="1" applyFill="1" applyProtection="1">
      <protection locked="0"/>
    </xf>
    <xf numFmtId="0" fontId="0" fillId="0" borderId="56" xfId="0" quotePrefix="1" applyBorder="1" applyAlignment="1">
      <alignment horizontal="center"/>
    </xf>
    <xf numFmtId="0" fontId="0" fillId="0" borderId="57" xfId="0" quotePrefix="1" applyBorder="1" applyAlignment="1">
      <alignment horizontal="center"/>
    </xf>
    <xf numFmtId="0" fontId="0" fillId="0" borderId="35" xfId="0" quotePrefix="1" applyBorder="1" applyAlignment="1">
      <alignment horizontal="center"/>
    </xf>
    <xf numFmtId="0" fontId="0" fillId="0" borderId="41" xfId="0" quotePrefix="1" applyBorder="1" applyAlignment="1">
      <alignment horizontal="center"/>
    </xf>
    <xf numFmtId="167" fontId="29" fillId="0" borderId="0" xfId="0" applyNumberFormat="1" applyFont="1"/>
    <xf numFmtId="166" fontId="30" fillId="0" borderId="0" xfId="0" applyNumberFormat="1" applyFont="1" applyAlignment="1">
      <alignment horizontal="center"/>
    </xf>
    <xf numFmtId="165" fontId="30" fillId="0" borderId="0" xfId="0" applyNumberFormat="1" applyFont="1" applyAlignment="1">
      <alignment horizontal="center"/>
    </xf>
    <xf numFmtId="165" fontId="3" fillId="3" borderId="0" xfId="0" applyNumberFormat="1" applyFont="1" applyFill="1" applyProtection="1">
      <protection locked="0"/>
    </xf>
    <xf numFmtId="0" fontId="3" fillId="3" borderId="0" xfId="0" applyFont="1" applyFill="1" applyProtection="1">
      <protection locked="0"/>
    </xf>
    <xf numFmtId="49" fontId="3" fillId="3" borderId="0" xfId="0" applyNumberFormat="1" applyFont="1" applyFill="1" applyAlignment="1" applyProtection="1">
      <alignment horizontal="center"/>
      <protection locked="0"/>
    </xf>
    <xf numFmtId="168" fontId="21" fillId="0" borderId="0" xfId="3" quotePrefix="1" applyFont="1" applyAlignment="1">
      <alignment horizontal="center"/>
    </xf>
    <xf numFmtId="0" fontId="0" fillId="0" borderId="0" xfId="0" applyAlignment="1">
      <alignment horizontal="left"/>
    </xf>
    <xf numFmtId="0" fontId="32" fillId="0" borderId="0" xfId="0" applyFont="1" applyAlignment="1"/>
    <xf numFmtId="0" fontId="34" fillId="0" borderId="0" xfId="0" quotePrefix="1" applyFont="1" applyAlignment="1">
      <alignment horizontal="left"/>
    </xf>
    <xf numFmtId="0" fontId="35" fillId="0" borderId="0" xfId="0" quotePrefix="1" applyFont="1" applyAlignment="1">
      <alignment horizontal="left" indent="1"/>
    </xf>
    <xf numFmtId="0" fontId="34" fillId="0" borderId="0" xfId="0" quotePrefix="1" applyFont="1" applyAlignment="1">
      <alignment horizontal="center"/>
    </xf>
    <xf numFmtId="0" fontId="0" fillId="0" borderId="0" xfId="0" quotePrefix="1" applyAlignment="1">
      <alignment horizontal="left" vertical="center"/>
    </xf>
    <xf numFmtId="0" fontId="34" fillId="0" borderId="0" xfId="0" applyFont="1"/>
    <xf numFmtId="0" fontId="36" fillId="0" borderId="0" xfId="0" quotePrefix="1" applyFont="1" applyAlignment="1">
      <alignment horizontal="center"/>
    </xf>
    <xf numFmtId="0" fontId="8" fillId="0" borderId="0" xfId="0" applyFont="1"/>
    <xf numFmtId="0" fontId="8" fillId="0" borderId="0" xfId="0" quotePrefix="1" applyFont="1" applyAlignment="1">
      <alignment horizontal="left"/>
    </xf>
    <xf numFmtId="0" fontId="37" fillId="0" borderId="0" xfId="2" applyAlignment="1" applyProtection="1"/>
    <xf numFmtId="0" fontId="5" fillId="0" borderId="0" xfId="0" quotePrefix="1" applyFont="1" applyAlignment="1">
      <alignment horizontal="left"/>
    </xf>
    <xf numFmtId="0" fontId="11" fillId="0" borderId="0" xfId="0" applyFont="1" applyAlignment="1">
      <alignment horizontal="left"/>
    </xf>
    <xf numFmtId="0" fontId="12" fillId="0" borderId="0" xfId="0" quotePrefix="1" applyFont="1" applyAlignment="1">
      <alignment horizontal="left"/>
    </xf>
    <xf numFmtId="0" fontId="11" fillId="0" borderId="0" xfId="0" quotePrefix="1" applyFont="1" applyAlignment="1">
      <alignment horizontal="left"/>
    </xf>
    <xf numFmtId="168" fontId="14" fillId="0" borderId="41" xfId="3" applyBorder="1"/>
    <xf numFmtId="168" fontId="26" fillId="4" borderId="56" xfId="3" applyFont="1" applyFill="1" applyBorder="1" applyAlignment="1">
      <alignment horizontal="center"/>
    </xf>
    <xf numFmtId="172" fontId="17" fillId="4" borderId="58" xfId="3" applyNumberFormat="1" applyFont="1" applyFill="1" applyBorder="1" applyAlignment="1" applyProtection="1">
      <alignment horizontal="center"/>
    </xf>
    <xf numFmtId="172" fontId="17" fillId="4" borderId="59" xfId="3" applyNumberFormat="1" applyFont="1" applyFill="1" applyBorder="1" applyAlignment="1" applyProtection="1">
      <alignment horizontal="center"/>
    </xf>
    <xf numFmtId="0" fontId="3" fillId="0" borderId="0" xfId="0" quotePrefix="1" applyFont="1" applyAlignment="1">
      <alignment horizontal="left"/>
    </xf>
    <xf numFmtId="180" fontId="0" fillId="0" borderId="3" xfId="0" applyNumberFormat="1" applyBorder="1"/>
    <xf numFmtId="180" fontId="0" fillId="0" borderId="10" xfId="0" applyNumberFormat="1" applyBorder="1"/>
    <xf numFmtId="180" fontId="0" fillId="0" borderId="12" xfId="0" applyNumberFormat="1" applyBorder="1"/>
    <xf numFmtId="180" fontId="0" fillId="0" borderId="60" xfId="0" applyNumberFormat="1" applyBorder="1"/>
    <xf numFmtId="180" fontId="0" fillId="0" borderId="5" xfId="0" applyNumberFormat="1" applyBorder="1"/>
    <xf numFmtId="180" fontId="0" fillId="0" borderId="61" xfId="0" applyNumberFormat="1" applyBorder="1"/>
    <xf numFmtId="3" fontId="0" fillId="0" borderId="5" xfId="0" applyNumberFormat="1" applyBorder="1"/>
    <xf numFmtId="3" fontId="0" fillId="0" borderId="60" xfId="0" applyNumberFormat="1" applyBorder="1"/>
    <xf numFmtId="3" fontId="0" fillId="0" borderId="61" xfId="0" applyNumberFormat="1" applyBorder="1"/>
    <xf numFmtId="3" fontId="0" fillId="0" borderId="62" xfId="0" applyNumberFormat="1" applyBorder="1"/>
    <xf numFmtId="167" fontId="0" fillId="0" borderId="0" xfId="0" applyNumberFormat="1" applyBorder="1" applyAlignment="1">
      <alignment horizontal="center"/>
    </xf>
    <xf numFmtId="0" fontId="0" fillId="0" borderId="63" xfId="0" applyBorder="1" applyAlignment="1">
      <alignment horizontal="center"/>
    </xf>
    <xf numFmtId="2" fontId="0" fillId="0" borderId="64" xfId="0" applyNumberFormat="1" applyBorder="1" applyAlignment="1">
      <alignment horizontal="center"/>
    </xf>
    <xf numFmtId="2" fontId="0" fillId="0" borderId="4" xfId="0" applyNumberFormat="1" applyBorder="1" applyAlignment="1">
      <alignment horizontal="center"/>
    </xf>
    <xf numFmtId="2" fontId="0" fillId="0" borderId="15" xfId="0" applyNumberFormat="1"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30" xfId="0" applyBorder="1" applyAlignment="1">
      <alignment horizontal="center"/>
    </xf>
    <xf numFmtId="0" fontId="0" fillId="5" borderId="14" xfId="0" applyFill="1" applyBorder="1" applyAlignment="1">
      <alignment horizontal="center"/>
    </xf>
    <xf numFmtId="167" fontId="0" fillId="5" borderId="0" xfId="0" applyNumberFormat="1" applyFill="1" applyBorder="1" applyAlignment="1">
      <alignment horizontal="center"/>
    </xf>
    <xf numFmtId="2" fontId="0" fillId="5" borderId="64" xfId="0" applyNumberFormat="1" applyFill="1" applyBorder="1" applyAlignment="1">
      <alignment horizontal="center"/>
    </xf>
    <xf numFmtId="2" fontId="0" fillId="5" borderId="4" xfId="0" applyNumberFormat="1" applyFill="1" applyBorder="1" applyAlignment="1">
      <alignment horizontal="center"/>
    </xf>
    <xf numFmtId="2" fontId="0" fillId="5" borderId="15" xfId="0" applyNumberFormat="1" applyFill="1" applyBorder="1" applyAlignment="1">
      <alignment horizontal="center"/>
    </xf>
    <xf numFmtId="0" fontId="0" fillId="0" borderId="67" xfId="0" applyBorder="1"/>
    <xf numFmtId="0" fontId="0" fillId="0" borderId="68" xfId="0" applyBorder="1"/>
    <xf numFmtId="0" fontId="0" fillId="0" borderId="69" xfId="0" applyBorder="1"/>
    <xf numFmtId="0" fontId="0" fillId="0" borderId="0" xfId="0" quotePrefix="1" applyBorder="1" applyAlignment="1">
      <alignment horizontal="left"/>
    </xf>
    <xf numFmtId="4" fontId="0" fillId="5" borderId="64" xfId="0" applyNumberFormat="1" applyFill="1" applyBorder="1" applyAlignment="1">
      <alignment horizontal="center"/>
    </xf>
    <xf numFmtId="4" fontId="0" fillId="5" borderId="4" xfId="0" applyNumberFormat="1" applyFill="1" applyBorder="1" applyAlignment="1">
      <alignment horizontal="center"/>
    </xf>
    <xf numFmtId="4" fontId="0" fillId="0" borderId="64" xfId="0" applyNumberFormat="1" applyBorder="1" applyAlignment="1">
      <alignment horizontal="center"/>
    </xf>
    <xf numFmtId="4" fontId="0" fillId="0" borderId="4" xfId="0" applyNumberFormat="1" applyBorder="1" applyAlignment="1">
      <alignment horizontal="center"/>
    </xf>
    <xf numFmtId="165" fontId="5" fillId="0" borderId="70" xfId="0" applyNumberFormat="1" applyFont="1" applyBorder="1" applyAlignment="1">
      <alignment horizontal="center"/>
    </xf>
    <xf numFmtId="165" fontId="5" fillId="0" borderId="71" xfId="0" applyNumberFormat="1" applyFont="1" applyBorder="1" applyAlignment="1">
      <alignment horizontal="center"/>
    </xf>
    <xf numFmtId="0" fontId="5" fillId="0" borderId="70" xfId="0" applyFont="1" applyBorder="1" applyAlignment="1">
      <alignment horizontal="center"/>
    </xf>
    <xf numFmtId="2" fontId="5" fillId="5" borderId="3" xfId="0" applyNumberFormat="1" applyFont="1" applyFill="1" applyBorder="1"/>
    <xf numFmtId="165" fontId="5" fillId="5" borderId="4" xfId="0" applyNumberFormat="1" applyFont="1" applyFill="1" applyBorder="1"/>
    <xf numFmtId="165" fontId="5" fillId="5" borderId="0" xfId="0" applyNumberFormat="1" applyFont="1" applyFill="1" applyBorder="1"/>
    <xf numFmtId="165" fontId="5" fillId="5" borderId="15" xfId="0" applyNumberFormat="1" applyFont="1" applyFill="1" applyBorder="1"/>
    <xf numFmtId="2" fontId="5" fillId="5" borderId="10" xfId="0" applyNumberFormat="1" applyFont="1" applyFill="1" applyBorder="1"/>
    <xf numFmtId="165" fontId="5" fillId="5" borderId="66" xfId="0" applyNumberFormat="1" applyFont="1" applyFill="1" applyBorder="1"/>
    <xf numFmtId="165" fontId="5" fillId="5" borderId="11" xfId="0" applyNumberFormat="1" applyFont="1" applyFill="1" applyBorder="1"/>
    <xf numFmtId="165" fontId="5" fillId="5" borderId="30" xfId="0" applyNumberFormat="1" applyFont="1" applyFill="1" applyBorder="1"/>
    <xf numFmtId="165" fontId="5" fillId="0" borderId="4" xfId="0" applyNumberFormat="1" applyFont="1" applyFill="1" applyBorder="1"/>
    <xf numFmtId="165" fontId="5" fillId="0" borderId="0" xfId="0" applyNumberFormat="1" applyFont="1" applyFill="1" applyBorder="1"/>
    <xf numFmtId="183" fontId="5" fillId="5" borderId="4" xfId="0" applyNumberFormat="1" applyFont="1" applyFill="1" applyBorder="1"/>
    <xf numFmtId="183" fontId="5" fillId="0" borderId="4" xfId="0" applyNumberFormat="1" applyFont="1" applyFill="1" applyBorder="1"/>
    <xf numFmtId="165" fontId="5" fillId="0" borderId="15" xfId="0" applyNumberFormat="1" applyFont="1" applyFill="1" applyBorder="1"/>
    <xf numFmtId="165" fontId="5" fillId="0" borderId="72" xfId="0" applyNumberFormat="1" applyFont="1" applyBorder="1" applyAlignment="1">
      <alignment horizontal="center"/>
    </xf>
    <xf numFmtId="165" fontId="5" fillId="5" borderId="5" xfId="0" applyNumberFormat="1" applyFont="1" applyFill="1" applyBorder="1"/>
    <xf numFmtId="165" fontId="5" fillId="0" borderId="5" xfId="0" applyNumberFormat="1" applyFont="1" applyBorder="1"/>
    <xf numFmtId="165" fontId="5" fillId="5" borderId="62" xfId="0" applyNumberFormat="1" applyFont="1" applyFill="1" applyBorder="1"/>
    <xf numFmtId="165" fontId="5" fillId="0" borderId="73" xfId="0" applyNumberFormat="1" applyFont="1" applyBorder="1" applyAlignment="1">
      <alignment horizontal="center"/>
    </xf>
    <xf numFmtId="165" fontId="5" fillId="5" borderId="64" xfId="0" applyNumberFormat="1" applyFont="1" applyFill="1" applyBorder="1"/>
    <xf numFmtId="165" fontId="5" fillId="0" borderId="64" xfId="0" applyNumberFormat="1" applyFont="1" applyFill="1" applyBorder="1"/>
    <xf numFmtId="165" fontId="5" fillId="5" borderId="65" xfId="0" applyNumberFormat="1" applyFont="1" applyFill="1" applyBorder="1"/>
    <xf numFmtId="183" fontId="5" fillId="5" borderId="66" xfId="0" applyNumberFormat="1" applyFont="1" applyFill="1" applyBorder="1"/>
    <xf numFmtId="165" fontId="23" fillId="0" borderId="23" xfId="0" quotePrefix="1" applyNumberFormat="1" applyFont="1" applyBorder="1" applyAlignment="1">
      <alignment horizontal="center"/>
    </xf>
    <xf numFmtId="4" fontId="0" fillId="0" borderId="0" xfId="0" applyNumberFormat="1"/>
    <xf numFmtId="183" fontId="23" fillId="0" borderId="23" xfId="0" quotePrefix="1" applyNumberFormat="1" applyFont="1" applyBorder="1" applyAlignment="1">
      <alignment horizontal="center"/>
    </xf>
    <xf numFmtId="180" fontId="23" fillId="0" borderId="23" xfId="0" applyNumberFormat="1" applyFont="1" applyBorder="1"/>
    <xf numFmtId="183" fontId="23" fillId="0" borderId="23" xfId="0" applyNumberFormat="1" applyFont="1" applyBorder="1"/>
    <xf numFmtId="0" fontId="13" fillId="0" borderId="0" xfId="0" quotePrefix="1" applyFont="1" applyAlignment="1">
      <alignment horizontal="left"/>
    </xf>
    <xf numFmtId="3" fontId="3" fillId="2" borderId="0" xfId="0" applyNumberFormat="1" applyFont="1" applyFill="1" applyProtection="1">
      <protection locked="0"/>
    </xf>
    <xf numFmtId="2" fontId="3" fillId="0" borderId="0" xfId="0" applyNumberFormat="1" applyFont="1"/>
    <xf numFmtId="10" fontId="3" fillId="2" borderId="0" xfId="0" applyNumberFormat="1" applyFont="1" applyFill="1" applyProtection="1">
      <protection locked="0"/>
    </xf>
    <xf numFmtId="180" fontId="3" fillId="2" borderId="0" xfId="0" applyNumberFormat="1" applyFont="1" applyFill="1" applyProtection="1">
      <protection locked="0"/>
    </xf>
    <xf numFmtId="180" fontId="23" fillId="0" borderId="0" xfId="0" applyNumberFormat="1" applyFont="1"/>
    <xf numFmtId="0" fontId="0" fillId="0" borderId="0" xfId="0" quotePrefix="1"/>
    <xf numFmtId="165" fontId="23" fillId="0" borderId="0" xfId="0" applyNumberFormat="1" applyFont="1"/>
    <xf numFmtId="166" fontId="23" fillId="0" borderId="0" xfId="0" applyNumberFormat="1" applyFont="1"/>
    <xf numFmtId="180" fontId="23" fillId="0" borderId="0" xfId="0" applyNumberFormat="1" applyFont="1" applyAlignment="1">
      <alignment horizontal="center"/>
    </xf>
    <xf numFmtId="180" fontId="23" fillId="0" borderId="71" xfId="0" applyNumberFormat="1" applyFont="1" applyBorder="1"/>
    <xf numFmtId="4" fontId="3" fillId="0" borderId="0" xfId="0" applyNumberFormat="1" applyFont="1"/>
    <xf numFmtId="1" fontId="0" fillId="0" borderId="0" xfId="0" applyNumberFormat="1" applyFill="1"/>
    <xf numFmtId="177" fontId="1" fillId="0" borderId="0" xfId="4" applyNumberFormat="1"/>
    <xf numFmtId="0" fontId="0" fillId="0" borderId="74" xfId="0" applyBorder="1" applyAlignment="1">
      <alignment horizontal="center"/>
    </xf>
    <xf numFmtId="0" fontId="0" fillId="0" borderId="75" xfId="0" applyBorder="1" applyAlignment="1">
      <alignment horizontal="center"/>
    </xf>
    <xf numFmtId="0" fontId="0" fillId="0" borderId="76" xfId="0" applyBorder="1" applyAlignment="1">
      <alignment horizontal="center"/>
    </xf>
    <xf numFmtId="0" fontId="0" fillId="0" borderId="77" xfId="0" applyBorder="1" applyAlignment="1">
      <alignment horizontal="center"/>
    </xf>
    <xf numFmtId="9" fontId="1" fillId="3" borderId="24" xfId="4" applyFill="1" applyBorder="1"/>
    <xf numFmtId="1" fontId="23" fillId="0" borderId="24" xfId="0" applyNumberFormat="1" applyFont="1" applyBorder="1" applyAlignment="1">
      <alignment horizontal="center"/>
    </xf>
    <xf numFmtId="1" fontId="23" fillId="0" borderId="74" xfId="0" applyNumberFormat="1" applyFont="1" applyBorder="1" applyAlignment="1">
      <alignment horizontal="center"/>
    </xf>
    <xf numFmtId="1" fontId="23" fillId="0" borderId="75" xfId="0" applyNumberFormat="1" applyFont="1" applyBorder="1" applyAlignment="1">
      <alignment horizontal="center"/>
    </xf>
    <xf numFmtId="1" fontId="23" fillId="0" borderId="76" xfId="0" applyNumberFormat="1" applyFont="1" applyBorder="1" applyAlignment="1">
      <alignment horizontal="center"/>
    </xf>
    <xf numFmtId="3" fontId="23" fillId="0" borderId="75" xfId="0" applyNumberFormat="1" applyFont="1" applyBorder="1" applyAlignment="1">
      <alignment horizontal="center"/>
    </xf>
    <xf numFmtId="9" fontId="23" fillId="0" borderId="78" xfId="4" applyNumberFormat="1" applyFont="1" applyBorder="1" applyAlignment="1">
      <alignment horizontal="center"/>
    </xf>
    <xf numFmtId="9" fontId="1" fillId="3" borderId="4" xfId="4" applyFill="1" applyBorder="1"/>
    <xf numFmtId="1" fontId="23" fillId="0" borderId="4" xfId="0" applyNumberFormat="1" applyFont="1" applyBorder="1" applyAlignment="1">
      <alignment horizontal="center"/>
    </xf>
    <xf numFmtId="1" fontId="23" fillId="0" borderId="79" xfId="0" applyNumberFormat="1" applyFont="1" applyBorder="1" applyAlignment="1">
      <alignment horizontal="center"/>
    </xf>
    <xf numFmtId="1" fontId="23" fillId="0" borderId="80" xfId="0" applyNumberFormat="1" applyFont="1" applyBorder="1" applyAlignment="1">
      <alignment horizontal="center"/>
    </xf>
    <xf numFmtId="1" fontId="23" fillId="0" borderId="81" xfId="0" applyNumberFormat="1" applyFont="1" applyBorder="1" applyAlignment="1">
      <alignment horizontal="center"/>
    </xf>
    <xf numFmtId="3" fontId="23" fillId="0" borderId="80" xfId="0" applyNumberFormat="1" applyFont="1" applyBorder="1" applyAlignment="1">
      <alignment horizontal="center"/>
    </xf>
    <xf numFmtId="9" fontId="23" fillId="0" borderId="82" xfId="4" applyNumberFormat="1" applyFont="1" applyBorder="1" applyAlignment="1">
      <alignment horizontal="center"/>
    </xf>
    <xf numFmtId="9" fontId="1" fillId="3" borderId="83" xfId="4" applyFill="1" applyBorder="1"/>
    <xf numFmtId="2" fontId="23" fillId="0" borderId="83" xfId="0" applyNumberFormat="1" applyFont="1" applyBorder="1" applyAlignment="1">
      <alignment horizontal="center"/>
    </xf>
    <xf numFmtId="1" fontId="23" fillId="0" borderId="84" xfId="0" applyNumberFormat="1" applyFont="1" applyBorder="1" applyAlignment="1">
      <alignment horizontal="center"/>
    </xf>
    <xf numFmtId="1" fontId="23" fillId="0" borderId="85" xfId="0" applyNumberFormat="1" applyFont="1" applyBorder="1" applyAlignment="1">
      <alignment horizontal="center"/>
    </xf>
    <xf numFmtId="1" fontId="23" fillId="0" borderId="86" xfId="0" applyNumberFormat="1" applyFont="1" applyBorder="1" applyAlignment="1">
      <alignment horizontal="center"/>
    </xf>
    <xf numFmtId="3" fontId="23" fillId="0" borderId="85" xfId="0" applyNumberFormat="1" applyFont="1" applyBorder="1" applyAlignment="1">
      <alignment horizontal="center"/>
    </xf>
    <xf numFmtId="166" fontId="23" fillId="0" borderId="84" xfId="0" applyNumberFormat="1" applyFont="1" applyBorder="1" applyAlignment="1">
      <alignment horizontal="center"/>
    </xf>
    <xf numFmtId="9" fontId="23" fillId="0" borderId="87" xfId="4" applyNumberFormat="1" applyFont="1" applyBorder="1" applyAlignment="1">
      <alignment horizontal="center"/>
    </xf>
    <xf numFmtId="9" fontId="1" fillId="0" borderId="83" xfId="4" applyFill="1" applyBorder="1"/>
    <xf numFmtId="1" fontId="0" fillId="0" borderId="83" xfId="0" applyNumberFormat="1" applyBorder="1" applyAlignment="1">
      <alignment horizontal="center"/>
    </xf>
    <xf numFmtId="1" fontId="0" fillId="0" borderId="84" xfId="0" applyNumberFormat="1" applyBorder="1" applyAlignment="1">
      <alignment horizontal="center"/>
    </xf>
    <xf numFmtId="1" fontId="0" fillId="0" borderId="85" xfId="0" applyNumberFormat="1" applyBorder="1" applyAlignment="1">
      <alignment horizontal="center"/>
    </xf>
    <xf numFmtId="1" fontId="0" fillId="0" borderId="86" xfId="0" applyNumberFormat="1" applyBorder="1" applyAlignment="1">
      <alignment horizontal="center"/>
    </xf>
    <xf numFmtId="9" fontId="1" fillId="0" borderId="87" xfId="4" applyNumberFormat="1" applyBorder="1" applyAlignment="1">
      <alignment horizontal="center"/>
    </xf>
    <xf numFmtId="166" fontId="3" fillId="2" borderId="28" xfId="0" applyNumberFormat="1" applyFont="1" applyFill="1" applyBorder="1" applyProtection="1">
      <protection locked="0"/>
    </xf>
    <xf numFmtId="2" fontId="3" fillId="2" borderId="28" xfId="0" applyNumberFormat="1" applyFont="1" applyFill="1" applyBorder="1" applyProtection="1">
      <protection locked="0"/>
    </xf>
    <xf numFmtId="1" fontId="3" fillId="2" borderId="28" xfId="0" applyNumberFormat="1" applyFont="1" applyFill="1" applyBorder="1" applyProtection="1">
      <protection locked="0"/>
    </xf>
    <xf numFmtId="2" fontId="0" fillId="6" borderId="28" xfId="0" applyNumberFormat="1" applyFill="1" applyBorder="1"/>
    <xf numFmtId="3" fontId="0" fillId="6" borderId="28" xfId="0" applyNumberFormat="1" applyFill="1" applyBorder="1"/>
    <xf numFmtId="0" fontId="10" fillId="0" borderId="0" xfId="0" quotePrefix="1" applyFont="1" applyAlignment="1">
      <alignment horizontal="right"/>
    </xf>
    <xf numFmtId="184" fontId="0" fillId="0" borderId="56" xfId="0" applyNumberFormat="1" applyBorder="1"/>
    <xf numFmtId="184" fontId="0" fillId="0" borderId="0" xfId="0" applyNumberFormat="1"/>
    <xf numFmtId="2" fontId="0" fillId="0" borderId="88" xfId="0" applyNumberFormat="1" applyBorder="1" applyAlignment="1">
      <alignment horizontal="center"/>
    </xf>
    <xf numFmtId="0" fontId="3" fillId="0" borderId="89" xfId="0" applyFont="1" applyBorder="1" applyAlignment="1">
      <alignment horizontal="center"/>
    </xf>
    <xf numFmtId="2" fontId="0" fillId="0" borderId="90" xfId="0" applyNumberFormat="1" applyBorder="1" applyAlignment="1">
      <alignment horizontal="center"/>
    </xf>
    <xf numFmtId="0" fontId="0" fillId="0" borderId="90" xfId="0" applyBorder="1" applyAlignment="1">
      <alignment horizontal="center"/>
    </xf>
    <xf numFmtId="0" fontId="0" fillId="2" borderId="56" xfId="0" applyFill="1" applyBorder="1" applyAlignment="1" applyProtection="1">
      <alignment horizontal="center"/>
      <protection locked="0"/>
    </xf>
    <xf numFmtId="0" fontId="0" fillId="2" borderId="56" xfId="0" applyFill="1" applyBorder="1" applyProtection="1">
      <protection locked="0"/>
    </xf>
    <xf numFmtId="3" fontId="0" fillId="0" borderId="0" xfId="0" applyNumberFormat="1"/>
    <xf numFmtId="4" fontId="40" fillId="7" borderId="28" xfId="0" applyNumberFormat="1" applyFont="1" applyFill="1" applyBorder="1"/>
    <xf numFmtId="3" fontId="0" fillId="0" borderId="0" xfId="0" applyNumberFormat="1" applyAlignment="1">
      <alignment horizontal="center"/>
    </xf>
    <xf numFmtId="0" fontId="41" fillId="0" borderId="0" xfId="0" applyFont="1" applyAlignment="1">
      <alignment horizontal="center"/>
    </xf>
    <xf numFmtId="0" fontId="13" fillId="0" borderId="0" xfId="0" applyFont="1" applyAlignment="1">
      <alignment horizontal="center"/>
    </xf>
    <xf numFmtId="0" fontId="8" fillId="0" borderId="0" xfId="0" applyFont="1" applyAlignment="1">
      <alignment horizontal="center" vertical="center"/>
    </xf>
    <xf numFmtId="0" fontId="41" fillId="0" borderId="0" xfId="0" applyFont="1" applyAlignment="1">
      <alignment horizontal="right"/>
    </xf>
    <xf numFmtId="2" fontId="41" fillId="0" borderId="56" xfId="0" applyNumberFormat="1" applyFont="1" applyBorder="1" applyAlignment="1">
      <alignment horizontal="center"/>
    </xf>
    <xf numFmtId="0" fontId="3" fillId="0" borderId="0" xfId="0" applyFont="1"/>
    <xf numFmtId="0" fontId="23" fillId="0" borderId="0" xfId="0" applyFont="1" applyAlignment="1">
      <alignment horizontal="right"/>
    </xf>
    <xf numFmtId="1" fontId="23" fillId="0" borderId="91" xfId="0" applyNumberFormat="1" applyFont="1" applyBorder="1" applyAlignment="1">
      <alignment horizontal="center"/>
    </xf>
    <xf numFmtId="0" fontId="41" fillId="0" borderId="0" xfId="0" quotePrefix="1" applyFont="1" applyAlignment="1">
      <alignment horizontal="center"/>
    </xf>
    <xf numFmtId="0" fontId="41" fillId="0" borderId="56" xfId="0" applyFont="1" applyBorder="1" applyAlignment="1">
      <alignment horizontal="center"/>
    </xf>
    <xf numFmtId="0" fontId="41" fillId="0" borderId="0" xfId="0" applyFont="1" applyAlignment="1">
      <alignment horizontal="left"/>
    </xf>
    <xf numFmtId="0" fontId="23" fillId="0" borderId="0" xfId="0" applyFont="1" applyAlignment="1">
      <alignment horizontal="left"/>
    </xf>
    <xf numFmtId="0" fontId="23" fillId="0" borderId="0" xfId="0" applyFont="1"/>
    <xf numFmtId="0" fontId="23" fillId="0" borderId="0" xfId="0" quotePrefix="1" applyFont="1" applyAlignment="1">
      <alignment horizontal="left"/>
    </xf>
    <xf numFmtId="0" fontId="42" fillId="0" borderId="0" xfId="0" quotePrefix="1" applyFont="1" applyAlignment="1">
      <alignment horizontal="left"/>
    </xf>
    <xf numFmtId="0" fontId="42" fillId="0" borderId="0" xfId="0" applyFont="1"/>
    <xf numFmtId="0" fontId="3" fillId="3" borderId="23" xfId="0" applyFont="1" applyFill="1" applyBorder="1" applyAlignment="1" applyProtection="1">
      <alignment horizontal="center"/>
      <protection locked="0" hidden="1"/>
    </xf>
    <xf numFmtId="0" fontId="23" fillId="0" borderId="91" xfId="0" applyFont="1" applyBorder="1" applyAlignment="1">
      <alignment horizontal="center"/>
    </xf>
    <xf numFmtId="0" fontId="13" fillId="0" borderId="0" xfId="0" quotePrefix="1" applyFont="1" applyAlignment="1">
      <alignment horizontal="right"/>
    </xf>
    <xf numFmtId="0" fontId="41" fillId="0" borderId="0" xfId="0" applyFont="1"/>
    <xf numFmtId="0" fontId="3" fillId="2" borderId="23" xfId="0" applyFont="1" applyFill="1" applyBorder="1" applyAlignment="1">
      <alignment horizontal="center"/>
    </xf>
    <xf numFmtId="0" fontId="23" fillId="0" borderId="0" xfId="0" applyFont="1" applyAlignment="1">
      <alignment horizontal="center"/>
    </xf>
    <xf numFmtId="0" fontId="3" fillId="0" borderId="92" xfId="0" applyFont="1" applyBorder="1" applyAlignment="1">
      <alignment horizontal="center"/>
    </xf>
    <xf numFmtId="2" fontId="41" fillId="0" borderId="93" xfId="0" applyNumberFormat="1" applyFont="1" applyBorder="1" applyAlignment="1">
      <alignment horizontal="center"/>
    </xf>
    <xf numFmtId="0" fontId="41" fillId="0" borderId="94" xfId="0" applyFont="1" applyBorder="1" applyAlignment="1">
      <alignment horizontal="center"/>
    </xf>
    <xf numFmtId="2" fontId="41" fillId="0" borderId="94" xfId="0" applyNumberFormat="1" applyFont="1" applyBorder="1" applyAlignment="1">
      <alignment horizontal="center"/>
    </xf>
    <xf numFmtId="1" fontId="23" fillId="0" borderId="95" xfId="0" applyNumberFormat="1" applyFont="1" applyBorder="1" applyAlignment="1">
      <alignment horizontal="center"/>
    </xf>
    <xf numFmtId="1" fontId="23" fillId="0" borderId="94" xfId="0" applyNumberFormat="1" applyFont="1" applyBorder="1" applyAlignment="1">
      <alignment horizontal="center"/>
    </xf>
    <xf numFmtId="0" fontId="3" fillId="0" borderId="96" xfId="0" applyFont="1" applyBorder="1" applyAlignment="1">
      <alignment horizontal="center"/>
    </xf>
    <xf numFmtId="2" fontId="41" fillId="0" borderId="63" xfId="0" applyNumberFormat="1" applyFont="1" applyBorder="1" applyAlignment="1">
      <alignment horizontal="center"/>
    </xf>
    <xf numFmtId="0" fontId="41" fillId="0" borderId="28" xfId="0" applyFont="1" applyBorder="1" applyAlignment="1">
      <alignment horizontal="center"/>
    </xf>
    <xf numFmtId="2" fontId="41" fillId="0" borderId="28" xfId="0" applyNumberFormat="1" applyFont="1" applyBorder="1" applyAlignment="1">
      <alignment horizontal="center"/>
    </xf>
    <xf numFmtId="0" fontId="41" fillId="0" borderId="96" xfId="0" applyFont="1" applyBorder="1" applyAlignment="1">
      <alignment horizontal="center"/>
    </xf>
    <xf numFmtId="1" fontId="23" fillId="0" borderId="97" xfId="0" applyNumberFormat="1" applyFont="1" applyBorder="1" applyAlignment="1">
      <alignment horizontal="center"/>
    </xf>
    <xf numFmtId="1" fontId="23" fillId="0" borderId="28" xfId="0" applyNumberFormat="1" applyFont="1" applyBorder="1" applyAlignment="1">
      <alignment horizontal="center"/>
    </xf>
    <xf numFmtId="0" fontId="23" fillId="0" borderId="96" xfId="0" quotePrefix="1" applyFont="1" applyBorder="1" applyAlignment="1">
      <alignment horizontal="center"/>
    </xf>
    <xf numFmtId="0" fontId="3" fillId="0" borderId="98" xfId="0" applyFont="1" applyBorder="1" applyAlignment="1">
      <alignment horizontal="center"/>
    </xf>
    <xf numFmtId="2" fontId="41" fillId="0" borderId="73" xfId="0" applyNumberFormat="1" applyFont="1" applyBorder="1" applyAlignment="1">
      <alignment horizontal="center"/>
    </xf>
    <xf numFmtId="0" fontId="41" fillId="0" borderId="70" xfId="0" applyFont="1" applyBorder="1" applyAlignment="1">
      <alignment horizontal="center"/>
    </xf>
    <xf numFmtId="2" fontId="41" fillId="0" borderId="70" xfId="0" applyNumberFormat="1" applyFont="1" applyBorder="1" applyAlignment="1">
      <alignment horizontal="center"/>
    </xf>
    <xf numFmtId="1" fontId="23" fillId="0" borderId="99" xfId="0" applyNumberFormat="1" applyFont="1" applyBorder="1" applyAlignment="1">
      <alignment horizontal="center"/>
    </xf>
    <xf numFmtId="1" fontId="23" fillId="0" borderId="70" xfId="0" applyNumberFormat="1" applyFont="1" applyBorder="1" applyAlignment="1">
      <alignment horizontal="center"/>
    </xf>
    <xf numFmtId="2" fontId="41" fillId="0" borderId="100" xfId="0" applyNumberFormat="1" applyFont="1" applyBorder="1" applyAlignment="1">
      <alignment horizontal="center"/>
    </xf>
    <xf numFmtId="2" fontId="41" fillId="0" borderId="27" xfId="0" applyNumberFormat="1" applyFont="1" applyBorder="1" applyAlignment="1">
      <alignment horizontal="center"/>
    </xf>
    <xf numFmtId="2" fontId="41" fillId="0" borderId="101" xfId="0" applyNumberFormat="1" applyFont="1" applyBorder="1" applyAlignment="1">
      <alignment horizontal="center"/>
    </xf>
    <xf numFmtId="3" fontId="23" fillId="0" borderId="96" xfId="0" quotePrefix="1" applyNumberFormat="1" applyFont="1" applyBorder="1" applyAlignment="1">
      <alignment horizontal="center"/>
    </xf>
    <xf numFmtId="1" fontId="23" fillId="0" borderId="96" xfId="0" quotePrefix="1" applyNumberFormat="1" applyFont="1" applyBorder="1" applyAlignment="1">
      <alignment horizontal="center"/>
    </xf>
    <xf numFmtId="1" fontId="23" fillId="0" borderId="102" xfId="0" applyNumberFormat="1" applyFont="1" applyBorder="1" applyAlignment="1">
      <alignment horizontal="center"/>
    </xf>
    <xf numFmtId="1" fontId="23" fillId="0" borderId="103" xfId="0" applyNumberFormat="1" applyFont="1" applyBorder="1" applyAlignment="1">
      <alignment horizontal="center"/>
    </xf>
    <xf numFmtId="1" fontId="23" fillId="0" borderId="49" xfId="0" applyNumberFormat="1" applyFont="1" applyBorder="1" applyAlignment="1">
      <alignment horizontal="center"/>
    </xf>
    <xf numFmtId="1" fontId="23" fillId="0" borderId="104" xfId="0" applyNumberFormat="1" applyFont="1" applyBorder="1" applyAlignment="1">
      <alignment horizontal="center"/>
    </xf>
    <xf numFmtId="1" fontId="23" fillId="0" borderId="105" xfId="0" applyNumberFormat="1" applyFont="1" applyBorder="1" applyAlignment="1">
      <alignment horizontal="center"/>
    </xf>
    <xf numFmtId="2" fontId="41" fillId="0" borderId="106" xfId="0" applyNumberFormat="1" applyFont="1" applyBorder="1" applyAlignment="1">
      <alignment horizontal="center"/>
    </xf>
    <xf numFmtId="2" fontId="41" fillId="0" borderId="46" xfId="0" applyNumberFormat="1" applyFont="1" applyBorder="1" applyAlignment="1">
      <alignment horizontal="center"/>
    </xf>
    <xf numFmtId="2" fontId="41" fillId="0" borderId="107" xfId="0" applyNumberFormat="1" applyFont="1" applyBorder="1" applyAlignment="1">
      <alignment horizontal="center"/>
    </xf>
    <xf numFmtId="0" fontId="0" fillId="0" borderId="0" xfId="0" applyAlignment="1">
      <alignment horizontal="left"/>
    </xf>
    <xf numFmtId="0" fontId="0" fillId="0" borderId="0" xfId="0" quotePrefix="1" applyAlignment="1">
      <alignment horizontal="left"/>
    </xf>
    <xf numFmtId="0" fontId="13" fillId="0" borderId="0" xfId="0" quotePrefix="1" applyFont="1" applyAlignment="1">
      <alignment horizontal="left"/>
    </xf>
    <xf numFmtId="168" fontId="16" fillId="2" borderId="0" xfId="3" quotePrefix="1" applyFont="1" applyFill="1" applyAlignment="1" applyProtection="1">
      <alignment horizontal="left"/>
      <protection locked="0"/>
    </xf>
    <xf numFmtId="168" fontId="16" fillId="2" borderId="0" xfId="3" applyFont="1" applyFill="1" applyAlignment="1" applyProtection="1">
      <alignment horizontal="left"/>
      <protection locked="0"/>
    </xf>
    <xf numFmtId="168" fontId="17" fillId="0" borderId="0" xfId="3" applyFont="1" applyAlignment="1">
      <alignment horizontal="center"/>
    </xf>
    <xf numFmtId="168" fontId="26" fillId="0" borderId="0" xfId="3" applyFont="1" applyAlignment="1" applyProtection="1">
      <alignment horizontal="center"/>
    </xf>
    <xf numFmtId="168" fontId="17" fillId="0" borderId="108" xfId="3" applyFont="1" applyBorder="1" applyAlignment="1">
      <alignment horizontal="center" vertical="center"/>
    </xf>
    <xf numFmtId="168" fontId="17" fillId="0" borderId="109" xfId="3" applyFont="1" applyBorder="1" applyAlignment="1">
      <alignment horizontal="center" vertical="center"/>
    </xf>
    <xf numFmtId="168" fontId="17" fillId="4" borderId="110" xfId="3" applyFont="1" applyFill="1" applyBorder="1" applyAlignment="1" applyProtection="1">
      <alignment horizontal="center" vertical="center"/>
    </xf>
    <xf numFmtId="168" fontId="17" fillId="4" borderId="111" xfId="3" applyFont="1" applyFill="1" applyBorder="1" applyAlignment="1" applyProtection="1">
      <alignment horizontal="center" vertical="center"/>
    </xf>
    <xf numFmtId="168" fontId="17" fillId="4" borderId="112" xfId="3" applyFont="1" applyFill="1" applyBorder="1" applyAlignment="1" applyProtection="1">
      <alignment horizontal="center" vertical="center" wrapText="1"/>
    </xf>
    <xf numFmtId="168" fontId="17" fillId="4" borderId="113" xfId="3" applyFont="1" applyFill="1" applyBorder="1" applyAlignment="1" applyProtection="1">
      <alignment horizontal="center" vertical="center" wrapText="1"/>
    </xf>
    <xf numFmtId="0" fontId="0" fillId="0" borderId="114" xfId="0" applyBorder="1" applyAlignment="1">
      <alignment horizontal="center" vertical="center" wrapText="1"/>
    </xf>
    <xf numFmtId="0" fontId="0" fillId="0" borderId="115" xfId="0" applyBorder="1" applyAlignment="1">
      <alignment horizontal="center" vertical="center" wrapText="1"/>
    </xf>
    <xf numFmtId="0" fontId="0" fillId="0" borderId="116" xfId="0" applyBorder="1" applyAlignment="1">
      <alignment horizontal="center" vertical="center" wrapText="1"/>
    </xf>
    <xf numFmtId="0" fontId="0" fillId="0" borderId="117" xfId="0" applyBorder="1" applyAlignment="1">
      <alignment horizontal="center" vertical="center" wrapText="1"/>
    </xf>
    <xf numFmtId="0" fontId="30" fillId="0" borderId="0" xfId="0" applyFont="1" applyAlignment="1">
      <alignment horizontal="center"/>
    </xf>
    <xf numFmtId="0" fontId="3" fillId="0" borderId="0" xfId="0" applyFont="1" applyAlignment="1">
      <alignment horizontal="center"/>
    </xf>
    <xf numFmtId="0" fontId="23" fillId="0" borderId="118" xfId="0" quotePrefix="1" applyFont="1" applyBorder="1" applyAlignment="1">
      <alignment horizontal="center"/>
    </xf>
    <xf numFmtId="0" fontId="23" fillId="0" borderId="89" xfId="0" applyFont="1" applyBorder="1" applyAlignment="1">
      <alignment horizontal="center"/>
    </xf>
    <xf numFmtId="0" fontId="23" fillId="0" borderId="90" xfId="0" applyFont="1" applyBorder="1" applyAlignment="1">
      <alignment horizontal="center"/>
    </xf>
    <xf numFmtId="0" fontId="3" fillId="3" borderId="88" xfId="0" applyFont="1" applyFill="1" applyBorder="1" applyAlignment="1">
      <alignment horizontal="center"/>
    </xf>
    <xf numFmtId="0" fontId="3" fillId="3" borderId="89" xfId="0" applyFont="1" applyFill="1" applyBorder="1" applyAlignment="1">
      <alignment horizontal="center"/>
    </xf>
    <xf numFmtId="0" fontId="23" fillId="0" borderId="0" xfId="0" applyNumberFormat="1" applyFont="1" applyAlignment="1">
      <alignment horizontal="left"/>
    </xf>
    <xf numFmtId="0" fontId="0" fillId="0" borderId="0" xfId="0" applyAlignment="1">
      <alignment horizontal="right"/>
    </xf>
    <xf numFmtId="0" fontId="6" fillId="0" borderId="0" xfId="0" applyFont="1" applyAlignment="1">
      <alignment horizontal="left"/>
    </xf>
    <xf numFmtId="0" fontId="3" fillId="0" borderId="0" xfId="0" applyFont="1" applyAlignment="1">
      <alignment horizontal="left"/>
    </xf>
    <xf numFmtId="0" fontId="3" fillId="0" borderId="119" xfId="0" applyFont="1" applyBorder="1" applyAlignment="1">
      <alignment horizontal="center"/>
    </xf>
    <xf numFmtId="0" fontId="3" fillId="0" borderId="120" xfId="0" applyFont="1" applyBorder="1" applyAlignment="1">
      <alignment horizontal="center"/>
    </xf>
    <xf numFmtId="0" fontId="3" fillId="0" borderId="121" xfId="0" applyFont="1" applyBorder="1" applyAlignment="1">
      <alignment horizontal="center"/>
    </xf>
    <xf numFmtId="0" fontId="3" fillId="0" borderId="122" xfId="0" quotePrefix="1" applyFont="1" applyBorder="1" applyAlignment="1">
      <alignment horizontal="center"/>
    </xf>
    <xf numFmtId="0" fontId="3" fillId="0" borderId="123" xfId="0" applyFont="1" applyBorder="1" applyAlignment="1">
      <alignment horizontal="center"/>
    </xf>
    <xf numFmtId="0" fontId="3" fillId="0" borderId="124" xfId="0" applyFont="1" applyBorder="1" applyAlignment="1">
      <alignment horizontal="center"/>
    </xf>
    <xf numFmtId="2" fontId="5" fillId="0" borderId="110" xfId="0" quotePrefix="1" applyNumberFormat="1" applyFont="1" applyBorder="1" applyAlignment="1">
      <alignment horizontal="center" vertical="center" wrapText="1"/>
    </xf>
    <xf numFmtId="2" fontId="5" fillId="0" borderId="111" xfId="0" quotePrefix="1" applyNumberFormat="1" applyFont="1" applyBorder="1" applyAlignment="1">
      <alignment horizontal="center" vertical="center" wrapText="1"/>
    </xf>
    <xf numFmtId="165" fontId="5" fillId="0" borderId="122" xfId="0" applyNumberFormat="1" applyFont="1" applyBorder="1" applyAlignment="1">
      <alignment horizontal="center"/>
    </xf>
    <xf numFmtId="165" fontId="5" fillId="0" borderId="120" xfId="0" applyNumberFormat="1" applyFont="1" applyBorder="1" applyAlignment="1">
      <alignment horizontal="center"/>
    </xf>
    <xf numFmtId="165" fontId="5" fillId="0" borderId="119" xfId="0" quotePrefix="1" applyNumberFormat="1" applyFont="1" applyBorder="1" applyAlignment="1">
      <alignment horizontal="center"/>
    </xf>
    <xf numFmtId="165" fontId="5" fillId="0" borderId="123" xfId="0" applyNumberFormat="1" applyFont="1" applyBorder="1" applyAlignment="1">
      <alignment horizontal="center"/>
    </xf>
    <xf numFmtId="0" fontId="0" fillId="0" borderId="36" xfId="0" applyBorder="1" applyAlignment="1">
      <alignment horizontal="right"/>
    </xf>
    <xf numFmtId="0" fontId="0" fillId="0" borderId="0" xfId="0" applyAlignment="1">
      <alignment horizontal="center"/>
    </xf>
    <xf numFmtId="2" fontId="0" fillId="0" borderId="0" xfId="0" quotePrefix="1" applyNumberFormat="1" applyAlignment="1">
      <alignment horizontal="center" vertical="center" wrapText="1"/>
    </xf>
    <xf numFmtId="2" fontId="0" fillId="0" borderId="0" xfId="0" quotePrefix="1" applyNumberFormat="1" applyBorder="1" applyAlignment="1">
      <alignment horizontal="center" vertical="center" wrapText="1"/>
    </xf>
    <xf numFmtId="0" fontId="3" fillId="0" borderId="14" xfId="0" applyFont="1" applyBorder="1" applyAlignment="1">
      <alignment horizontal="center" vertical="center"/>
    </xf>
    <xf numFmtId="181" fontId="3" fillId="0" borderId="14" xfId="0" applyNumberFormat="1" applyFont="1" applyBorder="1" applyAlignment="1">
      <alignment horizontal="center" vertical="center"/>
    </xf>
    <xf numFmtId="0" fontId="0" fillId="0" borderId="45" xfId="0" applyBorder="1" applyAlignment="1">
      <alignment horizontal="center"/>
    </xf>
    <xf numFmtId="0" fontId="0" fillId="0" borderId="125" xfId="0" applyBorder="1" applyAlignment="1">
      <alignment horizontal="center"/>
    </xf>
    <xf numFmtId="1" fontId="3" fillId="0" borderId="126" xfId="0" applyNumberFormat="1" applyFont="1" applyBorder="1" applyAlignment="1">
      <alignment horizontal="center" vertical="center"/>
    </xf>
    <xf numFmtId="1" fontId="3" fillId="0" borderId="14" xfId="0" applyNumberFormat="1" applyFont="1" applyBorder="1" applyAlignment="1">
      <alignment horizontal="center" vertical="center"/>
    </xf>
    <xf numFmtId="1" fontId="3" fillId="0" borderId="127" xfId="0" applyNumberFormat="1" applyFont="1" applyBorder="1" applyAlignment="1">
      <alignment horizontal="center" vertical="center"/>
    </xf>
    <xf numFmtId="0" fontId="6" fillId="0" borderId="0" xfId="0" applyFont="1" applyAlignment="1">
      <alignment horizontal="center"/>
    </xf>
    <xf numFmtId="181" fontId="3" fillId="0" borderId="126" xfId="0" applyNumberFormat="1" applyFont="1" applyBorder="1" applyAlignment="1">
      <alignment horizontal="center" vertical="center"/>
    </xf>
    <xf numFmtId="181" fontId="3" fillId="0" borderId="127" xfId="0" applyNumberFormat="1" applyFont="1" applyBorder="1" applyAlignment="1">
      <alignment horizontal="center" vertical="center"/>
    </xf>
    <xf numFmtId="0" fontId="3" fillId="0" borderId="25" xfId="0" applyFont="1" applyBorder="1" applyAlignment="1">
      <alignment horizontal="center" vertical="center"/>
    </xf>
    <xf numFmtId="0" fontId="3" fillId="0" borderId="126" xfId="0" applyFont="1" applyBorder="1" applyAlignment="1">
      <alignment horizontal="center" vertical="center"/>
    </xf>
    <xf numFmtId="0" fontId="3" fillId="0" borderId="127" xfId="0" applyFont="1" applyBorder="1" applyAlignment="1">
      <alignment horizontal="center" vertical="center"/>
    </xf>
    <xf numFmtId="0" fontId="3" fillId="0" borderId="128" xfId="0" applyFont="1" applyBorder="1" applyAlignment="1">
      <alignment horizontal="center"/>
    </xf>
    <xf numFmtId="0" fontId="3" fillId="0" borderId="6" xfId="0" applyFont="1" applyBorder="1" applyAlignment="1">
      <alignment horizontal="center" wrapText="1"/>
    </xf>
    <xf numFmtId="0" fontId="3" fillId="0" borderId="129" xfId="0" applyFont="1" applyBorder="1" applyAlignment="1">
      <alignment horizontal="center" wrapText="1"/>
    </xf>
    <xf numFmtId="0" fontId="3" fillId="0" borderId="130" xfId="0" applyFont="1" applyBorder="1" applyAlignment="1">
      <alignment horizontal="center" wrapText="1"/>
    </xf>
    <xf numFmtId="0" fontId="3" fillId="0" borderId="49" xfId="0" applyFont="1" applyBorder="1" applyAlignment="1">
      <alignment horizontal="center" wrapText="1"/>
    </xf>
    <xf numFmtId="0" fontId="0" fillId="0" borderId="44" xfId="0" applyBorder="1" applyAlignment="1">
      <alignment horizontal="center"/>
    </xf>
    <xf numFmtId="0" fontId="0" fillId="0" borderId="43" xfId="0" applyBorder="1" applyAlignment="1">
      <alignment horizontal="center"/>
    </xf>
    <xf numFmtId="0" fontId="0" fillId="0" borderId="27" xfId="0" applyBorder="1" applyAlignment="1">
      <alignment horizontal="center"/>
    </xf>
    <xf numFmtId="0" fontId="3" fillId="0" borderId="0" xfId="0" quotePrefix="1" applyFont="1" applyAlignment="1">
      <alignment horizontal="left"/>
    </xf>
    <xf numFmtId="0" fontId="11" fillId="0" borderId="0" xfId="0" applyFont="1" applyAlignment="1">
      <alignment horizontal="left"/>
    </xf>
    <xf numFmtId="0" fontId="3" fillId="0" borderId="0" xfId="0" quotePrefix="1" applyFont="1" applyAlignment="1">
      <alignment horizontal="center"/>
    </xf>
    <xf numFmtId="0" fontId="3" fillId="0" borderId="131" xfId="0" applyFont="1" applyBorder="1" applyAlignment="1">
      <alignment horizontal="center" wrapText="1"/>
    </xf>
    <xf numFmtId="0" fontId="3" fillId="0" borderId="47" xfId="0" applyFont="1" applyBorder="1" applyAlignment="1">
      <alignment horizontal="center" wrapText="1"/>
    </xf>
    <xf numFmtId="0" fontId="3" fillId="0" borderId="132" xfId="0" applyFont="1" applyBorder="1" applyAlignment="1">
      <alignment horizontal="center" wrapText="1"/>
    </xf>
    <xf numFmtId="0" fontId="0" fillId="0" borderId="0" xfId="0" applyBorder="1" applyAlignment="1">
      <alignment horizontal="left"/>
    </xf>
    <xf numFmtId="0" fontId="10" fillId="0" borderId="0" xfId="0" quotePrefix="1" applyFont="1" applyAlignment="1">
      <alignment horizontal="center"/>
    </xf>
    <xf numFmtId="0" fontId="3" fillId="0" borderId="44" xfId="0" quotePrefix="1" applyFont="1" applyBorder="1" applyAlignment="1">
      <alignment horizontal="center"/>
    </xf>
    <xf numFmtId="0" fontId="3" fillId="0" borderId="27" xfId="0" applyFont="1" applyBorder="1" applyAlignment="1">
      <alignment horizontal="center"/>
    </xf>
    <xf numFmtId="0" fontId="3" fillId="0" borderId="24" xfId="0" applyFont="1" applyBorder="1" applyAlignment="1">
      <alignment horizontal="center" vertical="center"/>
    </xf>
    <xf numFmtId="0" fontId="3" fillId="0" borderId="83" xfId="0" applyFont="1" applyBorder="1" applyAlignment="1">
      <alignment horizontal="center" vertical="center"/>
    </xf>
    <xf numFmtId="0" fontId="3" fillId="0" borderId="43" xfId="0" applyFont="1" applyBorder="1" applyAlignment="1">
      <alignment horizontal="center"/>
    </xf>
    <xf numFmtId="0" fontId="11" fillId="0" borderId="24" xfId="0" quotePrefix="1" applyFont="1" applyBorder="1" applyAlignment="1">
      <alignment horizontal="center" vertical="center" wrapText="1"/>
    </xf>
    <xf numFmtId="0" fontId="11" fillId="0" borderId="83" xfId="0" quotePrefix="1" applyFont="1" applyBorder="1" applyAlignment="1">
      <alignment horizontal="center" vertical="center" wrapText="1"/>
    </xf>
    <xf numFmtId="0" fontId="39" fillId="0" borderId="0" xfId="0" quotePrefix="1" applyFont="1" applyAlignment="1">
      <alignment horizontal="center"/>
    </xf>
    <xf numFmtId="0" fontId="3" fillId="0" borderId="54" xfId="0" quotePrefix="1" applyFont="1" applyBorder="1" applyAlignment="1">
      <alignment horizontal="left"/>
    </xf>
    <xf numFmtId="0" fontId="34" fillId="0" borderId="0" xfId="0" applyFont="1" applyAlignment="1">
      <alignment horizontal="left"/>
    </xf>
    <xf numFmtId="0" fontId="31" fillId="0" borderId="0" xfId="0" applyFont="1" applyAlignment="1">
      <alignment horizontal="left"/>
    </xf>
    <xf numFmtId="0" fontId="34" fillId="0" borderId="0" xfId="0" quotePrefix="1" applyFont="1" applyAlignment="1">
      <alignment horizontal="left"/>
    </xf>
    <xf numFmtId="0" fontId="33" fillId="0" borderId="0" xfId="0" applyFont="1" applyAlignment="1">
      <alignment horizontal="left" vertical="center"/>
    </xf>
    <xf numFmtId="0" fontId="11" fillId="0" borderId="0" xfId="0" quotePrefix="1" applyFont="1" applyAlignment="1">
      <alignment horizontal="left"/>
    </xf>
    <xf numFmtId="0" fontId="3" fillId="0" borderId="0" xfId="0" applyFont="1" applyAlignment="1">
      <alignment horizontal="right"/>
    </xf>
  </cellXfs>
  <cellStyles count="5">
    <cellStyle name="FORM" xfId="1"/>
    <cellStyle name="Hyperlink" xfId="2" builtinId="8"/>
    <cellStyle name="Normal" xfId="0" builtinId="0"/>
    <cellStyle name="Normal_VESSEL"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IN"/>
              <a:t>Coefficients for Partial Volumes of Horizontal Cylinders</a:t>
            </a:r>
          </a:p>
        </c:rich>
      </c:tx>
      <c:layout>
        <c:manualLayout>
          <c:xMode val="edge"/>
          <c:yMode val="edge"/>
          <c:x val="0.27183682039745033"/>
          <c:y val="2.2415940224159402E-2"/>
        </c:manualLayout>
      </c:layout>
      <c:overlay val="0"/>
      <c:spPr>
        <a:noFill/>
        <a:ln w="25400">
          <a:noFill/>
        </a:ln>
      </c:spPr>
    </c:title>
    <c:autoTitleDeleted val="0"/>
    <c:plotArea>
      <c:layout>
        <c:manualLayout>
          <c:layoutTarget val="inner"/>
          <c:xMode val="edge"/>
          <c:yMode val="edge"/>
          <c:x val="0.16244904434352853"/>
          <c:y val="0.12453300124533001"/>
          <c:w val="0.79836766516568292"/>
          <c:h val="0.72353673723536738"/>
        </c:manualLayout>
      </c:layout>
      <c:scatterChart>
        <c:scatterStyle val="smoothMarker"/>
        <c:varyColors val="0"/>
        <c:ser>
          <c:idx val="0"/>
          <c:order val="0"/>
          <c:tx>
            <c:strRef>
              <c:f>'Partial Cylind. Vol.'!$B$1</c:f>
              <c:strCache>
                <c:ptCount val="1"/>
                <c:pt idx="0">
                  <c:v>f(Zc)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ly"/>
            <c:order val="3"/>
            <c:dispRSqr val="1"/>
            <c:dispEq val="1"/>
            <c:trendlineLbl>
              <c:layout>
                <c:manualLayout>
                  <c:x val="-0.21731175493347998"/>
                  <c:y val="-4.6093553374321472E-3"/>
                </c:manualLayout>
              </c:layout>
              <c:tx>
                <c:rich>
                  <a:bodyPr/>
                  <a:lstStyle/>
                  <a:p>
                    <a:pPr>
                      <a:defRPr sz="3450" b="0" i="0" u="none" strike="noStrike" baseline="0">
                        <a:solidFill>
                          <a:srgbClr val="000000"/>
                        </a:solidFill>
                        <a:latin typeface="Arial"/>
                        <a:ea typeface="Arial"/>
                        <a:cs typeface="Arial"/>
                      </a:defRPr>
                    </a:pPr>
                    <a:r>
                      <a:rPr lang="en-IN" sz="1600" b="0" i="0" u="none" strike="noStrike" baseline="0">
                        <a:solidFill>
                          <a:srgbClr val="000000"/>
                        </a:solidFill>
                        <a:latin typeface="Arial"/>
                        <a:cs typeface="Arial"/>
                      </a:rPr>
                      <a:t>y = -1.144x</a:t>
                    </a:r>
                    <a:r>
                      <a:rPr lang="en-IN" sz="1600" b="1" i="0" u="none" strike="noStrike" baseline="30000">
                        <a:solidFill>
                          <a:srgbClr val="000000"/>
                        </a:solidFill>
                        <a:latin typeface="Arial"/>
                        <a:cs typeface="Arial"/>
                      </a:rPr>
                      <a:t>3</a:t>
                    </a:r>
                    <a:r>
                      <a:rPr lang="en-IN" sz="1600" b="0" i="0" u="none" strike="noStrike" baseline="0">
                        <a:solidFill>
                          <a:srgbClr val="000000"/>
                        </a:solidFill>
                        <a:latin typeface="Arial"/>
                        <a:cs typeface="Arial"/>
                      </a:rPr>
                      <a:t> + 1.716x</a:t>
                    </a:r>
                    <a:r>
                      <a:rPr lang="en-IN" sz="1600" b="1" i="0" u="none" strike="noStrike" baseline="30000">
                        <a:solidFill>
                          <a:srgbClr val="000000"/>
                        </a:solidFill>
                        <a:latin typeface="Arial"/>
                        <a:cs typeface="Arial"/>
                      </a:rPr>
                      <a:t>2</a:t>
                    </a:r>
                    <a:r>
                      <a:rPr lang="en-IN" sz="1600" b="0" i="0" u="none" strike="noStrike" baseline="0">
                        <a:solidFill>
                          <a:srgbClr val="000000"/>
                        </a:solidFill>
                        <a:latin typeface="Arial"/>
                        <a:cs typeface="Arial"/>
                      </a:rPr>
                      <a:t> + 0.4365x - 0.0043</a:t>
                    </a:r>
                  </a:p>
                  <a:p>
                    <a:pPr>
                      <a:defRPr sz="3450" b="0" i="0" u="none" strike="noStrike" baseline="0">
                        <a:solidFill>
                          <a:srgbClr val="000000"/>
                        </a:solidFill>
                        <a:latin typeface="Arial"/>
                        <a:ea typeface="Arial"/>
                        <a:cs typeface="Arial"/>
                      </a:defRPr>
                    </a:pPr>
                    <a:r>
                      <a:rPr lang="en-IN" sz="1600" b="0" i="0" u="none" strike="noStrike" baseline="0">
                        <a:solidFill>
                          <a:srgbClr val="000000"/>
                        </a:solidFill>
                        <a:latin typeface="Arial"/>
                        <a:cs typeface="Arial"/>
                      </a:rPr>
                      <a:t>R</a:t>
                    </a:r>
                    <a:r>
                      <a:rPr lang="en-IN" sz="1600" b="1" i="0" u="none" strike="noStrike" baseline="30000">
                        <a:solidFill>
                          <a:srgbClr val="000000"/>
                        </a:solidFill>
                        <a:latin typeface="Arial"/>
                        <a:cs typeface="Arial"/>
                      </a:rPr>
                      <a:t>2</a:t>
                    </a:r>
                    <a:r>
                      <a:rPr lang="en-IN" sz="1600" b="0" i="0" u="none" strike="noStrike" baseline="0">
                        <a:solidFill>
                          <a:srgbClr val="000000"/>
                        </a:solidFill>
                        <a:latin typeface="Arial"/>
                        <a:cs typeface="Arial"/>
                      </a:rPr>
                      <a:t> = 1</a:t>
                    </a:r>
                  </a:p>
                </c:rich>
              </c:tx>
              <c:numFmt formatCode="General" sourceLinked="0"/>
              <c:spPr>
                <a:noFill/>
                <a:ln w="25400">
                  <a:noFill/>
                </a:ln>
              </c:spPr>
            </c:trendlineLbl>
          </c:trendline>
          <c:xVal>
            <c:numRef>
              <c:f>'Partial Cylind. Vol.'!$A$2:$A$22</c:f>
              <c:numCache>
                <c:formatCode>0.000000</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'Partial Cylind. Vol.'!$B$2:$B$22</c:f>
              <c:numCache>
                <c:formatCode>0.000000</c:formatCode>
                <c:ptCount val="21"/>
                <c:pt idx="0">
                  <c:v>0</c:v>
                </c:pt>
                <c:pt idx="1">
                  <c:v>1.8692E-2</c:v>
                </c:pt>
                <c:pt idx="2">
                  <c:v>5.2044E-2</c:v>
                </c:pt>
                <c:pt idx="3">
                  <c:v>9.4061000000000006E-2</c:v>
                </c:pt>
                <c:pt idx="4">
                  <c:v>0.142378</c:v>
                </c:pt>
                <c:pt idx="5">
                  <c:v>0.19550100000000001</c:v>
                </c:pt>
                <c:pt idx="6">
                  <c:v>0.25231500000000001</c:v>
                </c:pt>
                <c:pt idx="7">
                  <c:v>0.31191799999999997</c:v>
                </c:pt>
                <c:pt idx="8">
                  <c:v>0.37352999999999997</c:v>
                </c:pt>
                <c:pt idx="9">
                  <c:v>0.43644500000000003</c:v>
                </c:pt>
                <c:pt idx="10">
                  <c:v>0.5</c:v>
                </c:pt>
                <c:pt idx="11">
                  <c:v>0.56355500000000003</c:v>
                </c:pt>
                <c:pt idx="12">
                  <c:v>0.62646999999999997</c:v>
                </c:pt>
                <c:pt idx="13">
                  <c:v>0.68808199999999997</c:v>
                </c:pt>
                <c:pt idx="14">
                  <c:v>0.74768500000000004</c:v>
                </c:pt>
                <c:pt idx="15">
                  <c:v>0.80449899999999996</c:v>
                </c:pt>
                <c:pt idx="16">
                  <c:v>0.857622</c:v>
                </c:pt>
                <c:pt idx="17">
                  <c:v>0.90593900000000005</c:v>
                </c:pt>
                <c:pt idx="18">
                  <c:v>0.94795600000000002</c:v>
                </c:pt>
                <c:pt idx="19">
                  <c:v>0.98130799999999996</c:v>
                </c:pt>
                <c:pt idx="20">
                  <c:v>1</c:v>
                </c:pt>
              </c:numCache>
            </c:numRef>
          </c:yVal>
          <c:smooth val="1"/>
          <c:extLst>
            <c:ext xmlns:c16="http://schemas.microsoft.com/office/drawing/2014/chart" uri="{C3380CC4-5D6E-409C-BE32-E72D297353CC}">
              <c16:uniqueId val="{00000000-B520-410C-B4A3-4158E9A7E218}"/>
            </c:ext>
          </c:extLst>
        </c:ser>
        <c:dLbls>
          <c:showLegendKey val="0"/>
          <c:showVal val="0"/>
          <c:showCatName val="0"/>
          <c:showSerName val="0"/>
          <c:showPercent val="0"/>
          <c:showBubbleSize val="0"/>
        </c:dLbls>
        <c:axId val="2105941135"/>
        <c:axId val="1"/>
      </c:scatterChart>
      <c:valAx>
        <c:axId val="2105941135"/>
        <c:scaling>
          <c:orientation val="minMax"/>
        </c:scaling>
        <c:delete val="0"/>
        <c:axPos val="b"/>
        <c:majorGridlines>
          <c:spPr>
            <a:ln w="3175">
              <a:solidFill>
                <a:srgbClr val="000000"/>
              </a:solidFill>
              <a:prstDash val="solid"/>
            </a:ln>
          </c:spPr>
        </c:majorGridlines>
        <c:title>
          <c:tx>
            <c:rich>
              <a:bodyPr/>
              <a:lstStyle/>
              <a:p>
                <a:pPr>
                  <a:defRPr sz="1600" b="1" i="0" u="none" strike="noStrike" baseline="0">
                    <a:solidFill>
                      <a:srgbClr val="000000"/>
                    </a:solidFill>
                    <a:latin typeface="Arial"/>
                    <a:ea typeface="Arial"/>
                    <a:cs typeface="Arial"/>
                  </a:defRPr>
                </a:pPr>
                <a:r>
                  <a:rPr lang="en-IN"/>
                  <a:t>H/D = Zc</a:t>
                </a:r>
              </a:p>
            </c:rich>
          </c:tx>
          <c:layout>
            <c:manualLayout>
              <c:xMode val="edge"/>
              <c:yMode val="edge"/>
              <c:x val="0.52571445712143128"/>
              <c:y val="0.86799501867995021"/>
            </c:manualLayout>
          </c:layout>
          <c:overlay val="0"/>
          <c:spPr>
            <a:noFill/>
            <a:ln w="25400">
              <a:noFill/>
            </a:ln>
          </c:spPr>
        </c:title>
        <c:numFmt formatCode="0.000000"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600" b="1" i="0" u="none" strike="noStrike" baseline="0">
                    <a:solidFill>
                      <a:srgbClr val="000000"/>
                    </a:solidFill>
                    <a:latin typeface="Arial"/>
                    <a:ea typeface="Arial"/>
                    <a:cs typeface="Arial"/>
                  </a:defRPr>
                </a:pPr>
                <a:r>
                  <a:rPr lang="en-IN"/>
                  <a:t>f(Zc)</a:t>
                </a:r>
              </a:p>
            </c:rich>
          </c:tx>
          <c:layout>
            <c:manualLayout>
              <c:xMode val="edge"/>
              <c:yMode val="edge"/>
              <c:x val="4.6530612244897962E-2"/>
              <c:y val="0.45330012453300123"/>
            </c:manualLayout>
          </c:layout>
          <c:overlay val="0"/>
          <c:spPr>
            <a:noFill/>
            <a:ln w="25400">
              <a:noFill/>
            </a:ln>
          </c:spPr>
        </c:title>
        <c:numFmt formatCode="0.000000"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2105941135"/>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4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3"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IN"/>
              <a:t>Volume Fraction of Horizontal Vessel Heads</a:t>
            </a:r>
          </a:p>
        </c:rich>
      </c:tx>
      <c:layout>
        <c:manualLayout>
          <c:xMode val="edge"/>
          <c:yMode val="edge"/>
          <c:x val="0.23646209386281589"/>
          <c:y val="5.7870370370370367E-3"/>
        </c:manualLayout>
      </c:layout>
      <c:overlay val="0"/>
      <c:spPr>
        <a:noFill/>
        <a:ln w="25400">
          <a:noFill/>
        </a:ln>
      </c:spPr>
    </c:title>
    <c:autoTitleDeleted val="0"/>
    <c:plotArea>
      <c:layout>
        <c:manualLayout>
          <c:layoutTarget val="inner"/>
          <c:xMode val="edge"/>
          <c:yMode val="edge"/>
          <c:x val="0.20397111913357402"/>
          <c:y val="0.15393535917534629"/>
          <c:w val="0.74909747292418771"/>
          <c:h val="0.74421380413344107"/>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ly"/>
            <c:order val="3"/>
            <c:dispRSqr val="1"/>
            <c:dispEq val="1"/>
            <c:trendlineLbl>
              <c:layout>
                <c:manualLayout>
                  <c:x val="3.518159508039842E-2"/>
                  <c:y val="-0.18836303327494405"/>
                </c:manualLayout>
              </c:layout>
              <c:tx>
                <c:rich>
                  <a:bodyPr/>
                  <a:lstStyle/>
                  <a:p>
                    <a:pPr>
                      <a:defRPr sz="155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y = -2.0026x</a:t>
                    </a:r>
                    <a:r>
                      <a:rPr lang="en-IN" sz="1400" b="1" i="0" u="none" strike="noStrike" baseline="30000">
                        <a:solidFill>
                          <a:srgbClr val="000000"/>
                        </a:solidFill>
                        <a:latin typeface="Arial"/>
                        <a:cs typeface="Arial"/>
                      </a:rPr>
                      <a:t>3</a:t>
                    </a:r>
                    <a:r>
                      <a:rPr lang="en-IN" sz="1400" b="1" i="0" u="none" strike="noStrike" baseline="0">
                        <a:solidFill>
                          <a:srgbClr val="000000"/>
                        </a:solidFill>
                        <a:latin typeface="Arial"/>
                        <a:cs typeface="Arial"/>
                      </a:rPr>
                      <a:t> + 3.004x</a:t>
                    </a:r>
                    <a:r>
                      <a:rPr lang="en-IN" sz="1400" b="1" i="0" u="none" strike="noStrike" baseline="30000">
                        <a:solidFill>
                          <a:srgbClr val="000000"/>
                        </a:solidFill>
                        <a:latin typeface="Arial"/>
                        <a:cs typeface="Arial"/>
                      </a:rPr>
                      <a:t>2</a:t>
                    </a:r>
                    <a:r>
                      <a:rPr lang="en-IN" sz="1400" b="1" i="0" u="none" strike="noStrike" baseline="0">
                        <a:solidFill>
                          <a:srgbClr val="000000"/>
                        </a:solidFill>
                        <a:latin typeface="Arial"/>
                        <a:cs typeface="Arial"/>
                      </a:rPr>
                      <a:t> - 0.0016x + 0.0001</a:t>
                    </a:r>
                  </a:p>
                  <a:p>
                    <a:pPr>
                      <a:defRPr sz="155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R</a:t>
                    </a:r>
                    <a:r>
                      <a:rPr lang="en-IN" sz="1400" b="1" i="0" u="none" strike="noStrike" baseline="30000">
                        <a:solidFill>
                          <a:srgbClr val="000000"/>
                        </a:solidFill>
                        <a:latin typeface="Arial"/>
                        <a:cs typeface="Arial"/>
                      </a:rPr>
                      <a:t>2</a:t>
                    </a:r>
                    <a:r>
                      <a:rPr lang="en-IN" sz="1400" b="1" i="0" u="none" strike="noStrike" baseline="0">
                        <a:solidFill>
                          <a:srgbClr val="000000"/>
                        </a:solidFill>
                        <a:latin typeface="Arial"/>
                        <a:cs typeface="Arial"/>
                      </a:rPr>
                      <a:t> = 1</a:t>
                    </a:r>
                  </a:p>
                </c:rich>
              </c:tx>
              <c:numFmt formatCode="General" sourceLinked="0"/>
              <c:spPr>
                <a:noFill/>
                <a:ln w="25400">
                  <a:noFill/>
                </a:ln>
              </c:spPr>
            </c:trendlineLbl>
          </c:trendline>
          <c:xVal>
            <c:numRef>
              <c:f>'Hds Partial Vol.'!$A$2:$A$51</c:f>
              <c:numCache>
                <c:formatCode>0.00</c:formatCode>
                <c:ptCount val="50"/>
                <c:pt idx="0">
                  <c:v>0.02</c:v>
                </c:pt>
                <c:pt idx="1">
                  <c:v>0.04</c:v>
                </c:pt>
                <c:pt idx="2">
                  <c:v>0.06</c:v>
                </c:pt>
                <c:pt idx="3">
                  <c:v>0.08</c:v>
                </c:pt>
                <c:pt idx="4">
                  <c:v>0.1</c:v>
                </c:pt>
                <c:pt idx="5">
                  <c:v>0.12</c:v>
                </c:pt>
                <c:pt idx="6">
                  <c:v>0.14000000000000001</c:v>
                </c:pt>
                <c:pt idx="7">
                  <c:v>0.16</c:v>
                </c:pt>
                <c:pt idx="8">
                  <c:v>0.18</c:v>
                </c:pt>
                <c:pt idx="9">
                  <c:v>0.2</c:v>
                </c:pt>
                <c:pt idx="10">
                  <c:v>0.22</c:v>
                </c:pt>
                <c:pt idx="11">
                  <c:v>0.24</c:v>
                </c:pt>
                <c:pt idx="12">
                  <c:v>0.26</c:v>
                </c:pt>
                <c:pt idx="13">
                  <c:v>0.28000000000000003</c:v>
                </c:pt>
                <c:pt idx="14">
                  <c:v>0.3</c:v>
                </c:pt>
                <c:pt idx="15">
                  <c:v>0.32</c:v>
                </c:pt>
                <c:pt idx="16">
                  <c:v>0.34</c:v>
                </c:pt>
                <c:pt idx="17">
                  <c:v>0.36</c:v>
                </c:pt>
                <c:pt idx="18">
                  <c:v>0.38</c:v>
                </c:pt>
                <c:pt idx="19">
                  <c:v>0.4</c:v>
                </c:pt>
                <c:pt idx="20">
                  <c:v>0.42</c:v>
                </c:pt>
                <c:pt idx="21">
                  <c:v>0.44</c:v>
                </c:pt>
                <c:pt idx="22">
                  <c:v>0.46</c:v>
                </c:pt>
                <c:pt idx="23">
                  <c:v>0.48</c:v>
                </c:pt>
                <c:pt idx="24">
                  <c:v>0.5</c:v>
                </c:pt>
                <c:pt idx="25">
                  <c:v>0.52</c:v>
                </c:pt>
                <c:pt idx="26">
                  <c:v>0.54</c:v>
                </c:pt>
                <c:pt idx="27">
                  <c:v>0.56000000000000005</c:v>
                </c:pt>
                <c:pt idx="28">
                  <c:v>0.57999999999999996</c:v>
                </c:pt>
                <c:pt idx="29">
                  <c:v>0.6</c:v>
                </c:pt>
                <c:pt idx="30">
                  <c:v>0.62</c:v>
                </c:pt>
                <c:pt idx="31">
                  <c:v>0.64</c:v>
                </c:pt>
                <c:pt idx="32">
                  <c:v>0.66</c:v>
                </c:pt>
                <c:pt idx="33">
                  <c:v>0.68</c:v>
                </c:pt>
                <c:pt idx="34">
                  <c:v>0.7</c:v>
                </c:pt>
                <c:pt idx="35">
                  <c:v>0.72</c:v>
                </c:pt>
                <c:pt idx="36">
                  <c:v>0.74</c:v>
                </c:pt>
                <c:pt idx="37">
                  <c:v>0.76</c:v>
                </c:pt>
                <c:pt idx="38">
                  <c:v>0.78</c:v>
                </c:pt>
                <c:pt idx="39">
                  <c:v>0.8</c:v>
                </c:pt>
                <c:pt idx="40">
                  <c:v>0.82</c:v>
                </c:pt>
                <c:pt idx="41">
                  <c:v>0.84</c:v>
                </c:pt>
                <c:pt idx="42">
                  <c:v>0.86</c:v>
                </c:pt>
                <c:pt idx="43">
                  <c:v>0.88</c:v>
                </c:pt>
                <c:pt idx="44">
                  <c:v>0.9</c:v>
                </c:pt>
                <c:pt idx="45">
                  <c:v>0.92</c:v>
                </c:pt>
                <c:pt idx="46">
                  <c:v>0.94</c:v>
                </c:pt>
                <c:pt idx="47">
                  <c:v>0.96</c:v>
                </c:pt>
                <c:pt idx="48">
                  <c:v>0.98</c:v>
                </c:pt>
                <c:pt idx="49">
                  <c:v>1</c:v>
                </c:pt>
              </c:numCache>
            </c:numRef>
          </c:xVal>
          <c:yVal>
            <c:numRef>
              <c:f>'Hds Partial Vol.'!$B$2:$B$51</c:f>
              <c:numCache>
                <c:formatCode>0.0000</c:formatCode>
                <c:ptCount val="50"/>
                <c:pt idx="0">
                  <c:v>1.1999999999999999E-3</c:v>
                </c:pt>
                <c:pt idx="1">
                  <c:v>4.7000000000000002E-3</c:v>
                </c:pt>
                <c:pt idx="2">
                  <c:v>1.04E-2</c:v>
                </c:pt>
                <c:pt idx="3">
                  <c:v>1.8200000000000001E-2</c:v>
                </c:pt>
                <c:pt idx="4">
                  <c:v>2.8000000000000001E-2</c:v>
                </c:pt>
                <c:pt idx="5">
                  <c:v>3.9699999999999999E-2</c:v>
                </c:pt>
                <c:pt idx="6">
                  <c:v>5.33E-2</c:v>
                </c:pt>
                <c:pt idx="7">
                  <c:v>6.8599999999999994E-2</c:v>
                </c:pt>
                <c:pt idx="8">
                  <c:v>8.5500000000000007E-2</c:v>
                </c:pt>
                <c:pt idx="9">
                  <c:v>0.104</c:v>
                </c:pt>
                <c:pt idx="10">
                  <c:v>0.1239</c:v>
                </c:pt>
                <c:pt idx="11">
                  <c:v>0.14510000000000001</c:v>
                </c:pt>
                <c:pt idx="12">
                  <c:v>0.1676</c:v>
                </c:pt>
                <c:pt idx="13">
                  <c:v>0.1913</c:v>
                </c:pt>
                <c:pt idx="14">
                  <c:v>0.216</c:v>
                </c:pt>
                <c:pt idx="15">
                  <c:v>0.24199999999999999</c:v>
                </c:pt>
                <c:pt idx="16">
                  <c:v>0.26800000000000002</c:v>
                </c:pt>
                <c:pt idx="17">
                  <c:v>0.29499999999999998</c:v>
                </c:pt>
                <c:pt idx="18">
                  <c:v>0.32300000000000001</c:v>
                </c:pt>
                <c:pt idx="19">
                  <c:v>0.35199999999999998</c:v>
                </c:pt>
                <c:pt idx="20">
                  <c:v>0.38100000000000001</c:v>
                </c:pt>
                <c:pt idx="21">
                  <c:v>0.41</c:v>
                </c:pt>
                <c:pt idx="22">
                  <c:v>0.44</c:v>
                </c:pt>
                <c:pt idx="23">
                  <c:v>0.47</c:v>
                </c:pt>
                <c:pt idx="24">
                  <c:v>0.5</c:v>
                </c:pt>
                <c:pt idx="25">
                  <c:v>0.53</c:v>
                </c:pt>
                <c:pt idx="26">
                  <c:v>0.56000000000000005</c:v>
                </c:pt>
                <c:pt idx="27">
                  <c:v>0.59</c:v>
                </c:pt>
                <c:pt idx="28">
                  <c:v>0.61899999999999999</c:v>
                </c:pt>
                <c:pt idx="29">
                  <c:v>0.64800000000000002</c:v>
                </c:pt>
                <c:pt idx="30">
                  <c:v>0.67700000000000005</c:v>
                </c:pt>
                <c:pt idx="31">
                  <c:v>0.70499999999999996</c:v>
                </c:pt>
                <c:pt idx="32">
                  <c:v>0.73199999999999998</c:v>
                </c:pt>
                <c:pt idx="33">
                  <c:v>0.75800000000000001</c:v>
                </c:pt>
                <c:pt idx="34">
                  <c:v>0.78400000000000003</c:v>
                </c:pt>
                <c:pt idx="35">
                  <c:v>0.80869999999999997</c:v>
                </c:pt>
                <c:pt idx="36">
                  <c:v>0.83240000000000003</c:v>
                </c:pt>
                <c:pt idx="37">
                  <c:v>0.85489999999999999</c:v>
                </c:pt>
                <c:pt idx="38">
                  <c:v>0.87609999999999999</c:v>
                </c:pt>
                <c:pt idx="39">
                  <c:v>0.89600000000000002</c:v>
                </c:pt>
                <c:pt idx="40">
                  <c:v>0.91449999999999998</c:v>
                </c:pt>
                <c:pt idx="41">
                  <c:v>0.93140000000000001</c:v>
                </c:pt>
                <c:pt idx="42">
                  <c:v>0.94669999999999999</c:v>
                </c:pt>
                <c:pt idx="43">
                  <c:v>0.96030000000000004</c:v>
                </c:pt>
                <c:pt idx="44">
                  <c:v>0.97199999999999998</c:v>
                </c:pt>
                <c:pt idx="45">
                  <c:v>0.98180000000000001</c:v>
                </c:pt>
                <c:pt idx="46">
                  <c:v>0.98960000000000004</c:v>
                </c:pt>
                <c:pt idx="47">
                  <c:v>0.99529999999999996</c:v>
                </c:pt>
                <c:pt idx="48">
                  <c:v>0.99880000000000002</c:v>
                </c:pt>
                <c:pt idx="49">
                  <c:v>1</c:v>
                </c:pt>
              </c:numCache>
            </c:numRef>
          </c:yVal>
          <c:smooth val="1"/>
          <c:extLst>
            <c:ext xmlns:c16="http://schemas.microsoft.com/office/drawing/2014/chart" uri="{C3380CC4-5D6E-409C-BE32-E72D297353CC}">
              <c16:uniqueId val="{00000000-FD4C-47E7-90C8-B1577173D7A9}"/>
            </c:ext>
          </c:extLst>
        </c:ser>
        <c:dLbls>
          <c:showLegendKey val="0"/>
          <c:showVal val="0"/>
          <c:showCatName val="0"/>
          <c:showSerName val="0"/>
          <c:showPercent val="0"/>
          <c:showBubbleSize val="0"/>
        </c:dLbls>
        <c:axId val="2005380911"/>
        <c:axId val="1"/>
      </c:scatterChart>
      <c:valAx>
        <c:axId val="2005380911"/>
        <c:scaling>
          <c:orientation val="minMax"/>
          <c:max val="1.1000000000000001"/>
          <c:min val="0"/>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50" b="1" i="0" u="none" strike="noStrike" baseline="0">
                    <a:solidFill>
                      <a:srgbClr val="000000"/>
                    </a:solidFill>
                    <a:latin typeface="Arial"/>
                    <a:ea typeface="Arial"/>
                    <a:cs typeface="Arial"/>
                  </a:defRPr>
                </a:pPr>
                <a:r>
                  <a:rPr lang="en-IN"/>
                  <a:t>Liquid Depth/Head ID, (H/D)</a:t>
                </a:r>
              </a:p>
            </c:rich>
          </c:tx>
          <c:layout>
            <c:manualLayout>
              <c:xMode val="edge"/>
              <c:yMode val="edge"/>
              <c:x val="0.39891696750902528"/>
              <c:y val="0.9490751676873724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IN"/>
                  <a:t>Volumetric Fraction</a:t>
                </a:r>
              </a:p>
            </c:rich>
          </c:tx>
          <c:layout>
            <c:manualLayout>
              <c:xMode val="edge"/>
              <c:yMode val="edge"/>
              <c:x val="4.8736462093862815E-2"/>
              <c:y val="0.4363430786429474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2005380911"/>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75" b="1" i="0" u="none" strike="noStrike" baseline="0">
                <a:solidFill>
                  <a:srgbClr val="000000"/>
                </a:solidFill>
                <a:latin typeface="Arial"/>
                <a:ea typeface="Arial"/>
                <a:cs typeface="Arial"/>
              </a:defRPr>
            </a:pPr>
            <a:r>
              <a:rPr lang="en-IN"/>
              <a:t>Coefficients for Partial Volumes in Ellipsoids &amp; Spheres</a:t>
            </a:r>
          </a:p>
        </c:rich>
      </c:tx>
      <c:layout>
        <c:manualLayout>
          <c:xMode val="edge"/>
          <c:yMode val="edge"/>
          <c:x val="0.26549431321084865"/>
          <c:y val="2.5362318840579712E-2"/>
        </c:manualLayout>
      </c:layout>
      <c:overlay val="0"/>
      <c:spPr>
        <a:noFill/>
        <a:ln w="25400">
          <a:noFill/>
        </a:ln>
      </c:spPr>
    </c:title>
    <c:autoTitleDeleted val="0"/>
    <c:plotArea>
      <c:layout>
        <c:manualLayout>
          <c:layoutTarget val="inner"/>
          <c:xMode val="edge"/>
          <c:yMode val="edge"/>
          <c:x val="0.13567850293009884"/>
          <c:y val="0.12439628198157503"/>
          <c:w val="0.82747136354899786"/>
          <c:h val="0.75120861546155016"/>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ly"/>
            <c:order val="3"/>
            <c:dispRSqr val="1"/>
            <c:dispEq val="1"/>
            <c:trendlineLbl>
              <c:layout>
                <c:manualLayout>
                  <c:x val="-0.12096646191011873"/>
                  <c:y val="-5.7689347037344629E-2"/>
                </c:manualLayout>
              </c:layout>
              <c:tx>
                <c:rich>
                  <a:bodyPr/>
                  <a:lstStyle/>
                  <a:p>
                    <a:pPr>
                      <a:defRPr sz="1575" b="0" i="0" u="none" strike="noStrike" baseline="0">
                        <a:solidFill>
                          <a:srgbClr val="000000"/>
                        </a:solidFill>
                        <a:latin typeface="Arial"/>
                        <a:ea typeface="Arial"/>
                        <a:cs typeface="Arial"/>
                      </a:defRPr>
                    </a:pPr>
                    <a:r>
                      <a:rPr lang="en-IN" sz="1950" b="1" i="0" u="none" strike="noStrike" baseline="0">
                        <a:solidFill>
                          <a:srgbClr val="000000"/>
                        </a:solidFill>
                        <a:latin typeface="Arial"/>
                        <a:cs typeface="Arial"/>
                      </a:rPr>
                      <a:t>y = -2x</a:t>
                    </a:r>
                    <a:r>
                      <a:rPr lang="en-IN" sz="1950" b="1" i="0" u="none" strike="noStrike" baseline="30000">
                        <a:solidFill>
                          <a:srgbClr val="000000"/>
                        </a:solidFill>
                        <a:latin typeface="Arial"/>
                        <a:cs typeface="Arial"/>
                      </a:rPr>
                      <a:t>3</a:t>
                    </a:r>
                    <a:r>
                      <a:rPr lang="en-IN" sz="1950" b="1" i="0" u="none" strike="noStrike" baseline="0">
                        <a:solidFill>
                          <a:srgbClr val="000000"/>
                        </a:solidFill>
                        <a:latin typeface="Arial"/>
                        <a:cs typeface="Arial"/>
                      </a:rPr>
                      <a:t> + 3x</a:t>
                    </a:r>
                    <a:r>
                      <a:rPr lang="en-IN" sz="1950" b="1" i="0" u="none" strike="noStrike" baseline="30000">
                        <a:solidFill>
                          <a:srgbClr val="000000"/>
                        </a:solidFill>
                        <a:latin typeface="Arial"/>
                        <a:cs typeface="Arial"/>
                      </a:rPr>
                      <a:t>2</a:t>
                    </a:r>
                    <a:r>
                      <a:rPr lang="en-IN" sz="1950" b="1" i="0" u="none" strike="noStrike" baseline="0">
                        <a:solidFill>
                          <a:srgbClr val="000000"/>
                        </a:solidFill>
                        <a:latin typeface="Arial"/>
                        <a:cs typeface="Arial"/>
                      </a:rPr>
                      <a:t> + 1.156504905E-15x - 1.11143497E-16</a:t>
                    </a:r>
                  </a:p>
                  <a:p>
                    <a:pPr>
                      <a:defRPr sz="1575" b="0" i="0" u="none" strike="noStrike" baseline="0">
                        <a:solidFill>
                          <a:srgbClr val="000000"/>
                        </a:solidFill>
                        <a:latin typeface="Arial"/>
                        <a:ea typeface="Arial"/>
                        <a:cs typeface="Arial"/>
                      </a:defRPr>
                    </a:pPr>
                    <a:r>
                      <a:rPr lang="en-IN" sz="1950" b="1" i="0" u="none" strike="noStrike" baseline="0">
                        <a:solidFill>
                          <a:srgbClr val="000000"/>
                        </a:solidFill>
                        <a:latin typeface="Arial"/>
                        <a:cs typeface="Arial"/>
                      </a:rPr>
                      <a:t>R</a:t>
                    </a:r>
                    <a:r>
                      <a:rPr lang="en-IN" sz="1950" b="1" i="0" u="none" strike="noStrike" baseline="30000">
                        <a:solidFill>
                          <a:srgbClr val="000000"/>
                        </a:solidFill>
                        <a:latin typeface="Arial"/>
                        <a:cs typeface="Arial"/>
                      </a:rPr>
                      <a:t>2</a:t>
                    </a:r>
                    <a:r>
                      <a:rPr lang="en-IN" sz="1950" b="1" i="0" u="none" strike="noStrike" baseline="0">
                        <a:solidFill>
                          <a:srgbClr val="000000"/>
                        </a:solidFill>
                        <a:latin typeface="Arial"/>
                        <a:cs typeface="Arial"/>
                      </a:rPr>
                      <a:t> = 1</a:t>
                    </a:r>
                  </a:p>
                </c:rich>
              </c:tx>
              <c:numFmt formatCode="General" sourceLinked="0"/>
              <c:spPr>
                <a:noFill/>
                <a:ln w="25400">
                  <a:noFill/>
                </a:ln>
              </c:spPr>
            </c:trendlineLbl>
          </c:trendline>
          <c:xVal>
            <c:numRef>
              <c:f>'Partial Ellip. Vol.'!$A$2:$A$22</c:f>
              <c:numCache>
                <c:formatCode>0.000</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'Partial Ellip. Vol.'!$B$2:$B$22</c:f>
              <c:numCache>
                <c:formatCode>0.000000</c:formatCode>
                <c:ptCount val="21"/>
                <c:pt idx="0">
                  <c:v>0</c:v>
                </c:pt>
                <c:pt idx="1">
                  <c:v>7.2500000000000004E-3</c:v>
                </c:pt>
                <c:pt idx="2">
                  <c:v>2.8000000000000001E-2</c:v>
                </c:pt>
                <c:pt idx="3">
                  <c:v>6.0749999999999998E-2</c:v>
                </c:pt>
                <c:pt idx="4">
                  <c:v>0.104</c:v>
                </c:pt>
                <c:pt idx="5">
                  <c:v>0.15625</c:v>
                </c:pt>
                <c:pt idx="6">
                  <c:v>0.216</c:v>
                </c:pt>
                <c:pt idx="7">
                  <c:v>0.28175</c:v>
                </c:pt>
                <c:pt idx="8">
                  <c:v>0.35199999999999998</c:v>
                </c:pt>
                <c:pt idx="9">
                  <c:v>0.42525000000000002</c:v>
                </c:pt>
                <c:pt idx="10">
                  <c:v>0.5</c:v>
                </c:pt>
                <c:pt idx="11">
                  <c:v>0.57474999999999998</c:v>
                </c:pt>
                <c:pt idx="12">
                  <c:v>0.64800000000000002</c:v>
                </c:pt>
                <c:pt idx="13">
                  <c:v>0.71825000000000006</c:v>
                </c:pt>
                <c:pt idx="14">
                  <c:v>0.78400000000000003</c:v>
                </c:pt>
                <c:pt idx="15">
                  <c:v>0.84375</c:v>
                </c:pt>
                <c:pt idx="16">
                  <c:v>0.89600000000000002</c:v>
                </c:pt>
                <c:pt idx="17">
                  <c:v>0.93925000000000003</c:v>
                </c:pt>
                <c:pt idx="18">
                  <c:v>0.97199999999999998</c:v>
                </c:pt>
                <c:pt idx="19">
                  <c:v>0.99275000000000002</c:v>
                </c:pt>
                <c:pt idx="20">
                  <c:v>1</c:v>
                </c:pt>
              </c:numCache>
            </c:numRef>
          </c:yVal>
          <c:smooth val="1"/>
          <c:extLst>
            <c:ext xmlns:c16="http://schemas.microsoft.com/office/drawing/2014/chart" uri="{C3380CC4-5D6E-409C-BE32-E72D297353CC}">
              <c16:uniqueId val="{00000000-54F3-4BF7-BA5C-EB4364F21ED1}"/>
            </c:ext>
          </c:extLst>
        </c:ser>
        <c:dLbls>
          <c:showLegendKey val="0"/>
          <c:showVal val="0"/>
          <c:showCatName val="0"/>
          <c:showSerName val="0"/>
          <c:showPercent val="0"/>
          <c:showBubbleSize val="0"/>
        </c:dLbls>
        <c:axId val="2105947375"/>
        <c:axId val="1"/>
      </c:scatterChart>
      <c:valAx>
        <c:axId val="2105947375"/>
        <c:scaling>
          <c:orientation val="minMax"/>
        </c:scaling>
        <c:delete val="0"/>
        <c:axPos val="b"/>
        <c:majorGridlines>
          <c:spPr>
            <a:ln w="3175">
              <a:solidFill>
                <a:srgbClr val="000000"/>
              </a:solidFill>
              <a:prstDash val="solid"/>
            </a:ln>
          </c:spPr>
        </c:majorGridlines>
        <c:title>
          <c:tx>
            <c:rich>
              <a:bodyPr/>
              <a:lstStyle/>
              <a:p>
                <a:pPr>
                  <a:defRPr sz="1575" b="1" i="0" u="none" strike="noStrike" baseline="0">
                    <a:solidFill>
                      <a:srgbClr val="000000"/>
                    </a:solidFill>
                    <a:latin typeface="Arial"/>
                    <a:ea typeface="Arial"/>
                    <a:cs typeface="Arial"/>
                  </a:defRPr>
                </a:pPr>
                <a:r>
                  <a:rPr lang="en-IN"/>
                  <a:t>H/D = Ze</a:t>
                </a:r>
              </a:p>
            </c:rich>
          </c:tx>
          <c:layout>
            <c:manualLayout>
              <c:xMode val="edge"/>
              <c:yMode val="edge"/>
              <c:x val="0.51256325371388878"/>
              <c:y val="0.93719920879455287"/>
            </c:manualLayout>
          </c:layout>
          <c:overlay val="0"/>
          <c:spPr>
            <a:noFill/>
            <a:ln w="25400">
              <a:noFill/>
            </a:ln>
          </c:spPr>
        </c:title>
        <c:numFmt formatCode="0.000"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575" b="1" i="0" u="none" strike="noStrike" baseline="0">
                    <a:solidFill>
                      <a:srgbClr val="000000"/>
                    </a:solidFill>
                    <a:latin typeface="Arial"/>
                    <a:ea typeface="Arial"/>
                    <a:cs typeface="Arial"/>
                  </a:defRPr>
                </a:pPr>
                <a:r>
                  <a:rPr lang="en-IN"/>
                  <a:t>f(Ze)</a:t>
                </a:r>
              </a:p>
            </c:rich>
          </c:tx>
          <c:layout>
            <c:manualLayout>
              <c:xMode val="edge"/>
              <c:yMode val="edge"/>
              <c:x val="1.340033500837521E-2"/>
              <c:y val="0.46859954099940404"/>
            </c:manualLayout>
          </c:layout>
          <c:overlay val="0"/>
          <c:spPr>
            <a:noFill/>
            <a:ln w="25400">
              <a:noFill/>
            </a:ln>
          </c:spPr>
        </c:title>
        <c:numFmt formatCode="0.000000"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2105947375"/>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575" b="0" i="0" u="none" strike="noStrike" baseline="0">
          <a:solidFill>
            <a:srgbClr val="000000"/>
          </a:solidFill>
          <a:latin typeface="Arial"/>
          <a:ea typeface="Arial"/>
          <a:cs typeface="Arial"/>
        </a:defRPr>
      </a:pPr>
      <a:endParaRPr lang="en-US"/>
    </a:p>
  </c:txPr>
  <c:printSettings>
    <c:headerFooter alignWithMargins="0"/>
    <c:pageMargins b="1" l="0.75" r="0.32" t="1" header="0.5" footer="0.5"/>
    <c:pageSetup paperSize="3"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2:1 Ellipsoidal Head Volume</a:t>
            </a:r>
          </a:p>
        </c:rich>
      </c:tx>
      <c:layout>
        <c:manualLayout>
          <c:xMode val="edge"/>
          <c:yMode val="edge"/>
          <c:x val="0.34789951256092988"/>
          <c:y val="2.9880478087649404E-2"/>
        </c:manualLayout>
      </c:layout>
      <c:overlay val="0"/>
      <c:spPr>
        <a:noFill/>
        <a:ln w="25400">
          <a:noFill/>
        </a:ln>
      </c:spPr>
    </c:title>
    <c:autoTitleDeleted val="0"/>
    <c:plotArea>
      <c:layout>
        <c:manualLayout>
          <c:layoutTarget val="inner"/>
          <c:xMode val="edge"/>
          <c:yMode val="edge"/>
          <c:x val="8.4033682406842836E-2"/>
          <c:y val="9.7609656695149774E-2"/>
          <c:w val="0.8907570335125341"/>
          <c:h val="0.82470199738351024"/>
        </c:manualLayout>
      </c:layout>
      <c:scatterChart>
        <c:scatterStyle val="line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1"/>
            <c:dispEq val="1"/>
            <c:trendlineLbl>
              <c:layout>
                <c:manualLayout>
                  <c:x val="-0.26120988960869179"/>
                  <c:y val="0.15099736194952354"/>
                </c:manualLayout>
              </c:layout>
              <c:tx>
                <c:rich>
                  <a:bodyPr/>
                  <a:lstStyle/>
                  <a:p>
                    <a:pPr>
                      <a:defRPr sz="80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y = 0.000566699x</a:t>
                    </a:r>
                    <a:r>
                      <a:rPr lang="en-IN" sz="1400" b="1" i="0" u="none" strike="noStrike" baseline="30000">
                        <a:solidFill>
                          <a:srgbClr val="000000"/>
                        </a:solidFill>
                        <a:latin typeface="Arial"/>
                        <a:cs typeface="Arial"/>
                      </a:rPr>
                      <a:t>3.000000133</a:t>
                    </a:r>
                    <a:endParaRPr lang="en-IN" sz="1400" b="1" i="0" u="none" strike="noStrike" baseline="0">
                      <a:solidFill>
                        <a:srgbClr val="000000"/>
                      </a:solidFill>
                      <a:latin typeface="Arial"/>
                      <a:cs typeface="Arial"/>
                    </a:endParaRPr>
                  </a:p>
                  <a:p>
                    <a:pPr>
                      <a:defRPr sz="80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R</a:t>
                    </a:r>
                    <a:r>
                      <a:rPr lang="en-IN" sz="1400" b="1" i="0" u="none" strike="noStrike" baseline="30000">
                        <a:solidFill>
                          <a:srgbClr val="000000"/>
                        </a:solidFill>
                        <a:latin typeface="Arial"/>
                        <a:cs typeface="Arial"/>
                      </a:rPr>
                      <a:t>2</a:t>
                    </a:r>
                    <a:r>
                      <a:rPr lang="en-IN" sz="1400" b="1" i="0" u="none" strike="noStrike" baseline="0">
                        <a:solidFill>
                          <a:srgbClr val="000000"/>
                        </a:solidFill>
                        <a:latin typeface="Arial"/>
                        <a:cs typeface="Arial"/>
                      </a:rPr>
                      <a:t> = 1</a:t>
                    </a:r>
                  </a:p>
                </c:rich>
              </c:tx>
              <c:numFmt formatCode="General" sourceLinked="0"/>
              <c:spPr>
                <a:noFill/>
                <a:ln w="25400">
                  <a:noFill/>
                </a:ln>
              </c:spPr>
            </c:trendlineLbl>
          </c:trendline>
          <c:xVal>
            <c:numRef>
              <c:f>'Ellipsoidal Curve Fit'!$A$2:$A$40</c:f>
              <c:numCache>
                <c:formatCode>0</c:formatCode>
                <c:ptCount val="39"/>
                <c:pt idx="0">
                  <c:v>12</c:v>
                </c:pt>
                <c:pt idx="1">
                  <c:v>18</c:v>
                </c:pt>
                <c:pt idx="2">
                  <c:v>24</c:v>
                </c:pt>
                <c:pt idx="3">
                  <c:v>30</c:v>
                </c:pt>
                <c:pt idx="4">
                  <c:v>36</c:v>
                </c:pt>
                <c:pt idx="5">
                  <c:v>42</c:v>
                </c:pt>
                <c:pt idx="6">
                  <c:v>48</c:v>
                </c:pt>
                <c:pt idx="7">
                  <c:v>54</c:v>
                </c:pt>
                <c:pt idx="8">
                  <c:v>60</c:v>
                </c:pt>
                <c:pt idx="9">
                  <c:v>66</c:v>
                </c:pt>
                <c:pt idx="10">
                  <c:v>72</c:v>
                </c:pt>
                <c:pt idx="11">
                  <c:v>78</c:v>
                </c:pt>
                <c:pt idx="12">
                  <c:v>84</c:v>
                </c:pt>
                <c:pt idx="13">
                  <c:v>90</c:v>
                </c:pt>
                <c:pt idx="14">
                  <c:v>96</c:v>
                </c:pt>
                <c:pt idx="15">
                  <c:v>102</c:v>
                </c:pt>
                <c:pt idx="16">
                  <c:v>108</c:v>
                </c:pt>
                <c:pt idx="17">
                  <c:v>114</c:v>
                </c:pt>
                <c:pt idx="18">
                  <c:v>120</c:v>
                </c:pt>
                <c:pt idx="19">
                  <c:v>126</c:v>
                </c:pt>
                <c:pt idx="20">
                  <c:v>132</c:v>
                </c:pt>
                <c:pt idx="21">
                  <c:v>138</c:v>
                </c:pt>
                <c:pt idx="22">
                  <c:v>144</c:v>
                </c:pt>
                <c:pt idx="23">
                  <c:v>150</c:v>
                </c:pt>
                <c:pt idx="24">
                  <c:v>156</c:v>
                </c:pt>
                <c:pt idx="25">
                  <c:v>162</c:v>
                </c:pt>
                <c:pt idx="26">
                  <c:v>168</c:v>
                </c:pt>
                <c:pt idx="27">
                  <c:v>174</c:v>
                </c:pt>
                <c:pt idx="28">
                  <c:v>180</c:v>
                </c:pt>
                <c:pt idx="29">
                  <c:v>186</c:v>
                </c:pt>
                <c:pt idx="30">
                  <c:v>192</c:v>
                </c:pt>
                <c:pt idx="31">
                  <c:v>198</c:v>
                </c:pt>
                <c:pt idx="32">
                  <c:v>204</c:v>
                </c:pt>
                <c:pt idx="33">
                  <c:v>210</c:v>
                </c:pt>
                <c:pt idx="34">
                  <c:v>216</c:v>
                </c:pt>
                <c:pt idx="35">
                  <c:v>222</c:v>
                </c:pt>
                <c:pt idx="36">
                  <c:v>228</c:v>
                </c:pt>
                <c:pt idx="37">
                  <c:v>234</c:v>
                </c:pt>
                <c:pt idx="38">
                  <c:v>240</c:v>
                </c:pt>
              </c:numCache>
            </c:numRef>
          </c:xVal>
          <c:yVal>
            <c:numRef>
              <c:f>'Ellipsoidal Curve Fit'!$B$2:$B$40</c:f>
              <c:numCache>
                <c:formatCode>0.00</c:formatCode>
                <c:ptCount val="39"/>
                <c:pt idx="0">
                  <c:v>0.98</c:v>
                </c:pt>
                <c:pt idx="1">
                  <c:v>3.31</c:v>
                </c:pt>
                <c:pt idx="2">
                  <c:v>7.83</c:v>
                </c:pt>
                <c:pt idx="3">
                  <c:v>15.3</c:v>
                </c:pt>
                <c:pt idx="4">
                  <c:v>26.44</c:v>
                </c:pt>
                <c:pt idx="5">
                  <c:v>41.99</c:v>
                </c:pt>
                <c:pt idx="6">
                  <c:v>62.67</c:v>
                </c:pt>
                <c:pt idx="7">
                  <c:v>89.23</c:v>
                </c:pt>
                <c:pt idx="8">
                  <c:v>122.41</c:v>
                </c:pt>
                <c:pt idx="9">
                  <c:v>162.91999999999999</c:v>
                </c:pt>
                <c:pt idx="10">
                  <c:v>211.52</c:v>
                </c:pt>
                <c:pt idx="11">
                  <c:v>268.93</c:v>
                </c:pt>
                <c:pt idx="12">
                  <c:v>335.89</c:v>
                </c:pt>
                <c:pt idx="13">
                  <c:v>413.12</c:v>
                </c:pt>
                <c:pt idx="14">
                  <c:v>501.38</c:v>
                </c:pt>
                <c:pt idx="15">
                  <c:v>601.39</c:v>
                </c:pt>
                <c:pt idx="16">
                  <c:v>713.88</c:v>
                </c:pt>
                <c:pt idx="17">
                  <c:v>839.59</c:v>
                </c:pt>
                <c:pt idx="18">
                  <c:v>979.26</c:v>
                </c:pt>
                <c:pt idx="19">
                  <c:v>1133.6099999999999</c:v>
                </c:pt>
                <c:pt idx="20">
                  <c:v>1303.3900000000001</c:v>
                </c:pt>
                <c:pt idx="21">
                  <c:v>1489.33</c:v>
                </c:pt>
                <c:pt idx="22">
                  <c:v>1692.16</c:v>
                </c:pt>
                <c:pt idx="23">
                  <c:v>1912.61</c:v>
                </c:pt>
                <c:pt idx="24">
                  <c:v>2151.4299999999998</c:v>
                </c:pt>
                <c:pt idx="25">
                  <c:v>2409.34</c:v>
                </c:pt>
                <c:pt idx="26">
                  <c:v>2687.08</c:v>
                </c:pt>
                <c:pt idx="27">
                  <c:v>2985.39</c:v>
                </c:pt>
                <c:pt idx="28">
                  <c:v>3304.99</c:v>
                </c:pt>
                <c:pt idx="29">
                  <c:v>3646.63</c:v>
                </c:pt>
                <c:pt idx="30">
                  <c:v>4011.04</c:v>
                </c:pt>
                <c:pt idx="31">
                  <c:v>4398.95</c:v>
                </c:pt>
                <c:pt idx="32">
                  <c:v>4811.09</c:v>
                </c:pt>
                <c:pt idx="33">
                  <c:v>5248.21</c:v>
                </c:pt>
                <c:pt idx="34">
                  <c:v>5711.03</c:v>
                </c:pt>
                <c:pt idx="35">
                  <c:v>6200.29</c:v>
                </c:pt>
                <c:pt idx="36">
                  <c:v>6716.73</c:v>
                </c:pt>
                <c:pt idx="37">
                  <c:v>7261.07</c:v>
                </c:pt>
                <c:pt idx="38">
                  <c:v>7834.06</c:v>
                </c:pt>
              </c:numCache>
            </c:numRef>
          </c:yVal>
          <c:smooth val="0"/>
          <c:extLst>
            <c:ext xmlns:c16="http://schemas.microsoft.com/office/drawing/2014/chart" uri="{C3380CC4-5D6E-409C-BE32-E72D297353CC}">
              <c16:uniqueId val="{00000000-E526-4D38-B251-D5B46F932719}"/>
            </c:ext>
          </c:extLst>
        </c:ser>
        <c:dLbls>
          <c:showLegendKey val="0"/>
          <c:showVal val="0"/>
          <c:showCatName val="0"/>
          <c:showSerName val="0"/>
          <c:showPercent val="0"/>
          <c:showBubbleSize val="0"/>
        </c:dLbls>
        <c:axId val="2005377583"/>
        <c:axId val="1"/>
      </c:scatterChart>
      <c:valAx>
        <c:axId val="2005377583"/>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IN"/>
                  <a:t>Inside Diameter, inches</a:t>
                </a:r>
              </a:p>
            </c:rich>
          </c:tx>
          <c:layout>
            <c:manualLayout>
              <c:xMode val="edge"/>
              <c:yMode val="edge"/>
              <c:x val="0.41680707558613994"/>
              <c:y val="0.9502000397360688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IN"/>
                  <a:t>Volume, gallons</a:t>
                </a:r>
              </a:p>
            </c:rich>
          </c:tx>
          <c:layout>
            <c:manualLayout>
              <c:xMode val="edge"/>
              <c:yMode val="edge"/>
              <c:x val="8.4033613445378148E-3"/>
              <c:y val="0.40637492026644079"/>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05377583"/>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&amp;LArt Montemayor &amp;C&amp;A&amp;RSeptember 12, 1997
Rev 0</c:oddHeader>
      <c:oddFooter>&amp;CPage &amp;P of &amp;N&amp;RElectronic FileName: &amp;F
WorkSheet: &amp;A</c:oddFooter>
    </c:headerFooter>
    <c:pageMargins b="1" l="0.75" r="0.75" t="1" header="0.5" footer="0.5"/>
    <c:pageSetup orientation="landscape" blackAndWhite="1" horizontalDpi="-4"/>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ASME F&amp;D HEAD VOLUME</a:t>
            </a:r>
          </a:p>
        </c:rich>
      </c:tx>
      <c:layout>
        <c:manualLayout>
          <c:xMode val="edge"/>
          <c:yMode val="edge"/>
          <c:x val="0.36932756644856013"/>
          <c:y val="2.9644268774703556E-2"/>
        </c:manualLayout>
      </c:layout>
      <c:overlay val="0"/>
      <c:spPr>
        <a:noFill/>
        <a:ln w="25400">
          <a:noFill/>
        </a:ln>
      </c:spPr>
    </c:title>
    <c:autoTitleDeleted val="0"/>
    <c:plotArea>
      <c:layout>
        <c:manualLayout>
          <c:layoutTarget val="inner"/>
          <c:xMode val="edge"/>
          <c:yMode val="edge"/>
          <c:x val="0.11580612377451917"/>
          <c:y val="0.13833992094861661"/>
          <c:w val="0.86072119021602089"/>
          <c:h val="0.73715415019762842"/>
        </c:manualLayout>
      </c:layout>
      <c:scatterChart>
        <c:scatterStyle val="lineMarker"/>
        <c:varyColors val="0"/>
        <c:ser>
          <c:idx val="0"/>
          <c:order val="0"/>
          <c:tx>
            <c:strRef>
              <c:f>'ASME F&amp;D Curve Fit'!$B$1</c:f>
              <c:strCache>
                <c:ptCount val="1"/>
                <c:pt idx="0">
                  <c:v>Volume, gal.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1"/>
            <c:dispEq val="1"/>
            <c:trendlineLbl>
              <c:layout>
                <c:manualLayout>
                  <c:x val="-0.32397447526254958"/>
                  <c:y val="6.1266067038062977E-2"/>
                </c:manualLayout>
              </c:layout>
              <c:tx>
                <c:rich>
                  <a:bodyPr/>
                  <a:lstStyle/>
                  <a:p>
                    <a:pPr>
                      <a:defRPr sz="80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y = 0.000292744x</a:t>
                    </a:r>
                    <a:r>
                      <a:rPr lang="en-IN" sz="1400" b="1" i="0" u="none" strike="noStrike" baseline="30000">
                        <a:solidFill>
                          <a:srgbClr val="000000"/>
                        </a:solidFill>
                        <a:latin typeface="Arial"/>
                        <a:cs typeface="Arial"/>
                      </a:rPr>
                      <a:t>3.0378</a:t>
                    </a:r>
                    <a:endParaRPr lang="en-IN" sz="1400" b="1" i="0" u="none" strike="noStrike" baseline="0">
                      <a:solidFill>
                        <a:srgbClr val="000000"/>
                      </a:solidFill>
                      <a:latin typeface="Arial"/>
                      <a:cs typeface="Arial"/>
                    </a:endParaRPr>
                  </a:p>
                  <a:p>
                    <a:pPr>
                      <a:defRPr sz="80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R</a:t>
                    </a:r>
                    <a:r>
                      <a:rPr lang="en-IN" sz="1400" b="1" i="0" u="none" strike="noStrike" baseline="30000">
                        <a:solidFill>
                          <a:srgbClr val="000000"/>
                        </a:solidFill>
                        <a:latin typeface="Arial"/>
                        <a:cs typeface="Arial"/>
                      </a:rPr>
                      <a:t>2</a:t>
                    </a:r>
                    <a:r>
                      <a:rPr lang="en-IN" sz="1400" b="1" i="0" u="none" strike="noStrike" baseline="0">
                        <a:solidFill>
                          <a:srgbClr val="000000"/>
                        </a:solidFill>
                        <a:latin typeface="Arial"/>
                        <a:cs typeface="Arial"/>
                      </a:rPr>
                      <a:t> = 0.9996</a:t>
                    </a:r>
                  </a:p>
                </c:rich>
              </c:tx>
              <c:numFmt formatCode="General" sourceLinked="0"/>
              <c:spPr>
                <a:noFill/>
                <a:ln w="25400">
                  <a:noFill/>
                </a:ln>
              </c:spPr>
            </c:trendlineLbl>
          </c:trendline>
          <c:xVal>
            <c:numRef>
              <c:f>'ASME F&amp;D Curve Fit'!$A$2:$A$40</c:f>
              <c:numCache>
                <c:formatCode>0</c:formatCode>
                <c:ptCount val="39"/>
                <c:pt idx="0">
                  <c:v>12</c:v>
                </c:pt>
                <c:pt idx="1">
                  <c:v>18</c:v>
                </c:pt>
                <c:pt idx="2">
                  <c:v>24</c:v>
                </c:pt>
                <c:pt idx="3">
                  <c:v>30</c:v>
                </c:pt>
                <c:pt idx="4">
                  <c:v>36</c:v>
                </c:pt>
                <c:pt idx="5">
                  <c:v>42</c:v>
                </c:pt>
                <c:pt idx="6">
                  <c:v>48</c:v>
                </c:pt>
                <c:pt idx="7">
                  <c:v>54</c:v>
                </c:pt>
                <c:pt idx="8">
                  <c:v>60</c:v>
                </c:pt>
                <c:pt idx="9">
                  <c:v>66</c:v>
                </c:pt>
                <c:pt idx="10">
                  <c:v>72</c:v>
                </c:pt>
                <c:pt idx="11">
                  <c:v>78</c:v>
                </c:pt>
                <c:pt idx="12">
                  <c:v>84</c:v>
                </c:pt>
                <c:pt idx="13">
                  <c:v>90</c:v>
                </c:pt>
                <c:pt idx="14">
                  <c:v>96</c:v>
                </c:pt>
                <c:pt idx="15">
                  <c:v>102</c:v>
                </c:pt>
                <c:pt idx="16">
                  <c:v>108</c:v>
                </c:pt>
                <c:pt idx="17">
                  <c:v>114</c:v>
                </c:pt>
                <c:pt idx="18">
                  <c:v>120</c:v>
                </c:pt>
                <c:pt idx="19">
                  <c:v>126</c:v>
                </c:pt>
                <c:pt idx="20">
                  <c:v>132</c:v>
                </c:pt>
                <c:pt idx="21">
                  <c:v>138</c:v>
                </c:pt>
                <c:pt idx="22">
                  <c:v>144</c:v>
                </c:pt>
                <c:pt idx="23">
                  <c:v>150</c:v>
                </c:pt>
                <c:pt idx="24">
                  <c:v>156</c:v>
                </c:pt>
                <c:pt idx="25">
                  <c:v>162</c:v>
                </c:pt>
                <c:pt idx="26">
                  <c:v>168</c:v>
                </c:pt>
                <c:pt idx="27">
                  <c:v>174</c:v>
                </c:pt>
                <c:pt idx="28">
                  <c:v>180</c:v>
                </c:pt>
                <c:pt idx="29">
                  <c:v>186</c:v>
                </c:pt>
                <c:pt idx="30">
                  <c:v>192</c:v>
                </c:pt>
                <c:pt idx="31">
                  <c:v>198</c:v>
                </c:pt>
                <c:pt idx="32">
                  <c:v>204</c:v>
                </c:pt>
                <c:pt idx="33">
                  <c:v>210</c:v>
                </c:pt>
                <c:pt idx="34">
                  <c:v>216</c:v>
                </c:pt>
                <c:pt idx="35">
                  <c:v>222</c:v>
                </c:pt>
                <c:pt idx="36">
                  <c:v>228</c:v>
                </c:pt>
                <c:pt idx="37">
                  <c:v>234</c:v>
                </c:pt>
                <c:pt idx="38">
                  <c:v>240</c:v>
                </c:pt>
              </c:numCache>
            </c:numRef>
          </c:xVal>
          <c:yVal>
            <c:numRef>
              <c:f>'ASME F&amp;D Curve Fit'!$B$2:$B$40</c:f>
              <c:numCache>
                <c:formatCode>#,##0.00</c:formatCode>
                <c:ptCount val="39"/>
                <c:pt idx="0">
                  <c:v>0.61</c:v>
                </c:pt>
                <c:pt idx="1">
                  <c:v>2.0699999999999998</c:v>
                </c:pt>
                <c:pt idx="2">
                  <c:v>4.91</c:v>
                </c:pt>
                <c:pt idx="3">
                  <c:v>10.25</c:v>
                </c:pt>
                <c:pt idx="4">
                  <c:v>16.579999999999998</c:v>
                </c:pt>
                <c:pt idx="5">
                  <c:v>27.62</c:v>
                </c:pt>
                <c:pt idx="6">
                  <c:v>39.31</c:v>
                </c:pt>
                <c:pt idx="7">
                  <c:v>58.1</c:v>
                </c:pt>
                <c:pt idx="8">
                  <c:v>76.78</c:v>
                </c:pt>
                <c:pt idx="9">
                  <c:v>103.25</c:v>
                </c:pt>
                <c:pt idx="10">
                  <c:v>135.19</c:v>
                </c:pt>
                <c:pt idx="11">
                  <c:v>167.2</c:v>
                </c:pt>
                <c:pt idx="12">
                  <c:v>217.54</c:v>
                </c:pt>
                <c:pt idx="13">
                  <c:v>261.08999999999997</c:v>
                </c:pt>
                <c:pt idx="14">
                  <c:v>323.45</c:v>
                </c:pt>
                <c:pt idx="15">
                  <c:v>379.74</c:v>
                </c:pt>
                <c:pt idx="16">
                  <c:v>442.08</c:v>
                </c:pt>
                <c:pt idx="17">
                  <c:v>529.78</c:v>
                </c:pt>
                <c:pt idx="18">
                  <c:v>607.21</c:v>
                </c:pt>
                <c:pt idx="19">
                  <c:v>714.9</c:v>
                </c:pt>
                <c:pt idx="20">
                  <c:v>809.04</c:v>
                </c:pt>
                <c:pt idx="21">
                  <c:v>934.15</c:v>
                </c:pt>
                <c:pt idx="22">
                  <c:v>1015.27</c:v>
                </c:pt>
                <c:pt idx="23">
                  <c:v>1227.02</c:v>
                </c:pt>
                <c:pt idx="24">
                  <c:v>1361.28</c:v>
                </c:pt>
                <c:pt idx="25">
                  <c:v>1504.82</c:v>
                </c:pt>
                <c:pt idx="26">
                  <c:v>1712.89</c:v>
                </c:pt>
                <c:pt idx="27">
                  <c:v>1879.89</c:v>
                </c:pt>
                <c:pt idx="28">
                  <c:v>2057.21</c:v>
                </c:pt>
                <c:pt idx="29">
                  <c:v>2312.5300000000002</c:v>
                </c:pt>
                <c:pt idx="30">
                  <c:v>2515.83</c:v>
                </c:pt>
                <c:pt idx="31">
                  <c:v>2730.51</c:v>
                </c:pt>
                <c:pt idx="32">
                  <c:v>3078.42</c:v>
                </c:pt>
                <c:pt idx="33">
                  <c:v>3324.02</c:v>
                </c:pt>
                <c:pt idx="34">
                  <c:v>3582.12</c:v>
                </c:pt>
                <c:pt idx="35">
                  <c:v>3853</c:v>
                </c:pt>
                <c:pt idx="36">
                  <c:v>4187.6099999999997</c:v>
                </c:pt>
                <c:pt idx="37">
                  <c:v>4700.8999999999996</c:v>
                </c:pt>
                <c:pt idx="38">
                  <c:v>5025.88</c:v>
                </c:pt>
              </c:numCache>
            </c:numRef>
          </c:yVal>
          <c:smooth val="0"/>
          <c:extLst>
            <c:ext xmlns:c16="http://schemas.microsoft.com/office/drawing/2014/chart" uri="{C3380CC4-5D6E-409C-BE32-E72D297353CC}">
              <c16:uniqueId val="{00000000-15CB-4D8B-9E38-E15385644566}"/>
            </c:ext>
          </c:extLst>
        </c:ser>
        <c:dLbls>
          <c:showLegendKey val="0"/>
          <c:showVal val="0"/>
          <c:showCatName val="0"/>
          <c:showSerName val="0"/>
          <c:showPercent val="0"/>
          <c:showBubbleSize val="0"/>
        </c:dLbls>
        <c:axId val="1911834735"/>
        <c:axId val="1"/>
      </c:scatterChart>
      <c:valAx>
        <c:axId val="1911834735"/>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IN"/>
                  <a:t>Inside Diameter, inches</a:t>
                </a:r>
              </a:p>
            </c:rich>
          </c:tx>
          <c:layout>
            <c:manualLayout>
              <c:xMode val="edge"/>
              <c:yMode val="edge"/>
              <c:x val="0.44131521118545625"/>
              <c:y val="0.92885375494071143"/>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IN"/>
                  <a:t>Volume, gallons</a:t>
                </a:r>
              </a:p>
            </c:rich>
          </c:tx>
          <c:layout>
            <c:manualLayout>
              <c:xMode val="edge"/>
              <c:yMode val="edge"/>
              <c:x val="2.5039123630672927E-2"/>
              <c:y val="0.41106719367588934"/>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11834735"/>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&amp;LArt Montemayor &amp;C&amp;A&amp;RSeptember 12, 1997
Rev 0</c:oddHeader>
      <c:oddFooter>&amp;CPage &amp;P of &amp;N</c:oddFooter>
    </c:headerFooter>
    <c:pageMargins b="1" l="0.75" r="0.75" t="1" header="0.5" footer="0.5"/>
    <c:pageSetup paperSize="3" orientation="landscape" horizontalDpi="-4"/>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HEMISPHERICAL HEAD VOLUME</a:t>
            </a:r>
          </a:p>
        </c:rich>
      </c:tx>
      <c:layout>
        <c:manualLayout>
          <c:xMode val="edge"/>
          <c:yMode val="edge"/>
          <c:x val="0.33439523881170902"/>
          <c:y val="2.982107355864811E-2"/>
        </c:manualLayout>
      </c:layout>
      <c:overlay val="0"/>
      <c:spPr>
        <a:noFill/>
        <a:ln w="25400">
          <a:noFill/>
        </a:ln>
      </c:spPr>
    </c:title>
    <c:autoTitleDeleted val="0"/>
    <c:plotArea>
      <c:layout>
        <c:manualLayout>
          <c:layoutTarget val="inner"/>
          <c:xMode val="edge"/>
          <c:yMode val="edge"/>
          <c:x val="7.1656106669320596E-2"/>
          <c:y val="0.11332007952286283"/>
          <c:w val="0.89808987025548481"/>
          <c:h val="0.80119284294234594"/>
        </c:manualLayout>
      </c:layout>
      <c:scatterChart>
        <c:scatterStyle val="lineMarker"/>
        <c:varyColors val="0"/>
        <c:ser>
          <c:idx val="0"/>
          <c:order val="0"/>
          <c:tx>
            <c:strRef>
              <c:f>'Hemispherical Curve Fit'!$B$1</c:f>
              <c:strCache>
                <c:ptCount val="1"/>
                <c:pt idx="0">
                  <c:v>Hemispherical Volume, cu. Ft.</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1"/>
            <c:dispEq val="1"/>
            <c:trendlineLbl>
              <c:layout>
                <c:manualLayout>
                  <c:x val="-0.27304087595459298"/>
                  <c:y val="5.7876990028333963E-2"/>
                </c:manualLayout>
              </c:layout>
              <c:tx>
                <c:rich>
                  <a:bodyPr/>
                  <a:lstStyle/>
                  <a:p>
                    <a:pPr>
                      <a:defRPr sz="80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y = 0.2619x</a:t>
                    </a:r>
                    <a:r>
                      <a:rPr lang="en-IN" sz="1400" b="1" i="0" u="none" strike="noStrike" baseline="30000">
                        <a:solidFill>
                          <a:srgbClr val="000000"/>
                        </a:solidFill>
                        <a:latin typeface="Arial"/>
                        <a:cs typeface="Arial"/>
                      </a:rPr>
                      <a:t>2.9997</a:t>
                    </a:r>
                    <a:endParaRPr lang="en-IN" sz="1400" b="1" i="0" u="none" strike="noStrike" baseline="0">
                      <a:solidFill>
                        <a:srgbClr val="000000"/>
                      </a:solidFill>
                      <a:latin typeface="Arial"/>
                      <a:cs typeface="Arial"/>
                    </a:endParaRPr>
                  </a:p>
                  <a:p>
                    <a:pPr>
                      <a:defRPr sz="80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R</a:t>
                    </a:r>
                    <a:r>
                      <a:rPr lang="en-IN" sz="1400" b="1" i="0" u="none" strike="noStrike" baseline="30000">
                        <a:solidFill>
                          <a:srgbClr val="000000"/>
                        </a:solidFill>
                        <a:latin typeface="Arial"/>
                        <a:cs typeface="Arial"/>
                      </a:rPr>
                      <a:t>2</a:t>
                    </a:r>
                    <a:r>
                      <a:rPr lang="en-IN" sz="1400" b="1" i="0" u="none" strike="noStrike" baseline="0">
                        <a:solidFill>
                          <a:srgbClr val="000000"/>
                        </a:solidFill>
                        <a:latin typeface="Arial"/>
                        <a:cs typeface="Arial"/>
                      </a:rPr>
                      <a:t> = 1</a:t>
                    </a:r>
                  </a:p>
                </c:rich>
              </c:tx>
              <c:numFmt formatCode="General" sourceLinked="0"/>
              <c:spPr>
                <a:noFill/>
                <a:ln w="25400">
                  <a:noFill/>
                </a:ln>
              </c:spPr>
            </c:trendlineLbl>
          </c:trendline>
          <c:xVal>
            <c:numRef>
              <c:f>'Hemispherical Curve Fit'!$A$3:$A$21</c:f>
              <c:numCache>
                <c:formatCode>0.00</c:formatCode>
                <c:ptCount val="19"/>
                <c:pt idx="0">
                  <c:v>1</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numCache>
            </c:numRef>
          </c:xVal>
          <c:yVal>
            <c:numRef>
              <c:f>'Hemispherical Curve Fit'!$B$3:$B$21</c:f>
              <c:numCache>
                <c:formatCode>General</c:formatCode>
                <c:ptCount val="19"/>
                <c:pt idx="0">
                  <c:v>0.26200000000000001</c:v>
                </c:pt>
                <c:pt idx="1">
                  <c:v>0.88400000000000001</c:v>
                </c:pt>
                <c:pt idx="2">
                  <c:v>2.0950000000000002</c:v>
                </c:pt>
                <c:pt idx="3">
                  <c:v>4.0910000000000002</c:v>
                </c:pt>
                <c:pt idx="4">
                  <c:v>7.069</c:v>
                </c:pt>
                <c:pt idx="5">
                  <c:v>11.225</c:v>
                </c:pt>
                <c:pt idx="6">
                  <c:v>16.756</c:v>
                </c:pt>
                <c:pt idx="7">
                  <c:v>23.856999999999999</c:v>
                </c:pt>
                <c:pt idx="8">
                  <c:v>32.725000000000001</c:v>
                </c:pt>
                <c:pt idx="9">
                  <c:v>43.557000000000002</c:v>
                </c:pt>
                <c:pt idx="10">
                  <c:v>56.548000000000002</c:v>
                </c:pt>
                <c:pt idx="11">
                  <c:v>71.896000000000001</c:v>
                </c:pt>
                <c:pt idx="12">
                  <c:v>89.796999999999997</c:v>
                </c:pt>
                <c:pt idx="13">
                  <c:v>110.447</c:v>
                </c:pt>
                <c:pt idx="14">
                  <c:v>134.041</c:v>
                </c:pt>
                <c:pt idx="15">
                  <c:v>160.77799999999999</c:v>
                </c:pt>
                <c:pt idx="16">
                  <c:v>190.852</c:v>
                </c:pt>
                <c:pt idx="17">
                  <c:v>224.46</c:v>
                </c:pt>
                <c:pt idx="18">
                  <c:v>261.79899999999998</c:v>
                </c:pt>
              </c:numCache>
            </c:numRef>
          </c:yVal>
          <c:smooth val="0"/>
          <c:extLst>
            <c:ext xmlns:c16="http://schemas.microsoft.com/office/drawing/2014/chart" uri="{C3380CC4-5D6E-409C-BE32-E72D297353CC}">
              <c16:uniqueId val="{00000000-92B8-441B-B199-E15477076486}"/>
            </c:ext>
          </c:extLst>
        </c:ser>
        <c:dLbls>
          <c:showLegendKey val="0"/>
          <c:showVal val="0"/>
          <c:showCatName val="0"/>
          <c:showSerName val="0"/>
          <c:showPercent val="0"/>
          <c:showBubbleSize val="0"/>
        </c:dLbls>
        <c:axId val="2005374255"/>
        <c:axId val="1"/>
      </c:scatterChart>
      <c:valAx>
        <c:axId val="2005374255"/>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IN"/>
                  <a:t>Inside Diameter, Ft</a:t>
                </a:r>
              </a:p>
            </c:rich>
          </c:tx>
          <c:layout>
            <c:manualLayout>
              <c:xMode val="edge"/>
              <c:yMode val="edge"/>
              <c:x val="0.43630606683718676"/>
              <c:y val="0.95029821073558651"/>
            </c:manualLayout>
          </c:layout>
          <c:overlay val="0"/>
          <c:spPr>
            <a:noFill/>
            <a:ln w="25400">
              <a:noFill/>
            </a:ln>
          </c:spPr>
        </c:title>
        <c:numFmt formatCode="0.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IN"/>
                  <a:t>Volume, CuFt</a:t>
                </a:r>
              </a:p>
            </c:rich>
          </c:tx>
          <c:layout>
            <c:manualLayout>
              <c:xMode val="edge"/>
              <c:yMode val="edge"/>
              <c:x val="7.9617834394904458E-3"/>
              <c:y val="0.43339960238568587"/>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05374255"/>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&amp;LArt Montemayor&amp;C&amp;A&amp;RSeptember 12, 1997
Rev 0</c:oddHeader>
      <c:oddFooter>&amp;CPage &amp;P of &amp;N</c:oddFooter>
    </c:headerFooter>
    <c:pageMargins b="1" l="0.75" r="0.75" t="1" header="0.5" footer="0.5"/>
    <c:pageSetup paperSize="3" orientation="landscape" horizontalDpi="-4"/>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DISHED HEAD VOLUME</a:t>
            </a:r>
          </a:p>
        </c:rich>
      </c:tx>
      <c:layout>
        <c:manualLayout>
          <c:xMode val="edge"/>
          <c:yMode val="edge"/>
          <c:x val="0.38155802861685217"/>
          <c:y val="2.976190476190476E-2"/>
        </c:manualLayout>
      </c:layout>
      <c:overlay val="0"/>
      <c:spPr>
        <a:noFill/>
        <a:ln w="25400">
          <a:noFill/>
        </a:ln>
      </c:spPr>
    </c:title>
    <c:autoTitleDeleted val="0"/>
    <c:plotArea>
      <c:layout>
        <c:manualLayout>
          <c:layoutTarget val="inner"/>
          <c:xMode val="edge"/>
          <c:yMode val="edge"/>
          <c:x val="9.2209856915739269E-2"/>
          <c:y val="8.9285887288193061E-2"/>
          <c:w val="0.8775834658187599"/>
          <c:h val="0.82539842470862923"/>
        </c:manualLayout>
      </c:layout>
      <c:scatterChart>
        <c:scatterStyle val="lineMarker"/>
        <c:varyColors val="0"/>
        <c:ser>
          <c:idx val="0"/>
          <c:order val="0"/>
          <c:tx>
            <c:strRef>
              <c:f>'Dished Curve Fit'!$B$1</c:f>
              <c:strCache>
                <c:ptCount val="1"/>
                <c:pt idx="0">
                  <c:v>Dished Volume, Ft3 </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1"/>
            <c:dispEq val="1"/>
            <c:trendlineLbl>
              <c:layout>
                <c:manualLayout>
                  <c:x val="-0.35209844397431239"/>
                  <c:y val="0.11223268231232186"/>
                </c:manualLayout>
              </c:layout>
              <c:tx>
                <c:rich>
                  <a:bodyPr/>
                  <a:lstStyle/>
                  <a:p>
                    <a:pPr>
                      <a:defRPr sz="80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y = 0.0536x</a:t>
                    </a:r>
                    <a:r>
                      <a:rPr lang="en-IN" sz="1400" b="1" i="0" u="none" strike="noStrike" baseline="30000">
                        <a:solidFill>
                          <a:srgbClr val="000000"/>
                        </a:solidFill>
                        <a:latin typeface="Arial"/>
                        <a:cs typeface="Arial"/>
                      </a:rPr>
                      <a:t>3.0033</a:t>
                    </a:r>
                    <a:endParaRPr lang="en-IN" sz="1400" b="1" i="0" u="none" strike="noStrike" baseline="0">
                      <a:solidFill>
                        <a:srgbClr val="000000"/>
                      </a:solidFill>
                      <a:latin typeface="Arial"/>
                      <a:cs typeface="Arial"/>
                    </a:endParaRPr>
                  </a:p>
                  <a:p>
                    <a:pPr>
                      <a:defRPr sz="800" b="0" i="0" u="none" strike="noStrike" baseline="0">
                        <a:solidFill>
                          <a:srgbClr val="000000"/>
                        </a:solidFill>
                        <a:latin typeface="Arial"/>
                        <a:ea typeface="Arial"/>
                        <a:cs typeface="Arial"/>
                      </a:defRPr>
                    </a:pPr>
                    <a:r>
                      <a:rPr lang="en-IN" sz="1400" b="1" i="0" u="none" strike="noStrike" baseline="0">
                        <a:solidFill>
                          <a:srgbClr val="000000"/>
                        </a:solidFill>
                        <a:latin typeface="Arial"/>
                        <a:cs typeface="Arial"/>
                      </a:rPr>
                      <a:t>R</a:t>
                    </a:r>
                    <a:r>
                      <a:rPr lang="en-IN" sz="1400" b="1" i="0" u="none" strike="noStrike" baseline="30000">
                        <a:solidFill>
                          <a:srgbClr val="000000"/>
                        </a:solidFill>
                        <a:latin typeface="Arial"/>
                        <a:cs typeface="Arial"/>
                      </a:rPr>
                      <a:t>2</a:t>
                    </a:r>
                    <a:r>
                      <a:rPr lang="en-IN" sz="1400" b="1" i="0" u="none" strike="noStrike" baseline="0">
                        <a:solidFill>
                          <a:srgbClr val="000000"/>
                        </a:solidFill>
                        <a:latin typeface="Arial"/>
                        <a:cs typeface="Arial"/>
                      </a:rPr>
                      <a:t> = 1</a:t>
                    </a:r>
                  </a:p>
                </c:rich>
              </c:tx>
              <c:numFmt formatCode="General" sourceLinked="0"/>
              <c:spPr>
                <a:noFill/>
                <a:ln w="25400">
                  <a:noFill/>
                </a:ln>
              </c:spPr>
            </c:trendlineLbl>
          </c:trendline>
          <c:xVal>
            <c:numRef>
              <c:f>'Dished Curve Fit'!$A$3:$A$21</c:f>
              <c:numCache>
                <c:formatCode>0.00</c:formatCode>
                <c:ptCount val="19"/>
                <c:pt idx="0">
                  <c:v>1</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numCache>
            </c:numRef>
          </c:xVal>
          <c:yVal>
            <c:numRef>
              <c:f>'Dished Curve Fit'!$B$3:$B$21</c:f>
              <c:numCache>
                <c:formatCode>0.000</c:formatCode>
                <c:ptCount val="19"/>
                <c:pt idx="0">
                  <c:v>5.2999999999999999E-2</c:v>
                </c:pt>
                <c:pt idx="1">
                  <c:v>0.182</c:v>
                </c:pt>
                <c:pt idx="2">
                  <c:v>0.43</c:v>
                </c:pt>
                <c:pt idx="3">
                  <c:v>0.84199999999999997</c:v>
                </c:pt>
                <c:pt idx="4">
                  <c:v>1.454</c:v>
                </c:pt>
                <c:pt idx="5">
                  <c:v>2.31</c:v>
                </c:pt>
                <c:pt idx="6">
                  <c:v>3.448</c:v>
                </c:pt>
                <c:pt idx="7">
                  <c:v>4.9089999999999998</c:v>
                </c:pt>
                <c:pt idx="8">
                  <c:v>6.7329999999999997</c:v>
                </c:pt>
                <c:pt idx="9">
                  <c:v>8.9629999999999992</c:v>
                </c:pt>
                <c:pt idx="10">
                  <c:v>11.635999999999999</c:v>
                </c:pt>
                <c:pt idx="11">
                  <c:v>14.794</c:v>
                </c:pt>
                <c:pt idx="12">
                  <c:v>18.477</c:v>
                </c:pt>
                <c:pt idx="13">
                  <c:v>22.727</c:v>
                </c:pt>
                <c:pt idx="14">
                  <c:v>27.582000000000001</c:v>
                </c:pt>
                <c:pt idx="15">
                  <c:v>33.082999999999998</c:v>
                </c:pt>
                <c:pt idx="16">
                  <c:v>39.271000000000001</c:v>
                </c:pt>
                <c:pt idx="17">
                  <c:v>46.188000000000002</c:v>
                </c:pt>
                <c:pt idx="18">
                  <c:v>53.871000000000002</c:v>
                </c:pt>
              </c:numCache>
            </c:numRef>
          </c:yVal>
          <c:smooth val="0"/>
          <c:extLst>
            <c:ext xmlns:c16="http://schemas.microsoft.com/office/drawing/2014/chart" uri="{C3380CC4-5D6E-409C-BE32-E72D297353CC}">
              <c16:uniqueId val="{00000000-A8A8-478F-979B-5FF248264969}"/>
            </c:ext>
          </c:extLst>
        </c:ser>
        <c:dLbls>
          <c:showLegendKey val="0"/>
          <c:showVal val="0"/>
          <c:showCatName val="0"/>
          <c:showSerName val="0"/>
          <c:showPercent val="0"/>
          <c:showBubbleSize val="0"/>
        </c:dLbls>
        <c:axId val="2005376751"/>
        <c:axId val="1"/>
      </c:scatterChart>
      <c:valAx>
        <c:axId val="2005376751"/>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IN"/>
                  <a:t>Inside Diameter, Ft</a:t>
                </a:r>
              </a:p>
            </c:rich>
          </c:tx>
          <c:layout>
            <c:manualLayout>
              <c:xMode val="edge"/>
              <c:yMode val="edge"/>
              <c:x val="0.44674085850556439"/>
              <c:y val="0.95039870016247974"/>
            </c:manualLayout>
          </c:layout>
          <c:overlay val="0"/>
          <c:spPr>
            <a:noFill/>
            <a:ln w="25400">
              <a:noFill/>
            </a:ln>
          </c:spPr>
        </c:title>
        <c:numFmt formatCode="0.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IN"/>
                  <a:t>Volume, CuFt</a:t>
                </a:r>
              </a:p>
            </c:rich>
          </c:tx>
          <c:layout>
            <c:manualLayout>
              <c:xMode val="edge"/>
              <c:yMode val="edge"/>
              <c:x val="7.9491255961844191E-3"/>
              <c:y val="0.42261988084822727"/>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05376751"/>
        <c:crosses val="autoZero"/>
        <c:crossBetween val="midCat"/>
      </c:valAx>
      <c:spPr>
        <a:solidFill>
          <a:srgbClr val="C0C0C0"/>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&amp;LArt Montemayor &amp;C&amp;A&amp;RSeptember 12, 1997
Rev 0</c:oddHeader>
      <c:oddFooter>&amp;CPage &amp;P of &amp;N</c:oddFooter>
    </c:headerFooter>
    <c:pageMargins b="1" l="0.75" r="0.75" t="1" header="0.5" footer="0.5"/>
    <c:pageSetup paperSize="3" orientation="landscape" horizontalDpi="-4"/>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75" b="1" i="0" u="none" strike="noStrike" baseline="0">
                <a:solidFill>
                  <a:srgbClr val="000000"/>
                </a:solidFill>
                <a:latin typeface="Arial"/>
                <a:ea typeface="Arial"/>
                <a:cs typeface="Arial"/>
              </a:defRPr>
            </a:pPr>
            <a:r>
              <a:rPr lang="en-IN"/>
              <a:t>Vertical Torispherical Tank Head Volume</a:t>
            </a:r>
          </a:p>
        </c:rich>
      </c:tx>
      <c:layout>
        <c:manualLayout>
          <c:xMode val="edge"/>
          <c:yMode val="edge"/>
          <c:x val="0.19503118631910141"/>
          <c:y val="2.8268551236749116E-2"/>
        </c:manualLayout>
      </c:layout>
      <c:overlay val="0"/>
      <c:spPr>
        <a:noFill/>
        <a:ln w="25400">
          <a:noFill/>
        </a:ln>
      </c:spPr>
    </c:title>
    <c:autoTitleDeleted val="0"/>
    <c:plotArea>
      <c:layout>
        <c:manualLayout>
          <c:layoutTarget val="inner"/>
          <c:xMode val="edge"/>
          <c:yMode val="edge"/>
          <c:x val="0.1577640708487425"/>
          <c:y val="0.17491166077738515"/>
          <c:w val="0.78757811746537598"/>
          <c:h val="0.64310954063604242"/>
        </c:manualLayout>
      </c:layout>
      <c:scatterChart>
        <c:scatterStyle val="smoothMarker"/>
        <c:varyColors val="0"/>
        <c:ser>
          <c:idx val="0"/>
          <c:order val="0"/>
          <c:spPr>
            <a:ln w="19050">
              <a:noFill/>
            </a:ln>
          </c:spPr>
          <c:marker>
            <c:symbol val="diamond"/>
            <c:size val="5"/>
            <c:spPr>
              <a:solidFill>
                <a:srgbClr val="000080"/>
              </a:solidFill>
              <a:ln>
                <a:solidFill>
                  <a:srgbClr val="000080"/>
                </a:solidFill>
                <a:prstDash val="solid"/>
              </a:ln>
            </c:spPr>
          </c:marker>
          <c:trendline>
            <c:spPr>
              <a:ln w="12700">
                <a:solidFill>
                  <a:srgbClr val="000000"/>
                </a:solidFill>
                <a:prstDash val="solid"/>
              </a:ln>
            </c:spPr>
            <c:trendlineType val="poly"/>
            <c:order val="3"/>
            <c:intercept val="0"/>
            <c:dispRSqr val="1"/>
            <c:dispEq val="1"/>
            <c:trendlineLbl>
              <c:layout>
                <c:manualLayout>
                  <c:x val="-0.28618690502096877"/>
                  <c:y val="0.12190812720848052"/>
                </c:manualLayout>
              </c:layout>
              <c:numFmt formatCode="General" sourceLinked="0"/>
              <c:spPr>
                <a:solidFill>
                  <a:srgbClr val="FFFFFF"/>
                </a:solidFill>
                <a:ln w="25400">
                  <a:noFill/>
                </a:ln>
              </c:spPr>
              <c:txPr>
                <a:bodyPr/>
                <a:lstStyle/>
                <a:p>
                  <a:pPr>
                    <a:defRPr sz="1550" b="0" i="0" u="none" strike="noStrike" baseline="0">
                      <a:solidFill>
                        <a:srgbClr val="000000"/>
                      </a:solidFill>
                      <a:latin typeface="Arial"/>
                      <a:ea typeface="Arial"/>
                      <a:cs typeface="Arial"/>
                    </a:defRPr>
                  </a:pPr>
                  <a:endParaRPr lang="en-US"/>
                </a:p>
              </c:txPr>
            </c:trendlineLbl>
          </c:trendline>
          <c:trendline>
            <c:spPr>
              <a:ln w="25400">
                <a:solidFill>
                  <a:srgbClr val="000000"/>
                </a:solidFill>
                <a:prstDash val="solid"/>
              </a:ln>
            </c:spPr>
            <c:trendlineType val="poly"/>
            <c:order val="3"/>
            <c:dispRSqr val="0"/>
            <c:dispEq val="0"/>
          </c:trendline>
          <c:xVal>
            <c:numRef>
              <c:f>'F &amp; D Partial Volume'!$A$25:$A$35</c:f>
              <c:numCache>
                <c:formatCode>0%</c:formatCode>
                <c:ptCount val="11"/>
                <c:pt idx="0">
                  <c:v>0</c:v>
                </c:pt>
                <c:pt idx="1">
                  <c:v>0.1</c:v>
                </c:pt>
                <c:pt idx="2">
                  <c:v>0.2</c:v>
                </c:pt>
                <c:pt idx="3">
                  <c:v>0.3</c:v>
                </c:pt>
                <c:pt idx="4">
                  <c:v>0.4</c:v>
                </c:pt>
                <c:pt idx="5">
                  <c:v>0.5</c:v>
                </c:pt>
                <c:pt idx="6">
                  <c:v>0.6</c:v>
                </c:pt>
                <c:pt idx="7">
                  <c:v>0.7</c:v>
                </c:pt>
                <c:pt idx="8">
                  <c:v>0.8</c:v>
                </c:pt>
                <c:pt idx="9">
                  <c:v>0.9</c:v>
                </c:pt>
                <c:pt idx="10">
                  <c:v>1</c:v>
                </c:pt>
              </c:numCache>
            </c:numRef>
          </c:xVal>
          <c:yVal>
            <c:numRef>
              <c:f>'F &amp; D Partial Volume'!$J$25:$J$35</c:f>
              <c:numCache>
                <c:formatCode>0%</c:formatCode>
                <c:ptCount val="11"/>
                <c:pt idx="0">
                  <c:v>0</c:v>
                </c:pt>
                <c:pt idx="1">
                  <c:v>1.2240189394704915E-2</c:v>
                </c:pt>
                <c:pt idx="2">
                  <c:v>4.8642457203077999E-2</c:v>
                </c:pt>
                <c:pt idx="3">
                  <c:v>0.10872935286150567</c:v>
                </c:pt>
                <c:pt idx="4">
                  <c:v>0.19202342580637535</c:v>
                </c:pt>
                <c:pt idx="5">
                  <c:v>0.29804722547407397</c:v>
                </c:pt>
                <c:pt idx="6">
                  <c:v>0.42338505836423423</c:v>
                </c:pt>
                <c:pt idx="7">
                  <c:v>0.556720925296606</c:v>
                </c:pt>
                <c:pt idx="8">
                  <c:v>0.69714628132525192</c:v>
                </c:pt>
                <c:pt idx="9">
                  <c:v>0.8448447612823301</c:v>
                </c:pt>
                <c:pt idx="10">
                  <c:v>1</c:v>
                </c:pt>
              </c:numCache>
            </c:numRef>
          </c:yVal>
          <c:smooth val="1"/>
          <c:extLst>
            <c:ext xmlns:c16="http://schemas.microsoft.com/office/drawing/2014/chart" uri="{C3380CC4-5D6E-409C-BE32-E72D297353CC}">
              <c16:uniqueId val="{00000000-F63C-400E-87D7-0176B1199BA3}"/>
            </c:ext>
          </c:extLst>
        </c:ser>
        <c:dLbls>
          <c:showLegendKey val="0"/>
          <c:showVal val="0"/>
          <c:showCatName val="0"/>
          <c:showSerName val="0"/>
          <c:showPercent val="0"/>
          <c:showBubbleSize val="0"/>
        </c:dLbls>
        <c:axId val="2005377167"/>
        <c:axId val="1"/>
      </c:scatterChart>
      <c:valAx>
        <c:axId val="2005377167"/>
        <c:scaling>
          <c:orientation val="minMax"/>
          <c:max val="1"/>
        </c:scaling>
        <c:delete val="0"/>
        <c:axPos val="b"/>
        <c:majorGridlines>
          <c:spPr>
            <a:ln w="3175">
              <a:solidFill>
                <a:srgbClr val="000000"/>
              </a:solidFill>
              <a:prstDash val="solid"/>
            </a:ln>
          </c:spPr>
        </c:majorGridlines>
        <c:title>
          <c:tx>
            <c:rich>
              <a:bodyPr/>
              <a:lstStyle/>
              <a:p>
                <a:pPr>
                  <a:defRPr sz="1550" b="1" i="0" u="none" strike="noStrike" baseline="0">
                    <a:solidFill>
                      <a:srgbClr val="000000"/>
                    </a:solidFill>
                    <a:latin typeface="Arial"/>
                    <a:ea typeface="Arial"/>
                    <a:cs typeface="Arial"/>
                  </a:defRPr>
                </a:pPr>
                <a:r>
                  <a:rPr lang="en-IN"/>
                  <a:t>Level of Fill</a:t>
                </a:r>
              </a:p>
            </c:rich>
          </c:tx>
          <c:layout>
            <c:manualLayout>
              <c:xMode val="edge"/>
              <c:yMode val="edge"/>
              <c:x val="0.47701889437733325"/>
              <c:y val="0.9081272084805653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550" b="0" i="0" u="none" strike="noStrike" baseline="0">
                <a:solidFill>
                  <a:srgbClr val="000000"/>
                </a:solidFill>
                <a:latin typeface="Arial"/>
                <a:ea typeface="Arial"/>
                <a:cs typeface="Arial"/>
              </a:defRPr>
            </a:pPr>
            <a:endParaRPr lang="en-US"/>
          </a:p>
        </c:txPr>
        <c:crossAx val="1"/>
        <c:crossesAt val="0"/>
        <c:crossBetween val="midCat"/>
        <c:minorUnit val="0.1"/>
      </c:valAx>
      <c:valAx>
        <c:axId val="1"/>
        <c:scaling>
          <c:orientation val="minMax"/>
          <c:max val="1"/>
          <c:min val="0"/>
        </c:scaling>
        <c:delete val="0"/>
        <c:axPos val="l"/>
        <c:majorGridlines>
          <c:spPr>
            <a:ln w="3175">
              <a:solidFill>
                <a:srgbClr val="000000"/>
              </a:solidFill>
              <a:prstDash val="solid"/>
            </a:ln>
          </c:spPr>
        </c:majorGridlines>
        <c:title>
          <c:tx>
            <c:rich>
              <a:bodyPr/>
              <a:lstStyle/>
              <a:p>
                <a:pPr>
                  <a:defRPr sz="1550" b="1" i="0" u="none" strike="noStrike" baseline="0">
                    <a:solidFill>
                      <a:srgbClr val="000000"/>
                    </a:solidFill>
                    <a:latin typeface="Arial"/>
                    <a:ea typeface="Arial"/>
                    <a:cs typeface="Arial"/>
                  </a:defRPr>
                </a:pPr>
                <a:r>
                  <a:rPr lang="en-IN"/>
                  <a:t>Volume of Fill</a:t>
                </a:r>
              </a:p>
            </c:rich>
          </c:tx>
          <c:layout>
            <c:manualLayout>
              <c:xMode val="edge"/>
              <c:yMode val="edge"/>
              <c:x val="1.9875776397515529E-2"/>
              <c:y val="0.3692579505300353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550" b="0" i="0" u="none" strike="noStrike" baseline="0">
                <a:solidFill>
                  <a:srgbClr val="000000"/>
                </a:solidFill>
                <a:latin typeface="Arial"/>
                <a:ea typeface="Arial"/>
                <a:cs typeface="Arial"/>
              </a:defRPr>
            </a:pPr>
            <a:endParaRPr lang="en-US"/>
          </a:p>
        </c:txPr>
        <c:crossAx val="2005377167"/>
        <c:crossesAt val="0"/>
        <c:crossBetween val="midCat"/>
        <c:majorUnit val="0.2"/>
        <c:minorUnit val="0.1"/>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0.65" l="0.75" r="0.75" t="1" header="0.5" footer="0.5"/>
    <c:pageSetup paperSize="9" orientation="landscape"/>
  </c:printSettings>
</c:chartSpace>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1.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image" Target="../media/image33.emf"/><Relationship Id="rId3" Type="http://schemas.openxmlformats.org/officeDocument/2006/relationships/image" Target="../media/image24.jpeg"/><Relationship Id="rId7" Type="http://schemas.openxmlformats.org/officeDocument/2006/relationships/image" Target="../media/image27.png"/><Relationship Id="rId12" Type="http://schemas.openxmlformats.org/officeDocument/2006/relationships/image" Target="../media/image32.png"/><Relationship Id="rId2" Type="http://schemas.openxmlformats.org/officeDocument/2006/relationships/image" Target="../media/image23.jpeg"/><Relationship Id="rId1" Type="http://schemas.openxmlformats.org/officeDocument/2006/relationships/image" Target="../media/image22.jpeg"/><Relationship Id="rId6" Type="http://schemas.openxmlformats.org/officeDocument/2006/relationships/image" Target="../media/image26.jpeg"/><Relationship Id="rId11" Type="http://schemas.openxmlformats.org/officeDocument/2006/relationships/image" Target="../media/image31.png"/><Relationship Id="rId5" Type="http://schemas.openxmlformats.org/officeDocument/2006/relationships/image" Target="../media/image6.jpeg"/><Relationship Id="rId10" Type="http://schemas.openxmlformats.org/officeDocument/2006/relationships/image" Target="../media/image30.png"/><Relationship Id="rId4" Type="http://schemas.openxmlformats.org/officeDocument/2006/relationships/image" Target="../media/image25.jpeg"/><Relationship Id="rId9" Type="http://schemas.openxmlformats.org/officeDocument/2006/relationships/image" Target="../media/image29.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8" Type="http://schemas.openxmlformats.org/officeDocument/2006/relationships/image" Target="../media/image14.emf"/><Relationship Id="rId13" Type="http://schemas.openxmlformats.org/officeDocument/2006/relationships/image" Target="../media/image19.emf"/><Relationship Id="rId3" Type="http://schemas.openxmlformats.org/officeDocument/2006/relationships/image" Target="../media/image9.emf"/><Relationship Id="rId7" Type="http://schemas.openxmlformats.org/officeDocument/2006/relationships/image" Target="../media/image13.emf"/><Relationship Id="rId12" Type="http://schemas.openxmlformats.org/officeDocument/2006/relationships/image" Target="../media/image18.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5" Type="http://schemas.openxmlformats.org/officeDocument/2006/relationships/image" Target="../media/image11.emf"/><Relationship Id="rId15" Type="http://schemas.openxmlformats.org/officeDocument/2006/relationships/image" Target="../media/image21.emf"/><Relationship Id="rId10" Type="http://schemas.openxmlformats.org/officeDocument/2006/relationships/image" Target="../media/image16.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85725</xdr:rowOff>
    </xdr:from>
    <xdr:to>
      <xdr:col>7</xdr:col>
      <xdr:colOff>866775</xdr:colOff>
      <xdr:row>47</xdr:row>
      <xdr:rowOff>123825</xdr:rowOff>
    </xdr:to>
    <xdr:sp macro="" textlink="">
      <xdr:nvSpPr>
        <xdr:cNvPr id="16385" name="Text Box 1">
          <a:extLst>
            <a:ext uri="{FF2B5EF4-FFF2-40B4-BE49-F238E27FC236}">
              <a16:creationId xmlns:a16="http://schemas.microsoft.com/office/drawing/2014/main" id="{CB0A0125-100D-4101-B9E8-9AC4E0C500DF}"/>
            </a:ext>
          </a:extLst>
        </xdr:cNvPr>
        <xdr:cNvSpPr txBox="1">
          <a:spLocks noChangeArrowheads="1"/>
        </xdr:cNvSpPr>
      </xdr:nvSpPr>
      <xdr:spPr bwMode="auto">
        <a:xfrm>
          <a:off x="0" y="6486525"/>
          <a:ext cx="6762750" cy="23241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en-IN" sz="1200" b="0" i="0" u="none" strike="noStrike" baseline="0">
              <a:solidFill>
                <a:srgbClr val="000000"/>
              </a:solidFill>
              <a:latin typeface="Times New Roman"/>
              <a:cs typeface="Times New Roman"/>
            </a:rPr>
            <a:t>The calculated Partial liquid capacity uses the following relationships found in the literature:</a:t>
          </a:r>
        </a:p>
        <a:p>
          <a:pPr algn="l" rtl="0">
            <a:defRPr sz="1000"/>
          </a:pPr>
          <a:r>
            <a:rPr lang="en-IN" sz="1200" b="0" i="0" u="none" strike="noStrike" baseline="0">
              <a:solidFill>
                <a:srgbClr val="000000"/>
              </a:solidFill>
              <a:latin typeface="Times New Roman"/>
              <a:cs typeface="Times New Roman"/>
            </a:rPr>
            <a:t>          Circular Sector = Circular Segment + Triangular Segment</a:t>
          </a:r>
        </a:p>
        <a:p>
          <a:pPr algn="l" rtl="0">
            <a:defRPr sz="1000"/>
          </a:pPr>
          <a:r>
            <a:rPr lang="en-IN" sz="1200" b="0" i="0" u="none" strike="noStrike" baseline="0">
              <a:solidFill>
                <a:srgbClr val="000000"/>
              </a:solidFill>
              <a:latin typeface="Times New Roman"/>
              <a:cs typeface="Times New Roman"/>
            </a:rPr>
            <a:t>          Partial Cylindrical volume = (Circular Segment)(Cylindrical length) </a:t>
          </a:r>
        </a:p>
        <a:p>
          <a:pPr algn="l" rtl="0">
            <a:defRPr sz="1000"/>
          </a:pPr>
          <a:r>
            <a:rPr lang="en-IN" sz="1200" b="0" i="0" u="none" strike="noStrike" baseline="0">
              <a:solidFill>
                <a:srgbClr val="000000"/>
              </a:solidFill>
              <a:latin typeface="Times New Roman"/>
              <a:cs typeface="Times New Roman"/>
            </a:rPr>
            <a:t>          Partial Cylindrical volume = r</a:t>
          </a:r>
          <a:r>
            <a:rPr lang="en-IN" sz="1200" b="0" i="0" u="none" strike="noStrike" baseline="30000">
              <a:solidFill>
                <a:srgbClr val="000000"/>
              </a:solidFill>
              <a:latin typeface="Times New Roman"/>
              <a:cs typeface="Times New Roman"/>
            </a:rPr>
            <a:t>2</a:t>
          </a:r>
          <a:r>
            <a:rPr lang="en-IN" sz="1200" b="0" i="0" u="none" strike="noStrike" baseline="0">
              <a:solidFill>
                <a:srgbClr val="000000"/>
              </a:solidFill>
              <a:latin typeface="Times New Roman"/>
              <a:cs typeface="Times New Roman"/>
            </a:rPr>
            <a:t>[ACOS(r-H/r)] - (r-H)(2rH-H</a:t>
          </a:r>
          <a:r>
            <a:rPr lang="en-IN" sz="1200" b="0" i="0" u="none" strike="noStrike" baseline="30000">
              <a:solidFill>
                <a:srgbClr val="000000"/>
              </a:solidFill>
              <a:latin typeface="Times New Roman"/>
              <a:cs typeface="Times New Roman"/>
            </a:rPr>
            <a:t>2</a:t>
          </a:r>
          <a:r>
            <a:rPr lang="en-IN" sz="1200" b="0" i="0" u="none" strike="noStrike" baseline="0">
              <a:solidFill>
                <a:srgbClr val="000000"/>
              </a:solidFill>
              <a:latin typeface="Times New Roman"/>
              <a:cs typeface="Times New Roman"/>
            </a:rPr>
            <a:t>)</a:t>
          </a:r>
          <a:r>
            <a:rPr lang="en-IN" sz="1200" b="0" i="0" u="none" strike="noStrike" baseline="30000">
              <a:solidFill>
                <a:srgbClr val="000000"/>
              </a:solidFill>
              <a:latin typeface="Times New Roman"/>
              <a:cs typeface="Times New Roman"/>
            </a:rPr>
            <a:t>0.5</a:t>
          </a:r>
        </a:p>
        <a:p>
          <a:pPr algn="l" rtl="0">
            <a:defRPr sz="1000"/>
          </a:pPr>
          <a:r>
            <a:rPr lang="en-IN" sz="1200" b="0" i="0" u="none" strike="noStrike" baseline="30000">
              <a:solidFill>
                <a:srgbClr val="000000"/>
              </a:solidFill>
              <a:latin typeface="Times New Roman"/>
              <a:cs typeface="Times New Roman"/>
            </a:rPr>
            <a:t>             </a:t>
          </a:r>
          <a:r>
            <a:rPr lang="en-IN" sz="1200" b="0" i="0" u="none" strike="noStrike" baseline="0">
              <a:solidFill>
                <a:srgbClr val="000000"/>
              </a:solidFill>
              <a:latin typeface="Times New Roman"/>
              <a:cs typeface="Times New Roman"/>
            </a:rPr>
            <a:t>Volume of ASME F&amp;D Head = 0.215483 H</a:t>
          </a:r>
          <a:r>
            <a:rPr lang="en-IN" sz="1200" b="0" i="0" u="none" strike="noStrike" baseline="30000">
              <a:solidFill>
                <a:srgbClr val="000000"/>
              </a:solidFill>
              <a:latin typeface="Times New Roman"/>
              <a:cs typeface="Times New Roman"/>
            </a:rPr>
            <a:t>2</a:t>
          </a:r>
          <a:r>
            <a:rPr lang="en-IN" sz="1200" b="0" i="0" u="none" strike="noStrike" baseline="0">
              <a:solidFill>
                <a:srgbClr val="000000"/>
              </a:solidFill>
              <a:latin typeface="Times New Roman"/>
              <a:cs typeface="Times New Roman"/>
            </a:rPr>
            <a:t> (1.5d -H)</a:t>
          </a:r>
        </a:p>
        <a:p>
          <a:pPr algn="l" rtl="0">
            <a:defRPr sz="1000"/>
          </a:pPr>
          <a:r>
            <a:rPr lang="en-IN" sz="1200" b="0" i="0" u="none" strike="noStrike" baseline="0">
              <a:solidFill>
                <a:srgbClr val="000000"/>
              </a:solidFill>
              <a:latin typeface="Times New Roman"/>
              <a:cs typeface="Times New Roman"/>
            </a:rPr>
            <a:t>          Volume of 2:1 Ellipsoidal Head = 0.5236 H</a:t>
          </a:r>
          <a:r>
            <a:rPr lang="en-IN" sz="1200" b="0" i="0" u="none" strike="noStrike" baseline="30000">
              <a:solidFill>
                <a:srgbClr val="000000"/>
              </a:solidFill>
              <a:latin typeface="Times New Roman"/>
              <a:cs typeface="Times New Roman"/>
            </a:rPr>
            <a:t>2</a:t>
          </a:r>
          <a:r>
            <a:rPr lang="en-IN" sz="1200" b="0" i="0" u="none" strike="noStrike" baseline="0">
              <a:solidFill>
                <a:srgbClr val="000000"/>
              </a:solidFill>
              <a:latin typeface="Times New Roman"/>
              <a:cs typeface="Times New Roman"/>
            </a:rPr>
            <a:t> (1.5d- H)</a:t>
          </a:r>
        </a:p>
        <a:p>
          <a:pPr algn="l" rtl="0">
            <a:defRPr sz="1000"/>
          </a:pPr>
          <a:r>
            <a:rPr lang="en-IN" sz="1200" b="0" i="0" u="none" strike="noStrike" baseline="0">
              <a:solidFill>
                <a:srgbClr val="000000"/>
              </a:solidFill>
              <a:latin typeface="Times New Roman"/>
              <a:cs typeface="Times New Roman"/>
            </a:rPr>
            <a:t>          Volume of Hemispherical Head = 2 (Volume of Ellipsoidal)</a:t>
          </a:r>
        </a:p>
        <a:p>
          <a:pPr algn="l" rtl="0">
            <a:defRPr sz="1000"/>
          </a:pPr>
          <a:endParaRPr lang="en-IN" sz="1200" b="0" i="0" u="none" strike="noStrike" baseline="0">
            <a:solidFill>
              <a:srgbClr val="000000"/>
            </a:solidFill>
            <a:latin typeface="Times New Roman"/>
            <a:cs typeface="Times New Roman"/>
          </a:endParaRPr>
        </a:p>
        <a:p>
          <a:pPr algn="l" rtl="0">
            <a:defRPr sz="1000"/>
          </a:pPr>
          <a:r>
            <a:rPr lang="en-IN" sz="1200" b="0" i="0" u="none" strike="noStrike" baseline="0">
              <a:solidFill>
                <a:srgbClr val="000000"/>
              </a:solidFill>
              <a:latin typeface="Times New Roman"/>
              <a:cs typeface="Times New Roman"/>
            </a:rPr>
            <a:t>The Ellipsoidal and Spherical volumes calculated for the corresponding heads agree accurately (well within 99.5%) with  fabricator's data of full volume capacity (Trinity Industries, Inc. Head Division; Catalog No. 7962M).</a:t>
          </a: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xdr:txBody>
    </xdr:sp>
    <xdr:clientData/>
  </xdr:twoCellAnchor>
  <xdr:twoCellAnchor>
    <xdr:from>
      <xdr:col>0</xdr:col>
      <xdr:colOff>1209675</xdr:colOff>
      <xdr:row>2</xdr:row>
      <xdr:rowOff>123825</xdr:rowOff>
    </xdr:from>
    <xdr:to>
      <xdr:col>6</xdr:col>
      <xdr:colOff>114300</xdr:colOff>
      <xdr:row>6</xdr:row>
      <xdr:rowOff>95250</xdr:rowOff>
    </xdr:to>
    <xdr:sp macro="" textlink="">
      <xdr:nvSpPr>
        <xdr:cNvPr id="16386" name="Text Box 2">
          <a:extLst>
            <a:ext uri="{FF2B5EF4-FFF2-40B4-BE49-F238E27FC236}">
              <a16:creationId xmlns:a16="http://schemas.microsoft.com/office/drawing/2014/main" id="{61B0A7B8-9B72-4C1C-A992-1919A3F0C60F}"/>
            </a:ext>
          </a:extLst>
        </xdr:cNvPr>
        <xdr:cNvSpPr txBox="1">
          <a:spLocks noChangeArrowheads="1"/>
        </xdr:cNvSpPr>
      </xdr:nvSpPr>
      <xdr:spPr bwMode="auto">
        <a:xfrm>
          <a:off x="1209675" y="476250"/>
          <a:ext cx="3543300" cy="7334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lnSpc>
              <a:spcPts val="1100"/>
            </a:lnSpc>
            <a:defRPr sz="1000"/>
          </a:pPr>
          <a:r>
            <a:rPr lang="en-IN" sz="1200" b="0" i="0" u="none" strike="noStrike" baseline="0">
              <a:solidFill>
                <a:srgbClr val="000000"/>
              </a:solidFill>
              <a:latin typeface="Times New Roman"/>
              <a:cs typeface="Times New Roman"/>
            </a:rPr>
            <a:t>Steps:</a:t>
          </a:r>
        </a:p>
        <a:p>
          <a:pPr algn="l" rtl="0">
            <a:lnSpc>
              <a:spcPts val="1200"/>
            </a:lnSpc>
            <a:defRPr sz="1000"/>
          </a:pPr>
          <a:r>
            <a:rPr lang="en-IN" sz="1200" b="0" i="0" u="none" strike="noStrike" baseline="0">
              <a:solidFill>
                <a:srgbClr val="000000"/>
              </a:solidFill>
              <a:latin typeface="Times New Roman"/>
              <a:cs typeface="Times New Roman"/>
            </a:rPr>
            <a:t>(1) Enter the required information in the </a:t>
          </a:r>
          <a:r>
            <a:rPr lang="en-IN" sz="1200" b="1" i="0" u="none" strike="noStrike" baseline="0">
              <a:solidFill>
                <a:srgbClr val="000000"/>
              </a:solidFill>
              <a:latin typeface="Times New Roman"/>
              <a:cs typeface="Times New Roman"/>
            </a:rPr>
            <a:t>YELLOW</a:t>
          </a:r>
          <a:r>
            <a:rPr lang="en-IN" sz="1200" b="0" i="0" u="none" strike="noStrike" baseline="0">
              <a:solidFill>
                <a:srgbClr val="000000"/>
              </a:solidFill>
              <a:latin typeface="Times New Roman"/>
              <a:cs typeface="Times New Roman"/>
            </a:rPr>
            <a:t> cells;</a:t>
          </a:r>
        </a:p>
        <a:p>
          <a:pPr algn="l" rtl="0">
            <a:lnSpc>
              <a:spcPts val="1200"/>
            </a:lnSpc>
            <a:defRPr sz="1000"/>
          </a:pPr>
          <a:r>
            <a:rPr lang="en-IN" sz="1200" b="0" i="0" u="none" strike="noStrike" baseline="0">
              <a:solidFill>
                <a:srgbClr val="000000"/>
              </a:solidFill>
              <a:latin typeface="Times New Roman"/>
              <a:cs typeface="Times New Roman"/>
            </a:rPr>
            <a:t>(2) The calculated results appear in </a:t>
          </a:r>
          <a:r>
            <a:rPr lang="en-IN" sz="1200" b="1" i="0" u="none" strike="noStrike" baseline="0">
              <a:solidFill>
                <a:srgbClr val="FF0000"/>
              </a:solidFill>
              <a:latin typeface="Times New Roman"/>
              <a:cs typeface="Times New Roman"/>
            </a:rPr>
            <a:t>RED</a:t>
          </a:r>
          <a:r>
            <a:rPr lang="en-IN" sz="1200" b="0" i="0" u="none" strike="noStrike" baseline="0">
              <a:solidFill>
                <a:srgbClr val="000000"/>
              </a:solidFill>
              <a:latin typeface="Times New Roman"/>
              <a:cs typeface="Times New Roman"/>
            </a:rPr>
            <a:t> numbers.</a:t>
          </a:r>
        </a:p>
      </xdr:txBody>
    </xdr:sp>
    <xdr:clientData/>
  </xdr:twoCellAnchor>
  <xdr:twoCellAnchor>
    <xdr:from>
      <xdr:col>0</xdr:col>
      <xdr:colOff>0</xdr:colOff>
      <xdr:row>48</xdr:row>
      <xdr:rowOff>95250</xdr:rowOff>
    </xdr:from>
    <xdr:to>
      <xdr:col>7</xdr:col>
      <xdr:colOff>904875</xdr:colOff>
      <xdr:row>103</xdr:row>
      <xdr:rowOff>76200</xdr:rowOff>
    </xdr:to>
    <xdr:sp macro="" textlink="">
      <xdr:nvSpPr>
        <xdr:cNvPr id="16387" name="Text Box 3">
          <a:extLst>
            <a:ext uri="{FF2B5EF4-FFF2-40B4-BE49-F238E27FC236}">
              <a16:creationId xmlns:a16="http://schemas.microsoft.com/office/drawing/2014/main" id="{C0E64417-5155-4E0A-8A55-8D27DEF87C1D}"/>
            </a:ext>
          </a:extLst>
        </xdr:cNvPr>
        <xdr:cNvSpPr txBox="1">
          <a:spLocks noChangeArrowheads="1"/>
        </xdr:cNvSpPr>
      </xdr:nvSpPr>
      <xdr:spPr bwMode="auto">
        <a:xfrm>
          <a:off x="0" y="8934450"/>
          <a:ext cx="6800850" cy="83629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Reference: Chemical Engineers' Handbook; Perry &amp; Chilton; 5th Edition; P.6-87</a:t>
          </a:r>
        </a:p>
        <a:p>
          <a:pPr algn="l" rtl="0">
            <a:defRPr sz="1000"/>
          </a:pPr>
          <a:r>
            <a:rPr lang="en-IN" sz="1000" b="0" i="0" u="none" strike="noStrike" baseline="0">
              <a:solidFill>
                <a:srgbClr val="000000"/>
              </a:solidFill>
              <a:latin typeface="Arial"/>
              <a:cs typeface="Arial"/>
            </a:rPr>
            <a:t>To obtain the </a:t>
          </a:r>
          <a:r>
            <a:rPr lang="en-IN" sz="1000" b="0" i="0" u="sng" strike="noStrike" baseline="0">
              <a:solidFill>
                <a:srgbClr val="000000"/>
              </a:solidFill>
              <a:latin typeface="Arial"/>
              <a:cs typeface="Arial"/>
            </a:rPr>
            <a:t>total</a:t>
          </a:r>
          <a:r>
            <a:rPr lang="en-IN" sz="1000" b="0" i="0" u="none" strike="noStrike" baseline="0">
              <a:solidFill>
                <a:srgbClr val="000000"/>
              </a:solidFill>
              <a:latin typeface="Arial"/>
              <a:cs typeface="Arial"/>
            </a:rPr>
            <a:t> volumetric capacity of a process vessel, the volumetric capacity of the vessel heads must be calculated separately and added to the vessel's cylindrical volume.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five types of formed vessel heads most frequently used are:</a:t>
          </a:r>
        </a:p>
        <a:p>
          <a:pPr algn="l" rtl="0">
            <a:defRPr sz="1000"/>
          </a:pPr>
          <a:r>
            <a:rPr lang="en-IN" sz="1000" b="0" i="0" u="none" strike="noStrike" baseline="0">
              <a:solidFill>
                <a:srgbClr val="000000"/>
              </a:solidFill>
              <a:latin typeface="Arial"/>
              <a:cs typeface="Arial"/>
            </a:rPr>
            <a:t>          1. Hemispherical </a:t>
          </a:r>
        </a:p>
        <a:p>
          <a:pPr algn="l" rtl="0">
            <a:defRPr sz="1000"/>
          </a:pPr>
          <a:r>
            <a:rPr lang="en-IN" sz="1000" b="0" i="0" u="none" strike="noStrike" baseline="0">
              <a:solidFill>
                <a:srgbClr val="000000"/>
              </a:solidFill>
              <a:latin typeface="Arial"/>
              <a:cs typeface="Arial"/>
            </a:rPr>
            <a:t>          2. 2:1 Ellipsoidal</a:t>
          </a:r>
        </a:p>
        <a:p>
          <a:pPr algn="l" rtl="0">
            <a:defRPr sz="1000"/>
          </a:pPr>
          <a:r>
            <a:rPr lang="en-IN" sz="1000" b="0" i="0" u="none" strike="noStrike" baseline="0">
              <a:solidFill>
                <a:srgbClr val="000000"/>
              </a:solidFill>
              <a:latin typeface="Arial"/>
              <a:cs typeface="Arial"/>
            </a:rPr>
            <a:t>          3. ASME F&amp;D (Torispherical)</a:t>
          </a:r>
        </a:p>
        <a:p>
          <a:pPr algn="l" rtl="0">
            <a:defRPr sz="1000"/>
          </a:pPr>
          <a:r>
            <a:rPr lang="en-IN" sz="1000" b="0" i="0" u="none" strike="noStrike" baseline="0">
              <a:solidFill>
                <a:srgbClr val="000000"/>
              </a:solidFill>
              <a:latin typeface="Arial"/>
              <a:cs typeface="Arial"/>
            </a:rPr>
            <a:t>          4. Standard Dished  (a misnomer, since there are no existing standards for dished heads)</a:t>
          </a:r>
        </a:p>
        <a:p>
          <a:pPr algn="l" rtl="0">
            <a:defRPr sz="1000"/>
          </a:pPr>
          <a:r>
            <a:rPr lang="en-IN" sz="1000" b="0" i="0" u="none" strike="noStrike" baseline="0">
              <a:solidFill>
                <a:srgbClr val="000000"/>
              </a:solidFill>
              <a:latin typeface="Arial"/>
              <a:cs typeface="Arial"/>
            </a:rPr>
            <a:t>          5. Conical</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Standard Dished head is not suited for pressure vessels and, consequently, does not comply with the ASME Pressure Vessel Code.  It is restricted to pressures less than 15 psig.  The ASME F&amp;D head is usually restricted to pressure vessels designed for less than 200 psig.  Above this design pressure the 2:1 Ellipsoidal head is usually employed, with the Hemispherical head reserved for those applications that require the maximum in pressure resistance and mechanical integrity.</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To obtain the partially-filled liquid contents' volume of a horizontal tank requires the determination of the partial volume of the two vessel heads as well as the cylindrical partial volume.  The contents of a partially-filled vessel are arrived at by adding the partial contents of the Cylindrical portion and both heads: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Partial Volume = (Total Cylinder volume)(Zc) + (Total Heads' volume)(Ze)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where,      Zc = Cylindrical partial volume coefficient</a:t>
          </a:r>
        </a:p>
        <a:p>
          <a:pPr algn="l" rtl="0">
            <a:defRPr sz="1000"/>
          </a:pPr>
          <a:r>
            <a:rPr lang="en-IN" sz="1000" b="0" i="0" u="none" strike="noStrike" baseline="0">
              <a:solidFill>
                <a:srgbClr val="000000"/>
              </a:solidFill>
              <a:latin typeface="Arial"/>
              <a:cs typeface="Arial"/>
            </a:rPr>
            <a:t>                Ze = Heads' partial volume coefficient </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cylindrical partial volume can be expressed by the following explicit analytical expressions: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1)     V1 = {r2cos-1[(r-h/r]-(r-h)(2rh-h2)0.5}L     .........(Kowal,G.; Chem. Eng; pp. 130-132; 6/11/73)</a:t>
          </a:r>
        </a:p>
        <a:p>
          <a:pPr algn="l" rtl="0">
            <a:defRPr sz="1000"/>
          </a:pPr>
          <a:r>
            <a:rPr lang="en-IN" sz="1000" b="0" i="0" u="none" strike="noStrike" baseline="0">
              <a:solidFill>
                <a:srgbClr val="000000"/>
              </a:solidFill>
              <a:latin typeface="Arial"/>
              <a:cs typeface="Arial"/>
            </a:rPr>
            <a:t>2)     V</a:t>
          </a:r>
          <a:r>
            <a:rPr lang="en-IN" sz="1000" b="0" i="0" u="none" strike="noStrike" baseline="-25000">
              <a:solidFill>
                <a:srgbClr val="000000"/>
              </a:solidFill>
              <a:latin typeface="Arial"/>
              <a:cs typeface="Arial"/>
            </a:rPr>
            <a:t>2</a:t>
          </a:r>
          <a:r>
            <a:rPr lang="en-IN" sz="1000" b="0" i="0" u="none" strike="noStrike" baseline="0">
              <a:solidFill>
                <a:srgbClr val="000000"/>
              </a:solidFill>
              <a:latin typeface="Arial"/>
              <a:cs typeface="Arial"/>
            </a:rPr>
            <a:t> = 0.00433 L{</a:t>
          </a:r>
          <a:r>
            <a:rPr lang="en-IN" sz="1000" b="0" i="0" u="none" strike="noStrike" baseline="0">
              <a:solidFill>
                <a:srgbClr val="000000"/>
              </a:solidFill>
              <a:latin typeface="Symbol"/>
              <a:cs typeface="Arial"/>
            </a:rPr>
            <a:t>p</a:t>
          </a:r>
          <a:r>
            <a:rPr lang="en-IN" sz="1000" b="0" i="0" u="none" strike="noStrike" baseline="0">
              <a:solidFill>
                <a:srgbClr val="000000"/>
              </a:solidFill>
              <a:latin typeface="Arial"/>
              <a:cs typeface="Arial"/>
            </a:rPr>
            <a:t>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/8-[(0.5d-h)(dh-h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a:t>
          </a:r>
          <a:r>
            <a:rPr lang="en-IN" sz="1000" b="0" i="0" u="none" strike="noStrike" baseline="30000">
              <a:solidFill>
                <a:srgbClr val="000000"/>
              </a:solidFill>
              <a:latin typeface="Arial"/>
              <a:cs typeface="Arial"/>
            </a:rPr>
            <a:t>0.5</a:t>
          </a:r>
          <a:r>
            <a:rPr lang="en-IN" sz="1000" b="0" i="0" u="none" strike="noStrike" baseline="0">
              <a:solidFill>
                <a:srgbClr val="000000"/>
              </a:solidFill>
              <a:latin typeface="Arial"/>
              <a:cs typeface="Arial"/>
            </a:rPr>
            <a:t> + 0.25d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arcSine(0.25d-0.5h)]}</a:t>
          </a:r>
        </a:p>
        <a:p>
          <a:pPr algn="l" rtl="0">
            <a:defRPr sz="1000"/>
          </a:pPr>
          <a:r>
            <a:rPr lang="en-IN" sz="1000" b="0" i="0" u="none" strike="noStrike" baseline="0">
              <a:solidFill>
                <a:srgbClr val="000000"/>
              </a:solidFill>
              <a:latin typeface="Arial"/>
              <a:cs typeface="Arial"/>
            </a:rPr>
            <a:t>                                                                    ..........(Caplan, F.; Hydrocarbon Processing; July 1968)</a:t>
          </a:r>
        </a:p>
        <a:p>
          <a:pPr algn="l" rtl="0">
            <a:defRPr sz="1000"/>
          </a:pPr>
          <a:r>
            <a:rPr lang="en-IN" sz="1000" b="0" i="0" u="none" strike="noStrike" baseline="0">
              <a:solidFill>
                <a:srgbClr val="000000"/>
              </a:solidFill>
              <a:latin typeface="Arial"/>
              <a:cs typeface="Arial"/>
            </a:rPr>
            <a:t>3)     V</a:t>
          </a:r>
          <a:r>
            <a:rPr lang="en-IN" sz="1000" b="0" i="0" u="none" strike="noStrike" baseline="-25000">
              <a:solidFill>
                <a:srgbClr val="000000"/>
              </a:solidFill>
              <a:latin typeface="Arial"/>
              <a:cs typeface="Arial"/>
            </a:rPr>
            <a:t>3</a:t>
          </a:r>
          <a:r>
            <a:rPr lang="en-IN" sz="1000" b="0" i="0" u="none" strike="noStrike" baseline="0">
              <a:solidFill>
                <a:srgbClr val="000000"/>
              </a:solidFill>
              <a:latin typeface="Arial"/>
              <a:cs typeface="Arial"/>
            </a:rPr>
            <a:t> = L r</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a:t>
          </a:r>
          <a:r>
            <a:rPr lang="en-IN" sz="1000" b="0" i="0" u="none" strike="noStrike" baseline="0">
              <a:solidFill>
                <a:srgbClr val="000000"/>
              </a:solidFill>
              <a:latin typeface="Symbol"/>
              <a:cs typeface="Arial"/>
            </a:rPr>
            <a:t>a</a:t>
          </a:r>
          <a:r>
            <a:rPr lang="en-IN" sz="1000" b="0" i="0" u="none" strike="noStrike" baseline="0">
              <a:solidFill>
                <a:srgbClr val="000000"/>
              </a:solidFill>
              <a:latin typeface="Arial"/>
              <a:cs typeface="Arial"/>
            </a:rPr>
            <a:t>/57.30) - sin</a:t>
          </a:r>
          <a:r>
            <a:rPr lang="en-IN" sz="1000" b="0" i="0" u="none" strike="noStrike" baseline="0">
              <a:solidFill>
                <a:srgbClr val="000000"/>
              </a:solidFill>
              <a:latin typeface="Symbol"/>
              <a:cs typeface="Arial"/>
            </a:rPr>
            <a:t>a</a:t>
          </a:r>
          <a:r>
            <a:rPr lang="en-IN" sz="1000" b="0" i="0" u="none" strike="noStrike" baseline="0">
              <a:solidFill>
                <a:srgbClr val="000000"/>
              </a:solidFill>
              <a:latin typeface="Arial"/>
              <a:cs typeface="Arial"/>
            </a:rPr>
            <a:t>cos</a:t>
          </a:r>
          <a:r>
            <a:rPr lang="en-IN" sz="1000" b="0" i="0" u="none" strike="noStrike" baseline="0">
              <a:solidFill>
                <a:srgbClr val="000000"/>
              </a:solidFill>
              <a:latin typeface="Symbol"/>
              <a:cs typeface="Arial"/>
            </a:rPr>
            <a:t>a</a:t>
          </a:r>
          <a:r>
            <a:rPr lang="en-IN" sz="1000" b="0" i="0" u="none" strike="noStrike" baseline="0">
              <a:solidFill>
                <a:srgbClr val="000000"/>
              </a:solidFill>
              <a:latin typeface="Arial"/>
              <a:cs typeface="Arial"/>
            </a:rPr>
            <a:t>]            ..........(Chem. Engrs. Handbook; Perry/Chilton; 5th ed.; p.6-86)</a:t>
          </a:r>
        </a:p>
        <a:p>
          <a:pPr algn="l" rtl="0">
            <a:defRPr sz="1000"/>
          </a:pPr>
          <a:r>
            <a:rPr lang="en-IN" sz="1000" b="0" i="0" u="none" strike="noStrike" baseline="0">
              <a:solidFill>
                <a:srgbClr val="000000"/>
              </a:solidFill>
              <a:latin typeface="Arial"/>
              <a:cs typeface="Arial"/>
            </a:rPr>
            <a:t>where,     V</a:t>
          </a:r>
          <a:r>
            <a:rPr lang="en-IN" sz="1000" b="0" i="0" u="none" strike="noStrike" baseline="-25000">
              <a:solidFill>
                <a:srgbClr val="000000"/>
              </a:solidFill>
              <a:latin typeface="Arial"/>
              <a:cs typeface="Arial"/>
            </a:rPr>
            <a:t>1</a:t>
          </a:r>
          <a:r>
            <a:rPr lang="en-IN" sz="1000" b="0" i="0" u="none" strike="noStrike" baseline="0">
              <a:solidFill>
                <a:srgbClr val="000000"/>
              </a:solidFill>
              <a:latin typeface="Arial"/>
              <a:cs typeface="Arial"/>
            </a:rPr>
            <a:t> = in</a:t>
          </a:r>
          <a:r>
            <a:rPr lang="en-IN" sz="1000" b="0" i="0" u="none" strike="noStrike" baseline="30000">
              <a:solidFill>
                <a:srgbClr val="000000"/>
              </a:solidFill>
              <a:latin typeface="Arial"/>
              <a:cs typeface="Arial"/>
            </a:rPr>
            <a:t>3</a:t>
          </a: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2</a:t>
          </a:r>
          <a:r>
            <a:rPr lang="en-IN" sz="1000" b="0" i="0" u="none" strike="noStrike" baseline="0">
              <a:solidFill>
                <a:srgbClr val="000000"/>
              </a:solidFill>
              <a:latin typeface="Arial"/>
              <a:cs typeface="Arial"/>
            </a:rPr>
            <a:t> = gal</a:t>
          </a: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3</a:t>
          </a:r>
          <a:r>
            <a:rPr lang="en-IN" sz="1000" b="0" i="0" u="none" strike="noStrike" baseline="0">
              <a:solidFill>
                <a:srgbClr val="000000"/>
              </a:solidFill>
              <a:latin typeface="Arial"/>
              <a:cs typeface="Arial"/>
            </a:rPr>
            <a:t> = in</a:t>
          </a:r>
          <a:r>
            <a:rPr lang="en-IN" sz="1000" b="0" i="0" u="none" strike="noStrike" baseline="30000">
              <a:solidFill>
                <a:srgbClr val="000000"/>
              </a:solidFill>
              <a:latin typeface="Arial"/>
              <a:cs typeface="Arial"/>
            </a:rPr>
            <a:t>3</a:t>
          </a: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r   = vessel's inside radius, in.</a:t>
          </a:r>
        </a:p>
        <a:p>
          <a:pPr algn="l" rtl="0">
            <a:defRPr sz="1000"/>
          </a:pPr>
          <a:r>
            <a:rPr lang="en-IN" sz="1000" b="0" i="0" u="none" strike="noStrike" baseline="0">
              <a:solidFill>
                <a:srgbClr val="000000"/>
              </a:solidFill>
              <a:latin typeface="Arial"/>
              <a:cs typeface="Arial"/>
            </a:rPr>
            <a:t>                h  = depth of liquid content in the horizontal head, in.</a:t>
          </a:r>
        </a:p>
        <a:p>
          <a:pPr algn="l" rtl="0">
            <a:defRPr sz="1000"/>
          </a:pPr>
          <a:r>
            <a:rPr lang="en-IN" sz="1000" b="0" i="0" u="none" strike="noStrike" baseline="0">
              <a:solidFill>
                <a:srgbClr val="000000"/>
              </a:solidFill>
              <a:latin typeface="Arial"/>
              <a:cs typeface="Arial"/>
            </a:rPr>
            <a:t>                L  = total straight, cylindrical, horizontal length, in. </a:t>
          </a:r>
        </a:p>
        <a:p>
          <a:pPr algn="l" rtl="0">
            <a:defRPr sz="1000"/>
          </a:pPr>
          <a:r>
            <a:rPr lang="en-IN" sz="1000" b="0" i="0" u="none" strike="noStrike" baseline="0">
              <a:solidFill>
                <a:srgbClr val="000000"/>
              </a:solidFill>
              <a:latin typeface="Arial"/>
              <a:cs typeface="Arial"/>
            </a:rPr>
            <a:t>                </a:t>
          </a:r>
          <a:r>
            <a:rPr lang="en-IN" sz="1000" b="0" i="0" u="none" strike="noStrike" baseline="0">
              <a:solidFill>
                <a:srgbClr val="000000"/>
              </a:solidFill>
              <a:latin typeface="Symbol"/>
              <a:cs typeface="Arial"/>
            </a:rPr>
            <a:t>a  </a:t>
          </a:r>
          <a:r>
            <a:rPr lang="en-IN" sz="1000" b="0" i="0" u="none" strike="noStrike" baseline="0">
              <a:solidFill>
                <a:srgbClr val="000000"/>
              </a:solidFill>
              <a:latin typeface="Arial"/>
              <a:cs typeface="Arial"/>
            </a:rPr>
            <a:t>= 1/2 of the total angle subtended by the chord forming the liquid level, degrees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partial volumes of horizontal-oriented heads (except for Hemi-heads) are not defined in a mathematically exact formula but can be expressed by the following analytical expressions found in an article by F. Caplan in Hydrocarbon Processing; July 1968:</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DH</a:t>
          </a:r>
          <a:r>
            <a:rPr lang="en-IN" sz="1000" b="0" i="0" u="none" strike="noStrike" baseline="0">
              <a:solidFill>
                <a:srgbClr val="000000"/>
              </a:solidFill>
              <a:latin typeface="Arial"/>
              <a:cs typeface="Arial"/>
            </a:rPr>
            <a:t> = 0.0009328 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(1.5d - h) .......................Volume of a dished-only head, in US gallons</a:t>
          </a: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Ell</a:t>
          </a:r>
          <a:r>
            <a:rPr lang="en-IN" sz="1000" b="0" i="0" u="none" strike="noStrike" baseline="0">
              <a:solidFill>
                <a:srgbClr val="000000"/>
              </a:solidFill>
              <a:latin typeface="Arial"/>
              <a:cs typeface="Arial"/>
            </a:rPr>
            <a:t>  = 0.00226 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(1.5d - h)      .......................Volume of 2:1 Ellipsoidal head, in US gallons</a:t>
          </a: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HH</a:t>
          </a:r>
          <a:r>
            <a:rPr lang="en-IN" sz="1000" b="0" i="0" u="none" strike="noStrike" baseline="0">
              <a:solidFill>
                <a:srgbClr val="000000"/>
              </a:solidFill>
              <a:latin typeface="Arial"/>
              <a:cs typeface="Arial"/>
            </a:rPr>
            <a:t> = 2  V</a:t>
          </a:r>
          <a:r>
            <a:rPr lang="en-IN" sz="1000" b="0" i="0" u="none" strike="noStrike" baseline="-25000">
              <a:solidFill>
                <a:srgbClr val="000000"/>
              </a:solidFill>
              <a:latin typeface="Arial"/>
              <a:cs typeface="Arial"/>
            </a:rPr>
            <a:t>Ell</a:t>
          </a:r>
          <a:r>
            <a:rPr lang="en-IN" sz="1000" b="0" i="0" u="none" strike="noStrike" baseline="0">
              <a:solidFill>
                <a:srgbClr val="000000"/>
              </a:solidFill>
              <a:latin typeface="Arial"/>
              <a:cs typeface="Arial"/>
            </a:rPr>
            <a:t>                           .......................Volume of Hemispherical head, in US gallons</a:t>
          </a:r>
        </a:p>
        <a:p>
          <a:pPr algn="l" rtl="0">
            <a:defRPr sz="1000"/>
          </a:pPr>
          <a:r>
            <a:rPr lang="en-IN" sz="1000" b="0" i="0" u="none" strike="noStrike" baseline="0">
              <a:solidFill>
                <a:srgbClr val="000000"/>
              </a:solidFill>
              <a:latin typeface="Arial"/>
              <a:cs typeface="Arial"/>
            </a:rPr>
            <a:t>where,  h = depth of liquid content in the horizontal head, in.</a:t>
          </a:r>
        </a:p>
        <a:p>
          <a:pPr algn="l" rtl="0">
            <a:defRPr sz="1000"/>
          </a:pPr>
          <a:r>
            <a:rPr lang="en-IN" sz="1000" b="0" i="0" u="none" strike="noStrike" baseline="0">
              <a:solidFill>
                <a:srgbClr val="000000"/>
              </a:solidFill>
              <a:latin typeface="Arial"/>
              <a:cs typeface="Arial"/>
            </a:rPr>
            <a:t>           d = inside diameter of the horizontal head, in.</a:t>
          </a:r>
        </a:p>
        <a:p>
          <a:pPr algn="l" rtl="0">
            <a:defRPr sz="1000"/>
          </a:pPr>
          <a:r>
            <a:rPr lang="en-IN" sz="1000" b="0" i="0" u="none" strike="noStrike" baseline="0">
              <a:solidFill>
                <a:srgbClr val="000000"/>
              </a:solidFill>
              <a:latin typeface="Arial"/>
              <a:cs typeface="Arial"/>
            </a:rPr>
            <a:t>          </a:t>
          </a:r>
        </a:p>
        <a:p>
          <a:pPr algn="l" rtl="0">
            <a:defRPr sz="1000"/>
          </a:pPr>
          <a:endParaRPr lang="en-IN" sz="1000" b="0" i="0" u="none" strike="noStrike" baseline="0">
            <a:solidFill>
              <a:srgbClr val="000000"/>
            </a:solidFill>
            <a:latin typeface="Arial"/>
            <a:cs typeface="Arial"/>
          </a:endParaRPr>
        </a:p>
      </xdr:txBody>
    </xdr:sp>
    <xdr:clientData/>
  </xdr:twoCellAnchor>
  <xdr:twoCellAnchor>
    <xdr:from>
      <xdr:col>0</xdr:col>
      <xdr:colOff>9525</xdr:colOff>
      <xdr:row>107</xdr:row>
      <xdr:rowOff>66675</xdr:rowOff>
    </xdr:from>
    <xdr:to>
      <xdr:col>7</xdr:col>
      <xdr:colOff>866775</xdr:colOff>
      <xdr:row>159</xdr:row>
      <xdr:rowOff>95250</xdr:rowOff>
    </xdr:to>
    <xdr:sp macro="" textlink="">
      <xdr:nvSpPr>
        <xdr:cNvPr id="16388" name="Text Box 4">
          <a:extLst>
            <a:ext uri="{FF2B5EF4-FFF2-40B4-BE49-F238E27FC236}">
              <a16:creationId xmlns:a16="http://schemas.microsoft.com/office/drawing/2014/main" id="{C0F66A9E-C3EA-469B-8E5A-8D036D6A2AA4}"/>
            </a:ext>
          </a:extLst>
        </xdr:cNvPr>
        <xdr:cNvSpPr txBox="1">
          <a:spLocks noChangeArrowheads="1"/>
        </xdr:cNvSpPr>
      </xdr:nvSpPr>
      <xdr:spPr bwMode="auto">
        <a:xfrm>
          <a:off x="9525" y="17897475"/>
          <a:ext cx="6753225" cy="7953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calculation of the partially-filled cylindrical portion of a horizontal vessel is straight-forward and can be done using the analytical expressions noted above.  The equation given by Caplan (V</a:t>
          </a:r>
          <a:r>
            <a:rPr lang="en-IN" sz="1000" b="0" i="0" u="none" strike="noStrike" baseline="-25000">
              <a:solidFill>
                <a:srgbClr val="000000"/>
              </a:solidFill>
              <a:latin typeface="Arial"/>
              <a:cs typeface="Arial"/>
            </a:rPr>
            <a:t>2</a:t>
          </a:r>
          <a:r>
            <a:rPr lang="en-IN" sz="1000" b="0" i="0" u="none" strike="noStrike" baseline="0">
              <a:solidFill>
                <a:srgbClr val="000000"/>
              </a:solidFill>
              <a:latin typeface="Arial"/>
              <a:cs typeface="Arial"/>
            </a:rPr>
            <a:t>) should be very accurate since it is directly derived from an exact mathematical model presented in C.R.C. Standard Mathematical Tables; 12th Ed.(1959); p. 399.</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partial volume of heads is open to inaccuracies and while the analytical equations are suitable for estimating, the method usually used is the Ze method for determining the liquid fraction of the </a:t>
          </a:r>
          <a:r>
            <a:rPr lang="en-IN" sz="1000" b="0" i="0" u="sng" strike="noStrike" baseline="0">
              <a:solidFill>
                <a:srgbClr val="000000"/>
              </a:solidFill>
              <a:latin typeface="Arial"/>
              <a:cs typeface="Arial"/>
            </a:rPr>
            <a:t>entire</a:t>
          </a:r>
          <a:r>
            <a:rPr lang="en-IN" sz="1000" b="0" i="0" u="none" strike="noStrike" baseline="0">
              <a:solidFill>
                <a:srgbClr val="000000"/>
              </a:solidFill>
              <a:latin typeface="Arial"/>
              <a:cs typeface="Arial"/>
            </a:rPr>
            <a:t> head.  For this purpose, the Doolittle [Ind. Eng. Chem. 21, p. 322-323 (1928)] equation is used:</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partial</a:t>
          </a:r>
          <a:r>
            <a:rPr lang="en-IN" sz="1000" b="0" i="0" u="none" strike="noStrike" baseline="0">
              <a:solidFill>
                <a:srgbClr val="000000"/>
              </a:solidFill>
              <a:latin typeface="Arial"/>
              <a:cs typeface="Arial"/>
            </a:rPr>
            <a:t> = 0.00093 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(3r - h)</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where,           V</a:t>
          </a:r>
          <a:r>
            <a:rPr lang="en-IN" sz="1000" b="0" i="0" u="none" strike="noStrike" baseline="-25000">
              <a:solidFill>
                <a:srgbClr val="000000"/>
              </a:solidFill>
              <a:latin typeface="Arial"/>
              <a:cs typeface="Arial"/>
            </a:rPr>
            <a:t>partial</a:t>
          </a:r>
          <a:r>
            <a:rPr lang="en-IN" sz="1000" b="0" i="0" u="none" strike="noStrike" baseline="0">
              <a:solidFill>
                <a:srgbClr val="000000"/>
              </a:solidFill>
              <a:latin typeface="Arial"/>
              <a:cs typeface="Arial"/>
            </a:rPr>
            <a:t> = partial volume, gallons</a:t>
          </a:r>
        </a:p>
        <a:p>
          <a:pPr algn="l" rtl="0">
            <a:defRPr sz="1000"/>
          </a:pPr>
          <a:r>
            <a:rPr lang="en-IN" sz="1000" b="0" i="0" u="none" strike="noStrike" baseline="0">
              <a:solidFill>
                <a:srgbClr val="000000"/>
              </a:solidFill>
              <a:latin typeface="Arial"/>
              <a:cs typeface="Arial"/>
            </a:rPr>
            <a:t>                      h = depth of liquid in both heads, in.</a:t>
          </a:r>
        </a:p>
        <a:p>
          <a:pPr algn="l" rtl="0">
            <a:defRPr sz="1000"/>
          </a:pPr>
          <a:r>
            <a:rPr lang="en-IN" sz="1000" b="0" i="0" u="none" strike="noStrike" baseline="0">
              <a:solidFill>
                <a:srgbClr val="000000"/>
              </a:solidFill>
              <a:latin typeface="Arial"/>
              <a:cs typeface="Arial"/>
            </a:rPr>
            <a:t>                      r  = inside radius of the horizontal heads, in. </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(Note that this is the same equation offered by Caplan, above, for a dished-only head.  His equation for an ellipsoidal head, although of the same form, is 142% in excess of the basic Doolittle relationship.)</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Doolittle made some simplifying assumptions which affect the accuracy of the volume given by his equation, but the equation is satisfactory for determining the volume </a:t>
          </a:r>
          <a:r>
            <a:rPr lang="en-IN" sz="1000" b="0" i="0" u="sng" strike="noStrike" baseline="0">
              <a:solidFill>
                <a:srgbClr val="000000"/>
              </a:solidFill>
              <a:latin typeface="Arial"/>
              <a:cs typeface="Arial"/>
            </a:rPr>
            <a:t>as a fraction of the entire head</a:t>
          </a:r>
          <a:r>
            <a:rPr lang="en-IN" sz="1000" b="0" i="0" u="none" strike="noStrike" baseline="0">
              <a:solidFill>
                <a:srgbClr val="000000"/>
              </a:solidFill>
              <a:latin typeface="Arial"/>
              <a:cs typeface="Arial"/>
            </a:rPr>
            <a:t>.  This fraction, calculated by Doolittle's formula, is given in the Table listed above and regressed in the accompanying Chart.  The Table or the resulting 3rd order polynomial equation,</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Ze = -2 (h/d)</a:t>
          </a:r>
          <a:r>
            <a:rPr lang="en-IN" sz="1000" b="0" i="0" u="none" strike="noStrike" baseline="30000">
              <a:solidFill>
                <a:srgbClr val="000000"/>
              </a:solidFill>
              <a:latin typeface="Arial"/>
              <a:cs typeface="Arial"/>
            </a:rPr>
            <a:t>3</a:t>
          </a:r>
          <a:r>
            <a:rPr lang="en-IN" sz="1000" b="0" i="0" u="none" strike="noStrike" baseline="0">
              <a:solidFill>
                <a:srgbClr val="000000"/>
              </a:solidFill>
              <a:latin typeface="Arial"/>
              <a:cs typeface="Arial"/>
            </a:rPr>
            <a:t> + 3 (h/d)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- 0.0016 (h/d) + 0.0001</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can be used to arrive at a partial volume of standard dished, torispherical (ASME F&amp;D), ellipsoidal, and hemispherical heads </a:t>
          </a:r>
          <a:r>
            <a:rPr lang="en-IN" sz="1000" b="0" i="0" u="sng" strike="noStrike" baseline="0">
              <a:solidFill>
                <a:srgbClr val="000000"/>
              </a:solidFill>
              <a:latin typeface="Arial"/>
              <a:cs typeface="Arial"/>
            </a:rPr>
            <a:t>with an error of less than 2% of the entire head's volume</a:t>
          </a:r>
          <a:r>
            <a:rPr lang="en-IN" sz="1000" b="0" i="0" u="none" strike="noStrike" baseline="0">
              <a:solidFill>
                <a:srgbClr val="000000"/>
              </a:solidFill>
              <a:latin typeface="Arial"/>
              <a:cs typeface="Arial"/>
            </a:rPr>
            <a:t>.</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Conical heads' volumes are defined by the exact mathematical expression for a truncated cone: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c</a:t>
          </a:r>
          <a:r>
            <a:rPr lang="en-IN" sz="1000" b="0" i="0" u="none" strike="noStrike" baseline="0">
              <a:solidFill>
                <a:srgbClr val="000000"/>
              </a:solidFill>
              <a:latin typeface="Arial"/>
              <a:cs typeface="Arial"/>
            </a:rPr>
            <a:t> = </a:t>
          </a:r>
          <a:r>
            <a:rPr lang="en-IN" sz="1000" b="0" i="0" u="none" strike="noStrike" baseline="0">
              <a:solidFill>
                <a:srgbClr val="000000"/>
              </a:solidFill>
              <a:latin typeface="Symbol"/>
              <a:cs typeface="Arial"/>
            </a:rPr>
            <a:t>p </a:t>
          </a:r>
          <a:r>
            <a:rPr lang="en-IN" sz="1000" b="0" i="0" u="none" strike="noStrike" baseline="0">
              <a:solidFill>
                <a:srgbClr val="000000"/>
              </a:solidFill>
              <a:latin typeface="Arial"/>
              <a:cs typeface="Arial"/>
            </a:rPr>
            <a:t>h (D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 dD + 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 12</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where,     V</a:t>
          </a:r>
          <a:r>
            <a:rPr lang="en-IN" sz="1000" b="0" i="0" u="none" strike="noStrike" baseline="-25000">
              <a:solidFill>
                <a:srgbClr val="000000"/>
              </a:solidFill>
              <a:latin typeface="Arial"/>
              <a:cs typeface="Arial"/>
            </a:rPr>
            <a:t>c</a:t>
          </a:r>
          <a:r>
            <a:rPr lang="en-IN" sz="1000" b="0" i="0" u="none" strike="noStrike" baseline="0">
              <a:solidFill>
                <a:srgbClr val="000000"/>
              </a:solidFill>
              <a:latin typeface="Arial"/>
              <a:cs typeface="Arial"/>
            </a:rPr>
            <a:t> = total conical volume, cu. ft.</a:t>
          </a:r>
        </a:p>
        <a:p>
          <a:pPr algn="l" rtl="0">
            <a:defRPr sz="1000"/>
          </a:pPr>
          <a:r>
            <a:rPr lang="en-IN" sz="1000" b="0" i="0" u="none" strike="noStrike" baseline="0">
              <a:solidFill>
                <a:srgbClr val="000000"/>
              </a:solidFill>
              <a:latin typeface="Arial"/>
              <a:cs typeface="Arial"/>
            </a:rPr>
            <a:t>                h  = height of the cone, ft</a:t>
          </a:r>
        </a:p>
        <a:p>
          <a:pPr algn="l" rtl="0">
            <a:defRPr sz="1000"/>
          </a:pPr>
          <a:r>
            <a:rPr lang="en-IN" sz="1000" b="0" i="0" u="none" strike="noStrike" baseline="0">
              <a:solidFill>
                <a:srgbClr val="000000"/>
              </a:solidFill>
              <a:latin typeface="Arial"/>
              <a:cs typeface="Arial"/>
            </a:rPr>
            <a:t>                d  = diameter of the small end, ft</a:t>
          </a:r>
        </a:p>
        <a:p>
          <a:pPr algn="l" rtl="0">
            <a:defRPr sz="1000"/>
          </a:pPr>
          <a:r>
            <a:rPr lang="en-IN" sz="1000" b="0" i="0" u="none" strike="noStrike" baseline="0">
              <a:solidFill>
                <a:srgbClr val="000000"/>
              </a:solidFill>
              <a:latin typeface="Arial"/>
              <a:cs typeface="Arial"/>
            </a:rPr>
            <a:t>                D  = diameter of the large end, ft</a:t>
          </a:r>
        </a:p>
        <a:p>
          <a:pPr algn="l" rtl="0">
            <a:defRPr sz="1000"/>
          </a:pPr>
          <a:r>
            <a:rPr lang="en-IN" sz="1000" b="0" i="0" u="none" strike="noStrike" baseline="0">
              <a:solidFill>
                <a:srgbClr val="000000"/>
              </a:solidFill>
              <a:latin typeface="Arial"/>
              <a:cs typeface="Arial"/>
            </a:rPr>
            <a:t> </a:t>
          </a:r>
        </a:p>
        <a:p>
          <a:pPr algn="l" rtl="0">
            <a:defRPr sz="1000"/>
          </a:pPr>
          <a:r>
            <a:rPr lang="en-IN" sz="1000" b="0" i="0" u="none" strike="noStrike" baseline="0">
              <a:solidFill>
                <a:srgbClr val="000000"/>
              </a:solidFill>
              <a:latin typeface="Arial"/>
              <a:cs typeface="Arial"/>
            </a:rPr>
            <a:t>When a tank volume cannot be calculated, or when greater precision is required, calibration may be necessary.  This is done by draining (or filling) the tank and measuring the volume of liquid.  The measurement may be made by weighing, by a calibrated fluid meter (i.e., Micro Motion Coriolis flowmeter), or by repeatedly filling small measuring tanks which have been calibrated by weight.  From the known fluid density at the measured temperature, the equivalent volume can be quickly converted from the measured fluid mass.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a:t>
          </a: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xdr:txBody>
    </xdr:sp>
    <xdr:clientData/>
  </xdr:twoCellAnchor>
  <xdr:twoCellAnchor>
    <xdr:from>
      <xdr:col>0</xdr:col>
      <xdr:colOff>0</xdr:colOff>
      <xdr:row>186</xdr:row>
      <xdr:rowOff>9525</xdr:rowOff>
    </xdr:from>
    <xdr:to>
      <xdr:col>7</xdr:col>
      <xdr:colOff>876300</xdr:colOff>
      <xdr:row>220</xdr:row>
      <xdr:rowOff>57150</xdr:rowOff>
    </xdr:to>
    <xdr:sp macro="" textlink="">
      <xdr:nvSpPr>
        <xdr:cNvPr id="16413" name="Text Box 29">
          <a:extLst>
            <a:ext uri="{FF2B5EF4-FFF2-40B4-BE49-F238E27FC236}">
              <a16:creationId xmlns:a16="http://schemas.microsoft.com/office/drawing/2014/main" id="{1C8B60DB-BE31-418F-BC43-0F5A8F90A0DE}"/>
            </a:ext>
          </a:extLst>
        </xdr:cNvPr>
        <xdr:cNvSpPr txBox="1">
          <a:spLocks noChangeArrowheads="1"/>
        </xdr:cNvSpPr>
      </xdr:nvSpPr>
      <xdr:spPr bwMode="auto">
        <a:xfrm>
          <a:off x="0" y="29879925"/>
          <a:ext cx="6772275" cy="5229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Doolittle relationship can be applied to Horizontal </a:t>
          </a:r>
          <a:r>
            <a:rPr lang="en-IN" sz="1000" b="0" i="0" u="sng" strike="noStrike" baseline="0">
              <a:solidFill>
                <a:srgbClr val="000000"/>
              </a:solidFill>
              <a:latin typeface="Arial"/>
              <a:cs typeface="Arial"/>
            </a:rPr>
            <a:t>and</a:t>
          </a:r>
          <a:r>
            <a:rPr lang="en-IN" sz="1000" b="0" i="0" u="none" strike="noStrike" baseline="0">
              <a:solidFill>
                <a:srgbClr val="000000"/>
              </a:solidFill>
              <a:latin typeface="Arial"/>
              <a:cs typeface="Arial"/>
            </a:rPr>
            <a:t> Vertical-oriented Ellipsoidal (and F&amp;D) vessel heads.  However, </a:t>
          </a:r>
          <a:r>
            <a:rPr lang="en-IN" sz="1000" b="1" i="1" u="none" strike="noStrike" baseline="0">
              <a:solidFill>
                <a:srgbClr val="000000"/>
              </a:solidFill>
              <a:latin typeface="Arial"/>
              <a:cs typeface="Arial"/>
            </a:rPr>
            <a:t>it is important to note that the H/D ratio that sets the fractional Coefficient, Ze, is measured differently in both cases</a:t>
          </a:r>
          <a:r>
            <a:rPr lang="en-IN" sz="1000" b="0" i="0" u="none" strike="noStrike" baseline="0">
              <a:solidFill>
                <a:srgbClr val="000000"/>
              </a:solidFill>
              <a:latin typeface="Arial"/>
              <a:cs typeface="Arial"/>
            </a:rPr>
            <a:t>.  Refer to the above illustrations of Ellipsoids oriented horizontally and vertically.</a:t>
          </a: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r>
            <a:rPr lang="en-IN" sz="1000" b="1" i="0" u="none" strike="noStrike" baseline="0">
              <a:solidFill>
                <a:srgbClr val="000000"/>
              </a:solidFill>
              <a:latin typeface="Arial"/>
              <a:cs typeface="Arial"/>
            </a:rPr>
            <a:t>For</a:t>
          </a:r>
          <a:r>
            <a:rPr lang="en-IN" sz="1000" b="0" i="0" u="none" strike="noStrike" baseline="0">
              <a:solidFill>
                <a:srgbClr val="000000"/>
              </a:solidFill>
              <a:latin typeface="Arial"/>
              <a:cs typeface="Arial"/>
            </a:rPr>
            <a:t> </a:t>
          </a:r>
          <a:r>
            <a:rPr lang="en-IN" sz="1000" b="1" i="0" u="none" strike="noStrike" baseline="0">
              <a:solidFill>
                <a:srgbClr val="000000"/>
              </a:solidFill>
              <a:latin typeface="Arial"/>
              <a:cs typeface="Arial"/>
            </a:rPr>
            <a:t>Horizontal Vessel Heads:</a:t>
          </a: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In this case, note that the H/D ratio represents the Liquid depth divided by the Major Axis (internal diameter) of the Ellipsoidal heads.</a:t>
          </a: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r>
            <a:rPr lang="en-IN" sz="1000" b="1" i="0" u="none" strike="noStrike" baseline="0">
              <a:solidFill>
                <a:srgbClr val="000000"/>
              </a:solidFill>
              <a:latin typeface="Arial"/>
              <a:cs typeface="Arial"/>
            </a:rPr>
            <a:t>For Vertical Vessel Heads:</a:t>
          </a:r>
        </a:p>
        <a:p>
          <a:pPr algn="l" rtl="0">
            <a:defRPr sz="1000"/>
          </a:pPr>
          <a:endParaRPr lang="en-IN" sz="1000" b="1"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H/D ratio corresponding to this orientation is the Liquid depth divided by the</a:t>
          </a:r>
          <a:r>
            <a:rPr lang="en-IN" sz="1000" b="1" i="0" u="sng" strike="noStrike" baseline="0">
              <a:solidFill>
                <a:srgbClr val="000000"/>
              </a:solidFill>
              <a:latin typeface="Arial"/>
              <a:cs typeface="Arial"/>
            </a:rPr>
            <a:t> Minor</a:t>
          </a:r>
          <a:r>
            <a:rPr lang="en-IN" sz="1000" b="0" i="0" u="none" strike="noStrike" baseline="0">
              <a:solidFill>
                <a:srgbClr val="000000"/>
              </a:solidFill>
              <a:latin typeface="Arial"/>
              <a:cs typeface="Arial"/>
            </a:rPr>
            <a:t> Axis, </a:t>
          </a:r>
          <a:r>
            <a:rPr lang="en-IN" sz="1000" b="0" i="0" u="sng" strike="noStrike" baseline="0">
              <a:solidFill>
                <a:srgbClr val="000000"/>
              </a:solidFill>
              <a:latin typeface="Arial"/>
              <a:cs typeface="Arial"/>
            </a:rPr>
            <a:t>not the Major Axis (internal diameter) of the Ellipsoidal heads</a:t>
          </a:r>
          <a:r>
            <a:rPr lang="en-IN" sz="1000" b="0" i="0" u="none" strike="noStrike" baseline="0">
              <a:solidFill>
                <a:srgbClr val="000000"/>
              </a:solidFill>
              <a:latin typeface="Arial"/>
              <a:cs typeface="Arial"/>
            </a:rPr>
            <a:t>.  This means that the Inside Depth of Dish (IDD) must be known.  The IDD is the depth of the head at its center and includes the inside corner radius but not the straight flange or nominal thickness of the head.  Characteristic IDD's for various types of heads are: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Standard dished head:      OD / 7   (Note: This is only approximate, since no standards exist for dished heads)</a:t>
          </a:r>
        </a:p>
        <a:p>
          <a:pPr algn="l" rtl="0">
            <a:defRPr sz="1000"/>
          </a:pPr>
          <a:r>
            <a:rPr lang="en-IN" sz="1000" b="0" i="0" u="none" strike="noStrike" baseline="0">
              <a:solidFill>
                <a:srgbClr val="000000"/>
              </a:solidFill>
              <a:latin typeface="Arial"/>
              <a:cs typeface="Arial"/>
            </a:rPr>
            <a:t>          ASME F&amp;D head:             OD / 6</a:t>
          </a:r>
        </a:p>
        <a:p>
          <a:pPr algn="l" rtl="0">
            <a:defRPr sz="1000"/>
          </a:pPr>
          <a:r>
            <a:rPr lang="en-IN" sz="1000" b="0" i="0" u="none" strike="noStrike" baseline="0">
              <a:solidFill>
                <a:srgbClr val="000000"/>
              </a:solidFill>
              <a:latin typeface="Arial"/>
              <a:cs typeface="Arial"/>
            </a:rPr>
            <a:t>          Ellipsoidal, 2:1 head:         ID / 4</a:t>
          </a:r>
        </a:p>
        <a:p>
          <a:pPr algn="l" rtl="0">
            <a:defRPr sz="1000"/>
          </a:pPr>
          <a:r>
            <a:rPr lang="en-IN" sz="1000" b="0" i="0" u="none" strike="noStrike" baseline="0">
              <a:solidFill>
                <a:srgbClr val="000000"/>
              </a:solidFill>
              <a:latin typeface="Arial"/>
              <a:cs typeface="Arial"/>
            </a:rPr>
            <a:t>          Hemispherical head:          ID / 2</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An analytical equation for the partial volume of vertical oriented, "standard" dished heads at various depths is: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 = 0.01363 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L  - 0.004545 H</a:t>
          </a:r>
          <a:r>
            <a:rPr lang="en-IN" sz="1000" b="0" i="0" u="none" strike="noStrike" baseline="30000">
              <a:solidFill>
                <a:srgbClr val="000000"/>
              </a:solidFill>
              <a:latin typeface="Arial"/>
              <a:cs typeface="Arial"/>
            </a:rPr>
            <a:t>3</a:t>
          </a:r>
          <a:r>
            <a:rPr lang="en-IN" sz="1000" b="0" i="0" u="none" strike="noStrike" baseline="0">
              <a:solidFill>
                <a:srgbClr val="000000"/>
              </a:solidFill>
              <a:latin typeface="Arial"/>
              <a:cs typeface="Arial"/>
            </a:rPr>
            <a:t> ......................(Chemical Processing Nomographs;Dale S. Davis; </a:t>
          </a:r>
        </a:p>
        <a:p>
          <a:pPr algn="l" rtl="0">
            <a:defRPr sz="1000"/>
          </a:pPr>
          <a:r>
            <a:rPr lang="en-IN" sz="1000" b="0" i="0" u="none" strike="noStrike" baseline="0">
              <a:solidFill>
                <a:srgbClr val="000000"/>
              </a:solidFill>
              <a:latin typeface="Arial"/>
              <a:cs typeface="Arial"/>
            </a:rPr>
            <a:t>                                                                                   Chemical Publishing Co.;1969; p. 276)</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where,    V = liquid volume in the dish, gallons (excluding flanged section)</a:t>
          </a:r>
        </a:p>
        <a:p>
          <a:pPr algn="l" rtl="0">
            <a:defRPr sz="1000"/>
          </a:pPr>
          <a:r>
            <a:rPr lang="en-IN" sz="1000" b="0" i="0" u="none" strike="noStrike" baseline="0">
              <a:solidFill>
                <a:srgbClr val="000000"/>
              </a:solidFill>
              <a:latin typeface="Arial"/>
              <a:cs typeface="Arial"/>
            </a:rPr>
            <a:t>               H = liquid depth in the dish, inches</a:t>
          </a:r>
        </a:p>
        <a:p>
          <a:pPr algn="l" rtl="0">
            <a:defRPr sz="1000"/>
          </a:pPr>
          <a:r>
            <a:rPr lang="en-IN" sz="1000" b="0" i="0" u="none" strike="noStrike" baseline="0">
              <a:solidFill>
                <a:srgbClr val="000000"/>
              </a:solidFill>
              <a:latin typeface="Arial"/>
              <a:cs typeface="Arial"/>
            </a:rPr>
            <a:t>               L = radius of the dish, inches (usually equal to the tank ID, minus 6 inches)</a:t>
          </a:r>
        </a:p>
      </xdr:txBody>
    </xdr:sp>
    <xdr:clientData/>
  </xdr:twoCellAnchor>
  <xdr:twoCellAnchor>
    <xdr:from>
      <xdr:col>0</xdr:col>
      <xdr:colOff>514350</xdr:colOff>
      <xdr:row>166</xdr:row>
      <xdr:rowOff>104775</xdr:rowOff>
    </xdr:from>
    <xdr:to>
      <xdr:col>7</xdr:col>
      <xdr:colOff>495300</xdr:colOff>
      <xdr:row>184</xdr:row>
      <xdr:rowOff>47625</xdr:rowOff>
    </xdr:to>
    <xdr:grpSp>
      <xdr:nvGrpSpPr>
        <xdr:cNvPr id="16624" name="Group 30"/>
        <xdr:cNvGrpSpPr>
          <a:grpSpLocks/>
        </xdr:cNvGrpSpPr>
      </xdr:nvGrpSpPr>
      <xdr:grpSpPr bwMode="auto">
        <a:xfrm>
          <a:off x="514350" y="26927175"/>
          <a:ext cx="5876925" cy="2686050"/>
          <a:chOff x="28" y="2856"/>
          <a:chExt cx="617" cy="282"/>
        </a:xfrm>
      </xdr:grpSpPr>
      <xdr:sp macro="" textlink="">
        <xdr:nvSpPr>
          <xdr:cNvPr id="16625" name="Oval 31"/>
          <xdr:cNvSpPr>
            <a:spLocks noChangeArrowheads="1"/>
          </xdr:cNvSpPr>
        </xdr:nvSpPr>
        <xdr:spPr bwMode="auto">
          <a:xfrm>
            <a:off x="155" y="2860"/>
            <a:ext cx="102" cy="219"/>
          </a:xfrm>
          <a:prstGeom prst="ellipse">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6626" name="Oval 32"/>
          <xdr:cNvSpPr>
            <a:spLocks noChangeArrowheads="1"/>
          </xdr:cNvSpPr>
        </xdr:nvSpPr>
        <xdr:spPr bwMode="auto">
          <a:xfrm rot="5448470">
            <a:off x="394" y="2847"/>
            <a:ext cx="102" cy="219"/>
          </a:xfrm>
          <a:prstGeom prst="ellipse">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627" name="Line 33"/>
          <xdr:cNvSpPr>
            <a:spLocks noChangeShapeType="1"/>
          </xdr:cNvSpPr>
        </xdr:nvSpPr>
        <xdr:spPr bwMode="auto">
          <a:xfrm flipH="1">
            <a:off x="33" y="2856"/>
            <a:ext cx="15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628" name="Line 34"/>
          <xdr:cNvSpPr>
            <a:spLocks noChangeShapeType="1"/>
          </xdr:cNvSpPr>
        </xdr:nvSpPr>
        <xdr:spPr bwMode="auto">
          <a:xfrm flipH="1">
            <a:off x="36" y="3077"/>
            <a:ext cx="15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629" name="Line 35"/>
          <xdr:cNvSpPr>
            <a:spLocks noChangeShapeType="1"/>
          </xdr:cNvSpPr>
        </xdr:nvSpPr>
        <xdr:spPr bwMode="auto">
          <a:xfrm flipH="1">
            <a:off x="481" y="2906"/>
            <a:ext cx="15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630" name="Line 36"/>
          <xdr:cNvSpPr>
            <a:spLocks noChangeShapeType="1"/>
          </xdr:cNvSpPr>
        </xdr:nvSpPr>
        <xdr:spPr bwMode="auto">
          <a:xfrm flipH="1">
            <a:off x="490" y="3009"/>
            <a:ext cx="15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21" name="Text Box 37">
            <a:extLst>
              <a:ext uri="{FF2B5EF4-FFF2-40B4-BE49-F238E27FC236}">
                <a16:creationId xmlns:a16="http://schemas.microsoft.com/office/drawing/2014/main" id="{29021278-4843-4575-80A4-6FBCD9CC13AD}"/>
              </a:ext>
            </a:extLst>
          </xdr:cNvPr>
          <xdr:cNvSpPr txBox="1">
            <a:spLocks noChangeArrowheads="1"/>
          </xdr:cNvSpPr>
        </xdr:nvSpPr>
        <xdr:spPr bwMode="auto">
          <a:xfrm>
            <a:off x="28" y="2935"/>
            <a:ext cx="114" cy="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IN" sz="1000" b="0" i="0" u="none" strike="noStrike" baseline="0">
                <a:solidFill>
                  <a:srgbClr val="000000"/>
                </a:solidFill>
                <a:latin typeface="Arial"/>
                <a:cs typeface="Arial"/>
              </a:rPr>
              <a:t>Horizontal vessel </a:t>
            </a:r>
          </a:p>
          <a:p>
            <a:pPr algn="ctr" rtl="0">
              <a:defRPr sz="1000"/>
            </a:pPr>
            <a:r>
              <a:rPr lang="en-IN" sz="1000" b="0" i="0" u="none" strike="noStrike" baseline="0">
                <a:solidFill>
                  <a:srgbClr val="000000"/>
                </a:solidFill>
                <a:latin typeface="Arial"/>
                <a:cs typeface="Arial"/>
              </a:rPr>
              <a:t>diameter (D)</a:t>
            </a:r>
          </a:p>
          <a:p>
            <a:pPr algn="ctr" rtl="0">
              <a:defRPr sz="1000"/>
            </a:pPr>
            <a:r>
              <a:rPr lang="en-IN" sz="1000" b="0" i="0" u="none" strike="noStrike" baseline="0">
                <a:solidFill>
                  <a:srgbClr val="000000"/>
                </a:solidFill>
                <a:latin typeface="Arial"/>
                <a:cs typeface="Arial"/>
              </a:rPr>
              <a:t>(major axis)</a:t>
            </a:r>
          </a:p>
        </xdr:txBody>
      </xdr:sp>
      <xdr:sp macro="" textlink="">
        <xdr:nvSpPr>
          <xdr:cNvPr id="16422" name="Text Box 38">
            <a:extLst>
              <a:ext uri="{FF2B5EF4-FFF2-40B4-BE49-F238E27FC236}">
                <a16:creationId xmlns:a16="http://schemas.microsoft.com/office/drawing/2014/main" id="{C23A761C-73F4-4892-AE90-CB5AF6754E06}"/>
              </a:ext>
            </a:extLst>
          </xdr:cNvPr>
          <xdr:cNvSpPr txBox="1">
            <a:spLocks noChangeArrowheads="1"/>
          </xdr:cNvSpPr>
        </xdr:nvSpPr>
        <xdr:spPr bwMode="auto">
          <a:xfrm>
            <a:off x="566" y="2941"/>
            <a:ext cx="66" cy="3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lnSpc>
                <a:spcPts val="800"/>
              </a:lnSpc>
              <a:defRPr sz="1000"/>
            </a:pPr>
            <a:r>
              <a:rPr lang="en-IN" sz="1000" b="0" i="0" u="none" strike="noStrike" baseline="0">
                <a:solidFill>
                  <a:srgbClr val="000000"/>
                </a:solidFill>
                <a:latin typeface="Arial"/>
                <a:cs typeface="Arial"/>
              </a:rPr>
              <a:t>minor axis</a:t>
            </a:r>
          </a:p>
          <a:p>
            <a:pPr algn="ctr" rtl="0">
              <a:lnSpc>
                <a:spcPts val="1000"/>
              </a:lnSpc>
              <a:defRPr sz="1000"/>
            </a:pPr>
            <a:r>
              <a:rPr lang="en-IN" sz="1000" b="0" i="0" u="none" strike="noStrike" baseline="0">
                <a:solidFill>
                  <a:srgbClr val="000000"/>
                </a:solidFill>
                <a:latin typeface="Arial"/>
                <a:cs typeface="Arial"/>
              </a:rPr>
              <a:t>(D)</a:t>
            </a:r>
          </a:p>
        </xdr:txBody>
      </xdr:sp>
      <xdr:sp macro="" textlink="">
        <xdr:nvSpPr>
          <xdr:cNvPr id="16423" name="Text Box 39">
            <a:extLst>
              <a:ext uri="{FF2B5EF4-FFF2-40B4-BE49-F238E27FC236}">
                <a16:creationId xmlns:a16="http://schemas.microsoft.com/office/drawing/2014/main" id="{F0F646F9-7A84-4744-B99F-4F3CFF216E8E}"/>
              </a:ext>
            </a:extLst>
          </xdr:cNvPr>
          <xdr:cNvSpPr txBox="1">
            <a:spLocks noChangeArrowheads="1"/>
          </xdr:cNvSpPr>
        </xdr:nvSpPr>
        <xdr:spPr bwMode="auto">
          <a:xfrm>
            <a:off x="97" y="3112"/>
            <a:ext cx="220" cy="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Horizontal Vessel Heads' orientation</a:t>
            </a:r>
          </a:p>
        </xdr:txBody>
      </xdr:sp>
      <xdr:sp macro="" textlink="">
        <xdr:nvSpPr>
          <xdr:cNvPr id="16424" name="Text Box 40">
            <a:extLst>
              <a:ext uri="{FF2B5EF4-FFF2-40B4-BE49-F238E27FC236}">
                <a16:creationId xmlns:a16="http://schemas.microsoft.com/office/drawing/2014/main" id="{B34C1B98-89AF-40C9-B092-82C9053A95F5}"/>
              </a:ext>
            </a:extLst>
          </xdr:cNvPr>
          <xdr:cNvSpPr txBox="1">
            <a:spLocks noChangeArrowheads="1"/>
          </xdr:cNvSpPr>
        </xdr:nvSpPr>
        <xdr:spPr bwMode="auto">
          <a:xfrm>
            <a:off x="355" y="3112"/>
            <a:ext cx="202" cy="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Vertical Vessel Heads' orientation</a:t>
            </a:r>
          </a:p>
        </xdr:txBody>
      </xdr:sp>
      <xdr:sp macro="" textlink="">
        <xdr:nvSpPr>
          <xdr:cNvPr id="16635" name="Line 41"/>
          <xdr:cNvSpPr>
            <a:spLocks noChangeShapeType="1"/>
          </xdr:cNvSpPr>
        </xdr:nvSpPr>
        <xdr:spPr bwMode="auto">
          <a:xfrm flipV="1">
            <a:off x="598" y="2906"/>
            <a:ext cx="0" cy="3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636" name="Line 42"/>
          <xdr:cNvSpPr>
            <a:spLocks noChangeShapeType="1"/>
          </xdr:cNvSpPr>
        </xdr:nvSpPr>
        <xdr:spPr bwMode="auto">
          <a:xfrm>
            <a:off x="598" y="2978"/>
            <a:ext cx="0" cy="3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637" name="Line 43"/>
          <xdr:cNvSpPr>
            <a:spLocks noChangeShapeType="1"/>
          </xdr:cNvSpPr>
        </xdr:nvSpPr>
        <xdr:spPr bwMode="auto">
          <a:xfrm flipV="1">
            <a:off x="83" y="2856"/>
            <a:ext cx="0" cy="7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638" name="Line 44"/>
          <xdr:cNvSpPr>
            <a:spLocks noChangeShapeType="1"/>
          </xdr:cNvSpPr>
        </xdr:nvSpPr>
        <xdr:spPr bwMode="auto">
          <a:xfrm>
            <a:off x="82" y="2985"/>
            <a:ext cx="0" cy="9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6639" name="Line 45"/>
          <xdr:cNvSpPr>
            <a:spLocks noChangeShapeType="1"/>
          </xdr:cNvSpPr>
        </xdr:nvSpPr>
        <xdr:spPr bwMode="auto">
          <a:xfrm>
            <a:off x="350" y="2982"/>
            <a:ext cx="19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640" name="Line 46"/>
          <xdr:cNvSpPr>
            <a:spLocks noChangeShapeType="1"/>
          </xdr:cNvSpPr>
        </xdr:nvSpPr>
        <xdr:spPr bwMode="auto">
          <a:xfrm>
            <a:off x="303" y="3009"/>
            <a:ext cx="8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641" name="Line 47"/>
          <xdr:cNvSpPr>
            <a:spLocks noChangeShapeType="1"/>
          </xdr:cNvSpPr>
        </xdr:nvSpPr>
        <xdr:spPr bwMode="auto">
          <a:xfrm>
            <a:off x="298" y="2982"/>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642" name="Line 48"/>
          <xdr:cNvSpPr>
            <a:spLocks noChangeShapeType="1"/>
          </xdr:cNvSpPr>
        </xdr:nvSpPr>
        <xdr:spPr bwMode="auto">
          <a:xfrm flipH="1">
            <a:off x="104" y="3011"/>
            <a:ext cx="5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33" name="Text Box 49">
            <a:extLst>
              <a:ext uri="{FF2B5EF4-FFF2-40B4-BE49-F238E27FC236}">
                <a16:creationId xmlns:a16="http://schemas.microsoft.com/office/drawing/2014/main" id="{B759D4D3-7425-4806-B86F-8E6352B91E66}"/>
              </a:ext>
            </a:extLst>
          </xdr:cNvPr>
          <xdr:cNvSpPr txBox="1">
            <a:spLocks noChangeArrowheads="1"/>
          </xdr:cNvSpPr>
        </xdr:nvSpPr>
        <xdr:spPr bwMode="auto">
          <a:xfrm>
            <a:off x="312" y="2985"/>
            <a:ext cx="13"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H</a:t>
            </a:r>
          </a:p>
        </xdr:txBody>
      </xdr:sp>
      <xdr:sp macro="" textlink="">
        <xdr:nvSpPr>
          <xdr:cNvPr id="16644" name="Line 50"/>
          <xdr:cNvSpPr>
            <a:spLocks noChangeShapeType="1"/>
          </xdr:cNvSpPr>
        </xdr:nvSpPr>
        <xdr:spPr bwMode="auto">
          <a:xfrm>
            <a:off x="334" y="2982"/>
            <a:ext cx="0" cy="27"/>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6645" name="Line 51"/>
          <xdr:cNvSpPr>
            <a:spLocks noChangeShapeType="1"/>
          </xdr:cNvSpPr>
        </xdr:nvSpPr>
        <xdr:spPr bwMode="auto">
          <a:xfrm>
            <a:off x="143" y="3011"/>
            <a:ext cx="0" cy="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6436" name="Text Box 52">
            <a:extLst>
              <a:ext uri="{FF2B5EF4-FFF2-40B4-BE49-F238E27FC236}">
                <a16:creationId xmlns:a16="http://schemas.microsoft.com/office/drawing/2014/main" id="{62F7B431-6369-4871-8543-C0137BC5973A}"/>
              </a:ext>
            </a:extLst>
          </xdr:cNvPr>
          <xdr:cNvSpPr txBox="1">
            <a:spLocks noChangeArrowheads="1"/>
          </xdr:cNvSpPr>
        </xdr:nvSpPr>
        <xdr:spPr bwMode="auto">
          <a:xfrm>
            <a:off x="126" y="3037"/>
            <a:ext cx="13"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H</a:t>
            </a:r>
          </a:p>
        </xdr:txBody>
      </xdr:sp>
      <xdr:sp macro="" textlink="">
        <xdr:nvSpPr>
          <xdr:cNvPr id="16647" name="Freeform 53"/>
          <xdr:cNvSpPr>
            <a:spLocks/>
          </xdr:cNvSpPr>
        </xdr:nvSpPr>
        <xdr:spPr bwMode="auto">
          <a:xfrm>
            <a:off x="157" y="3008"/>
            <a:ext cx="99" cy="70"/>
          </a:xfrm>
          <a:custGeom>
            <a:avLst/>
            <a:gdLst>
              <a:gd name="T0" fmla="*/ 1 w 99"/>
              <a:gd name="T1" fmla="*/ 3 h 70"/>
              <a:gd name="T2" fmla="*/ 11 w 99"/>
              <a:gd name="T3" fmla="*/ 39 h 70"/>
              <a:gd name="T4" fmla="*/ 19 w 99"/>
              <a:gd name="T5" fmla="*/ 52 h 70"/>
              <a:gd name="T6" fmla="*/ 22 w 99"/>
              <a:gd name="T7" fmla="*/ 56 h 70"/>
              <a:gd name="T8" fmla="*/ 38 w 99"/>
              <a:gd name="T9" fmla="*/ 68 h 70"/>
              <a:gd name="T10" fmla="*/ 47 w 99"/>
              <a:gd name="T11" fmla="*/ 70 h 70"/>
              <a:gd name="T12" fmla="*/ 62 w 99"/>
              <a:gd name="T13" fmla="*/ 66 h 70"/>
              <a:gd name="T14" fmla="*/ 71 w 99"/>
              <a:gd name="T15" fmla="*/ 61 h 70"/>
              <a:gd name="T16" fmla="*/ 83 w 99"/>
              <a:gd name="T17" fmla="*/ 47 h 70"/>
              <a:gd name="T18" fmla="*/ 88 w 99"/>
              <a:gd name="T19" fmla="*/ 33 h 70"/>
              <a:gd name="T20" fmla="*/ 95 w 99"/>
              <a:gd name="T21" fmla="*/ 11 h 70"/>
              <a:gd name="T22" fmla="*/ 95 w 99"/>
              <a:gd name="T23" fmla="*/ 7 h 70"/>
              <a:gd name="T24" fmla="*/ 95 w 99"/>
              <a:gd name="T25" fmla="*/ 1 h 70"/>
              <a:gd name="T26" fmla="*/ 74 w 99"/>
              <a:gd name="T27" fmla="*/ 2 h 70"/>
              <a:gd name="T28" fmla="*/ 59 w 99"/>
              <a:gd name="T29" fmla="*/ 1 h 70"/>
              <a:gd name="T30" fmla="*/ 53 w 99"/>
              <a:gd name="T31" fmla="*/ 2 h 70"/>
              <a:gd name="T32" fmla="*/ 45 w 99"/>
              <a:gd name="T33" fmla="*/ 2 h 70"/>
              <a:gd name="T34" fmla="*/ 40 w 99"/>
              <a:gd name="T35" fmla="*/ 3 h 70"/>
              <a:gd name="T36" fmla="*/ 33 w 99"/>
              <a:gd name="T37" fmla="*/ 2 h 70"/>
              <a:gd name="T38" fmla="*/ 24 w 99"/>
              <a:gd name="T39" fmla="*/ 1 h 70"/>
              <a:gd name="T40" fmla="*/ 14 w 99"/>
              <a:gd name="T41" fmla="*/ 1 h 70"/>
              <a:gd name="T42" fmla="*/ 6 w 99"/>
              <a:gd name="T43" fmla="*/ 1 h 70"/>
              <a:gd name="T44" fmla="*/ 1 w 99"/>
              <a:gd name="T45" fmla="*/ 3 h 70"/>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0" t="0" r="r" b="b"/>
            <a:pathLst>
              <a:path w="99" h="70">
                <a:moveTo>
                  <a:pt x="1" y="3"/>
                </a:moveTo>
                <a:cubicBezTo>
                  <a:pt x="0" y="9"/>
                  <a:pt x="8" y="31"/>
                  <a:pt x="11" y="39"/>
                </a:cubicBezTo>
                <a:cubicBezTo>
                  <a:pt x="14" y="47"/>
                  <a:pt x="17" y="49"/>
                  <a:pt x="19" y="52"/>
                </a:cubicBezTo>
                <a:cubicBezTo>
                  <a:pt x="21" y="55"/>
                  <a:pt x="19" y="53"/>
                  <a:pt x="22" y="56"/>
                </a:cubicBezTo>
                <a:cubicBezTo>
                  <a:pt x="25" y="61"/>
                  <a:pt x="31" y="64"/>
                  <a:pt x="38" y="68"/>
                </a:cubicBezTo>
                <a:cubicBezTo>
                  <a:pt x="41" y="69"/>
                  <a:pt x="47" y="70"/>
                  <a:pt x="47" y="70"/>
                </a:cubicBezTo>
                <a:cubicBezTo>
                  <a:pt x="53" y="69"/>
                  <a:pt x="56" y="68"/>
                  <a:pt x="62" y="66"/>
                </a:cubicBezTo>
                <a:cubicBezTo>
                  <a:pt x="67" y="60"/>
                  <a:pt x="66" y="64"/>
                  <a:pt x="71" y="61"/>
                </a:cubicBezTo>
                <a:cubicBezTo>
                  <a:pt x="73" y="58"/>
                  <a:pt x="79" y="49"/>
                  <a:pt x="83" y="47"/>
                </a:cubicBezTo>
                <a:cubicBezTo>
                  <a:pt x="85" y="43"/>
                  <a:pt x="84" y="34"/>
                  <a:pt x="88" y="33"/>
                </a:cubicBezTo>
                <a:cubicBezTo>
                  <a:pt x="90" y="27"/>
                  <a:pt x="93" y="15"/>
                  <a:pt x="95" y="11"/>
                </a:cubicBezTo>
                <a:cubicBezTo>
                  <a:pt x="96" y="8"/>
                  <a:pt x="95" y="9"/>
                  <a:pt x="95" y="7"/>
                </a:cubicBezTo>
                <a:cubicBezTo>
                  <a:pt x="95" y="6"/>
                  <a:pt x="99" y="2"/>
                  <a:pt x="95" y="1"/>
                </a:cubicBezTo>
                <a:cubicBezTo>
                  <a:pt x="92" y="0"/>
                  <a:pt x="80" y="2"/>
                  <a:pt x="74" y="2"/>
                </a:cubicBezTo>
                <a:cubicBezTo>
                  <a:pt x="68" y="2"/>
                  <a:pt x="62" y="1"/>
                  <a:pt x="59" y="1"/>
                </a:cubicBezTo>
                <a:cubicBezTo>
                  <a:pt x="56" y="1"/>
                  <a:pt x="55" y="2"/>
                  <a:pt x="53" y="2"/>
                </a:cubicBezTo>
                <a:cubicBezTo>
                  <a:pt x="51" y="2"/>
                  <a:pt x="47" y="2"/>
                  <a:pt x="45" y="2"/>
                </a:cubicBezTo>
                <a:cubicBezTo>
                  <a:pt x="43" y="2"/>
                  <a:pt x="42" y="3"/>
                  <a:pt x="40" y="3"/>
                </a:cubicBezTo>
                <a:cubicBezTo>
                  <a:pt x="38" y="3"/>
                  <a:pt x="36" y="2"/>
                  <a:pt x="33" y="2"/>
                </a:cubicBezTo>
                <a:cubicBezTo>
                  <a:pt x="30" y="2"/>
                  <a:pt x="27" y="1"/>
                  <a:pt x="24" y="1"/>
                </a:cubicBezTo>
                <a:cubicBezTo>
                  <a:pt x="21" y="1"/>
                  <a:pt x="17" y="1"/>
                  <a:pt x="14" y="1"/>
                </a:cubicBezTo>
                <a:cubicBezTo>
                  <a:pt x="11" y="1"/>
                  <a:pt x="8" y="1"/>
                  <a:pt x="6" y="1"/>
                </a:cubicBezTo>
                <a:cubicBezTo>
                  <a:pt x="4" y="1"/>
                  <a:pt x="2" y="3"/>
                  <a:pt x="1" y="3"/>
                </a:cubicBezTo>
                <a:close/>
              </a:path>
            </a:pathLst>
          </a:cu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6648" name="Freeform 54"/>
          <xdr:cNvSpPr>
            <a:spLocks/>
          </xdr:cNvSpPr>
        </xdr:nvSpPr>
        <xdr:spPr bwMode="auto">
          <a:xfrm>
            <a:off x="349" y="2981"/>
            <a:ext cx="193" cy="27"/>
          </a:xfrm>
          <a:custGeom>
            <a:avLst/>
            <a:gdLst>
              <a:gd name="T0" fmla="*/ 3 w 193"/>
              <a:gd name="T1" fmla="*/ 1 h 27"/>
              <a:gd name="T2" fmla="*/ 9 w 193"/>
              <a:gd name="T3" fmla="*/ 6 h 27"/>
              <a:gd name="T4" fmla="*/ 22 w 193"/>
              <a:gd name="T5" fmla="*/ 13 h 27"/>
              <a:gd name="T6" fmla="*/ 31 w 193"/>
              <a:gd name="T7" fmla="*/ 17 h 27"/>
              <a:gd name="T8" fmla="*/ 33 w 193"/>
              <a:gd name="T9" fmla="*/ 17 h 27"/>
              <a:gd name="T10" fmla="*/ 35 w 193"/>
              <a:gd name="T11" fmla="*/ 18 h 27"/>
              <a:gd name="T12" fmla="*/ 48 w 193"/>
              <a:gd name="T13" fmla="*/ 22 h 27"/>
              <a:gd name="T14" fmla="*/ 59 w 193"/>
              <a:gd name="T15" fmla="*/ 25 h 27"/>
              <a:gd name="T16" fmla="*/ 71 w 193"/>
              <a:gd name="T17" fmla="*/ 27 h 27"/>
              <a:gd name="T18" fmla="*/ 76 w 193"/>
              <a:gd name="T19" fmla="*/ 27 h 27"/>
              <a:gd name="T20" fmla="*/ 76 w 193"/>
              <a:gd name="T21" fmla="*/ 27 h 27"/>
              <a:gd name="T22" fmla="*/ 76 w 193"/>
              <a:gd name="T23" fmla="*/ 27 h 27"/>
              <a:gd name="T24" fmla="*/ 77 w 193"/>
              <a:gd name="T25" fmla="*/ 27 h 27"/>
              <a:gd name="T26" fmla="*/ 79 w 193"/>
              <a:gd name="T27" fmla="*/ 27 h 27"/>
              <a:gd name="T28" fmla="*/ 90 w 193"/>
              <a:gd name="T29" fmla="*/ 27 h 27"/>
              <a:gd name="T30" fmla="*/ 105 w 193"/>
              <a:gd name="T31" fmla="*/ 27 h 27"/>
              <a:gd name="T32" fmla="*/ 118 w 193"/>
              <a:gd name="T33" fmla="*/ 27 h 27"/>
              <a:gd name="T34" fmla="*/ 127 w 193"/>
              <a:gd name="T35" fmla="*/ 26 h 27"/>
              <a:gd name="T36" fmla="*/ 129 w 193"/>
              <a:gd name="T37" fmla="*/ 25 h 27"/>
              <a:gd name="T38" fmla="*/ 129 w 193"/>
              <a:gd name="T39" fmla="*/ 25 h 27"/>
              <a:gd name="T40" fmla="*/ 130 w 193"/>
              <a:gd name="T41" fmla="*/ 25 h 27"/>
              <a:gd name="T42" fmla="*/ 134 w 193"/>
              <a:gd name="T43" fmla="*/ 24 h 27"/>
              <a:gd name="T44" fmla="*/ 136 w 193"/>
              <a:gd name="T45" fmla="*/ 24 h 27"/>
              <a:gd name="T46" fmla="*/ 146 w 193"/>
              <a:gd name="T47" fmla="*/ 22 h 27"/>
              <a:gd name="T48" fmla="*/ 171 w 193"/>
              <a:gd name="T49" fmla="*/ 14 h 27"/>
              <a:gd name="T50" fmla="*/ 185 w 193"/>
              <a:gd name="T51" fmla="*/ 7 h 27"/>
              <a:gd name="T52" fmla="*/ 192 w 193"/>
              <a:gd name="T53" fmla="*/ 1 h 27"/>
              <a:gd name="T54" fmla="*/ 184 w 193"/>
              <a:gd name="T55" fmla="*/ 1 h 27"/>
              <a:gd name="T56" fmla="*/ 174 w 193"/>
              <a:gd name="T57" fmla="*/ 1 h 27"/>
              <a:gd name="T58" fmla="*/ 166 w 193"/>
              <a:gd name="T59" fmla="*/ 1 h 27"/>
              <a:gd name="T60" fmla="*/ 149 w 193"/>
              <a:gd name="T61" fmla="*/ 1 h 27"/>
              <a:gd name="T62" fmla="*/ 121 w 193"/>
              <a:gd name="T63" fmla="*/ 1 h 27"/>
              <a:gd name="T64" fmla="*/ 107 w 193"/>
              <a:gd name="T65" fmla="*/ 1 h 27"/>
              <a:gd name="T66" fmla="*/ 44 w 193"/>
              <a:gd name="T67" fmla="*/ 1 h 27"/>
              <a:gd name="T68" fmla="*/ 37 w 193"/>
              <a:gd name="T69" fmla="*/ 1 h 27"/>
              <a:gd name="T70" fmla="*/ 36 w 193"/>
              <a:gd name="T71" fmla="*/ 1 h 27"/>
              <a:gd name="T72" fmla="*/ 32 w 193"/>
              <a:gd name="T73" fmla="*/ 1 h 27"/>
              <a:gd name="T74" fmla="*/ 34 w 193"/>
              <a:gd name="T75" fmla="*/ 1 h 27"/>
              <a:gd name="T76" fmla="*/ 31 w 193"/>
              <a:gd name="T77" fmla="*/ 1 h 27"/>
              <a:gd name="T78" fmla="*/ 26 w 193"/>
              <a:gd name="T79" fmla="*/ 1 h 27"/>
              <a:gd name="T80" fmla="*/ 3 w 193"/>
              <a:gd name="T81" fmla="*/ 1 h 27"/>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0" t="0" r="r" b="b"/>
            <a:pathLst>
              <a:path w="193" h="27">
                <a:moveTo>
                  <a:pt x="3" y="1"/>
                </a:moveTo>
                <a:cubicBezTo>
                  <a:pt x="0" y="2"/>
                  <a:pt x="6" y="4"/>
                  <a:pt x="9" y="6"/>
                </a:cubicBezTo>
                <a:cubicBezTo>
                  <a:pt x="12" y="8"/>
                  <a:pt x="19" y="11"/>
                  <a:pt x="22" y="13"/>
                </a:cubicBezTo>
                <a:cubicBezTo>
                  <a:pt x="25" y="15"/>
                  <a:pt x="29" y="16"/>
                  <a:pt x="31" y="17"/>
                </a:cubicBezTo>
                <a:cubicBezTo>
                  <a:pt x="33" y="18"/>
                  <a:pt x="32" y="17"/>
                  <a:pt x="33" y="17"/>
                </a:cubicBezTo>
                <a:cubicBezTo>
                  <a:pt x="34" y="17"/>
                  <a:pt x="33" y="17"/>
                  <a:pt x="35" y="18"/>
                </a:cubicBezTo>
                <a:cubicBezTo>
                  <a:pt x="37" y="19"/>
                  <a:pt x="44" y="21"/>
                  <a:pt x="48" y="22"/>
                </a:cubicBezTo>
                <a:cubicBezTo>
                  <a:pt x="52" y="23"/>
                  <a:pt x="55" y="24"/>
                  <a:pt x="59" y="25"/>
                </a:cubicBezTo>
                <a:cubicBezTo>
                  <a:pt x="63" y="26"/>
                  <a:pt x="68" y="27"/>
                  <a:pt x="71" y="27"/>
                </a:cubicBezTo>
                <a:cubicBezTo>
                  <a:pt x="74" y="27"/>
                  <a:pt x="75" y="27"/>
                  <a:pt x="76" y="27"/>
                </a:cubicBezTo>
                <a:cubicBezTo>
                  <a:pt x="77" y="27"/>
                  <a:pt x="76" y="27"/>
                  <a:pt x="76" y="27"/>
                </a:cubicBezTo>
                <a:cubicBezTo>
                  <a:pt x="76" y="27"/>
                  <a:pt x="76" y="27"/>
                  <a:pt x="76" y="27"/>
                </a:cubicBezTo>
                <a:cubicBezTo>
                  <a:pt x="76" y="27"/>
                  <a:pt x="77" y="27"/>
                  <a:pt x="77" y="27"/>
                </a:cubicBezTo>
                <a:cubicBezTo>
                  <a:pt x="77" y="27"/>
                  <a:pt x="77" y="27"/>
                  <a:pt x="79" y="27"/>
                </a:cubicBezTo>
                <a:cubicBezTo>
                  <a:pt x="81" y="27"/>
                  <a:pt x="86" y="27"/>
                  <a:pt x="90" y="27"/>
                </a:cubicBezTo>
                <a:cubicBezTo>
                  <a:pt x="94" y="27"/>
                  <a:pt x="100" y="27"/>
                  <a:pt x="105" y="27"/>
                </a:cubicBezTo>
                <a:cubicBezTo>
                  <a:pt x="110" y="27"/>
                  <a:pt x="114" y="27"/>
                  <a:pt x="118" y="27"/>
                </a:cubicBezTo>
                <a:cubicBezTo>
                  <a:pt x="122" y="27"/>
                  <a:pt x="125" y="26"/>
                  <a:pt x="127" y="26"/>
                </a:cubicBezTo>
                <a:cubicBezTo>
                  <a:pt x="129" y="26"/>
                  <a:pt x="129" y="25"/>
                  <a:pt x="129" y="25"/>
                </a:cubicBezTo>
                <a:cubicBezTo>
                  <a:pt x="129" y="25"/>
                  <a:pt x="129" y="25"/>
                  <a:pt x="129" y="25"/>
                </a:cubicBezTo>
                <a:cubicBezTo>
                  <a:pt x="129" y="25"/>
                  <a:pt x="129" y="25"/>
                  <a:pt x="130" y="25"/>
                </a:cubicBezTo>
                <a:cubicBezTo>
                  <a:pt x="131" y="25"/>
                  <a:pt x="133" y="24"/>
                  <a:pt x="134" y="24"/>
                </a:cubicBezTo>
                <a:cubicBezTo>
                  <a:pt x="135" y="24"/>
                  <a:pt x="134" y="24"/>
                  <a:pt x="136" y="24"/>
                </a:cubicBezTo>
                <a:cubicBezTo>
                  <a:pt x="138" y="24"/>
                  <a:pt x="140" y="24"/>
                  <a:pt x="146" y="22"/>
                </a:cubicBezTo>
                <a:cubicBezTo>
                  <a:pt x="153" y="20"/>
                  <a:pt x="164" y="17"/>
                  <a:pt x="171" y="14"/>
                </a:cubicBezTo>
                <a:cubicBezTo>
                  <a:pt x="177" y="11"/>
                  <a:pt x="182" y="9"/>
                  <a:pt x="185" y="7"/>
                </a:cubicBezTo>
                <a:cubicBezTo>
                  <a:pt x="188" y="5"/>
                  <a:pt x="192" y="0"/>
                  <a:pt x="192" y="1"/>
                </a:cubicBezTo>
                <a:cubicBezTo>
                  <a:pt x="193" y="0"/>
                  <a:pt x="186" y="1"/>
                  <a:pt x="184" y="1"/>
                </a:cubicBezTo>
                <a:cubicBezTo>
                  <a:pt x="183" y="1"/>
                  <a:pt x="177" y="1"/>
                  <a:pt x="174" y="1"/>
                </a:cubicBezTo>
                <a:cubicBezTo>
                  <a:pt x="171" y="1"/>
                  <a:pt x="170" y="1"/>
                  <a:pt x="166" y="1"/>
                </a:cubicBezTo>
                <a:cubicBezTo>
                  <a:pt x="162" y="1"/>
                  <a:pt x="156" y="1"/>
                  <a:pt x="149" y="1"/>
                </a:cubicBezTo>
                <a:cubicBezTo>
                  <a:pt x="142" y="1"/>
                  <a:pt x="128" y="1"/>
                  <a:pt x="121" y="1"/>
                </a:cubicBezTo>
                <a:cubicBezTo>
                  <a:pt x="116" y="1"/>
                  <a:pt x="107" y="1"/>
                  <a:pt x="107" y="1"/>
                </a:cubicBezTo>
                <a:cubicBezTo>
                  <a:pt x="94" y="1"/>
                  <a:pt x="56" y="1"/>
                  <a:pt x="44" y="1"/>
                </a:cubicBezTo>
                <a:cubicBezTo>
                  <a:pt x="32" y="1"/>
                  <a:pt x="38" y="1"/>
                  <a:pt x="37" y="1"/>
                </a:cubicBezTo>
                <a:cubicBezTo>
                  <a:pt x="36" y="1"/>
                  <a:pt x="37" y="1"/>
                  <a:pt x="36" y="1"/>
                </a:cubicBezTo>
                <a:cubicBezTo>
                  <a:pt x="35" y="1"/>
                  <a:pt x="32" y="1"/>
                  <a:pt x="32" y="1"/>
                </a:cubicBezTo>
                <a:cubicBezTo>
                  <a:pt x="32" y="1"/>
                  <a:pt x="34" y="1"/>
                  <a:pt x="34" y="1"/>
                </a:cubicBezTo>
                <a:cubicBezTo>
                  <a:pt x="34" y="1"/>
                  <a:pt x="32" y="1"/>
                  <a:pt x="31" y="1"/>
                </a:cubicBezTo>
                <a:cubicBezTo>
                  <a:pt x="30" y="1"/>
                  <a:pt x="31" y="1"/>
                  <a:pt x="26" y="1"/>
                </a:cubicBezTo>
                <a:cubicBezTo>
                  <a:pt x="21" y="1"/>
                  <a:pt x="6" y="0"/>
                  <a:pt x="3" y="1"/>
                </a:cubicBezTo>
                <a:close/>
              </a:path>
            </a:pathLst>
          </a:cu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grp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228600</xdr:colOff>
      <xdr:row>6</xdr:row>
      <xdr:rowOff>19050</xdr:rowOff>
    </xdr:from>
    <xdr:to>
      <xdr:col>10</xdr:col>
      <xdr:colOff>247650</xdr:colOff>
      <xdr:row>20</xdr:row>
      <xdr:rowOff>152400</xdr:rowOff>
    </xdr:to>
    <xdr:sp macro="" textlink="">
      <xdr:nvSpPr>
        <xdr:cNvPr id="25847" name="AutoShape 1"/>
        <xdr:cNvSpPr>
          <a:spLocks noChangeArrowheads="1"/>
        </xdr:cNvSpPr>
      </xdr:nvSpPr>
      <xdr:spPr bwMode="auto">
        <a:xfrm>
          <a:off x="1638300" y="981075"/>
          <a:ext cx="4286250" cy="2495550"/>
        </a:xfrm>
        <a:custGeom>
          <a:avLst/>
          <a:gdLst>
            <a:gd name="T0" fmla="*/ 2147483646 w 21600"/>
            <a:gd name="T1" fmla="*/ 0 h 21600"/>
            <a:gd name="T2" fmla="*/ 2147483646 w 21600"/>
            <a:gd name="T3" fmla="*/ 2147483646 h 21600"/>
            <a:gd name="T4" fmla="*/ 2147483646 w 21600"/>
            <a:gd name="T5" fmla="*/ 2147483646 h 21600"/>
            <a:gd name="T6" fmla="*/ 2147483646 w 21600"/>
            <a:gd name="T7" fmla="*/ 2147483646 h 21600"/>
            <a:gd name="T8" fmla="*/ 0 60000 65536"/>
            <a:gd name="T9" fmla="*/ 0 60000 65536"/>
            <a:gd name="T10" fmla="*/ 0 60000 65536"/>
            <a:gd name="T11" fmla="*/ 0 60000 65536"/>
            <a:gd name="T12" fmla="*/ 0 w 21600"/>
            <a:gd name="T13" fmla="*/ 0 h 21600"/>
            <a:gd name="T14" fmla="*/ 21600 w 21600"/>
            <a:gd name="T15" fmla="*/ 7713 h 21600"/>
          </a:gdLst>
          <a:ahLst/>
          <a:cxnLst>
            <a:cxn ang="T8">
              <a:pos x="T0" y="T1"/>
            </a:cxn>
            <a:cxn ang="T9">
              <a:pos x="T2" y="T3"/>
            </a:cxn>
            <a:cxn ang="T10">
              <a:pos x="T4" y="T5"/>
            </a:cxn>
            <a:cxn ang="T11">
              <a:pos x="T6" y="T7"/>
            </a:cxn>
          </a:cxnLst>
          <a:rect l="T12" t="T13" r="T14" b="T15"/>
          <a:pathLst>
            <a:path w="21600" h="21600">
              <a:moveTo>
                <a:pt x="432" y="10800"/>
              </a:moveTo>
              <a:cubicBezTo>
                <a:pt x="432" y="5073"/>
                <a:pt x="5073" y="432"/>
                <a:pt x="10800" y="432"/>
              </a:cubicBezTo>
              <a:cubicBezTo>
                <a:pt x="16526" y="432"/>
                <a:pt x="21167" y="5073"/>
                <a:pt x="21167" y="10799"/>
              </a:cubicBezTo>
              <a:lnTo>
                <a:pt x="21600" y="10800"/>
              </a:lnTo>
              <a:cubicBezTo>
                <a:pt x="21600" y="4835"/>
                <a:pt x="16764" y="0"/>
                <a:pt x="10800" y="0"/>
              </a:cubicBezTo>
              <a:cubicBezTo>
                <a:pt x="4835" y="0"/>
                <a:pt x="0" y="4835"/>
                <a:pt x="0" y="10800"/>
              </a:cubicBezTo>
              <a:lnTo>
                <a:pt x="432" y="10800"/>
              </a:lnTo>
              <a:close/>
            </a:path>
          </a:pathLst>
        </a:cu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3</xdr:col>
      <xdr:colOff>228600</xdr:colOff>
      <xdr:row>13</xdr:row>
      <xdr:rowOff>95250</xdr:rowOff>
    </xdr:from>
    <xdr:to>
      <xdr:col>3</xdr:col>
      <xdr:colOff>304800</xdr:colOff>
      <xdr:row>15</xdr:row>
      <xdr:rowOff>9525</xdr:rowOff>
    </xdr:to>
    <xdr:sp macro="" textlink="">
      <xdr:nvSpPr>
        <xdr:cNvPr id="25848" name="Rectangle 2"/>
        <xdr:cNvSpPr>
          <a:spLocks noChangeArrowheads="1"/>
        </xdr:cNvSpPr>
      </xdr:nvSpPr>
      <xdr:spPr bwMode="auto">
        <a:xfrm>
          <a:off x="1638300" y="2238375"/>
          <a:ext cx="76200" cy="2381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10</xdr:col>
      <xdr:colOff>180975</xdr:colOff>
      <xdr:row>13</xdr:row>
      <xdr:rowOff>85725</xdr:rowOff>
    </xdr:from>
    <xdr:to>
      <xdr:col>10</xdr:col>
      <xdr:colOff>257175</xdr:colOff>
      <xdr:row>15</xdr:row>
      <xdr:rowOff>0</xdr:rowOff>
    </xdr:to>
    <xdr:sp macro="" textlink="">
      <xdr:nvSpPr>
        <xdr:cNvPr id="25849" name="Rectangle 3"/>
        <xdr:cNvSpPr>
          <a:spLocks noChangeArrowheads="1"/>
        </xdr:cNvSpPr>
      </xdr:nvSpPr>
      <xdr:spPr bwMode="auto">
        <a:xfrm>
          <a:off x="5857875" y="2228850"/>
          <a:ext cx="76200" cy="2381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FF" mc:Ignorable="a14" a14:legacySpreadsheetColorIndex="12"/>
          </a:solidFill>
          <a:miter lim="800000"/>
          <a:headEnd/>
          <a:tailEnd/>
        </a:ln>
      </xdr:spPr>
    </xdr:sp>
    <xdr:clientData/>
  </xdr:twoCellAnchor>
  <xdr:twoCellAnchor>
    <xdr:from>
      <xdr:col>6</xdr:col>
      <xdr:colOff>485775</xdr:colOff>
      <xdr:row>5</xdr:row>
      <xdr:rowOff>47625</xdr:rowOff>
    </xdr:from>
    <xdr:to>
      <xdr:col>6</xdr:col>
      <xdr:colOff>495300</xdr:colOff>
      <xdr:row>22</xdr:row>
      <xdr:rowOff>0</xdr:rowOff>
    </xdr:to>
    <xdr:sp macro="" textlink="">
      <xdr:nvSpPr>
        <xdr:cNvPr id="25850" name="Line 4"/>
        <xdr:cNvSpPr>
          <a:spLocks noChangeShapeType="1"/>
        </xdr:cNvSpPr>
      </xdr:nvSpPr>
      <xdr:spPr bwMode="auto">
        <a:xfrm flipH="1" flipV="1">
          <a:off x="3724275" y="838200"/>
          <a:ext cx="9525" cy="2819400"/>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15</xdr:row>
      <xdr:rowOff>19050</xdr:rowOff>
    </xdr:from>
    <xdr:to>
      <xdr:col>10</xdr:col>
      <xdr:colOff>276225</xdr:colOff>
      <xdr:row>15</xdr:row>
      <xdr:rowOff>19050</xdr:rowOff>
    </xdr:to>
    <xdr:sp macro="" textlink="">
      <xdr:nvSpPr>
        <xdr:cNvPr id="25851" name="Line 5"/>
        <xdr:cNvSpPr>
          <a:spLocks noChangeShapeType="1"/>
        </xdr:cNvSpPr>
      </xdr:nvSpPr>
      <xdr:spPr bwMode="auto">
        <a:xfrm>
          <a:off x="1676400" y="2486025"/>
          <a:ext cx="4276725"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561975</xdr:colOff>
      <xdr:row>13</xdr:row>
      <xdr:rowOff>95250</xdr:rowOff>
    </xdr:from>
    <xdr:to>
      <xdr:col>12</xdr:col>
      <xdr:colOff>428625</xdr:colOff>
      <xdr:row>13</xdr:row>
      <xdr:rowOff>95250</xdr:rowOff>
    </xdr:to>
    <xdr:sp macro="" textlink="">
      <xdr:nvSpPr>
        <xdr:cNvPr id="25852" name="Line 6"/>
        <xdr:cNvSpPr>
          <a:spLocks noChangeShapeType="1"/>
        </xdr:cNvSpPr>
      </xdr:nvSpPr>
      <xdr:spPr bwMode="auto">
        <a:xfrm flipV="1">
          <a:off x="190500" y="2238375"/>
          <a:ext cx="7134225"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13</xdr:row>
      <xdr:rowOff>76200</xdr:rowOff>
    </xdr:from>
    <xdr:to>
      <xdr:col>4</xdr:col>
      <xdr:colOff>342900</xdr:colOff>
      <xdr:row>18</xdr:row>
      <xdr:rowOff>133350</xdr:rowOff>
    </xdr:to>
    <xdr:sp macro="" textlink="">
      <xdr:nvSpPr>
        <xdr:cNvPr id="25853" name="Line 7"/>
        <xdr:cNvSpPr>
          <a:spLocks noChangeShapeType="1"/>
        </xdr:cNvSpPr>
      </xdr:nvSpPr>
      <xdr:spPr bwMode="auto">
        <a:xfrm>
          <a:off x="2362200" y="2219325"/>
          <a:ext cx="0" cy="885825"/>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4</xdr:col>
      <xdr:colOff>333375</xdr:colOff>
      <xdr:row>18</xdr:row>
      <xdr:rowOff>76200</xdr:rowOff>
    </xdr:from>
    <xdr:to>
      <xdr:col>6</xdr:col>
      <xdr:colOff>476250</xdr:colOff>
      <xdr:row>18</xdr:row>
      <xdr:rowOff>76200</xdr:rowOff>
    </xdr:to>
    <xdr:sp macro="" textlink="">
      <xdr:nvSpPr>
        <xdr:cNvPr id="25854" name="Line 8"/>
        <xdr:cNvSpPr>
          <a:spLocks noChangeShapeType="1"/>
        </xdr:cNvSpPr>
      </xdr:nvSpPr>
      <xdr:spPr bwMode="auto">
        <a:xfrm flipV="1">
          <a:off x="2352675" y="3048000"/>
          <a:ext cx="13620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485775</xdr:colOff>
      <xdr:row>7</xdr:row>
      <xdr:rowOff>38100</xdr:rowOff>
    </xdr:from>
    <xdr:to>
      <xdr:col>8</xdr:col>
      <xdr:colOff>266700</xdr:colOff>
      <xdr:row>21</xdr:row>
      <xdr:rowOff>142875</xdr:rowOff>
    </xdr:to>
    <xdr:sp macro="" textlink="">
      <xdr:nvSpPr>
        <xdr:cNvPr id="25855" name="Line 9"/>
        <xdr:cNvSpPr>
          <a:spLocks noChangeShapeType="1"/>
        </xdr:cNvSpPr>
      </xdr:nvSpPr>
      <xdr:spPr bwMode="auto">
        <a:xfrm flipH="1">
          <a:off x="3724275" y="1162050"/>
          <a:ext cx="1000125" cy="24765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6</xdr:col>
      <xdr:colOff>495300</xdr:colOff>
      <xdr:row>6</xdr:row>
      <xdr:rowOff>66675</xdr:rowOff>
    </xdr:from>
    <xdr:to>
      <xdr:col>11</xdr:col>
      <xdr:colOff>466725</xdr:colOff>
      <xdr:row>6</xdr:row>
      <xdr:rowOff>66675</xdr:rowOff>
    </xdr:to>
    <xdr:sp macro="" textlink="">
      <xdr:nvSpPr>
        <xdr:cNvPr id="25856" name="Line 10"/>
        <xdr:cNvSpPr>
          <a:spLocks noChangeShapeType="1"/>
        </xdr:cNvSpPr>
      </xdr:nvSpPr>
      <xdr:spPr bwMode="auto">
        <a:xfrm flipV="1">
          <a:off x="3733800" y="1028700"/>
          <a:ext cx="3019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15</xdr:row>
      <xdr:rowOff>28575</xdr:rowOff>
    </xdr:from>
    <xdr:to>
      <xdr:col>3</xdr:col>
      <xdr:colOff>304800</xdr:colOff>
      <xdr:row>25</xdr:row>
      <xdr:rowOff>152400</xdr:rowOff>
    </xdr:to>
    <xdr:sp macro="" textlink="">
      <xdr:nvSpPr>
        <xdr:cNvPr id="25857" name="Line 11"/>
        <xdr:cNvSpPr>
          <a:spLocks noChangeShapeType="1"/>
        </xdr:cNvSpPr>
      </xdr:nvSpPr>
      <xdr:spPr bwMode="auto">
        <a:xfrm>
          <a:off x="1714500" y="2495550"/>
          <a:ext cx="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180975</xdr:colOff>
      <xdr:row>15</xdr:row>
      <xdr:rowOff>47625</xdr:rowOff>
    </xdr:from>
    <xdr:to>
      <xdr:col>10</xdr:col>
      <xdr:colOff>180975</xdr:colOff>
      <xdr:row>26</xdr:row>
      <xdr:rowOff>9525</xdr:rowOff>
    </xdr:to>
    <xdr:sp macro="" textlink="">
      <xdr:nvSpPr>
        <xdr:cNvPr id="25858" name="Line 12"/>
        <xdr:cNvSpPr>
          <a:spLocks noChangeShapeType="1"/>
        </xdr:cNvSpPr>
      </xdr:nvSpPr>
      <xdr:spPr bwMode="auto">
        <a:xfrm>
          <a:off x="5857875" y="2514600"/>
          <a:ext cx="0" cy="18478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25</xdr:row>
      <xdr:rowOff>114300</xdr:rowOff>
    </xdr:from>
    <xdr:to>
      <xdr:col>10</xdr:col>
      <xdr:colOff>171450</xdr:colOff>
      <xdr:row>25</xdr:row>
      <xdr:rowOff>114300</xdr:rowOff>
    </xdr:to>
    <xdr:sp macro="" textlink="">
      <xdr:nvSpPr>
        <xdr:cNvPr id="25859" name="Line 13"/>
        <xdr:cNvSpPr>
          <a:spLocks noChangeShapeType="1"/>
        </xdr:cNvSpPr>
      </xdr:nvSpPr>
      <xdr:spPr bwMode="auto">
        <a:xfrm>
          <a:off x="1714500" y="4286250"/>
          <a:ext cx="41338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5</xdr:col>
      <xdr:colOff>381000</xdr:colOff>
      <xdr:row>22</xdr:row>
      <xdr:rowOff>142875</xdr:rowOff>
    </xdr:from>
    <xdr:to>
      <xdr:col>5</xdr:col>
      <xdr:colOff>457200</xdr:colOff>
      <xdr:row>24</xdr:row>
      <xdr:rowOff>9525</xdr:rowOff>
    </xdr:to>
    <xdr:sp macro="" textlink="">
      <xdr:nvSpPr>
        <xdr:cNvPr id="25860" name="Text Box 14"/>
        <xdr:cNvSpPr txBox="1">
          <a:spLocks noChangeArrowheads="1"/>
        </xdr:cNvSpPr>
      </xdr:nvSpPr>
      <xdr:spPr bwMode="auto">
        <a:xfrm>
          <a:off x="3009900" y="38004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238125</xdr:colOff>
      <xdr:row>16</xdr:row>
      <xdr:rowOff>85725</xdr:rowOff>
    </xdr:from>
    <xdr:to>
      <xdr:col>8</xdr:col>
      <xdr:colOff>0</xdr:colOff>
      <xdr:row>18</xdr:row>
      <xdr:rowOff>104775</xdr:rowOff>
    </xdr:to>
    <xdr:sp macro="" textlink="">
      <xdr:nvSpPr>
        <xdr:cNvPr id="25861" name="Line 15"/>
        <xdr:cNvSpPr>
          <a:spLocks noChangeShapeType="1"/>
        </xdr:cNvSpPr>
      </xdr:nvSpPr>
      <xdr:spPr bwMode="auto">
        <a:xfrm>
          <a:off x="4086225" y="2714625"/>
          <a:ext cx="371475" cy="3619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clientData/>
  </xdr:twoCellAnchor>
  <xdr:twoCellAnchor>
    <xdr:from>
      <xdr:col>11</xdr:col>
      <xdr:colOff>314325</xdr:colOff>
      <xdr:row>6</xdr:row>
      <xdr:rowOff>57150</xdr:rowOff>
    </xdr:from>
    <xdr:to>
      <xdr:col>11</xdr:col>
      <xdr:colOff>314325</xdr:colOff>
      <xdr:row>13</xdr:row>
      <xdr:rowOff>85725</xdr:rowOff>
    </xdr:to>
    <xdr:sp macro="" textlink="">
      <xdr:nvSpPr>
        <xdr:cNvPr id="25862" name="Line 16"/>
        <xdr:cNvSpPr>
          <a:spLocks noChangeShapeType="1"/>
        </xdr:cNvSpPr>
      </xdr:nvSpPr>
      <xdr:spPr bwMode="auto">
        <a:xfrm flipV="1">
          <a:off x="6600825" y="1019175"/>
          <a:ext cx="0" cy="12096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314325</xdr:colOff>
      <xdr:row>9</xdr:row>
      <xdr:rowOff>76200</xdr:rowOff>
    </xdr:from>
    <xdr:to>
      <xdr:col>12</xdr:col>
      <xdr:colOff>0</xdr:colOff>
      <xdr:row>9</xdr:row>
      <xdr:rowOff>76200</xdr:rowOff>
    </xdr:to>
    <xdr:sp macro="" textlink="">
      <xdr:nvSpPr>
        <xdr:cNvPr id="25863" name="Line 17"/>
        <xdr:cNvSpPr>
          <a:spLocks noChangeShapeType="1"/>
        </xdr:cNvSpPr>
      </xdr:nvSpPr>
      <xdr:spPr bwMode="auto">
        <a:xfrm>
          <a:off x="6600825" y="1533525"/>
          <a:ext cx="29527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clientData/>
  </xdr:twoCellAnchor>
  <xdr:twoCellAnchor>
    <xdr:from>
      <xdr:col>3</xdr:col>
      <xdr:colOff>485775</xdr:colOff>
      <xdr:row>10</xdr:row>
      <xdr:rowOff>114300</xdr:rowOff>
    </xdr:from>
    <xdr:to>
      <xdr:col>4</xdr:col>
      <xdr:colOff>342900</xdr:colOff>
      <xdr:row>13</xdr:row>
      <xdr:rowOff>85725</xdr:rowOff>
    </xdr:to>
    <xdr:sp macro="" textlink="">
      <xdr:nvSpPr>
        <xdr:cNvPr id="25864" name="Line 18"/>
        <xdr:cNvSpPr>
          <a:spLocks noChangeShapeType="1"/>
        </xdr:cNvSpPr>
      </xdr:nvSpPr>
      <xdr:spPr bwMode="auto">
        <a:xfrm>
          <a:off x="1895475" y="1743075"/>
          <a:ext cx="466725" cy="485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3</xdr:col>
      <xdr:colOff>209550</xdr:colOff>
      <xdr:row>9</xdr:row>
      <xdr:rowOff>57150</xdr:rowOff>
    </xdr:from>
    <xdr:to>
      <xdr:col>3</xdr:col>
      <xdr:colOff>495300</xdr:colOff>
      <xdr:row>10</xdr:row>
      <xdr:rowOff>123825</xdr:rowOff>
    </xdr:to>
    <xdr:sp macro="" textlink="">
      <xdr:nvSpPr>
        <xdr:cNvPr id="25865" name="Line 19"/>
        <xdr:cNvSpPr>
          <a:spLocks noChangeShapeType="1"/>
        </xdr:cNvSpPr>
      </xdr:nvSpPr>
      <xdr:spPr bwMode="auto">
        <a:xfrm flipH="1" flipV="1">
          <a:off x="1619250" y="1514475"/>
          <a:ext cx="285750" cy="2381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66675</xdr:rowOff>
    </xdr:from>
    <xdr:to>
      <xdr:col>3</xdr:col>
      <xdr:colOff>209550</xdr:colOff>
      <xdr:row>9</xdr:row>
      <xdr:rowOff>66675</xdr:rowOff>
    </xdr:to>
    <xdr:sp macro="" textlink="">
      <xdr:nvSpPr>
        <xdr:cNvPr id="25866" name="Line 20"/>
        <xdr:cNvSpPr>
          <a:spLocks noChangeShapeType="1"/>
        </xdr:cNvSpPr>
      </xdr:nvSpPr>
      <xdr:spPr bwMode="auto">
        <a:xfrm flipH="1">
          <a:off x="1409700" y="1524000"/>
          <a:ext cx="209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clientData/>
  </xdr:twoCellAnchor>
  <xdr:oneCellAnchor>
    <xdr:from>
      <xdr:col>1</xdr:col>
      <xdr:colOff>0</xdr:colOff>
      <xdr:row>12</xdr:row>
      <xdr:rowOff>66675</xdr:rowOff>
    </xdr:from>
    <xdr:ext cx="819150" cy="180975"/>
    <xdr:sp macro="" textlink="">
      <xdr:nvSpPr>
        <xdr:cNvPr id="25621" name="Text Box 21">
          <a:extLst>
            <a:ext uri="{FF2B5EF4-FFF2-40B4-BE49-F238E27FC236}">
              <a16:creationId xmlns:a16="http://schemas.microsoft.com/office/drawing/2014/main" id="{9B113BFE-FC5C-4F60-987D-7FFABEF330A8}"/>
            </a:ext>
          </a:extLst>
        </xdr:cNvPr>
        <xdr:cNvSpPr txBox="1">
          <a:spLocks noChangeArrowheads="1"/>
        </xdr:cNvSpPr>
      </xdr:nvSpPr>
      <xdr:spPr bwMode="auto">
        <a:xfrm>
          <a:off x="190500" y="2047875"/>
          <a:ext cx="8763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00"/>
              </a:solidFill>
              <a:latin typeface="Arial"/>
              <a:cs typeface="Arial"/>
            </a:rPr>
            <a:t>Tangent Line</a:t>
          </a:r>
        </a:p>
      </xdr:txBody>
    </xdr:sp>
    <xdr:clientData/>
  </xdr:oneCellAnchor>
  <xdr:twoCellAnchor>
    <xdr:from>
      <xdr:col>10</xdr:col>
      <xdr:colOff>352425</xdr:colOff>
      <xdr:row>15</xdr:row>
      <xdr:rowOff>19050</xdr:rowOff>
    </xdr:from>
    <xdr:to>
      <xdr:col>11</xdr:col>
      <xdr:colOff>419100</xdr:colOff>
      <xdr:row>15</xdr:row>
      <xdr:rowOff>19050</xdr:rowOff>
    </xdr:to>
    <xdr:sp macro="" textlink="">
      <xdr:nvSpPr>
        <xdr:cNvPr id="25868" name="Line 22"/>
        <xdr:cNvSpPr>
          <a:spLocks noChangeShapeType="1"/>
        </xdr:cNvSpPr>
      </xdr:nvSpPr>
      <xdr:spPr bwMode="auto">
        <a:xfrm>
          <a:off x="6029325" y="2486025"/>
          <a:ext cx="6762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314325</xdr:colOff>
      <xdr:row>13</xdr:row>
      <xdr:rowOff>85725</xdr:rowOff>
    </xdr:from>
    <xdr:to>
      <xdr:col>11</xdr:col>
      <xdr:colOff>314325</xdr:colOff>
      <xdr:row>15</xdr:row>
      <xdr:rowOff>9525</xdr:rowOff>
    </xdr:to>
    <xdr:sp macro="" textlink="">
      <xdr:nvSpPr>
        <xdr:cNvPr id="25869" name="Line 23"/>
        <xdr:cNvSpPr>
          <a:spLocks noChangeShapeType="1"/>
        </xdr:cNvSpPr>
      </xdr:nvSpPr>
      <xdr:spPr bwMode="auto">
        <a:xfrm>
          <a:off x="6600825" y="2228850"/>
          <a:ext cx="0" cy="2476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304800</xdr:colOff>
      <xdr:row>15</xdr:row>
      <xdr:rowOff>0</xdr:rowOff>
    </xdr:from>
    <xdr:to>
      <xdr:col>11</xdr:col>
      <xdr:colOff>304800</xdr:colOff>
      <xdr:row>17</xdr:row>
      <xdr:rowOff>47625</xdr:rowOff>
    </xdr:to>
    <xdr:sp macro="" textlink="">
      <xdr:nvSpPr>
        <xdr:cNvPr id="25870" name="Line 24"/>
        <xdr:cNvSpPr>
          <a:spLocks noChangeShapeType="1"/>
        </xdr:cNvSpPr>
      </xdr:nvSpPr>
      <xdr:spPr bwMode="auto">
        <a:xfrm>
          <a:off x="6591300" y="2466975"/>
          <a:ext cx="0" cy="381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12</xdr:col>
      <xdr:colOff>352425</xdr:colOff>
      <xdr:row>14</xdr:row>
      <xdr:rowOff>104775</xdr:rowOff>
    </xdr:from>
    <xdr:to>
      <xdr:col>13</xdr:col>
      <xdr:colOff>523875</xdr:colOff>
      <xdr:row>20</xdr:row>
      <xdr:rowOff>66675</xdr:rowOff>
    </xdr:to>
    <xdr:sp macro="" textlink="">
      <xdr:nvSpPr>
        <xdr:cNvPr id="25871" name="Rectangle 25"/>
        <xdr:cNvSpPr>
          <a:spLocks noChangeArrowheads="1"/>
        </xdr:cNvSpPr>
      </xdr:nvSpPr>
      <xdr:spPr bwMode="auto">
        <a:xfrm>
          <a:off x="7248525" y="2409825"/>
          <a:ext cx="781050" cy="98107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12</xdr:col>
      <xdr:colOff>409575</xdr:colOff>
      <xdr:row>14</xdr:row>
      <xdr:rowOff>133350</xdr:rowOff>
    </xdr:from>
    <xdr:to>
      <xdr:col>13</xdr:col>
      <xdr:colOff>495300</xdr:colOff>
      <xdr:row>20</xdr:row>
      <xdr:rowOff>19050</xdr:rowOff>
    </xdr:to>
    <xdr:sp macro="" textlink="">
      <xdr:nvSpPr>
        <xdr:cNvPr id="25626" name="Text Box 26">
          <a:extLst>
            <a:ext uri="{FF2B5EF4-FFF2-40B4-BE49-F238E27FC236}">
              <a16:creationId xmlns:a16="http://schemas.microsoft.com/office/drawing/2014/main" id="{33530D58-AA7C-45FB-BA7D-895F8EEBFE98}"/>
            </a:ext>
          </a:extLst>
        </xdr:cNvPr>
        <xdr:cNvSpPr txBox="1">
          <a:spLocks noChangeArrowheads="1"/>
        </xdr:cNvSpPr>
      </xdr:nvSpPr>
      <xdr:spPr bwMode="auto">
        <a:xfrm>
          <a:off x="7305675" y="2438400"/>
          <a:ext cx="695325" cy="904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IN" sz="1000" b="1" i="0" u="none" strike="noStrike" baseline="0">
              <a:solidFill>
                <a:srgbClr val="0000FF"/>
              </a:solidFill>
              <a:latin typeface="Arial"/>
              <a:cs typeface="Arial"/>
            </a:rPr>
            <a:t>Straight</a:t>
          </a:r>
        </a:p>
        <a:p>
          <a:pPr algn="ctr" rtl="0">
            <a:defRPr sz="1000"/>
          </a:pPr>
          <a:r>
            <a:rPr lang="en-IN" sz="1000" b="1" i="0" u="none" strike="noStrike" baseline="0">
              <a:solidFill>
                <a:srgbClr val="0000FF"/>
              </a:solidFill>
              <a:latin typeface="Arial"/>
              <a:cs typeface="Arial"/>
            </a:rPr>
            <a:t>Flange</a:t>
          </a:r>
        </a:p>
        <a:p>
          <a:pPr algn="ctr" rtl="0">
            <a:defRPr sz="1000"/>
          </a:pPr>
          <a:r>
            <a:rPr lang="en-IN" sz="1000" b="1" i="0" u="none" strike="noStrike" baseline="0">
              <a:solidFill>
                <a:srgbClr val="0000FF"/>
              </a:solidFill>
              <a:latin typeface="Arial"/>
              <a:cs typeface="Arial"/>
            </a:rPr>
            <a:t>(Varies)</a:t>
          </a:r>
        </a:p>
        <a:p>
          <a:pPr algn="ctr" rtl="0">
            <a:defRPr sz="1000"/>
          </a:pPr>
          <a:r>
            <a:rPr lang="en-IN" sz="1000" b="1" i="0" u="none" strike="noStrike" baseline="0">
              <a:solidFill>
                <a:srgbClr val="0000FF"/>
              </a:solidFill>
              <a:latin typeface="Arial"/>
              <a:cs typeface="Arial"/>
            </a:rPr>
            <a:t>2" Nom.</a:t>
          </a:r>
        </a:p>
        <a:p>
          <a:pPr algn="ctr" rtl="0">
            <a:defRPr sz="1000"/>
          </a:pPr>
          <a:r>
            <a:rPr lang="en-IN" sz="1000" b="1" i="0" u="none" strike="noStrike" baseline="0">
              <a:solidFill>
                <a:srgbClr val="FF0000"/>
              </a:solidFill>
              <a:latin typeface="Arial"/>
              <a:cs typeface="Arial"/>
            </a:rPr>
            <a:t>51mm</a:t>
          </a:r>
          <a:endParaRPr lang="en-IN" sz="1000" b="0" i="0" u="none" strike="noStrike" baseline="0">
            <a:solidFill>
              <a:srgbClr val="000000"/>
            </a:solidFill>
            <a:latin typeface="Arial"/>
            <a:cs typeface="Arial"/>
          </a:endParaRPr>
        </a:p>
        <a:p>
          <a:pPr algn="ctr" rtl="0">
            <a:defRPr sz="1000"/>
          </a:pPr>
          <a:endParaRPr lang="en-IN" sz="1000" b="0" i="0" u="none" strike="noStrike" baseline="0">
            <a:solidFill>
              <a:srgbClr val="000000"/>
            </a:solidFill>
            <a:latin typeface="Arial"/>
            <a:cs typeface="Arial"/>
          </a:endParaRPr>
        </a:p>
      </xdr:txBody>
    </xdr:sp>
    <xdr:clientData/>
  </xdr:twoCellAnchor>
  <xdr:twoCellAnchor>
    <xdr:from>
      <xdr:col>11</xdr:col>
      <xdr:colOff>323850</xdr:colOff>
      <xdr:row>14</xdr:row>
      <xdr:rowOff>57150</xdr:rowOff>
    </xdr:from>
    <xdr:to>
      <xdr:col>12</xdr:col>
      <xdr:colOff>361950</xdr:colOff>
      <xdr:row>16</xdr:row>
      <xdr:rowOff>38100</xdr:rowOff>
    </xdr:to>
    <xdr:sp macro="" textlink="">
      <xdr:nvSpPr>
        <xdr:cNvPr id="25873" name="Line 27"/>
        <xdr:cNvSpPr>
          <a:spLocks noChangeShapeType="1"/>
        </xdr:cNvSpPr>
      </xdr:nvSpPr>
      <xdr:spPr bwMode="auto">
        <a:xfrm>
          <a:off x="6610350" y="2362200"/>
          <a:ext cx="64770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clientData/>
  </xdr:twoCellAnchor>
  <xdr:oneCellAnchor>
    <xdr:from>
      <xdr:col>5</xdr:col>
      <xdr:colOff>409575</xdr:colOff>
      <xdr:row>27</xdr:row>
      <xdr:rowOff>47625</xdr:rowOff>
    </xdr:from>
    <xdr:ext cx="1590675" cy="257175"/>
    <xdr:sp macro="" textlink="">
      <xdr:nvSpPr>
        <xdr:cNvPr id="25628" name="Text Box 28">
          <a:extLst>
            <a:ext uri="{FF2B5EF4-FFF2-40B4-BE49-F238E27FC236}">
              <a16:creationId xmlns:a16="http://schemas.microsoft.com/office/drawing/2014/main" id="{999723DD-A330-46B8-90A0-C3F40F7F3186}"/>
            </a:ext>
          </a:extLst>
        </xdr:cNvPr>
        <xdr:cNvSpPr txBox="1">
          <a:spLocks noChangeArrowheads="1"/>
        </xdr:cNvSpPr>
      </xdr:nvSpPr>
      <xdr:spPr bwMode="auto">
        <a:xfrm>
          <a:off x="3038475" y="4581525"/>
          <a:ext cx="165735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400" b="1" i="0" u="sng" strike="noStrike" baseline="0">
              <a:solidFill>
                <a:srgbClr val="0000FF"/>
              </a:solidFill>
              <a:latin typeface="Arial"/>
              <a:cs typeface="Arial"/>
            </a:rPr>
            <a:t>2:1 Elliptical Head</a:t>
          </a:r>
        </a:p>
      </xdr:txBody>
    </xdr:sp>
    <xdr:clientData/>
  </xdr:oneCellAnchor>
  <xdr:twoCellAnchor>
    <xdr:from>
      <xdr:col>4</xdr:col>
      <xdr:colOff>161925</xdr:colOff>
      <xdr:row>9</xdr:row>
      <xdr:rowOff>9525</xdr:rowOff>
    </xdr:from>
    <xdr:to>
      <xdr:col>4</xdr:col>
      <xdr:colOff>342900</xdr:colOff>
      <xdr:row>13</xdr:row>
      <xdr:rowOff>76200</xdr:rowOff>
    </xdr:to>
    <xdr:sp macro="" textlink="">
      <xdr:nvSpPr>
        <xdr:cNvPr id="25875" name="Line 29"/>
        <xdr:cNvSpPr>
          <a:spLocks noChangeShapeType="1"/>
        </xdr:cNvSpPr>
      </xdr:nvSpPr>
      <xdr:spPr bwMode="auto">
        <a:xfrm flipH="1" flipV="1">
          <a:off x="2181225" y="1466850"/>
          <a:ext cx="180975" cy="752475"/>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4</xdr:col>
      <xdr:colOff>171450</xdr:colOff>
      <xdr:row>3</xdr:row>
      <xdr:rowOff>47625</xdr:rowOff>
    </xdr:from>
    <xdr:to>
      <xdr:col>4</xdr:col>
      <xdr:colOff>171450</xdr:colOff>
      <xdr:row>9</xdr:row>
      <xdr:rowOff>9525</xdr:rowOff>
    </xdr:to>
    <xdr:sp macro="" textlink="">
      <xdr:nvSpPr>
        <xdr:cNvPr id="25876" name="Line 30"/>
        <xdr:cNvSpPr>
          <a:spLocks noChangeShapeType="1"/>
        </xdr:cNvSpPr>
      </xdr:nvSpPr>
      <xdr:spPr bwMode="auto">
        <a:xfrm flipV="1">
          <a:off x="2190750" y="485775"/>
          <a:ext cx="0" cy="981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295275</xdr:colOff>
      <xdr:row>3</xdr:row>
      <xdr:rowOff>47625</xdr:rowOff>
    </xdr:from>
    <xdr:to>
      <xdr:col>9</xdr:col>
      <xdr:colOff>295275</xdr:colOff>
      <xdr:row>9</xdr:row>
      <xdr:rowOff>9525</xdr:rowOff>
    </xdr:to>
    <xdr:sp macro="" textlink="">
      <xdr:nvSpPr>
        <xdr:cNvPr id="25877" name="Line 31"/>
        <xdr:cNvSpPr>
          <a:spLocks noChangeShapeType="1"/>
        </xdr:cNvSpPr>
      </xdr:nvSpPr>
      <xdr:spPr bwMode="auto">
        <a:xfrm flipV="1">
          <a:off x="5362575" y="485775"/>
          <a:ext cx="0" cy="981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19050</xdr:colOff>
      <xdr:row>9</xdr:row>
      <xdr:rowOff>0</xdr:rowOff>
    </xdr:from>
    <xdr:to>
      <xdr:col>9</xdr:col>
      <xdr:colOff>266700</xdr:colOff>
      <xdr:row>13</xdr:row>
      <xdr:rowOff>95250</xdr:rowOff>
    </xdr:to>
    <xdr:sp macro="" textlink="">
      <xdr:nvSpPr>
        <xdr:cNvPr id="25878" name="Line 32"/>
        <xdr:cNvSpPr>
          <a:spLocks noChangeShapeType="1"/>
        </xdr:cNvSpPr>
      </xdr:nvSpPr>
      <xdr:spPr bwMode="auto">
        <a:xfrm flipH="1">
          <a:off x="5086350" y="1457325"/>
          <a:ext cx="247650"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4</xdr:col>
      <xdr:colOff>180975</xdr:colOff>
      <xdr:row>3</xdr:row>
      <xdr:rowOff>76200</xdr:rowOff>
    </xdr:from>
    <xdr:to>
      <xdr:col>9</xdr:col>
      <xdr:colOff>276225</xdr:colOff>
      <xdr:row>3</xdr:row>
      <xdr:rowOff>76200</xdr:rowOff>
    </xdr:to>
    <xdr:sp macro="" textlink="">
      <xdr:nvSpPr>
        <xdr:cNvPr id="25879" name="Line 33"/>
        <xdr:cNvSpPr>
          <a:spLocks noChangeShapeType="1"/>
        </xdr:cNvSpPr>
      </xdr:nvSpPr>
      <xdr:spPr bwMode="auto">
        <a:xfrm>
          <a:off x="2200275" y="514350"/>
          <a:ext cx="31432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285750</xdr:colOff>
      <xdr:row>4</xdr:row>
      <xdr:rowOff>85725</xdr:rowOff>
    </xdr:from>
    <xdr:to>
      <xdr:col>4</xdr:col>
      <xdr:colOff>171450</xdr:colOff>
      <xdr:row>4</xdr:row>
      <xdr:rowOff>85725</xdr:rowOff>
    </xdr:to>
    <xdr:sp macro="" textlink="">
      <xdr:nvSpPr>
        <xdr:cNvPr id="25880" name="Line 34"/>
        <xdr:cNvSpPr>
          <a:spLocks noChangeShapeType="1"/>
        </xdr:cNvSpPr>
      </xdr:nvSpPr>
      <xdr:spPr bwMode="auto">
        <a:xfrm flipH="1">
          <a:off x="1695450" y="695325"/>
          <a:ext cx="495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3</xdr:col>
      <xdr:colOff>352425</xdr:colOff>
      <xdr:row>23</xdr:row>
      <xdr:rowOff>60081</xdr:rowOff>
    </xdr:from>
    <xdr:ext cx="1403836" cy="384664"/>
    <xdr:sp macro="" textlink="">
      <xdr:nvSpPr>
        <xdr:cNvPr id="25636" name="AutoShape 36">
          <a:extLst>
            <a:ext uri="{FF2B5EF4-FFF2-40B4-BE49-F238E27FC236}">
              <a16:creationId xmlns:a16="http://schemas.microsoft.com/office/drawing/2014/main" id="{ADC9DB86-7759-4C39-8A43-D3D39DBB582D}"/>
            </a:ext>
          </a:extLst>
        </xdr:cNvPr>
        <xdr:cNvSpPr>
          <a:spLocks noChangeArrowheads="1"/>
        </xdr:cNvSpPr>
      </xdr:nvSpPr>
      <xdr:spPr bwMode="auto">
        <a:xfrm>
          <a:off x="1762125" y="3879606"/>
          <a:ext cx="1403836" cy="384664"/>
        </a:xfrm>
        <a:prstGeom prst="rightArrow">
          <a:avLst>
            <a:gd name="adj1" fmla="val 50000"/>
            <a:gd name="adj2" fmla="val 97436"/>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22860" anchor="ctr" upright="1">
          <a:spAutoFit/>
        </a:bodyPr>
        <a:lstStyle/>
        <a:p>
          <a:pPr algn="l" rtl="0">
            <a:defRPr sz="1000"/>
          </a:pPr>
          <a:r>
            <a:rPr lang="en-IN" sz="1000" b="1" i="0" u="none" strike="noStrike" baseline="0">
              <a:solidFill>
                <a:srgbClr val="000000"/>
              </a:solidFill>
              <a:latin typeface="Arial"/>
              <a:cs typeface="Arial"/>
            </a:rPr>
            <a:t>Key In the Head I.D.</a:t>
          </a: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2</xdr:col>
      <xdr:colOff>66675</xdr:colOff>
      <xdr:row>0</xdr:row>
      <xdr:rowOff>28575</xdr:rowOff>
    </xdr:from>
    <xdr:to>
      <xdr:col>13</xdr:col>
      <xdr:colOff>19050</xdr:colOff>
      <xdr:row>29</xdr:row>
      <xdr:rowOff>152400</xdr:rowOff>
    </xdr:to>
    <xdr:graphicFrame macro="">
      <xdr:nvGraphicFramePr>
        <xdr:cNvPr id="820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40</xdr:row>
      <xdr:rowOff>19050</xdr:rowOff>
    </xdr:from>
    <xdr:to>
      <xdr:col>2</xdr:col>
      <xdr:colOff>0</xdr:colOff>
      <xdr:row>46</xdr:row>
      <xdr:rowOff>66675</xdr:rowOff>
    </xdr:to>
    <xdr:sp macro="" textlink="">
      <xdr:nvSpPr>
        <xdr:cNvPr id="8194" name="Text 2">
          <a:extLst>
            <a:ext uri="{FF2B5EF4-FFF2-40B4-BE49-F238E27FC236}">
              <a16:creationId xmlns:a16="http://schemas.microsoft.com/office/drawing/2014/main" id="{BDBE5AA8-DDD1-425A-AA8B-B591503EB3A2}"/>
            </a:ext>
          </a:extLst>
        </xdr:cNvPr>
        <xdr:cNvSpPr txBox="1">
          <a:spLocks noChangeArrowheads="1"/>
        </xdr:cNvSpPr>
      </xdr:nvSpPr>
      <xdr:spPr bwMode="auto">
        <a:xfrm>
          <a:off x="57150" y="6553200"/>
          <a:ext cx="1428750" cy="1019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Reference: </a:t>
          </a:r>
        </a:p>
        <a:p>
          <a:pPr algn="l" rtl="0">
            <a:defRPr sz="1000"/>
          </a:pPr>
          <a:r>
            <a:rPr lang="en-IN" sz="1000" b="0" i="0" u="none" strike="noStrike" baseline="0">
              <a:solidFill>
                <a:srgbClr val="000000"/>
              </a:solidFill>
              <a:latin typeface="Arial"/>
              <a:cs typeface="Arial"/>
            </a:rPr>
            <a:t>Trinity Industries, Inc.</a:t>
          </a:r>
        </a:p>
        <a:p>
          <a:pPr algn="l" rtl="0">
            <a:defRPr sz="1000"/>
          </a:pPr>
          <a:r>
            <a:rPr lang="en-IN" sz="1000" b="0" i="0" u="none" strike="noStrike" baseline="0">
              <a:solidFill>
                <a:srgbClr val="000000"/>
              </a:solidFill>
              <a:latin typeface="Arial"/>
              <a:cs typeface="Arial"/>
            </a:rPr>
            <a:t>Head Division</a:t>
          </a:r>
        </a:p>
        <a:p>
          <a:pPr algn="l" rtl="0">
            <a:defRPr sz="1000"/>
          </a:pPr>
          <a:r>
            <a:rPr lang="en-IN" sz="1000" b="0" i="0" u="none" strike="noStrike" baseline="0">
              <a:solidFill>
                <a:srgbClr val="000000"/>
              </a:solidFill>
              <a:latin typeface="Arial"/>
              <a:cs typeface="Arial"/>
            </a:rPr>
            <a:t>Navasota, TX</a:t>
          </a:r>
        </a:p>
        <a:p>
          <a:pPr algn="l" rtl="0">
            <a:defRPr sz="1000"/>
          </a:pPr>
          <a:r>
            <a:rPr lang="en-IN" sz="1000" b="0" i="0" u="none" strike="noStrike" baseline="0">
              <a:solidFill>
                <a:srgbClr val="000000"/>
              </a:solidFill>
              <a:latin typeface="Arial"/>
              <a:cs typeface="Arial"/>
            </a:rPr>
            <a:t>Product &amp; Services</a:t>
          </a:r>
        </a:p>
        <a:p>
          <a:pPr algn="l" rtl="0">
            <a:defRPr sz="1000"/>
          </a:pPr>
          <a:r>
            <a:rPr lang="en-IN" sz="1000" b="0" i="0" u="none" strike="noStrike" baseline="0">
              <a:solidFill>
                <a:srgbClr val="000000"/>
              </a:solidFill>
              <a:latin typeface="Arial"/>
              <a:cs typeface="Arial"/>
            </a:rPr>
            <a:t>Catalog # 7962M (1996)</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161925</xdr:colOff>
      <xdr:row>0</xdr:row>
      <xdr:rowOff>95250</xdr:rowOff>
    </xdr:from>
    <xdr:to>
      <xdr:col>12</xdr:col>
      <xdr:colOff>552450</xdr:colOff>
      <xdr:row>22</xdr:row>
      <xdr:rowOff>0</xdr:rowOff>
    </xdr:to>
    <xdr:grpSp>
      <xdr:nvGrpSpPr>
        <xdr:cNvPr id="27143" name="Group 1"/>
        <xdr:cNvGrpSpPr>
          <a:grpSpLocks/>
        </xdr:cNvGrpSpPr>
      </xdr:nvGrpSpPr>
      <xdr:grpSpPr bwMode="auto">
        <a:xfrm>
          <a:off x="161925" y="95250"/>
          <a:ext cx="7705725" cy="3467100"/>
          <a:chOff x="17" y="10"/>
          <a:chExt cx="809" cy="364"/>
        </a:xfrm>
      </xdr:grpSpPr>
      <xdr:sp macro="" textlink="">
        <xdr:nvSpPr>
          <xdr:cNvPr id="27178" name="AutoShape 2"/>
          <xdr:cNvSpPr>
            <a:spLocks noChangeArrowheads="1"/>
          </xdr:cNvSpPr>
        </xdr:nvSpPr>
        <xdr:spPr bwMode="auto">
          <a:xfrm>
            <a:off x="156" y="131"/>
            <a:ext cx="458" cy="100"/>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7992 h 21600"/>
            </a:gdLst>
            <a:ahLst/>
            <a:cxnLst>
              <a:cxn ang="T8">
                <a:pos x="T0" y="T1"/>
              </a:cxn>
              <a:cxn ang="T9">
                <a:pos x="T2" y="T3"/>
              </a:cxn>
              <a:cxn ang="T10">
                <a:pos x="T4" y="T5"/>
              </a:cxn>
              <a:cxn ang="T11">
                <a:pos x="T6" y="T7"/>
              </a:cxn>
            </a:cxnLst>
            <a:rect l="T12" t="T13" r="T14" b="T15"/>
            <a:pathLst>
              <a:path w="21600" h="21600">
                <a:moveTo>
                  <a:pt x="283" y="11015"/>
                </a:moveTo>
                <a:cubicBezTo>
                  <a:pt x="281" y="10944"/>
                  <a:pt x="281" y="10872"/>
                  <a:pt x="281" y="10800"/>
                </a:cubicBezTo>
                <a:cubicBezTo>
                  <a:pt x="281" y="4990"/>
                  <a:pt x="4990" y="281"/>
                  <a:pt x="10800" y="281"/>
                </a:cubicBezTo>
                <a:cubicBezTo>
                  <a:pt x="16609" y="281"/>
                  <a:pt x="21319" y="4990"/>
                  <a:pt x="21319" y="10800"/>
                </a:cubicBezTo>
                <a:cubicBezTo>
                  <a:pt x="21318" y="10872"/>
                  <a:pt x="21318" y="10944"/>
                  <a:pt x="21316" y="11015"/>
                </a:cubicBezTo>
                <a:lnTo>
                  <a:pt x="21597" y="11021"/>
                </a:lnTo>
                <a:cubicBezTo>
                  <a:pt x="21599" y="10947"/>
                  <a:pt x="21600" y="10873"/>
                  <a:pt x="21600" y="10800"/>
                </a:cubicBezTo>
                <a:cubicBezTo>
                  <a:pt x="21600" y="4835"/>
                  <a:pt x="16764" y="0"/>
                  <a:pt x="10800" y="0"/>
                </a:cubicBezTo>
                <a:cubicBezTo>
                  <a:pt x="4835" y="0"/>
                  <a:pt x="0" y="4835"/>
                  <a:pt x="0" y="10800"/>
                </a:cubicBezTo>
                <a:cubicBezTo>
                  <a:pt x="0" y="10873"/>
                  <a:pt x="0" y="10947"/>
                  <a:pt x="2" y="11021"/>
                </a:cubicBezTo>
                <a:lnTo>
                  <a:pt x="283" y="11015"/>
                </a:lnTo>
                <a:close/>
              </a:path>
            </a:pathLst>
          </a:cu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27179" name="Rectangle 3"/>
          <xdr:cNvSpPr>
            <a:spLocks noChangeArrowheads="1"/>
          </xdr:cNvSpPr>
        </xdr:nvSpPr>
        <xdr:spPr bwMode="auto">
          <a:xfrm>
            <a:off x="157" y="181"/>
            <a:ext cx="5" cy="23"/>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27180" name="Rectangle 4"/>
          <xdr:cNvSpPr>
            <a:spLocks noChangeArrowheads="1"/>
          </xdr:cNvSpPr>
        </xdr:nvSpPr>
        <xdr:spPr bwMode="auto">
          <a:xfrm>
            <a:off x="609" y="183"/>
            <a:ext cx="5" cy="23"/>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27181" name="Line 5"/>
          <xdr:cNvSpPr>
            <a:spLocks noChangeShapeType="1"/>
          </xdr:cNvSpPr>
        </xdr:nvSpPr>
        <xdr:spPr bwMode="auto">
          <a:xfrm flipH="1" flipV="1">
            <a:off x="386" y="90"/>
            <a:ext cx="0" cy="245"/>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7182" name="Line 6"/>
          <xdr:cNvSpPr>
            <a:spLocks noChangeShapeType="1"/>
          </xdr:cNvSpPr>
        </xdr:nvSpPr>
        <xdr:spPr bwMode="auto">
          <a:xfrm flipV="1">
            <a:off x="17" y="181"/>
            <a:ext cx="69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7183" name="Line 7"/>
          <xdr:cNvSpPr>
            <a:spLocks noChangeShapeType="1"/>
          </xdr:cNvSpPr>
        </xdr:nvSpPr>
        <xdr:spPr bwMode="auto">
          <a:xfrm>
            <a:off x="158" y="204"/>
            <a:ext cx="449"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26632" name="Text Box 8">
            <a:extLst>
              <a:ext uri="{FF2B5EF4-FFF2-40B4-BE49-F238E27FC236}">
                <a16:creationId xmlns:a16="http://schemas.microsoft.com/office/drawing/2014/main" id="{F2A00E1F-6A97-4B71-AC0B-0C09F5F0CB80}"/>
              </a:ext>
            </a:extLst>
          </xdr:cNvPr>
          <xdr:cNvSpPr txBox="1">
            <a:spLocks noChangeArrowheads="1"/>
          </xdr:cNvSpPr>
        </xdr:nvSpPr>
        <xdr:spPr bwMode="auto">
          <a:xfrm>
            <a:off x="27" y="160"/>
            <a:ext cx="8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00"/>
                </a:solidFill>
                <a:latin typeface="Arial"/>
                <a:cs typeface="Arial"/>
              </a:rPr>
              <a:t>Tangent Line</a:t>
            </a:r>
          </a:p>
        </xdr:txBody>
      </xdr:sp>
      <xdr:sp macro="" textlink="">
        <xdr:nvSpPr>
          <xdr:cNvPr id="27185" name="Line 9"/>
          <xdr:cNvSpPr>
            <a:spLocks noChangeShapeType="1"/>
          </xdr:cNvSpPr>
        </xdr:nvSpPr>
        <xdr:spPr bwMode="auto">
          <a:xfrm>
            <a:off x="617" y="203"/>
            <a:ext cx="7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186" name="Line 10"/>
          <xdr:cNvSpPr>
            <a:spLocks noChangeShapeType="1"/>
          </xdr:cNvSpPr>
        </xdr:nvSpPr>
        <xdr:spPr bwMode="auto">
          <a:xfrm>
            <a:off x="682" y="202"/>
            <a:ext cx="0" cy="39"/>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sp macro="" textlink="">
        <xdr:nvSpPr>
          <xdr:cNvPr id="27187" name="Line 11"/>
          <xdr:cNvSpPr>
            <a:spLocks noChangeShapeType="1"/>
          </xdr:cNvSpPr>
        </xdr:nvSpPr>
        <xdr:spPr bwMode="auto">
          <a:xfrm>
            <a:off x="181" y="162"/>
            <a:ext cx="21" cy="19"/>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sp macro="" textlink="">
        <xdr:nvSpPr>
          <xdr:cNvPr id="27188" name="Line 12"/>
          <xdr:cNvSpPr>
            <a:spLocks noChangeShapeType="1"/>
          </xdr:cNvSpPr>
        </xdr:nvSpPr>
        <xdr:spPr bwMode="auto">
          <a:xfrm>
            <a:off x="682" y="181"/>
            <a:ext cx="0" cy="2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189" name="Line 13"/>
          <xdr:cNvSpPr>
            <a:spLocks noChangeShapeType="1"/>
          </xdr:cNvSpPr>
        </xdr:nvSpPr>
        <xdr:spPr bwMode="auto">
          <a:xfrm>
            <a:off x="680" y="134"/>
            <a:ext cx="2" cy="4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7190" name="Line 14"/>
          <xdr:cNvSpPr>
            <a:spLocks noChangeShapeType="1"/>
          </xdr:cNvSpPr>
        </xdr:nvSpPr>
        <xdr:spPr bwMode="auto">
          <a:xfrm>
            <a:off x="682" y="192"/>
            <a:ext cx="68" cy="32"/>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sp macro="" textlink="">
        <xdr:nvSpPr>
          <xdr:cNvPr id="27191" name="Rectangle 15"/>
          <xdr:cNvSpPr>
            <a:spLocks noChangeArrowheads="1"/>
          </xdr:cNvSpPr>
        </xdr:nvSpPr>
        <xdr:spPr bwMode="auto">
          <a:xfrm>
            <a:off x="749" y="187"/>
            <a:ext cx="77" cy="103"/>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6640" name="Text Box 16">
            <a:extLst>
              <a:ext uri="{FF2B5EF4-FFF2-40B4-BE49-F238E27FC236}">
                <a16:creationId xmlns:a16="http://schemas.microsoft.com/office/drawing/2014/main" id="{29B4E537-9C79-416C-B802-A7FBB84387B8}"/>
              </a:ext>
            </a:extLst>
          </xdr:cNvPr>
          <xdr:cNvSpPr txBox="1">
            <a:spLocks noChangeArrowheads="1"/>
          </xdr:cNvSpPr>
        </xdr:nvSpPr>
        <xdr:spPr bwMode="auto">
          <a:xfrm>
            <a:off x="752" y="188"/>
            <a:ext cx="67" cy="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IN" sz="1000" b="1" i="0" u="none" strike="noStrike" baseline="0">
                <a:solidFill>
                  <a:srgbClr val="0000FF"/>
                </a:solidFill>
                <a:latin typeface="Arial"/>
                <a:cs typeface="Arial"/>
              </a:rPr>
              <a:t>Straight</a:t>
            </a:r>
          </a:p>
          <a:p>
            <a:pPr algn="ctr" rtl="0">
              <a:defRPr sz="1000"/>
            </a:pPr>
            <a:r>
              <a:rPr lang="en-IN" sz="1000" b="1" i="0" u="none" strike="noStrike" baseline="0">
                <a:solidFill>
                  <a:srgbClr val="0000FF"/>
                </a:solidFill>
                <a:latin typeface="Arial"/>
                <a:cs typeface="Arial"/>
              </a:rPr>
              <a:t>Flange</a:t>
            </a:r>
          </a:p>
          <a:p>
            <a:pPr algn="ctr" rtl="0">
              <a:defRPr sz="1000"/>
            </a:pPr>
            <a:r>
              <a:rPr lang="en-IN" sz="1000" b="1" i="0" u="none" strike="noStrike" baseline="0">
                <a:solidFill>
                  <a:srgbClr val="0000FF"/>
                </a:solidFill>
                <a:latin typeface="Arial"/>
                <a:cs typeface="Arial"/>
              </a:rPr>
              <a:t>(Varies)</a:t>
            </a:r>
          </a:p>
          <a:p>
            <a:pPr algn="ctr" rtl="0">
              <a:defRPr sz="1000"/>
            </a:pPr>
            <a:r>
              <a:rPr lang="en-IN" sz="1000" b="1" i="0" u="none" strike="noStrike" baseline="0">
                <a:solidFill>
                  <a:srgbClr val="0000FF"/>
                </a:solidFill>
                <a:latin typeface="Arial"/>
                <a:cs typeface="Arial"/>
              </a:rPr>
              <a:t>2" Nom.</a:t>
            </a:r>
          </a:p>
          <a:p>
            <a:pPr algn="ctr" rtl="0">
              <a:defRPr sz="1000"/>
            </a:pPr>
            <a:r>
              <a:rPr lang="en-IN" sz="1000" b="1" i="0" u="none" strike="noStrike" baseline="0">
                <a:solidFill>
                  <a:srgbClr val="FF0000"/>
                </a:solidFill>
                <a:latin typeface="Arial"/>
                <a:cs typeface="Arial"/>
              </a:rPr>
              <a:t>51mm</a:t>
            </a:r>
            <a:endParaRPr lang="en-IN" sz="1000" b="0" i="0" u="none" strike="noStrike" baseline="0">
              <a:solidFill>
                <a:srgbClr val="000000"/>
              </a:solidFill>
              <a:latin typeface="Arial"/>
              <a:cs typeface="Arial"/>
            </a:endParaRPr>
          </a:p>
          <a:p>
            <a:pPr algn="ctr" rtl="0">
              <a:defRPr sz="1000"/>
            </a:pPr>
            <a:endParaRPr lang="en-IN" sz="1000" b="0" i="0" u="none" strike="noStrike" baseline="0">
              <a:solidFill>
                <a:srgbClr val="000000"/>
              </a:solidFill>
              <a:latin typeface="Arial"/>
              <a:cs typeface="Arial"/>
            </a:endParaRPr>
          </a:p>
        </xdr:txBody>
      </xdr:sp>
      <xdr:sp macro="" textlink="">
        <xdr:nvSpPr>
          <xdr:cNvPr id="27193" name="Line 17"/>
          <xdr:cNvSpPr>
            <a:spLocks noChangeShapeType="1"/>
          </xdr:cNvSpPr>
        </xdr:nvSpPr>
        <xdr:spPr bwMode="auto">
          <a:xfrm flipH="1" flipV="1">
            <a:off x="146" y="130"/>
            <a:ext cx="34" cy="31"/>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194" name="Line 18"/>
          <xdr:cNvSpPr>
            <a:spLocks noChangeShapeType="1"/>
          </xdr:cNvSpPr>
        </xdr:nvSpPr>
        <xdr:spPr bwMode="auto">
          <a:xfrm flipH="1">
            <a:off x="134" y="13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195" name="Line 19"/>
          <xdr:cNvSpPr>
            <a:spLocks noChangeShapeType="1"/>
          </xdr:cNvSpPr>
        </xdr:nvSpPr>
        <xdr:spPr bwMode="auto">
          <a:xfrm flipV="1">
            <a:off x="387" y="138"/>
            <a:ext cx="106" cy="166"/>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27196" name="Line 20"/>
          <xdr:cNvSpPr>
            <a:spLocks noChangeShapeType="1"/>
          </xdr:cNvSpPr>
        </xdr:nvSpPr>
        <xdr:spPr bwMode="auto">
          <a:xfrm flipV="1">
            <a:off x="496" y="95"/>
            <a:ext cx="27" cy="4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sp macro="" textlink="">
        <xdr:nvSpPr>
          <xdr:cNvPr id="27197" name="Line 21"/>
          <xdr:cNvSpPr>
            <a:spLocks noChangeShapeType="1"/>
          </xdr:cNvSpPr>
        </xdr:nvSpPr>
        <xdr:spPr bwMode="auto">
          <a:xfrm>
            <a:off x="523" y="95"/>
            <a:ext cx="19"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198" name="Line 22"/>
          <xdr:cNvSpPr>
            <a:spLocks noChangeShapeType="1"/>
          </xdr:cNvSpPr>
        </xdr:nvSpPr>
        <xdr:spPr bwMode="auto">
          <a:xfrm>
            <a:off x="437" y="225"/>
            <a:ext cx="31" cy="2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sp macro="" textlink="">
        <xdr:nvSpPr>
          <xdr:cNvPr id="26647" name="Text Box 23">
            <a:extLst>
              <a:ext uri="{FF2B5EF4-FFF2-40B4-BE49-F238E27FC236}">
                <a16:creationId xmlns:a16="http://schemas.microsoft.com/office/drawing/2014/main" id="{5CC1EBDA-045E-49AE-8D8E-7FF1867E1726}"/>
              </a:ext>
            </a:extLst>
          </xdr:cNvPr>
          <xdr:cNvSpPr txBox="1">
            <a:spLocks noChangeArrowheads="1"/>
          </xdr:cNvSpPr>
        </xdr:nvSpPr>
        <xdr:spPr bwMode="auto">
          <a:xfrm>
            <a:off x="545" y="83"/>
            <a:ext cx="127" cy="2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FF"/>
                </a:solidFill>
                <a:latin typeface="Arial"/>
                <a:cs typeface="Arial"/>
              </a:rPr>
              <a:t>Wall Thickness </a:t>
            </a:r>
            <a:r>
              <a:rPr lang="en-IN" sz="1200" b="1" i="0" u="none" strike="noStrike" baseline="0">
                <a:solidFill>
                  <a:srgbClr val="000000"/>
                </a:solidFill>
                <a:latin typeface="Arial"/>
                <a:cs typeface="Arial"/>
              </a:rPr>
              <a:t>"T"</a:t>
            </a:r>
          </a:p>
        </xdr:txBody>
      </xdr:sp>
      <xdr:sp macro="" textlink="">
        <xdr:nvSpPr>
          <xdr:cNvPr id="26648" name="Text Box 24">
            <a:extLst>
              <a:ext uri="{FF2B5EF4-FFF2-40B4-BE49-F238E27FC236}">
                <a16:creationId xmlns:a16="http://schemas.microsoft.com/office/drawing/2014/main" id="{793BA8CA-4C32-4217-AF94-898AB96324BA}"/>
              </a:ext>
            </a:extLst>
          </xdr:cNvPr>
          <xdr:cNvSpPr txBox="1">
            <a:spLocks noChangeArrowheads="1"/>
          </xdr:cNvSpPr>
        </xdr:nvSpPr>
        <xdr:spPr bwMode="auto">
          <a:xfrm>
            <a:off x="64" y="104"/>
            <a:ext cx="102" cy="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IN" sz="1000" b="1" i="0" u="none" strike="noStrike" baseline="0">
                <a:solidFill>
                  <a:srgbClr val="0000FF"/>
                </a:solidFill>
                <a:latin typeface="Arial"/>
                <a:cs typeface="Arial"/>
              </a:rPr>
              <a:t>Knuckle Radius</a:t>
            </a:r>
          </a:p>
          <a:p>
            <a:pPr algn="ctr" rtl="0">
              <a:defRPr sz="1000"/>
            </a:pPr>
            <a:r>
              <a:rPr lang="en-IN" sz="1000" b="1" i="0" u="none" strike="noStrike" baseline="0">
                <a:solidFill>
                  <a:srgbClr val="000000"/>
                </a:solidFill>
                <a:latin typeface="Arial"/>
                <a:cs typeface="Arial"/>
              </a:rPr>
              <a:t>"</a:t>
            </a:r>
            <a:r>
              <a:rPr lang="en-IN" sz="1200" b="1" i="0" u="none" strike="noStrike" baseline="0">
                <a:solidFill>
                  <a:srgbClr val="000000"/>
                </a:solidFill>
                <a:latin typeface="Arial"/>
                <a:cs typeface="Arial"/>
              </a:rPr>
              <a:t>R2"</a:t>
            </a:r>
          </a:p>
        </xdr:txBody>
      </xdr:sp>
      <xdr:sp macro="" textlink="">
        <xdr:nvSpPr>
          <xdr:cNvPr id="26649" name="Text Box 25">
            <a:extLst>
              <a:ext uri="{FF2B5EF4-FFF2-40B4-BE49-F238E27FC236}">
                <a16:creationId xmlns:a16="http://schemas.microsoft.com/office/drawing/2014/main" id="{E3E85F36-5AFB-40A4-85F0-02C69BEFAB1C}"/>
              </a:ext>
            </a:extLst>
          </xdr:cNvPr>
          <xdr:cNvSpPr txBox="1">
            <a:spLocks noChangeArrowheads="1"/>
          </xdr:cNvSpPr>
        </xdr:nvSpPr>
        <xdr:spPr bwMode="auto">
          <a:xfrm>
            <a:off x="476" y="236"/>
            <a:ext cx="78" cy="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IN" sz="1000" b="1" i="0" u="none" strike="noStrike" baseline="0">
                <a:solidFill>
                  <a:srgbClr val="0000FF"/>
                </a:solidFill>
                <a:latin typeface="Arial"/>
                <a:cs typeface="Arial"/>
              </a:rPr>
              <a:t>Dish Radius</a:t>
            </a:r>
          </a:p>
          <a:p>
            <a:pPr algn="ctr" rtl="0">
              <a:defRPr sz="1000"/>
            </a:pPr>
            <a:r>
              <a:rPr lang="en-IN" sz="1000" b="1" i="0" u="none" strike="noStrike" baseline="0">
                <a:solidFill>
                  <a:srgbClr val="000000"/>
                </a:solidFill>
                <a:latin typeface="Arial"/>
                <a:cs typeface="Arial"/>
              </a:rPr>
              <a:t>"</a:t>
            </a:r>
            <a:r>
              <a:rPr lang="en-IN" sz="1200" b="1" i="0" u="none" strike="noStrike" baseline="0">
                <a:solidFill>
                  <a:srgbClr val="000000"/>
                </a:solidFill>
                <a:latin typeface="Arial"/>
                <a:cs typeface="Arial"/>
              </a:rPr>
              <a:t>R1"</a:t>
            </a:r>
          </a:p>
        </xdr:txBody>
      </xdr:sp>
      <xdr:sp macro="" textlink="">
        <xdr:nvSpPr>
          <xdr:cNvPr id="27202" name="Line 26"/>
          <xdr:cNvSpPr>
            <a:spLocks noChangeShapeType="1"/>
          </xdr:cNvSpPr>
        </xdr:nvSpPr>
        <xdr:spPr bwMode="auto">
          <a:xfrm flipH="1">
            <a:off x="572" y="164"/>
            <a:ext cx="19"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sp macro="" textlink="">
        <xdr:nvSpPr>
          <xdr:cNvPr id="27203" name="Line 27"/>
          <xdr:cNvSpPr>
            <a:spLocks noChangeShapeType="1"/>
          </xdr:cNvSpPr>
        </xdr:nvSpPr>
        <xdr:spPr bwMode="auto">
          <a:xfrm flipV="1">
            <a:off x="203" y="61"/>
            <a:ext cx="0" cy="121"/>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7204" name="Line 28"/>
          <xdr:cNvSpPr>
            <a:spLocks noChangeShapeType="1"/>
          </xdr:cNvSpPr>
        </xdr:nvSpPr>
        <xdr:spPr bwMode="auto">
          <a:xfrm flipH="1" flipV="1">
            <a:off x="570" y="111"/>
            <a:ext cx="1" cy="72"/>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7205" name="Line 29"/>
          <xdr:cNvSpPr>
            <a:spLocks noChangeShapeType="1"/>
          </xdr:cNvSpPr>
        </xdr:nvSpPr>
        <xdr:spPr bwMode="auto">
          <a:xfrm flipH="1" flipV="1">
            <a:off x="569" y="65"/>
            <a:ext cx="0" cy="18"/>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7206" name="Line 30"/>
          <xdr:cNvSpPr>
            <a:spLocks noChangeShapeType="1"/>
          </xdr:cNvSpPr>
        </xdr:nvSpPr>
        <xdr:spPr bwMode="auto">
          <a:xfrm>
            <a:off x="204" y="69"/>
            <a:ext cx="36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6655" name="Text Box 31">
            <a:extLst>
              <a:ext uri="{FF2B5EF4-FFF2-40B4-BE49-F238E27FC236}">
                <a16:creationId xmlns:a16="http://schemas.microsoft.com/office/drawing/2014/main" id="{946531B5-E925-463A-8AB9-0DD5A3BAE52E}"/>
              </a:ext>
            </a:extLst>
          </xdr:cNvPr>
          <xdr:cNvSpPr txBox="1">
            <a:spLocks noChangeArrowheads="1"/>
          </xdr:cNvSpPr>
        </xdr:nvSpPr>
        <xdr:spPr bwMode="auto">
          <a:xfrm>
            <a:off x="303" y="51"/>
            <a:ext cx="17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FF"/>
                </a:solidFill>
                <a:latin typeface="Arial"/>
                <a:cs typeface="Arial"/>
              </a:rPr>
              <a:t>Area for nozzle attachment</a:t>
            </a:r>
          </a:p>
        </xdr:txBody>
      </xdr:sp>
      <xdr:sp macro="" textlink="">
        <xdr:nvSpPr>
          <xdr:cNvPr id="26656" name="Text Box 32">
            <a:extLst>
              <a:ext uri="{FF2B5EF4-FFF2-40B4-BE49-F238E27FC236}">
                <a16:creationId xmlns:a16="http://schemas.microsoft.com/office/drawing/2014/main" id="{7D2143CC-013A-4B50-BC9C-E92808388DE5}"/>
              </a:ext>
            </a:extLst>
          </xdr:cNvPr>
          <xdr:cNvSpPr txBox="1">
            <a:spLocks noChangeArrowheads="1"/>
          </xdr:cNvSpPr>
        </xdr:nvSpPr>
        <xdr:spPr bwMode="auto">
          <a:xfrm>
            <a:off x="327" y="71"/>
            <a:ext cx="9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00"/>
                </a:solidFill>
                <a:latin typeface="Arial"/>
                <a:cs typeface="Arial"/>
              </a:rPr>
              <a:t>O.D. - (R2+T)x2</a:t>
            </a:r>
          </a:p>
        </xdr:txBody>
      </xdr:sp>
      <xdr:sp macro="" textlink="">
        <xdr:nvSpPr>
          <xdr:cNvPr id="27209" name="Line 33"/>
          <xdr:cNvSpPr>
            <a:spLocks noChangeShapeType="1"/>
          </xdr:cNvSpPr>
        </xdr:nvSpPr>
        <xdr:spPr bwMode="auto">
          <a:xfrm>
            <a:off x="156" y="209"/>
            <a:ext cx="0" cy="16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210" name="Line 34"/>
          <xdr:cNvSpPr>
            <a:spLocks noChangeShapeType="1"/>
          </xdr:cNvSpPr>
        </xdr:nvSpPr>
        <xdr:spPr bwMode="auto">
          <a:xfrm>
            <a:off x="613" y="211"/>
            <a:ext cx="0" cy="162"/>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211" name="Line 35"/>
          <xdr:cNvSpPr>
            <a:spLocks noChangeShapeType="1"/>
          </xdr:cNvSpPr>
        </xdr:nvSpPr>
        <xdr:spPr bwMode="auto">
          <a:xfrm>
            <a:off x="154" y="367"/>
            <a:ext cx="458"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6660" name="Text Box 36">
            <a:extLst>
              <a:ext uri="{FF2B5EF4-FFF2-40B4-BE49-F238E27FC236}">
                <a16:creationId xmlns:a16="http://schemas.microsoft.com/office/drawing/2014/main" id="{671880D5-3DD1-4D35-87E4-9918D9A1A046}"/>
              </a:ext>
            </a:extLst>
          </xdr:cNvPr>
          <xdr:cNvSpPr txBox="1">
            <a:spLocks noChangeArrowheads="1"/>
          </xdr:cNvSpPr>
        </xdr:nvSpPr>
        <xdr:spPr bwMode="auto">
          <a:xfrm>
            <a:off x="294" y="345"/>
            <a:ext cx="151"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FF"/>
                </a:solidFill>
                <a:latin typeface="Arial"/>
                <a:cs typeface="Arial"/>
              </a:rPr>
              <a:t>Outside Diameter (O.D.)</a:t>
            </a:r>
          </a:p>
        </xdr:txBody>
      </xdr:sp>
      <xdr:sp macro="" textlink="">
        <xdr:nvSpPr>
          <xdr:cNvPr id="26661" name="Text Box 37">
            <a:extLst>
              <a:ext uri="{FF2B5EF4-FFF2-40B4-BE49-F238E27FC236}">
                <a16:creationId xmlns:a16="http://schemas.microsoft.com/office/drawing/2014/main" id="{C067663A-DFAB-48F6-9A8A-CCF09E4C045C}"/>
              </a:ext>
            </a:extLst>
          </xdr:cNvPr>
          <xdr:cNvSpPr txBox="1">
            <a:spLocks noChangeArrowheads="1"/>
          </xdr:cNvSpPr>
        </xdr:nvSpPr>
        <xdr:spPr bwMode="auto">
          <a:xfrm>
            <a:off x="226" y="10"/>
            <a:ext cx="31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400" b="1" i="0" u="sng" strike="noStrike" baseline="0">
                <a:solidFill>
                  <a:srgbClr val="0000FF"/>
                </a:solidFill>
                <a:latin typeface="Arial"/>
                <a:cs typeface="Arial"/>
              </a:rPr>
              <a:t>Flanged and Dished Head </a:t>
            </a:r>
            <a:r>
              <a:rPr lang="en-IN" sz="1400" b="1" i="0" u="sng" strike="noStrike" baseline="0">
                <a:solidFill>
                  <a:srgbClr val="FF0000"/>
                </a:solidFill>
                <a:latin typeface="Arial"/>
                <a:cs typeface="Arial"/>
              </a:rPr>
              <a:t>(ASME)</a:t>
            </a:r>
          </a:p>
        </xdr:txBody>
      </xdr:sp>
      <xdr:sp macro="" textlink="">
        <xdr:nvSpPr>
          <xdr:cNvPr id="27214" name="Line 38"/>
          <xdr:cNvSpPr>
            <a:spLocks noChangeShapeType="1"/>
          </xdr:cNvSpPr>
        </xdr:nvSpPr>
        <xdr:spPr bwMode="auto">
          <a:xfrm>
            <a:off x="386" y="133"/>
            <a:ext cx="3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663" name="Rectangle 39">
            <a:extLst>
              <a:ext uri="{FF2B5EF4-FFF2-40B4-BE49-F238E27FC236}">
                <a16:creationId xmlns:a16="http://schemas.microsoft.com/office/drawing/2014/main" id="{A1F9EC10-EA3D-4CD8-BBC1-AF56093460FF}"/>
              </a:ext>
            </a:extLst>
          </xdr:cNvPr>
          <xdr:cNvSpPr>
            <a:spLocks noChangeArrowheads="1"/>
          </xdr:cNvSpPr>
        </xdr:nvSpPr>
        <xdr:spPr bwMode="auto">
          <a:xfrm>
            <a:off x="739" y="104"/>
            <a:ext cx="90" cy="6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1" i="0" u="none" strike="noStrike" baseline="0">
                <a:solidFill>
                  <a:srgbClr val="0000FF"/>
                </a:solidFill>
                <a:latin typeface="Arial"/>
                <a:cs typeface="Arial"/>
              </a:rPr>
              <a:t>Inside Depth</a:t>
            </a:r>
          </a:p>
          <a:p>
            <a:pPr algn="l" rtl="0">
              <a:defRPr sz="1000"/>
            </a:pPr>
            <a:r>
              <a:rPr lang="en-IN" sz="1000" b="1" i="0" u="none" strike="noStrike" baseline="0">
                <a:solidFill>
                  <a:srgbClr val="0000FF"/>
                </a:solidFill>
                <a:latin typeface="Arial"/>
                <a:cs typeface="Arial"/>
              </a:rPr>
              <a:t>of Dish</a:t>
            </a:r>
          </a:p>
          <a:p>
            <a:pPr algn="l" rtl="0">
              <a:defRPr sz="1000"/>
            </a:pPr>
            <a:r>
              <a:rPr lang="en-IN" sz="1000" b="1" i="0" u="none" strike="noStrike" baseline="0">
                <a:solidFill>
                  <a:srgbClr val="000000"/>
                </a:solidFill>
                <a:latin typeface="Arial"/>
                <a:cs typeface="Arial"/>
              </a:rPr>
              <a:t>"</a:t>
            </a:r>
            <a:r>
              <a:rPr lang="en-IN" sz="1200" b="1" i="0" u="none" strike="noStrike" baseline="0">
                <a:solidFill>
                  <a:srgbClr val="000000"/>
                </a:solidFill>
                <a:latin typeface="Arial"/>
                <a:cs typeface="Arial"/>
              </a:rPr>
              <a:t>IDD"</a:t>
            </a:r>
          </a:p>
        </xdr:txBody>
      </xdr:sp>
      <xdr:sp macro="" textlink="">
        <xdr:nvSpPr>
          <xdr:cNvPr id="27216" name="Line 40"/>
          <xdr:cNvSpPr>
            <a:spLocks noChangeShapeType="1"/>
          </xdr:cNvSpPr>
        </xdr:nvSpPr>
        <xdr:spPr bwMode="auto">
          <a:xfrm flipV="1">
            <a:off x="681" y="133"/>
            <a:ext cx="56" cy="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grpSp>
    <xdr:clientData/>
  </xdr:twoCellAnchor>
  <xdr:oneCellAnchor>
    <xdr:from>
      <xdr:col>0</xdr:col>
      <xdr:colOff>161925</xdr:colOff>
      <xdr:row>32</xdr:row>
      <xdr:rowOff>66675</xdr:rowOff>
    </xdr:from>
    <xdr:ext cx="276225" cy="228600"/>
    <xdr:sp macro="" textlink="">
      <xdr:nvSpPr>
        <xdr:cNvPr id="26665" name="Text Box 41">
          <a:extLst>
            <a:ext uri="{FF2B5EF4-FFF2-40B4-BE49-F238E27FC236}">
              <a16:creationId xmlns:a16="http://schemas.microsoft.com/office/drawing/2014/main" id="{8C158730-5B39-445E-84BF-612B90B1266D}"/>
            </a:ext>
          </a:extLst>
        </xdr:cNvPr>
        <xdr:cNvSpPr txBox="1">
          <a:spLocks noChangeArrowheads="1"/>
        </xdr:cNvSpPr>
      </xdr:nvSpPr>
      <xdr:spPr bwMode="auto">
        <a:xfrm>
          <a:off x="161925" y="52863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26"</a:t>
          </a:r>
        </a:p>
      </xdr:txBody>
    </xdr:sp>
    <xdr:clientData/>
  </xdr:oneCellAnchor>
  <xdr:oneCellAnchor>
    <xdr:from>
      <xdr:col>0</xdr:col>
      <xdr:colOff>161925</xdr:colOff>
      <xdr:row>36</xdr:row>
      <xdr:rowOff>66675</xdr:rowOff>
    </xdr:from>
    <xdr:ext cx="276225" cy="228600"/>
    <xdr:sp macro="" textlink="">
      <xdr:nvSpPr>
        <xdr:cNvPr id="26666" name="Text Box 42">
          <a:extLst>
            <a:ext uri="{FF2B5EF4-FFF2-40B4-BE49-F238E27FC236}">
              <a16:creationId xmlns:a16="http://schemas.microsoft.com/office/drawing/2014/main" id="{F5257D2E-74D6-42D0-BC12-22DED1B8437F}"/>
            </a:ext>
          </a:extLst>
        </xdr:cNvPr>
        <xdr:cNvSpPr txBox="1">
          <a:spLocks noChangeArrowheads="1"/>
        </xdr:cNvSpPr>
      </xdr:nvSpPr>
      <xdr:spPr bwMode="auto">
        <a:xfrm>
          <a:off x="161925" y="59531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28"</a:t>
          </a:r>
        </a:p>
      </xdr:txBody>
    </xdr:sp>
    <xdr:clientData/>
  </xdr:oneCellAnchor>
  <xdr:oneCellAnchor>
    <xdr:from>
      <xdr:col>0</xdr:col>
      <xdr:colOff>123825</xdr:colOff>
      <xdr:row>40</xdr:row>
      <xdr:rowOff>19050</xdr:rowOff>
    </xdr:from>
    <xdr:ext cx="276225" cy="228600"/>
    <xdr:sp macro="" textlink="">
      <xdr:nvSpPr>
        <xdr:cNvPr id="26667" name="Text Box 43">
          <a:extLst>
            <a:ext uri="{FF2B5EF4-FFF2-40B4-BE49-F238E27FC236}">
              <a16:creationId xmlns:a16="http://schemas.microsoft.com/office/drawing/2014/main" id="{5A4C471F-E12E-447E-A185-EBB02906958F}"/>
            </a:ext>
          </a:extLst>
        </xdr:cNvPr>
        <xdr:cNvSpPr txBox="1">
          <a:spLocks noChangeArrowheads="1"/>
        </xdr:cNvSpPr>
      </xdr:nvSpPr>
      <xdr:spPr bwMode="auto">
        <a:xfrm>
          <a:off x="123825" y="657225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30"</a:t>
          </a:r>
        </a:p>
      </xdr:txBody>
    </xdr:sp>
    <xdr:clientData/>
  </xdr:oneCellAnchor>
  <xdr:oneCellAnchor>
    <xdr:from>
      <xdr:col>0</xdr:col>
      <xdr:colOff>123825</xdr:colOff>
      <xdr:row>44</xdr:row>
      <xdr:rowOff>66675</xdr:rowOff>
    </xdr:from>
    <xdr:ext cx="276225" cy="228600"/>
    <xdr:sp macro="" textlink="">
      <xdr:nvSpPr>
        <xdr:cNvPr id="26668" name="Text Box 44">
          <a:extLst>
            <a:ext uri="{FF2B5EF4-FFF2-40B4-BE49-F238E27FC236}">
              <a16:creationId xmlns:a16="http://schemas.microsoft.com/office/drawing/2014/main" id="{0B4A68AF-BFC4-4A94-B7B5-6980D18D86DD}"/>
            </a:ext>
          </a:extLst>
        </xdr:cNvPr>
        <xdr:cNvSpPr txBox="1">
          <a:spLocks noChangeArrowheads="1"/>
        </xdr:cNvSpPr>
      </xdr:nvSpPr>
      <xdr:spPr bwMode="auto">
        <a:xfrm>
          <a:off x="123825" y="72866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32"</a:t>
          </a:r>
        </a:p>
      </xdr:txBody>
    </xdr:sp>
    <xdr:clientData/>
  </xdr:oneCellAnchor>
  <xdr:oneCellAnchor>
    <xdr:from>
      <xdr:col>0</xdr:col>
      <xdr:colOff>123825</xdr:colOff>
      <xdr:row>48</xdr:row>
      <xdr:rowOff>47625</xdr:rowOff>
    </xdr:from>
    <xdr:ext cx="276225" cy="228600"/>
    <xdr:sp macro="" textlink="">
      <xdr:nvSpPr>
        <xdr:cNvPr id="26669" name="Text Box 45">
          <a:extLst>
            <a:ext uri="{FF2B5EF4-FFF2-40B4-BE49-F238E27FC236}">
              <a16:creationId xmlns:a16="http://schemas.microsoft.com/office/drawing/2014/main" id="{54617E9C-0987-43B1-81F9-EBE2D45DBDFA}"/>
            </a:ext>
          </a:extLst>
        </xdr:cNvPr>
        <xdr:cNvSpPr txBox="1">
          <a:spLocks noChangeArrowheads="1"/>
        </xdr:cNvSpPr>
      </xdr:nvSpPr>
      <xdr:spPr bwMode="auto">
        <a:xfrm>
          <a:off x="123825" y="79343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34"</a:t>
          </a:r>
        </a:p>
      </xdr:txBody>
    </xdr:sp>
    <xdr:clientData/>
  </xdr:oneCellAnchor>
  <xdr:oneCellAnchor>
    <xdr:from>
      <xdr:col>0</xdr:col>
      <xdr:colOff>123825</xdr:colOff>
      <xdr:row>52</xdr:row>
      <xdr:rowOff>66675</xdr:rowOff>
    </xdr:from>
    <xdr:ext cx="276225" cy="228600"/>
    <xdr:sp macro="" textlink="">
      <xdr:nvSpPr>
        <xdr:cNvPr id="26670" name="Text Box 46">
          <a:extLst>
            <a:ext uri="{FF2B5EF4-FFF2-40B4-BE49-F238E27FC236}">
              <a16:creationId xmlns:a16="http://schemas.microsoft.com/office/drawing/2014/main" id="{FDF3A251-C4DF-4AA5-A053-20A237D06D6B}"/>
            </a:ext>
          </a:extLst>
        </xdr:cNvPr>
        <xdr:cNvSpPr txBox="1">
          <a:spLocks noChangeArrowheads="1"/>
        </xdr:cNvSpPr>
      </xdr:nvSpPr>
      <xdr:spPr bwMode="auto">
        <a:xfrm>
          <a:off x="123825" y="86201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36"</a:t>
          </a:r>
        </a:p>
      </xdr:txBody>
    </xdr:sp>
    <xdr:clientData/>
  </xdr:oneCellAnchor>
  <xdr:oneCellAnchor>
    <xdr:from>
      <xdr:col>0</xdr:col>
      <xdr:colOff>161925</xdr:colOff>
      <xdr:row>57</xdr:row>
      <xdr:rowOff>66675</xdr:rowOff>
    </xdr:from>
    <xdr:ext cx="276225" cy="228600"/>
    <xdr:sp macro="" textlink="">
      <xdr:nvSpPr>
        <xdr:cNvPr id="26671" name="Text Box 47">
          <a:extLst>
            <a:ext uri="{FF2B5EF4-FFF2-40B4-BE49-F238E27FC236}">
              <a16:creationId xmlns:a16="http://schemas.microsoft.com/office/drawing/2014/main" id="{13713A83-FAAF-460D-91C5-BE5C1B2137A3}"/>
            </a:ext>
          </a:extLst>
        </xdr:cNvPr>
        <xdr:cNvSpPr txBox="1">
          <a:spLocks noChangeArrowheads="1"/>
        </xdr:cNvSpPr>
      </xdr:nvSpPr>
      <xdr:spPr bwMode="auto">
        <a:xfrm>
          <a:off x="161925" y="946785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38"</a:t>
          </a:r>
        </a:p>
      </xdr:txBody>
    </xdr:sp>
    <xdr:clientData/>
  </xdr:oneCellAnchor>
  <xdr:oneCellAnchor>
    <xdr:from>
      <xdr:col>0</xdr:col>
      <xdr:colOff>161925</xdr:colOff>
      <xdr:row>61</xdr:row>
      <xdr:rowOff>66675</xdr:rowOff>
    </xdr:from>
    <xdr:ext cx="276225" cy="228600"/>
    <xdr:sp macro="" textlink="">
      <xdr:nvSpPr>
        <xdr:cNvPr id="26672" name="Text Box 48">
          <a:extLst>
            <a:ext uri="{FF2B5EF4-FFF2-40B4-BE49-F238E27FC236}">
              <a16:creationId xmlns:a16="http://schemas.microsoft.com/office/drawing/2014/main" id="{F8B24050-5422-4754-A2F1-C15D812A2838}"/>
            </a:ext>
          </a:extLst>
        </xdr:cNvPr>
        <xdr:cNvSpPr txBox="1">
          <a:spLocks noChangeArrowheads="1"/>
        </xdr:cNvSpPr>
      </xdr:nvSpPr>
      <xdr:spPr bwMode="auto">
        <a:xfrm>
          <a:off x="161925" y="101346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40"</a:t>
          </a:r>
        </a:p>
      </xdr:txBody>
    </xdr:sp>
    <xdr:clientData/>
  </xdr:oneCellAnchor>
  <xdr:oneCellAnchor>
    <xdr:from>
      <xdr:col>0</xdr:col>
      <xdr:colOff>123825</xdr:colOff>
      <xdr:row>65</xdr:row>
      <xdr:rowOff>19050</xdr:rowOff>
    </xdr:from>
    <xdr:ext cx="276225" cy="228600"/>
    <xdr:sp macro="" textlink="">
      <xdr:nvSpPr>
        <xdr:cNvPr id="26673" name="Text Box 49">
          <a:extLst>
            <a:ext uri="{FF2B5EF4-FFF2-40B4-BE49-F238E27FC236}">
              <a16:creationId xmlns:a16="http://schemas.microsoft.com/office/drawing/2014/main" id="{3EBF229A-F9D9-498C-B0EA-1DC57BB9DF0C}"/>
            </a:ext>
          </a:extLst>
        </xdr:cNvPr>
        <xdr:cNvSpPr txBox="1">
          <a:spLocks noChangeArrowheads="1"/>
        </xdr:cNvSpPr>
      </xdr:nvSpPr>
      <xdr:spPr bwMode="auto">
        <a:xfrm>
          <a:off x="123825" y="107537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42"</a:t>
          </a:r>
        </a:p>
      </xdr:txBody>
    </xdr:sp>
    <xdr:clientData/>
  </xdr:oneCellAnchor>
  <xdr:oneCellAnchor>
    <xdr:from>
      <xdr:col>0</xdr:col>
      <xdr:colOff>123825</xdr:colOff>
      <xdr:row>69</xdr:row>
      <xdr:rowOff>66675</xdr:rowOff>
    </xdr:from>
    <xdr:ext cx="276225" cy="228600"/>
    <xdr:sp macro="" textlink="">
      <xdr:nvSpPr>
        <xdr:cNvPr id="26674" name="Text Box 50">
          <a:extLst>
            <a:ext uri="{FF2B5EF4-FFF2-40B4-BE49-F238E27FC236}">
              <a16:creationId xmlns:a16="http://schemas.microsoft.com/office/drawing/2014/main" id="{3752D384-6B66-459B-889B-CBA10262CEC4}"/>
            </a:ext>
          </a:extLst>
        </xdr:cNvPr>
        <xdr:cNvSpPr txBox="1">
          <a:spLocks noChangeArrowheads="1"/>
        </xdr:cNvSpPr>
      </xdr:nvSpPr>
      <xdr:spPr bwMode="auto">
        <a:xfrm>
          <a:off x="123825" y="114681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48"</a:t>
          </a:r>
        </a:p>
      </xdr:txBody>
    </xdr:sp>
    <xdr:clientData/>
  </xdr:oneCellAnchor>
  <xdr:oneCellAnchor>
    <xdr:from>
      <xdr:col>0</xdr:col>
      <xdr:colOff>123825</xdr:colOff>
      <xdr:row>73</xdr:row>
      <xdr:rowOff>47625</xdr:rowOff>
    </xdr:from>
    <xdr:ext cx="276225" cy="228600"/>
    <xdr:sp macro="" textlink="">
      <xdr:nvSpPr>
        <xdr:cNvPr id="26675" name="Text Box 51">
          <a:extLst>
            <a:ext uri="{FF2B5EF4-FFF2-40B4-BE49-F238E27FC236}">
              <a16:creationId xmlns:a16="http://schemas.microsoft.com/office/drawing/2014/main" id="{EE712399-5C8F-4BCA-864C-3B36D0C9F108}"/>
            </a:ext>
          </a:extLst>
        </xdr:cNvPr>
        <xdr:cNvSpPr txBox="1">
          <a:spLocks noChangeArrowheads="1"/>
        </xdr:cNvSpPr>
      </xdr:nvSpPr>
      <xdr:spPr bwMode="auto">
        <a:xfrm>
          <a:off x="123825" y="121158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54"</a:t>
          </a:r>
        </a:p>
      </xdr:txBody>
    </xdr:sp>
    <xdr:clientData/>
  </xdr:oneCellAnchor>
  <xdr:oneCellAnchor>
    <xdr:from>
      <xdr:col>0</xdr:col>
      <xdr:colOff>123825</xdr:colOff>
      <xdr:row>77</xdr:row>
      <xdr:rowOff>66675</xdr:rowOff>
    </xdr:from>
    <xdr:ext cx="276225" cy="228600"/>
    <xdr:sp macro="" textlink="">
      <xdr:nvSpPr>
        <xdr:cNvPr id="26676" name="Text Box 52">
          <a:extLst>
            <a:ext uri="{FF2B5EF4-FFF2-40B4-BE49-F238E27FC236}">
              <a16:creationId xmlns:a16="http://schemas.microsoft.com/office/drawing/2014/main" id="{9BE08520-F545-48D6-A4E6-F0574BFFFD45}"/>
            </a:ext>
          </a:extLst>
        </xdr:cNvPr>
        <xdr:cNvSpPr txBox="1">
          <a:spLocks noChangeArrowheads="1"/>
        </xdr:cNvSpPr>
      </xdr:nvSpPr>
      <xdr:spPr bwMode="auto">
        <a:xfrm>
          <a:off x="123825" y="128016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60"</a:t>
          </a:r>
        </a:p>
      </xdr:txBody>
    </xdr:sp>
    <xdr:clientData/>
  </xdr:oneCellAnchor>
  <xdr:oneCellAnchor>
    <xdr:from>
      <xdr:col>0</xdr:col>
      <xdr:colOff>161925</xdr:colOff>
      <xdr:row>82</xdr:row>
      <xdr:rowOff>66675</xdr:rowOff>
    </xdr:from>
    <xdr:ext cx="276225" cy="228600"/>
    <xdr:sp macro="" textlink="">
      <xdr:nvSpPr>
        <xdr:cNvPr id="26677" name="Text Box 53">
          <a:extLst>
            <a:ext uri="{FF2B5EF4-FFF2-40B4-BE49-F238E27FC236}">
              <a16:creationId xmlns:a16="http://schemas.microsoft.com/office/drawing/2014/main" id="{46A63475-D104-4B30-90A1-7D9F8814CF9C}"/>
            </a:ext>
          </a:extLst>
        </xdr:cNvPr>
        <xdr:cNvSpPr txBox="1">
          <a:spLocks noChangeArrowheads="1"/>
        </xdr:cNvSpPr>
      </xdr:nvSpPr>
      <xdr:spPr bwMode="auto">
        <a:xfrm>
          <a:off x="161925" y="136493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66"</a:t>
          </a:r>
        </a:p>
      </xdr:txBody>
    </xdr:sp>
    <xdr:clientData/>
  </xdr:oneCellAnchor>
  <xdr:oneCellAnchor>
    <xdr:from>
      <xdr:col>0</xdr:col>
      <xdr:colOff>161925</xdr:colOff>
      <xdr:row>86</xdr:row>
      <xdr:rowOff>66675</xdr:rowOff>
    </xdr:from>
    <xdr:ext cx="276225" cy="228600"/>
    <xdr:sp macro="" textlink="">
      <xdr:nvSpPr>
        <xdr:cNvPr id="26678" name="Text Box 54">
          <a:extLst>
            <a:ext uri="{FF2B5EF4-FFF2-40B4-BE49-F238E27FC236}">
              <a16:creationId xmlns:a16="http://schemas.microsoft.com/office/drawing/2014/main" id="{E5844467-DC12-4395-B4FD-E828A90CFBD6}"/>
            </a:ext>
          </a:extLst>
        </xdr:cNvPr>
        <xdr:cNvSpPr txBox="1">
          <a:spLocks noChangeArrowheads="1"/>
        </xdr:cNvSpPr>
      </xdr:nvSpPr>
      <xdr:spPr bwMode="auto">
        <a:xfrm>
          <a:off x="161925" y="143160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72"</a:t>
          </a:r>
        </a:p>
      </xdr:txBody>
    </xdr:sp>
    <xdr:clientData/>
  </xdr:oneCellAnchor>
  <xdr:oneCellAnchor>
    <xdr:from>
      <xdr:col>0</xdr:col>
      <xdr:colOff>123825</xdr:colOff>
      <xdr:row>90</xdr:row>
      <xdr:rowOff>19050</xdr:rowOff>
    </xdr:from>
    <xdr:ext cx="276225" cy="228600"/>
    <xdr:sp macro="" textlink="">
      <xdr:nvSpPr>
        <xdr:cNvPr id="26679" name="Text Box 55">
          <a:extLst>
            <a:ext uri="{FF2B5EF4-FFF2-40B4-BE49-F238E27FC236}">
              <a16:creationId xmlns:a16="http://schemas.microsoft.com/office/drawing/2014/main" id="{67EBE7C2-AF38-4F69-9473-8E5887026C4C}"/>
            </a:ext>
          </a:extLst>
        </xdr:cNvPr>
        <xdr:cNvSpPr txBox="1">
          <a:spLocks noChangeArrowheads="1"/>
        </xdr:cNvSpPr>
      </xdr:nvSpPr>
      <xdr:spPr bwMode="auto">
        <a:xfrm>
          <a:off x="123825" y="149352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78"</a:t>
          </a:r>
        </a:p>
      </xdr:txBody>
    </xdr:sp>
    <xdr:clientData/>
  </xdr:oneCellAnchor>
  <xdr:oneCellAnchor>
    <xdr:from>
      <xdr:col>0</xdr:col>
      <xdr:colOff>123825</xdr:colOff>
      <xdr:row>94</xdr:row>
      <xdr:rowOff>66675</xdr:rowOff>
    </xdr:from>
    <xdr:ext cx="276225" cy="228600"/>
    <xdr:sp macro="" textlink="">
      <xdr:nvSpPr>
        <xdr:cNvPr id="26680" name="Text Box 56">
          <a:extLst>
            <a:ext uri="{FF2B5EF4-FFF2-40B4-BE49-F238E27FC236}">
              <a16:creationId xmlns:a16="http://schemas.microsoft.com/office/drawing/2014/main" id="{1EC95D0E-CE64-486E-8AF2-9EB4F56FB46A}"/>
            </a:ext>
          </a:extLst>
        </xdr:cNvPr>
        <xdr:cNvSpPr txBox="1">
          <a:spLocks noChangeArrowheads="1"/>
        </xdr:cNvSpPr>
      </xdr:nvSpPr>
      <xdr:spPr bwMode="auto">
        <a:xfrm>
          <a:off x="123825" y="156495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84"</a:t>
          </a:r>
        </a:p>
      </xdr:txBody>
    </xdr:sp>
    <xdr:clientData/>
  </xdr:oneCellAnchor>
  <xdr:oneCellAnchor>
    <xdr:from>
      <xdr:col>0</xdr:col>
      <xdr:colOff>123825</xdr:colOff>
      <xdr:row>98</xdr:row>
      <xdr:rowOff>47625</xdr:rowOff>
    </xdr:from>
    <xdr:ext cx="276225" cy="228600"/>
    <xdr:sp macro="" textlink="">
      <xdr:nvSpPr>
        <xdr:cNvPr id="26681" name="Text Box 57">
          <a:extLst>
            <a:ext uri="{FF2B5EF4-FFF2-40B4-BE49-F238E27FC236}">
              <a16:creationId xmlns:a16="http://schemas.microsoft.com/office/drawing/2014/main" id="{286FC6A0-FB21-4008-8CF7-4B699706D5AF}"/>
            </a:ext>
          </a:extLst>
        </xdr:cNvPr>
        <xdr:cNvSpPr txBox="1">
          <a:spLocks noChangeArrowheads="1"/>
        </xdr:cNvSpPr>
      </xdr:nvSpPr>
      <xdr:spPr bwMode="auto">
        <a:xfrm>
          <a:off x="123825" y="162972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90"</a:t>
          </a:r>
        </a:p>
      </xdr:txBody>
    </xdr:sp>
    <xdr:clientData/>
  </xdr:oneCellAnchor>
  <xdr:oneCellAnchor>
    <xdr:from>
      <xdr:col>0</xdr:col>
      <xdr:colOff>123825</xdr:colOff>
      <xdr:row>102</xdr:row>
      <xdr:rowOff>66675</xdr:rowOff>
    </xdr:from>
    <xdr:ext cx="276225" cy="228600"/>
    <xdr:sp macro="" textlink="">
      <xdr:nvSpPr>
        <xdr:cNvPr id="26682" name="Text Box 58">
          <a:extLst>
            <a:ext uri="{FF2B5EF4-FFF2-40B4-BE49-F238E27FC236}">
              <a16:creationId xmlns:a16="http://schemas.microsoft.com/office/drawing/2014/main" id="{673F7C20-5614-4FCE-8686-F51ACA93767B}"/>
            </a:ext>
          </a:extLst>
        </xdr:cNvPr>
        <xdr:cNvSpPr txBox="1">
          <a:spLocks noChangeArrowheads="1"/>
        </xdr:cNvSpPr>
      </xdr:nvSpPr>
      <xdr:spPr bwMode="auto">
        <a:xfrm>
          <a:off x="123825" y="169830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96"</a:t>
          </a:r>
        </a:p>
      </xdr:txBody>
    </xdr:sp>
    <xdr:clientData/>
  </xdr:oneCellAnchor>
  <xdr:oneCellAnchor>
    <xdr:from>
      <xdr:col>0</xdr:col>
      <xdr:colOff>76200</xdr:colOff>
      <xdr:row>107</xdr:row>
      <xdr:rowOff>66675</xdr:rowOff>
    </xdr:from>
    <xdr:ext cx="361950" cy="228600"/>
    <xdr:sp macro="" textlink="">
      <xdr:nvSpPr>
        <xdr:cNvPr id="26683" name="Text Box 59">
          <a:extLst>
            <a:ext uri="{FF2B5EF4-FFF2-40B4-BE49-F238E27FC236}">
              <a16:creationId xmlns:a16="http://schemas.microsoft.com/office/drawing/2014/main" id="{A5D5E545-D8C1-4154-AE5B-B74004BAE77A}"/>
            </a:ext>
          </a:extLst>
        </xdr:cNvPr>
        <xdr:cNvSpPr txBox="1">
          <a:spLocks noChangeArrowheads="1"/>
        </xdr:cNvSpPr>
      </xdr:nvSpPr>
      <xdr:spPr bwMode="auto">
        <a:xfrm>
          <a:off x="76200" y="1783080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102"</a:t>
          </a:r>
        </a:p>
      </xdr:txBody>
    </xdr:sp>
    <xdr:clientData/>
  </xdr:oneCellAnchor>
  <xdr:oneCellAnchor>
    <xdr:from>
      <xdr:col>0</xdr:col>
      <xdr:colOff>114300</xdr:colOff>
      <xdr:row>111</xdr:row>
      <xdr:rowOff>66675</xdr:rowOff>
    </xdr:from>
    <xdr:ext cx="361950" cy="228600"/>
    <xdr:sp macro="" textlink="">
      <xdr:nvSpPr>
        <xdr:cNvPr id="26684" name="Text Box 60">
          <a:extLst>
            <a:ext uri="{FF2B5EF4-FFF2-40B4-BE49-F238E27FC236}">
              <a16:creationId xmlns:a16="http://schemas.microsoft.com/office/drawing/2014/main" id="{B51AB21E-5B2E-4D3E-A46D-A4E29C11FCAB}"/>
            </a:ext>
          </a:extLst>
        </xdr:cNvPr>
        <xdr:cNvSpPr txBox="1">
          <a:spLocks noChangeArrowheads="1"/>
        </xdr:cNvSpPr>
      </xdr:nvSpPr>
      <xdr:spPr bwMode="auto">
        <a:xfrm>
          <a:off x="114300" y="184975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108"</a:t>
          </a:r>
        </a:p>
      </xdr:txBody>
    </xdr:sp>
    <xdr:clientData/>
  </xdr:oneCellAnchor>
  <xdr:oneCellAnchor>
    <xdr:from>
      <xdr:col>0</xdr:col>
      <xdr:colOff>95250</xdr:colOff>
      <xdr:row>115</xdr:row>
      <xdr:rowOff>19050</xdr:rowOff>
    </xdr:from>
    <xdr:ext cx="361950" cy="228600"/>
    <xdr:sp macro="" textlink="">
      <xdr:nvSpPr>
        <xdr:cNvPr id="26685" name="Text Box 61">
          <a:extLst>
            <a:ext uri="{FF2B5EF4-FFF2-40B4-BE49-F238E27FC236}">
              <a16:creationId xmlns:a16="http://schemas.microsoft.com/office/drawing/2014/main" id="{BC1CD46A-F3AD-4898-9B5B-47746EE1C338}"/>
            </a:ext>
          </a:extLst>
        </xdr:cNvPr>
        <xdr:cNvSpPr txBox="1">
          <a:spLocks noChangeArrowheads="1"/>
        </xdr:cNvSpPr>
      </xdr:nvSpPr>
      <xdr:spPr bwMode="auto">
        <a:xfrm>
          <a:off x="95250" y="1911667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114"</a:t>
          </a:r>
        </a:p>
      </xdr:txBody>
    </xdr:sp>
    <xdr:clientData/>
  </xdr:oneCellAnchor>
  <xdr:oneCellAnchor>
    <xdr:from>
      <xdr:col>0</xdr:col>
      <xdr:colOff>114300</xdr:colOff>
      <xdr:row>119</xdr:row>
      <xdr:rowOff>76200</xdr:rowOff>
    </xdr:from>
    <xdr:ext cx="361950" cy="228600"/>
    <xdr:sp macro="" textlink="">
      <xdr:nvSpPr>
        <xdr:cNvPr id="26686" name="Text Box 62">
          <a:extLst>
            <a:ext uri="{FF2B5EF4-FFF2-40B4-BE49-F238E27FC236}">
              <a16:creationId xmlns:a16="http://schemas.microsoft.com/office/drawing/2014/main" id="{15AC7F74-DEE7-47E4-A070-FEFA46052240}"/>
            </a:ext>
          </a:extLst>
        </xdr:cNvPr>
        <xdr:cNvSpPr txBox="1">
          <a:spLocks noChangeArrowheads="1"/>
        </xdr:cNvSpPr>
      </xdr:nvSpPr>
      <xdr:spPr bwMode="auto">
        <a:xfrm>
          <a:off x="114300" y="1984057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120"</a:t>
          </a:r>
        </a:p>
      </xdr:txBody>
    </xdr:sp>
    <xdr:clientData/>
  </xdr:oneCellAnchor>
  <xdr:oneCellAnchor>
    <xdr:from>
      <xdr:col>0</xdr:col>
      <xdr:colOff>123825</xdr:colOff>
      <xdr:row>123</xdr:row>
      <xdr:rowOff>47625</xdr:rowOff>
    </xdr:from>
    <xdr:ext cx="361950" cy="228600"/>
    <xdr:sp macro="" textlink="">
      <xdr:nvSpPr>
        <xdr:cNvPr id="26687" name="Text Box 63">
          <a:extLst>
            <a:ext uri="{FF2B5EF4-FFF2-40B4-BE49-F238E27FC236}">
              <a16:creationId xmlns:a16="http://schemas.microsoft.com/office/drawing/2014/main" id="{3F54914C-48C3-4084-968D-B4343CE24727}"/>
            </a:ext>
          </a:extLst>
        </xdr:cNvPr>
        <xdr:cNvSpPr txBox="1">
          <a:spLocks noChangeArrowheads="1"/>
        </xdr:cNvSpPr>
      </xdr:nvSpPr>
      <xdr:spPr bwMode="auto">
        <a:xfrm>
          <a:off x="123825" y="204787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126"</a:t>
          </a:r>
        </a:p>
      </xdr:txBody>
    </xdr:sp>
    <xdr:clientData/>
  </xdr:oneCellAnchor>
  <xdr:oneCellAnchor>
    <xdr:from>
      <xdr:col>0</xdr:col>
      <xdr:colOff>123825</xdr:colOff>
      <xdr:row>127</xdr:row>
      <xdr:rowOff>66675</xdr:rowOff>
    </xdr:from>
    <xdr:ext cx="361950" cy="228600"/>
    <xdr:sp macro="" textlink="">
      <xdr:nvSpPr>
        <xdr:cNvPr id="26688" name="Text Box 64">
          <a:extLst>
            <a:ext uri="{FF2B5EF4-FFF2-40B4-BE49-F238E27FC236}">
              <a16:creationId xmlns:a16="http://schemas.microsoft.com/office/drawing/2014/main" id="{E7391682-8D0B-4109-AE74-1EC4F05DE1A2}"/>
            </a:ext>
          </a:extLst>
        </xdr:cNvPr>
        <xdr:cNvSpPr txBox="1">
          <a:spLocks noChangeArrowheads="1"/>
        </xdr:cNvSpPr>
      </xdr:nvSpPr>
      <xdr:spPr bwMode="auto">
        <a:xfrm>
          <a:off x="123825" y="211645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132"</a:t>
          </a:r>
        </a:p>
      </xdr:txBody>
    </xdr:sp>
    <xdr:clientData/>
  </xdr:oneCellAnchor>
  <xdr:oneCellAnchor>
    <xdr:from>
      <xdr:col>0</xdr:col>
      <xdr:colOff>76200</xdr:colOff>
      <xdr:row>132</xdr:row>
      <xdr:rowOff>66675</xdr:rowOff>
    </xdr:from>
    <xdr:ext cx="361950" cy="228600"/>
    <xdr:sp macro="" textlink="">
      <xdr:nvSpPr>
        <xdr:cNvPr id="26689" name="Text Box 65">
          <a:extLst>
            <a:ext uri="{FF2B5EF4-FFF2-40B4-BE49-F238E27FC236}">
              <a16:creationId xmlns:a16="http://schemas.microsoft.com/office/drawing/2014/main" id="{A7979F69-2777-41ED-88E1-BF246D4DE5FF}"/>
            </a:ext>
          </a:extLst>
        </xdr:cNvPr>
        <xdr:cNvSpPr txBox="1">
          <a:spLocks noChangeArrowheads="1"/>
        </xdr:cNvSpPr>
      </xdr:nvSpPr>
      <xdr:spPr bwMode="auto">
        <a:xfrm>
          <a:off x="76200" y="2201227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138"</a:t>
          </a:r>
        </a:p>
      </xdr:txBody>
    </xdr:sp>
    <xdr:clientData/>
  </xdr:oneCellAnchor>
  <xdr:oneCellAnchor>
    <xdr:from>
      <xdr:col>0</xdr:col>
      <xdr:colOff>114300</xdr:colOff>
      <xdr:row>136</xdr:row>
      <xdr:rowOff>66675</xdr:rowOff>
    </xdr:from>
    <xdr:ext cx="361950" cy="228600"/>
    <xdr:sp macro="" textlink="">
      <xdr:nvSpPr>
        <xdr:cNvPr id="26690" name="Text Box 66">
          <a:extLst>
            <a:ext uri="{FF2B5EF4-FFF2-40B4-BE49-F238E27FC236}">
              <a16:creationId xmlns:a16="http://schemas.microsoft.com/office/drawing/2014/main" id="{EB095C59-FDF3-43A8-ABCF-FB91987E670C}"/>
            </a:ext>
          </a:extLst>
        </xdr:cNvPr>
        <xdr:cNvSpPr txBox="1">
          <a:spLocks noChangeArrowheads="1"/>
        </xdr:cNvSpPr>
      </xdr:nvSpPr>
      <xdr:spPr bwMode="auto">
        <a:xfrm>
          <a:off x="114300" y="2267902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144"</a:t>
          </a:r>
        </a:p>
      </xdr:txBody>
    </xdr:sp>
    <xdr:clientData/>
  </xdr:oneCellAnchor>
  <xdr:oneCellAnchor>
    <xdr:from>
      <xdr:col>0</xdr:col>
      <xdr:colOff>95250</xdr:colOff>
      <xdr:row>140</xdr:row>
      <xdr:rowOff>19050</xdr:rowOff>
    </xdr:from>
    <xdr:ext cx="361950" cy="228600"/>
    <xdr:sp macro="" textlink="">
      <xdr:nvSpPr>
        <xdr:cNvPr id="26691" name="Text Box 67">
          <a:extLst>
            <a:ext uri="{FF2B5EF4-FFF2-40B4-BE49-F238E27FC236}">
              <a16:creationId xmlns:a16="http://schemas.microsoft.com/office/drawing/2014/main" id="{9D9CF18C-4853-442A-BE65-0195C9B3B889}"/>
            </a:ext>
          </a:extLst>
        </xdr:cNvPr>
        <xdr:cNvSpPr txBox="1">
          <a:spLocks noChangeArrowheads="1"/>
        </xdr:cNvSpPr>
      </xdr:nvSpPr>
      <xdr:spPr bwMode="auto">
        <a:xfrm>
          <a:off x="95250" y="232981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156"</a:t>
          </a:r>
        </a:p>
      </xdr:txBody>
    </xdr:sp>
    <xdr:clientData/>
  </xdr:oneCellAnchor>
  <xdr:oneCellAnchor>
    <xdr:from>
      <xdr:col>0</xdr:col>
      <xdr:colOff>114300</xdr:colOff>
      <xdr:row>144</xdr:row>
      <xdr:rowOff>76200</xdr:rowOff>
    </xdr:from>
    <xdr:ext cx="361950" cy="228600"/>
    <xdr:sp macro="" textlink="">
      <xdr:nvSpPr>
        <xdr:cNvPr id="26692" name="Text Box 68">
          <a:extLst>
            <a:ext uri="{FF2B5EF4-FFF2-40B4-BE49-F238E27FC236}">
              <a16:creationId xmlns:a16="http://schemas.microsoft.com/office/drawing/2014/main" id="{A2B6AE9B-6979-43EE-8006-63538516C013}"/>
            </a:ext>
          </a:extLst>
        </xdr:cNvPr>
        <xdr:cNvSpPr txBox="1">
          <a:spLocks noChangeArrowheads="1"/>
        </xdr:cNvSpPr>
      </xdr:nvSpPr>
      <xdr:spPr bwMode="auto">
        <a:xfrm>
          <a:off x="114300" y="240220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168"</a:t>
          </a:r>
        </a:p>
      </xdr:txBody>
    </xdr:sp>
    <xdr:clientData/>
  </xdr:oneCellAnchor>
  <xdr:oneCellAnchor>
    <xdr:from>
      <xdr:col>0</xdr:col>
      <xdr:colOff>123825</xdr:colOff>
      <xdr:row>148</xdr:row>
      <xdr:rowOff>47625</xdr:rowOff>
    </xdr:from>
    <xdr:ext cx="361950" cy="228600"/>
    <xdr:sp macro="" textlink="">
      <xdr:nvSpPr>
        <xdr:cNvPr id="26693" name="Text Box 69">
          <a:extLst>
            <a:ext uri="{FF2B5EF4-FFF2-40B4-BE49-F238E27FC236}">
              <a16:creationId xmlns:a16="http://schemas.microsoft.com/office/drawing/2014/main" id="{AD439A35-2E2F-4F0B-9671-9B9C93FF20B2}"/>
            </a:ext>
          </a:extLst>
        </xdr:cNvPr>
        <xdr:cNvSpPr txBox="1">
          <a:spLocks noChangeArrowheads="1"/>
        </xdr:cNvSpPr>
      </xdr:nvSpPr>
      <xdr:spPr bwMode="auto">
        <a:xfrm>
          <a:off x="123825" y="2466022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180"</a:t>
          </a:r>
        </a:p>
      </xdr:txBody>
    </xdr:sp>
    <xdr:clientData/>
  </xdr:oneCellAnchor>
  <xdr:oneCellAnchor>
    <xdr:from>
      <xdr:col>0</xdr:col>
      <xdr:colOff>123825</xdr:colOff>
      <xdr:row>152</xdr:row>
      <xdr:rowOff>66675</xdr:rowOff>
    </xdr:from>
    <xdr:ext cx="361950" cy="228600"/>
    <xdr:sp macro="" textlink="">
      <xdr:nvSpPr>
        <xdr:cNvPr id="26694" name="Text Box 70">
          <a:extLst>
            <a:ext uri="{FF2B5EF4-FFF2-40B4-BE49-F238E27FC236}">
              <a16:creationId xmlns:a16="http://schemas.microsoft.com/office/drawing/2014/main" id="{DE03DC77-4460-4911-86B0-FDAB0EA06549}"/>
            </a:ext>
          </a:extLst>
        </xdr:cNvPr>
        <xdr:cNvSpPr txBox="1">
          <a:spLocks noChangeArrowheads="1"/>
        </xdr:cNvSpPr>
      </xdr:nvSpPr>
      <xdr:spPr bwMode="auto">
        <a:xfrm>
          <a:off x="123825" y="2534602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192"</a:t>
          </a:r>
        </a:p>
      </xdr:txBody>
    </xdr:sp>
    <xdr:clientData/>
  </xdr:oneCellAnchor>
  <xdr:oneCellAnchor>
    <xdr:from>
      <xdr:col>0</xdr:col>
      <xdr:colOff>76200</xdr:colOff>
      <xdr:row>157</xdr:row>
      <xdr:rowOff>66675</xdr:rowOff>
    </xdr:from>
    <xdr:ext cx="361950" cy="228600"/>
    <xdr:sp macro="" textlink="">
      <xdr:nvSpPr>
        <xdr:cNvPr id="26695" name="Text Box 71">
          <a:extLst>
            <a:ext uri="{FF2B5EF4-FFF2-40B4-BE49-F238E27FC236}">
              <a16:creationId xmlns:a16="http://schemas.microsoft.com/office/drawing/2014/main" id="{11AD8C4C-5BCE-460A-BFED-174F454A6D54}"/>
            </a:ext>
          </a:extLst>
        </xdr:cNvPr>
        <xdr:cNvSpPr txBox="1">
          <a:spLocks noChangeArrowheads="1"/>
        </xdr:cNvSpPr>
      </xdr:nvSpPr>
      <xdr:spPr bwMode="auto">
        <a:xfrm>
          <a:off x="76200" y="261937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204"</a:t>
          </a:r>
        </a:p>
      </xdr:txBody>
    </xdr:sp>
    <xdr:clientData/>
  </xdr:oneCellAnchor>
  <xdr:oneCellAnchor>
    <xdr:from>
      <xdr:col>0</xdr:col>
      <xdr:colOff>76200</xdr:colOff>
      <xdr:row>161</xdr:row>
      <xdr:rowOff>66675</xdr:rowOff>
    </xdr:from>
    <xdr:ext cx="361950" cy="228600"/>
    <xdr:sp macro="" textlink="">
      <xdr:nvSpPr>
        <xdr:cNvPr id="26696" name="Text Box 72">
          <a:extLst>
            <a:ext uri="{FF2B5EF4-FFF2-40B4-BE49-F238E27FC236}">
              <a16:creationId xmlns:a16="http://schemas.microsoft.com/office/drawing/2014/main" id="{03E4D0A8-5D56-43FA-A3C5-724F9C41747F}"/>
            </a:ext>
          </a:extLst>
        </xdr:cNvPr>
        <xdr:cNvSpPr txBox="1">
          <a:spLocks noChangeArrowheads="1"/>
        </xdr:cNvSpPr>
      </xdr:nvSpPr>
      <xdr:spPr bwMode="auto">
        <a:xfrm>
          <a:off x="76200" y="2686050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210"</a:t>
          </a:r>
        </a:p>
      </xdr:txBody>
    </xdr:sp>
    <xdr:clientData/>
  </xdr:oneCellAnchor>
  <xdr:oneCellAnchor>
    <xdr:from>
      <xdr:col>0</xdr:col>
      <xdr:colOff>76200</xdr:colOff>
      <xdr:row>165</xdr:row>
      <xdr:rowOff>66675</xdr:rowOff>
    </xdr:from>
    <xdr:ext cx="361950" cy="228600"/>
    <xdr:sp macro="" textlink="">
      <xdr:nvSpPr>
        <xdr:cNvPr id="26697" name="Text Box 73">
          <a:extLst>
            <a:ext uri="{FF2B5EF4-FFF2-40B4-BE49-F238E27FC236}">
              <a16:creationId xmlns:a16="http://schemas.microsoft.com/office/drawing/2014/main" id="{8A478937-BA45-458E-84AC-698F82CA7319}"/>
            </a:ext>
          </a:extLst>
        </xdr:cNvPr>
        <xdr:cNvSpPr txBox="1">
          <a:spLocks noChangeArrowheads="1"/>
        </xdr:cNvSpPr>
      </xdr:nvSpPr>
      <xdr:spPr bwMode="auto">
        <a:xfrm>
          <a:off x="76200" y="275272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216"</a:t>
          </a:r>
        </a:p>
      </xdr:txBody>
    </xdr:sp>
    <xdr:clientData/>
  </xdr:oneCellAnchor>
  <xdr:oneCellAnchor>
    <xdr:from>
      <xdr:col>0</xdr:col>
      <xdr:colOff>76200</xdr:colOff>
      <xdr:row>169</xdr:row>
      <xdr:rowOff>66675</xdr:rowOff>
    </xdr:from>
    <xdr:ext cx="361950" cy="228600"/>
    <xdr:sp macro="" textlink="">
      <xdr:nvSpPr>
        <xdr:cNvPr id="26698" name="Text Box 74">
          <a:extLst>
            <a:ext uri="{FF2B5EF4-FFF2-40B4-BE49-F238E27FC236}">
              <a16:creationId xmlns:a16="http://schemas.microsoft.com/office/drawing/2014/main" id="{876E7944-E482-4FCC-A9EE-509DA747D136}"/>
            </a:ext>
          </a:extLst>
        </xdr:cNvPr>
        <xdr:cNvSpPr txBox="1">
          <a:spLocks noChangeArrowheads="1"/>
        </xdr:cNvSpPr>
      </xdr:nvSpPr>
      <xdr:spPr bwMode="auto">
        <a:xfrm>
          <a:off x="76200" y="2819400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228"</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2</xdr:col>
      <xdr:colOff>114300</xdr:colOff>
      <xdr:row>0</xdr:row>
      <xdr:rowOff>47625</xdr:rowOff>
    </xdr:from>
    <xdr:to>
      <xdr:col>13</xdr:col>
      <xdr:colOff>47625</xdr:colOff>
      <xdr:row>29</xdr:row>
      <xdr:rowOff>142875</xdr:rowOff>
    </xdr:to>
    <xdr:graphicFrame macro="">
      <xdr:nvGraphicFramePr>
        <xdr:cNvPr id="923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21</xdr:row>
      <xdr:rowOff>28575</xdr:rowOff>
    </xdr:from>
    <xdr:to>
      <xdr:col>1</xdr:col>
      <xdr:colOff>828675</xdr:colOff>
      <xdr:row>27</xdr:row>
      <xdr:rowOff>76200</xdr:rowOff>
    </xdr:to>
    <xdr:sp macro="" textlink="">
      <xdr:nvSpPr>
        <xdr:cNvPr id="9218" name="Text 2">
          <a:extLst>
            <a:ext uri="{FF2B5EF4-FFF2-40B4-BE49-F238E27FC236}">
              <a16:creationId xmlns:a16="http://schemas.microsoft.com/office/drawing/2014/main" id="{8089B7FC-DE22-49A8-9436-817013FE243A}"/>
            </a:ext>
          </a:extLst>
        </xdr:cNvPr>
        <xdr:cNvSpPr txBox="1">
          <a:spLocks noChangeArrowheads="1"/>
        </xdr:cNvSpPr>
      </xdr:nvSpPr>
      <xdr:spPr bwMode="auto">
        <a:xfrm>
          <a:off x="142875" y="3429000"/>
          <a:ext cx="1447800" cy="1019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Reference: </a:t>
          </a:r>
        </a:p>
        <a:p>
          <a:pPr algn="l" rtl="0">
            <a:defRPr sz="1000"/>
          </a:pPr>
          <a:r>
            <a:rPr lang="en-IN" sz="1000" b="0" i="0" u="none" strike="noStrike" baseline="0">
              <a:solidFill>
                <a:srgbClr val="000000"/>
              </a:solidFill>
              <a:latin typeface="Arial"/>
              <a:cs typeface="Arial"/>
            </a:rPr>
            <a:t>Trinity Industries, Inc.</a:t>
          </a:r>
        </a:p>
        <a:p>
          <a:pPr algn="l" rtl="0">
            <a:defRPr sz="1000"/>
          </a:pPr>
          <a:r>
            <a:rPr lang="en-IN" sz="1000" b="0" i="0" u="none" strike="noStrike" baseline="0">
              <a:solidFill>
                <a:srgbClr val="000000"/>
              </a:solidFill>
              <a:latin typeface="Arial"/>
              <a:cs typeface="Arial"/>
            </a:rPr>
            <a:t>Head Division</a:t>
          </a:r>
        </a:p>
        <a:p>
          <a:pPr algn="l" rtl="0">
            <a:defRPr sz="1000"/>
          </a:pPr>
          <a:r>
            <a:rPr lang="en-IN" sz="1000" b="0" i="0" u="none" strike="noStrike" baseline="0">
              <a:solidFill>
                <a:srgbClr val="000000"/>
              </a:solidFill>
              <a:latin typeface="Arial"/>
              <a:cs typeface="Arial"/>
            </a:rPr>
            <a:t>Navasota, TX</a:t>
          </a:r>
        </a:p>
        <a:p>
          <a:pPr algn="l" rtl="0">
            <a:defRPr sz="1000"/>
          </a:pPr>
          <a:r>
            <a:rPr lang="en-IN" sz="1000" b="0" i="0" u="none" strike="noStrike" baseline="0">
              <a:solidFill>
                <a:srgbClr val="000000"/>
              </a:solidFill>
              <a:latin typeface="Arial"/>
              <a:cs typeface="Arial"/>
            </a:rPr>
            <a:t>Product &amp; Services</a:t>
          </a:r>
        </a:p>
        <a:p>
          <a:pPr algn="l" rtl="0">
            <a:defRPr sz="1000"/>
          </a:pPr>
          <a:r>
            <a:rPr lang="en-IN" sz="1000" b="0" i="0" u="none" strike="noStrike" baseline="0">
              <a:solidFill>
                <a:srgbClr val="000000"/>
              </a:solidFill>
              <a:latin typeface="Arial"/>
              <a:cs typeface="Arial"/>
            </a:rPr>
            <a:t>Catalog # 7962M (1996)</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9525</xdr:colOff>
      <xdr:row>0</xdr:row>
      <xdr:rowOff>19050</xdr:rowOff>
    </xdr:from>
    <xdr:to>
      <xdr:col>13</xdr:col>
      <xdr:colOff>571500</xdr:colOff>
      <xdr:row>29</xdr:row>
      <xdr:rowOff>123825</xdr:rowOff>
    </xdr:to>
    <xdr:graphicFrame macro="">
      <xdr:nvGraphicFramePr>
        <xdr:cNvPr id="1025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22</xdr:row>
      <xdr:rowOff>0</xdr:rowOff>
    </xdr:from>
    <xdr:to>
      <xdr:col>2</xdr:col>
      <xdr:colOff>295275</xdr:colOff>
      <xdr:row>28</xdr:row>
      <xdr:rowOff>47625</xdr:rowOff>
    </xdr:to>
    <xdr:sp macro="" textlink="">
      <xdr:nvSpPr>
        <xdr:cNvPr id="10242" name="Text 2">
          <a:extLst>
            <a:ext uri="{FF2B5EF4-FFF2-40B4-BE49-F238E27FC236}">
              <a16:creationId xmlns:a16="http://schemas.microsoft.com/office/drawing/2014/main" id="{1763AB75-1C2D-4E67-BB67-71DCC0E8538E}"/>
            </a:ext>
          </a:extLst>
        </xdr:cNvPr>
        <xdr:cNvSpPr txBox="1">
          <a:spLocks noChangeArrowheads="1"/>
        </xdr:cNvSpPr>
      </xdr:nvSpPr>
      <xdr:spPr bwMode="auto">
        <a:xfrm>
          <a:off x="28575" y="3562350"/>
          <a:ext cx="1695450" cy="1019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Reference: </a:t>
          </a:r>
        </a:p>
        <a:p>
          <a:pPr algn="l" rtl="0">
            <a:defRPr sz="1000"/>
          </a:pPr>
          <a:r>
            <a:rPr lang="en-IN" sz="1000" b="0" i="0" u="none" strike="noStrike" baseline="0">
              <a:solidFill>
                <a:srgbClr val="000000"/>
              </a:solidFill>
              <a:latin typeface="Arial"/>
              <a:cs typeface="Arial"/>
            </a:rPr>
            <a:t>Trinity Industries, Inc.</a:t>
          </a:r>
        </a:p>
        <a:p>
          <a:pPr algn="l" rtl="0">
            <a:defRPr sz="1000"/>
          </a:pPr>
          <a:r>
            <a:rPr lang="en-IN" sz="1000" b="0" i="0" u="none" strike="noStrike" baseline="0">
              <a:solidFill>
                <a:srgbClr val="000000"/>
              </a:solidFill>
              <a:latin typeface="Arial"/>
              <a:cs typeface="Arial"/>
            </a:rPr>
            <a:t>Head Division</a:t>
          </a:r>
        </a:p>
        <a:p>
          <a:pPr algn="l" rtl="0">
            <a:defRPr sz="1000"/>
          </a:pPr>
          <a:r>
            <a:rPr lang="en-IN" sz="1000" b="0" i="0" u="none" strike="noStrike" baseline="0">
              <a:solidFill>
                <a:srgbClr val="000000"/>
              </a:solidFill>
              <a:latin typeface="Arial"/>
              <a:cs typeface="Arial"/>
            </a:rPr>
            <a:t>Navasota, TX</a:t>
          </a:r>
        </a:p>
        <a:p>
          <a:pPr algn="l" rtl="0">
            <a:defRPr sz="1000"/>
          </a:pPr>
          <a:r>
            <a:rPr lang="en-IN" sz="1000" b="0" i="0" u="none" strike="noStrike" baseline="0">
              <a:solidFill>
                <a:srgbClr val="000000"/>
              </a:solidFill>
              <a:latin typeface="Arial"/>
              <a:cs typeface="Arial"/>
            </a:rPr>
            <a:t>Product &amp; Services</a:t>
          </a:r>
        </a:p>
        <a:p>
          <a:pPr algn="l" rtl="0">
            <a:defRPr sz="1000"/>
          </a:pPr>
          <a:r>
            <a:rPr lang="en-IN" sz="1000" b="0" i="0" u="none" strike="noStrike" baseline="0">
              <a:solidFill>
                <a:srgbClr val="000000"/>
              </a:solidFill>
              <a:latin typeface="Arial"/>
              <a:cs typeface="Arial"/>
            </a:rPr>
            <a:t>Catalog # 7962M (1996)</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161925</xdr:colOff>
      <xdr:row>0</xdr:row>
      <xdr:rowOff>85725</xdr:rowOff>
    </xdr:from>
    <xdr:to>
      <xdr:col>12</xdr:col>
      <xdr:colOff>552450</xdr:colOff>
      <xdr:row>22</xdr:row>
      <xdr:rowOff>0</xdr:rowOff>
    </xdr:to>
    <xdr:grpSp>
      <xdr:nvGrpSpPr>
        <xdr:cNvPr id="28167" name="Group 1"/>
        <xdr:cNvGrpSpPr>
          <a:grpSpLocks/>
        </xdr:cNvGrpSpPr>
      </xdr:nvGrpSpPr>
      <xdr:grpSpPr bwMode="auto">
        <a:xfrm>
          <a:off x="161925" y="85725"/>
          <a:ext cx="7705725" cy="3476625"/>
          <a:chOff x="17" y="9"/>
          <a:chExt cx="809" cy="365"/>
        </a:xfrm>
      </xdr:grpSpPr>
      <xdr:sp macro="" textlink="">
        <xdr:nvSpPr>
          <xdr:cNvPr id="28202" name="AutoShape 2"/>
          <xdr:cNvSpPr>
            <a:spLocks noChangeArrowheads="1"/>
          </xdr:cNvSpPr>
        </xdr:nvSpPr>
        <xdr:spPr bwMode="auto">
          <a:xfrm>
            <a:off x="156" y="131"/>
            <a:ext cx="458" cy="100"/>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7992 h 21600"/>
            </a:gdLst>
            <a:ahLst/>
            <a:cxnLst>
              <a:cxn ang="T8">
                <a:pos x="T0" y="T1"/>
              </a:cxn>
              <a:cxn ang="T9">
                <a:pos x="T2" y="T3"/>
              </a:cxn>
              <a:cxn ang="T10">
                <a:pos x="T4" y="T5"/>
              </a:cxn>
              <a:cxn ang="T11">
                <a:pos x="T6" y="T7"/>
              </a:cxn>
            </a:cxnLst>
            <a:rect l="T12" t="T13" r="T14" b="T15"/>
            <a:pathLst>
              <a:path w="21600" h="21600">
                <a:moveTo>
                  <a:pt x="283" y="11015"/>
                </a:moveTo>
                <a:cubicBezTo>
                  <a:pt x="281" y="10944"/>
                  <a:pt x="281" y="10872"/>
                  <a:pt x="281" y="10800"/>
                </a:cubicBezTo>
                <a:cubicBezTo>
                  <a:pt x="281" y="4990"/>
                  <a:pt x="4990" y="281"/>
                  <a:pt x="10800" y="281"/>
                </a:cubicBezTo>
                <a:cubicBezTo>
                  <a:pt x="16609" y="281"/>
                  <a:pt x="21319" y="4990"/>
                  <a:pt x="21319" y="10800"/>
                </a:cubicBezTo>
                <a:cubicBezTo>
                  <a:pt x="21318" y="10872"/>
                  <a:pt x="21318" y="10944"/>
                  <a:pt x="21316" y="11015"/>
                </a:cubicBezTo>
                <a:lnTo>
                  <a:pt x="21597" y="11021"/>
                </a:lnTo>
                <a:cubicBezTo>
                  <a:pt x="21599" y="10947"/>
                  <a:pt x="21600" y="10873"/>
                  <a:pt x="21600" y="10800"/>
                </a:cubicBezTo>
                <a:cubicBezTo>
                  <a:pt x="21600" y="4835"/>
                  <a:pt x="16764" y="0"/>
                  <a:pt x="10800" y="0"/>
                </a:cubicBezTo>
                <a:cubicBezTo>
                  <a:pt x="4835" y="0"/>
                  <a:pt x="0" y="4835"/>
                  <a:pt x="0" y="10800"/>
                </a:cubicBezTo>
                <a:cubicBezTo>
                  <a:pt x="0" y="10873"/>
                  <a:pt x="0" y="10947"/>
                  <a:pt x="2" y="11021"/>
                </a:cubicBezTo>
                <a:lnTo>
                  <a:pt x="283" y="11015"/>
                </a:lnTo>
                <a:close/>
              </a:path>
            </a:pathLst>
          </a:cu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28203" name="Rectangle 3"/>
          <xdr:cNvSpPr>
            <a:spLocks noChangeArrowheads="1"/>
          </xdr:cNvSpPr>
        </xdr:nvSpPr>
        <xdr:spPr bwMode="auto">
          <a:xfrm>
            <a:off x="157" y="181"/>
            <a:ext cx="5" cy="23"/>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28204" name="Rectangle 4"/>
          <xdr:cNvSpPr>
            <a:spLocks noChangeArrowheads="1"/>
          </xdr:cNvSpPr>
        </xdr:nvSpPr>
        <xdr:spPr bwMode="auto">
          <a:xfrm>
            <a:off x="609" y="183"/>
            <a:ext cx="5" cy="23"/>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FF" mc:Ignorable="a14" a14:legacySpreadsheetColorIndex="12"/>
            </a:solidFill>
            <a:miter lim="800000"/>
            <a:headEnd/>
            <a:tailEnd/>
          </a:ln>
        </xdr:spPr>
      </xdr:sp>
      <xdr:sp macro="" textlink="">
        <xdr:nvSpPr>
          <xdr:cNvPr id="28205" name="Line 5"/>
          <xdr:cNvSpPr>
            <a:spLocks noChangeShapeType="1"/>
          </xdr:cNvSpPr>
        </xdr:nvSpPr>
        <xdr:spPr bwMode="auto">
          <a:xfrm flipH="1" flipV="1">
            <a:off x="386" y="90"/>
            <a:ext cx="0" cy="245"/>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8206" name="Line 6"/>
          <xdr:cNvSpPr>
            <a:spLocks noChangeShapeType="1"/>
          </xdr:cNvSpPr>
        </xdr:nvSpPr>
        <xdr:spPr bwMode="auto">
          <a:xfrm flipV="1">
            <a:off x="17" y="181"/>
            <a:ext cx="754"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8207" name="Line 7"/>
          <xdr:cNvSpPr>
            <a:spLocks noChangeShapeType="1"/>
          </xdr:cNvSpPr>
        </xdr:nvSpPr>
        <xdr:spPr bwMode="auto">
          <a:xfrm>
            <a:off x="158" y="204"/>
            <a:ext cx="449"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sp macro="" textlink="">
        <xdr:nvSpPr>
          <xdr:cNvPr id="27656" name="Text Box 8">
            <a:extLst>
              <a:ext uri="{FF2B5EF4-FFF2-40B4-BE49-F238E27FC236}">
                <a16:creationId xmlns:a16="http://schemas.microsoft.com/office/drawing/2014/main" id="{5522BE91-B50F-44DC-8645-DDC5F8332949}"/>
              </a:ext>
            </a:extLst>
          </xdr:cNvPr>
          <xdr:cNvSpPr txBox="1">
            <a:spLocks noChangeArrowheads="1"/>
          </xdr:cNvSpPr>
        </xdr:nvSpPr>
        <xdr:spPr bwMode="auto">
          <a:xfrm>
            <a:off x="27" y="160"/>
            <a:ext cx="8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00"/>
                </a:solidFill>
                <a:latin typeface="Arial"/>
                <a:cs typeface="Arial"/>
              </a:rPr>
              <a:t>Tangent Line</a:t>
            </a:r>
          </a:p>
        </xdr:txBody>
      </xdr:sp>
      <xdr:sp macro="" textlink="">
        <xdr:nvSpPr>
          <xdr:cNvPr id="28209" name="Line 9"/>
          <xdr:cNvSpPr>
            <a:spLocks noChangeShapeType="1"/>
          </xdr:cNvSpPr>
        </xdr:nvSpPr>
        <xdr:spPr bwMode="auto">
          <a:xfrm>
            <a:off x="617" y="203"/>
            <a:ext cx="7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210" name="Line 10"/>
          <xdr:cNvSpPr>
            <a:spLocks noChangeShapeType="1"/>
          </xdr:cNvSpPr>
        </xdr:nvSpPr>
        <xdr:spPr bwMode="auto">
          <a:xfrm>
            <a:off x="682" y="202"/>
            <a:ext cx="0" cy="39"/>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sp macro="" textlink="">
        <xdr:nvSpPr>
          <xdr:cNvPr id="28211" name="Line 11"/>
          <xdr:cNvSpPr>
            <a:spLocks noChangeShapeType="1"/>
          </xdr:cNvSpPr>
        </xdr:nvSpPr>
        <xdr:spPr bwMode="auto">
          <a:xfrm>
            <a:off x="181" y="162"/>
            <a:ext cx="21" cy="19"/>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sp macro="" textlink="">
        <xdr:nvSpPr>
          <xdr:cNvPr id="28212" name="Line 12"/>
          <xdr:cNvSpPr>
            <a:spLocks noChangeShapeType="1"/>
          </xdr:cNvSpPr>
        </xdr:nvSpPr>
        <xdr:spPr bwMode="auto">
          <a:xfrm>
            <a:off x="682" y="181"/>
            <a:ext cx="0" cy="2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213" name="Line 13"/>
          <xdr:cNvSpPr>
            <a:spLocks noChangeShapeType="1"/>
          </xdr:cNvSpPr>
        </xdr:nvSpPr>
        <xdr:spPr bwMode="auto">
          <a:xfrm>
            <a:off x="680" y="134"/>
            <a:ext cx="2" cy="4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8214" name="Line 14"/>
          <xdr:cNvSpPr>
            <a:spLocks noChangeShapeType="1"/>
          </xdr:cNvSpPr>
        </xdr:nvSpPr>
        <xdr:spPr bwMode="auto">
          <a:xfrm>
            <a:off x="682" y="192"/>
            <a:ext cx="68" cy="32"/>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sp macro="" textlink="">
        <xdr:nvSpPr>
          <xdr:cNvPr id="28215" name="Rectangle 15"/>
          <xdr:cNvSpPr>
            <a:spLocks noChangeArrowheads="1"/>
          </xdr:cNvSpPr>
        </xdr:nvSpPr>
        <xdr:spPr bwMode="auto">
          <a:xfrm>
            <a:off x="749" y="187"/>
            <a:ext cx="77" cy="103"/>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7664" name="Text Box 16">
            <a:extLst>
              <a:ext uri="{FF2B5EF4-FFF2-40B4-BE49-F238E27FC236}">
                <a16:creationId xmlns:a16="http://schemas.microsoft.com/office/drawing/2014/main" id="{49C3F19A-457D-4764-B2AB-B53400DB298C}"/>
              </a:ext>
            </a:extLst>
          </xdr:cNvPr>
          <xdr:cNvSpPr txBox="1">
            <a:spLocks noChangeArrowheads="1"/>
          </xdr:cNvSpPr>
        </xdr:nvSpPr>
        <xdr:spPr bwMode="auto">
          <a:xfrm>
            <a:off x="752" y="188"/>
            <a:ext cx="67" cy="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IN" sz="1000" b="1" i="0" u="none" strike="noStrike" baseline="0">
                <a:solidFill>
                  <a:srgbClr val="0000FF"/>
                </a:solidFill>
                <a:latin typeface="Arial"/>
                <a:cs typeface="Arial"/>
              </a:rPr>
              <a:t>Straight</a:t>
            </a:r>
          </a:p>
          <a:p>
            <a:pPr algn="ctr" rtl="0">
              <a:defRPr sz="1000"/>
            </a:pPr>
            <a:r>
              <a:rPr lang="en-IN" sz="1000" b="1" i="0" u="none" strike="noStrike" baseline="0">
                <a:solidFill>
                  <a:srgbClr val="0000FF"/>
                </a:solidFill>
                <a:latin typeface="Arial"/>
                <a:cs typeface="Arial"/>
              </a:rPr>
              <a:t>Flange</a:t>
            </a:r>
          </a:p>
          <a:p>
            <a:pPr algn="ctr" rtl="0">
              <a:defRPr sz="1000"/>
            </a:pPr>
            <a:r>
              <a:rPr lang="en-IN" sz="1000" b="1" i="0" u="none" strike="noStrike" baseline="0">
                <a:solidFill>
                  <a:srgbClr val="0000FF"/>
                </a:solidFill>
                <a:latin typeface="Arial"/>
                <a:cs typeface="Arial"/>
              </a:rPr>
              <a:t>(Varies)</a:t>
            </a:r>
          </a:p>
          <a:p>
            <a:pPr algn="ctr" rtl="0">
              <a:defRPr sz="1000"/>
            </a:pPr>
            <a:r>
              <a:rPr lang="en-IN" sz="1000" b="1" i="0" u="none" strike="noStrike" baseline="0">
                <a:solidFill>
                  <a:srgbClr val="0000FF"/>
                </a:solidFill>
                <a:latin typeface="Arial"/>
                <a:cs typeface="Arial"/>
              </a:rPr>
              <a:t>2" Nom.</a:t>
            </a:r>
          </a:p>
          <a:p>
            <a:pPr algn="ctr" rtl="0">
              <a:defRPr sz="1000"/>
            </a:pPr>
            <a:r>
              <a:rPr lang="en-IN" sz="1000" b="1" i="0" u="none" strike="noStrike" baseline="0">
                <a:solidFill>
                  <a:srgbClr val="FF0000"/>
                </a:solidFill>
                <a:latin typeface="Arial"/>
                <a:cs typeface="Arial"/>
              </a:rPr>
              <a:t>51mm</a:t>
            </a:r>
            <a:endParaRPr lang="en-IN" sz="1000" b="0" i="0" u="none" strike="noStrike" baseline="0">
              <a:solidFill>
                <a:srgbClr val="000000"/>
              </a:solidFill>
              <a:latin typeface="Arial"/>
              <a:cs typeface="Arial"/>
            </a:endParaRPr>
          </a:p>
          <a:p>
            <a:pPr algn="ctr" rtl="0">
              <a:defRPr sz="1000"/>
            </a:pPr>
            <a:endParaRPr lang="en-IN" sz="1000" b="0" i="0" u="none" strike="noStrike" baseline="0">
              <a:solidFill>
                <a:srgbClr val="000000"/>
              </a:solidFill>
              <a:latin typeface="Arial"/>
              <a:cs typeface="Arial"/>
            </a:endParaRPr>
          </a:p>
        </xdr:txBody>
      </xdr:sp>
      <xdr:sp macro="" textlink="">
        <xdr:nvSpPr>
          <xdr:cNvPr id="28217" name="Line 17"/>
          <xdr:cNvSpPr>
            <a:spLocks noChangeShapeType="1"/>
          </xdr:cNvSpPr>
        </xdr:nvSpPr>
        <xdr:spPr bwMode="auto">
          <a:xfrm flipH="1" flipV="1">
            <a:off x="146" y="130"/>
            <a:ext cx="34" cy="31"/>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218" name="Line 18"/>
          <xdr:cNvSpPr>
            <a:spLocks noChangeShapeType="1"/>
          </xdr:cNvSpPr>
        </xdr:nvSpPr>
        <xdr:spPr bwMode="auto">
          <a:xfrm flipH="1">
            <a:off x="134" y="13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219" name="Line 19"/>
          <xdr:cNvSpPr>
            <a:spLocks noChangeShapeType="1"/>
          </xdr:cNvSpPr>
        </xdr:nvSpPr>
        <xdr:spPr bwMode="auto">
          <a:xfrm flipV="1">
            <a:off x="387" y="138"/>
            <a:ext cx="106" cy="166"/>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28220" name="Line 20"/>
          <xdr:cNvSpPr>
            <a:spLocks noChangeShapeType="1"/>
          </xdr:cNvSpPr>
        </xdr:nvSpPr>
        <xdr:spPr bwMode="auto">
          <a:xfrm flipV="1">
            <a:off x="496" y="95"/>
            <a:ext cx="27" cy="4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sp macro="" textlink="">
        <xdr:nvSpPr>
          <xdr:cNvPr id="28221" name="Line 21"/>
          <xdr:cNvSpPr>
            <a:spLocks noChangeShapeType="1"/>
          </xdr:cNvSpPr>
        </xdr:nvSpPr>
        <xdr:spPr bwMode="auto">
          <a:xfrm>
            <a:off x="523" y="95"/>
            <a:ext cx="19"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222" name="Line 22"/>
          <xdr:cNvSpPr>
            <a:spLocks noChangeShapeType="1"/>
          </xdr:cNvSpPr>
        </xdr:nvSpPr>
        <xdr:spPr bwMode="auto">
          <a:xfrm>
            <a:off x="437" y="225"/>
            <a:ext cx="31" cy="2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sp macro="" textlink="">
        <xdr:nvSpPr>
          <xdr:cNvPr id="27671" name="Text Box 23">
            <a:extLst>
              <a:ext uri="{FF2B5EF4-FFF2-40B4-BE49-F238E27FC236}">
                <a16:creationId xmlns:a16="http://schemas.microsoft.com/office/drawing/2014/main" id="{E9A3F689-D1AA-4F00-9470-3648DF5B491E}"/>
              </a:ext>
            </a:extLst>
          </xdr:cNvPr>
          <xdr:cNvSpPr txBox="1">
            <a:spLocks noChangeArrowheads="1"/>
          </xdr:cNvSpPr>
        </xdr:nvSpPr>
        <xdr:spPr bwMode="auto">
          <a:xfrm>
            <a:off x="545" y="83"/>
            <a:ext cx="127" cy="2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FF"/>
                </a:solidFill>
                <a:latin typeface="Arial"/>
                <a:cs typeface="Arial"/>
              </a:rPr>
              <a:t>Wall Thickness </a:t>
            </a:r>
            <a:r>
              <a:rPr lang="en-IN" sz="1200" b="1" i="0" u="none" strike="noStrike" baseline="0">
                <a:solidFill>
                  <a:srgbClr val="000000"/>
                </a:solidFill>
                <a:latin typeface="Arial"/>
                <a:cs typeface="Arial"/>
              </a:rPr>
              <a:t>"T"</a:t>
            </a:r>
          </a:p>
        </xdr:txBody>
      </xdr:sp>
      <xdr:sp macro="" textlink="">
        <xdr:nvSpPr>
          <xdr:cNvPr id="27672" name="Text Box 24">
            <a:extLst>
              <a:ext uri="{FF2B5EF4-FFF2-40B4-BE49-F238E27FC236}">
                <a16:creationId xmlns:a16="http://schemas.microsoft.com/office/drawing/2014/main" id="{E19F9555-E420-4E33-BDC8-FE570C8BB044}"/>
              </a:ext>
            </a:extLst>
          </xdr:cNvPr>
          <xdr:cNvSpPr txBox="1">
            <a:spLocks noChangeArrowheads="1"/>
          </xdr:cNvSpPr>
        </xdr:nvSpPr>
        <xdr:spPr bwMode="auto">
          <a:xfrm>
            <a:off x="64" y="104"/>
            <a:ext cx="102" cy="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IN" sz="1000" b="1" i="0" u="none" strike="noStrike" baseline="0">
                <a:solidFill>
                  <a:srgbClr val="0000FF"/>
                </a:solidFill>
                <a:latin typeface="Arial"/>
                <a:cs typeface="Arial"/>
              </a:rPr>
              <a:t>Knuckle Radius</a:t>
            </a:r>
          </a:p>
          <a:p>
            <a:pPr algn="ctr" rtl="0">
              <a:defRPr sz="1000"/>
            </a:pPr>
            <a:r>
              <a:rPr lang="en-IN" sz="1000" b="1" i="0" u="none" strike="noStrike" baseline="0">
                <a:solidFill>
                  <a:srgbClr val="000000"/>
                </a:solidFill>
                <a:latin typeface="Arial"/>
                <a:cs typeface="Arial"/>
              </a:rPr>
              <a:t>"</a:t>
            </a:r>
            <a:r>
              <a:rPr lang="en-IN" sz="1200" b="1" i="0" u="none" strike="noStrike" baseline="0">
                <a:solidFill>
                  <a:srgbClr val="000000"/>
                </a:solidFill>
                <a:latin typeface="Arial"/>
                <a:cs typeface="Arial"/>
              </a:rPr>
              <a:t>R2"</a:t>
            </a:r>
          </a:p>
        </xdr:txBody>
      </xdr:sp>
      <xdr:sp macro="" textlink="">
        <xdr:nvSpPr>
          <xdr:cNvPr id="27673" name="Text Box 25">
            <a:extLst>
              <a:ext uri="{FF2B5EF4-FFF2-40B4-BE49-F238E27FC236}">
                <a16:creationId xmlns:a16="http://schemas.microsoft.com/office/drawing/2014/main" id="{2F91ADD2-0CEA-4308-AC63-56457EA3B9CD}"/>
              </a:ext>
            </a:extLst>
          </xdr:cNvPr>
          <xdr:cNvSpPr txBox="1">
            <a:spLocks noChangeArrowheads="1"/>
          </xdr:cNvSpPr>
        </xdr:nvSpPr>
        <xdr:spPr bwMode="auto">
          <a:xfrm>
            <a:off x="476" y="236"/>
            <a:ext cx="78" cy="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IN" sz="1000" b="1" i="0" u="none" strike="noStrike" baseline="0">
                <a:solidFill>
                  <a:srgbClr val="0000FF"/>
                </a:solidFill>
                <a:latin typeface="Arial"/>
                <a:cs typeface="Arial"/>
              </a:rPr>
              <a:t>Dish Radius</a:t>
            </a:r>
          </a:p>
          <a:p>
            <a:pPr algn="ctr" rtl="0">
              <a:defRPr sz="1000"/>
            </a:pPr>
            <a:r>
              <a:rPr lang="en-IN" sz="1000" b="1" i="0" u="none" strike="noStrike" baseline="0">
                <a:solidFill>
                  <a:srgbClr val="000000"/>
                </a:solidFill>
                <a:latin typeface="Arial"/>
                <a:cs typeface="Arial"/>
              </a:rPr>
              <a:t>"</a:t>
            </a:r>
            <a:r>
              <a:rPr lang="en-IN" sz="1200" b="1" i="0" u="none" strike="noStrike" baseline="0">
                <a:solidFill>
                  <a:srgbClr val="000000"/>
                </a:solidFill>
                <a:latin typeface="Arial"/>
                <a:cs typeface="Arial"/>
              </a:rPr>
              <a:t>R1"</a:t>
            </a:r>
          </a:p>
        </xdr:txBody>
      </xdr:sp>
      <xdr:sp macro="" textlink="">
        <xdr:nvSpPr>
          <xdr:cNvPr id="28226" name="Line 26"/>
          <xdr:cNvSpPr>
            <a:spLocks noChangeShapeType="1"/>
          </xdr:cNvSpPr>
        </xdr:nvSpPr>
        <xdr:spPr bwMode="auto">
          <a:xfrm flipH="1">
            <a:off x="572" y="164"/>
            <a:ext cx="19"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sp macro="" textlink="">
        <xdr:nvSpPr>
          <xdr:cNvPr id="28227" name="Line 27"/>
          <xdr:cNvSpPr>
            <a:spLocks noChangeShapeType="1"/>
          </xdr:cNvSpPr>
        </xdr:nvSpPr>
        <xdr:spPr bwMode="auto">
          <a:xfrm flipV="1">
            <a:off x="203" y="61"/>
            <a:ext cx="0" cy="121"/>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8228" name="Line 28"/>
          <xdr:cNvSpPr>
            <a:spLocks noChangeShapeType="1"/>
          </xdr:cNvSpPr>
        </xdr:nvSpPr>
        <xdr:spPr bwMode="auto">
          <a:xfrm flipH="1" flipV="1">
            <a:off x="570" y="111"/>
            <a:ext cx="1" cy="72"/>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8229" name="Line 29"/>
          <xdr:cNvSpPr>
            <a:spLocks noChangeShapeType="1"/>
          </xdr:cNvSpPr>
        </xdr:nvSpPr>
        <xdr:spPr bwMode="auto">
          <a:xfrm flipH="1" flipV="1">
            <a:off x="569" y="65"/>
            <a:ext cx="0" cy="18"/>
          </a:xfrm>
          <a:prstGeom prst="line">
            <a:avLst/>
          </a:prstGeom>
          <a:noFill/>
          <a:ln w="19050">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28230" name="Line 30"/>
          <xdr:cNvSpPr>
            <a:spLocks noChangeShapeType="1"/>
          </xdr:cNvSpPr>
        </xdr:nvSpPr>
        <xdr:spPr bwMode="auto">
          <a:xfrm>
            <a:off x="204" y="69"/>
            <a:ext cx="36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7679" name="Text Box 31">
            <a:extLst>
              <a:ext uri="{FF2B5EF4-FFF2-40B4-BE49-F238E27FC236}">
                <a16:creationId xmlns:a16="http://schemas.microsoft.com/office/drawing/2014/main" id="{92CCE7C1-32C8-43B6-8D49-D8A4C538539A}"/>
              </a:ext>
            </a:extLst>
          </xdr:cNvPr>
          <xdr:cNvSpPr txBox="1">
            <a:spLocks noChangeArrowheads="1"/>
          </xdr:cNvSpPr>
        </xdr:nvSpPr>
        <xdr:spPr bwMode="auto">
          <a:xfrm>
            <a:off x="303" y="51"/>
            <a:ext cx="17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FF"/>
                </a:solidFill>
                <a:latin typeface="Arial"/>
                <a:cs typeface="Arial"/>
              </a:rPr>
              <a:t>Area for nozzle attachment</a:t>
            </a:r>
          </a:p>
        </xdr:txBody>
      </xdr:sp>
      <xdr:sp macro="" textlink="">
        <xdr:nvSpPr>
          <xdr:cNvPr id="27680" name="Text Box 32">
            <a:extLst>
              <a:ext uri="{FF2B5EF4-FFF2-40B4-BE49-F238E27FC236}">
                <a16:creationId xmlns:a16="http://schemas.microsoft.com/office/drawing/2014/main" id="{756DC82B-D0FF-4CF9-9A47-795345BC942F}"/>
              </a:ext>
            </a:extLst>
          </xdr:cNvPr>
          <xdr:cNvSpPr txBox="1">
            <a:spLocks noChangeArrowheads="1"/>
          </xdr:cNvSpPr>
        </xdr:nvSpPr>
        <xdr:spPr bwMode="auto">
          <a:xfrm>
            <a:off x="327" y="71"/>
            <a:ext cx="9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00"/>
                </a:solidFill>
                <a:latin typeface="Arial"/>
                <a:cs typeface="Arial"/>
              </a:rPr>
              <a:t>O.D. - (R2+T)x2</a:t>
            </a:r>
          </a:p>
        </xdr:txBody>
      </xdr:sp>
      <xdr:sp macro="" textlink="">
        <xdr:nvSpPr>
          <xdr:cNvPr id="28233" name="Line 33"/>
          <xdr:cNvSpPr>
            <a:spLocks noChangeShapeType="1"/>
          </xdr:cNvSpPr>
        </xdr:nvSpPr>
        <xdr:spPr bwMode="auto">
          <a:xfrm>
            <a:off x="156" y="209"/>
            <a:ext cx="0" cy="16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234" name="Line 34"/>
          <xdr:cNvSpPr>
            <a:spLocks noChangeShapeType="1"/>
          </xdr:cNvSpPr>
        </xdr:nvSpPr>
        <xdr:spPr bwMode="auto">
          <a:xfrm>
            <a:off x="613" y="211"/>
            <a:ext cx="0" cy="16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235" name="Line 35"/>
          <xdr:cNvSpPr>
            <a:spLocks noChangeShapeType="1"/>
          </xdr:cNvSpPr>
        </xdr:nvSpPr>
        <xdr:spPr bwMode="auto">
          <a:xfrm>
            <a:off x="154" y="367"/>
            <a:ext cx="458"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7684" name="Text Box 36">
            <a:extLst>
              <a:ext uri="{FF2B5EF4-FFF2-40B4-BE49-F238E27FC236}">
                <a16:creationId xmlns:a16="http://schemas.microsoft.com/office/drawing/2014/main" id="{18AB82B6-4AC4-44A6-8C24-BCAE1A3947F2}"/>
              </a:ext>
            </a:extLst>
          </xdr:cNvPr>
          <xdr:cNvSpPr txBox="1">
            <a:spLocks noChangeArrowheads="1"/>
          </xdr:cNvSpPr>
        </xdr:nvSpPr>
        <xdr:spPr bwMode="auto">
          <a:xfrm>
            <a:off x="294" y="345"/>
            <a:ext cx="151"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1000" b="1" i="0" u="none" strike="noStrike" baseline="0">
                <a:solidFill>
                  <a:srgbClr val="0000FF"/>
                </a:solidFill>
                <a:latin typeface="Arial"/>
                <a:cs typeface="Arial"/>
              </a:rPr>
              <a:t>Outside Diameter (O.D.)</a:t>
            </a:r>
          </a:p>
        </xdr:txBody>
      </xdr:sp>
      <xdr:sp macro="" textlink="">
        <xdr:nvSpPr>
          <xdr:cNvPr id="27685" name="Text Box 37">
            <a:extLst>
              <a:ext uri="{FF2B5EF4-FFF2-40B4-BE49-F238E27FC236}">
                <a16:creationId xmlns:a16="http://schemas.microsoft.com/office/drawing/2014/main" id="{FC5C78EB-CB7C-48B2-AB5B-63A84C7A9D7F}"/>
              </a:ext>
            </a:extLst>
          </xdr:cNvPr>
          <xdr:cNvSpPr txBox="1">
            <a:spLocks noChangeArrowheads="1"/>
          </xdr:cNvSpPr>
        </xdr:nvSpPr>
        <xdr:spPr bwMode="auto">
          <a:xfrm>
            <a:off x="268" y="9"/>
            <a:ext cx="240"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400" b="1" i="0" u="sng" strike="noStrike" baseline="0">
                <a:solidFill>
                  <a:srgbClr val="0000FF"/>
                </a:solidFill>
                <a:latin typeface="Arial"/>
                <a:cs typeface="Arial"/>
              </a:rPr>
              <a:t>Flanged and Dished Head</a:t>
            </a:r>
          </a:p>
        </xdr:txBody>
      </xdr:sp>
      <xdr:sp macro="" textlink="">
        <xdr:nvSpPr>
          <xdr:cNvPr id="28238" name="Line 38"/>
          <xdr:cNvSpPr>
            <a:spLocks noChangeShapeType="1"/>
          </xdr:cNvSpPr>
        </xdr:nvSpPr>
        <xdr:spPr bwMode="auto">
          <a:xfrm>
            <a:off x="386" y="133"/>
            <a:ext cx="3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687" name="Rectangle 39">
            <a:extLst>
              <a:ext uri="{FF2B5EF4-FFF2-40B4-BE49-F238E27FC236}">
                <a16:creationId xmlns:a16="http://schemas.microsoft.com/office/drawing/2014/main" id="{E8E3DEC5-273B-429E-A12F-BBE349973260}"/>
              </a:ext>
            </a:extLst>
          </xdr:cNvPr>
          <xdr:cNvSpPr>
            <a:spLocks noChangeArrowheads="1"/>
          </xdr:cNvSpPr>
        </xdr:nvSpPr>
        <xdr:spPr bwMode="auto">
          <a:xfrm>
            <a:off x="739" y="104"/>
            <a:ext cx="90" cy="6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1" i="0" u="none" strike="noStrike" baseline="0">
                <a:solidFill>
                  <a:srgbClr val="0000FF"/>
                </a:solidFill>
                <a:latin typeface="Arial"/>
                <a:cs typeface="Arial"/>
              </a:rPr>
              <a:t>Inside Depth</a:t>
            </a:r>
          </a:p>
          <a:p>
            <a:pPr algn="l" rtl="0">
              <a:defRPr sz="1000"/>
            </a:pPr>
            <a:r>
              <a:rPr lang="en-IN" sz="1000" b="1" i="0" u="none" strike="noStrike" baseline="0">
                <a:solidFill>
                  <a:srgbClr val="0000FF"/>
                </a:solidFill>
                <a:latin typeface="Arial"/>
                <a:cs typeface="Arial"/>
              </a:rPr>
              <a:t>of Dish</a:t>
            </a:r>
          </a:p>
          <a:p>
            <a:pPr algn="l" rtl="0">
              <a:defRPr sz="1000"/>
            </a:pPr>
            <a:r>
              <a:rPr lang="en-IN" sz="1000" b="1" i="0" u="none" strike="noStrike" baseline="0">
                <a:solidFill>
                  <a:srgbClr val="000000"/>
                </a:solidFill>
                <a:latin typeface="Arial"/>
                <a:cs typeface="Arial"/>
              </a:rPr>
              <a:t>"</a:t>
            </a:r>
            <a:r>
              <a:rPr lang="en-IN" sz="1200" b="1" i="0" u="none" strike="noStrike" baseline="0">
                <a:solidFill>
                  <a:srgbClr val="000000"/>
                </a:solidFill>
                <a:latin typeface="Arial"/>
                <a:cs typeface="Arial"/>
              </a:rPr>
              <a:t>IDD"</a:t>
            </a:r>
          </a:p>
        </xdr:txBody>
      </xdr:sp>
      <xdr:sp macro="" textlink="">
        <xdr:nvSpPr>
          <xdr:cNvPr id="28240" name="Line 40"/>
          <xdr:cNvSpPr>
            <a:spLocks noChangeShapeType="1"/>
          </xdr:cNvSpPr>
        </xdr:nvSpPr>
        <xdr:spPr bwMode="auto">
          <a:xfrm flipV="1">
            <a:off x="681" y="133"/>
            <a:ext cx="56" cy="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med" len="med"/>
            <a:tailEnd type="oval" w="med" len="med"/>
          </a:ln>
          <a:extLst>
            <a:ext uri="{909E8E84-426E-40DD-AFC4-6F175D3DCCD1}">
              <a14:hiddenFill xmlns:a14="http://schemas.microsoft.com/office/drawing/2010/main">
                <a:noFill/>
              </a14:hiddenFill>
            </a:ext>
          </a:extLst>
        </xdr:spPr>
      </xdr:sp>
    </xdr:grpSp>
    <xdr:clientData/>
  </xdr:twoCellAnchor>
  <xdr:oneCellAnchor>
    <xdr:from>
      <xdr:col>0</xdr:col>
      <xdr:colOff>161925</xdr:colOff>
      <xdr:row>30</xdr:row>
      <xdr:rowOff>66675</xdr:rowOff>
    </xdr:from>
    <xdr:ext cx="276225" cy="228600"/>
    <xdr:sp macro="" textlink="">
      <xdr:nvSpPr>
        <xdr:cNvPr id="27689" name="Text Box 41">
          <a:extLst>
            <a:ext uri="{FF2B5EF4-FFF2-40B4-BE49-F238E27FC236}">
              <a16:creationId xmlns:a16="http://schemas.microsoft.com/office/drawing/2014/main" id="{51F4AD8C-AF80-4E25-8B96-D4CFC39BF155}"/>
            </a:ext>
          </a:extLst>
        </xdr:cNvPr>
        <xdr:cNvSpPr txBox="1">
          <a:spLocks noChangeArrowheads="1"/>
        </xdr:cNvSpPr>
      </xdr:nvSpPr>
      <xdr:spPr bwMode="auto">
        <a:xfrm>
          <a:off x="161925" y="49815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26"</a:t>
          </a:r>
        </a:p>
      </xdr:txBody>
    </xdr:sp>
    <xdr:clientData/>
  </xdr:oneCellAnchor>
  <xdr:oneCellAnchor>
    <xdr:from>
      <xdr:col>0</xdr:col>
      <xdr:colOff>161925</xdr:colOff>
      <xdr:row>34</xdr:row>
      <xdr:rowOff>66675</xdr:rowOff>
    </xdr:from>
    <xdr:ext cx="276225" cy="228600"/>
    <xdr:sp macro="" textlink="">
      <xdr:nvSpPr>
        <xdr:cNvPr id="27690" name="Text Box 42">
          <a:extLst>
            <a:ext uri="{FF2B5EF4-FFF2-40B4-BE49-F238E27FC236}">
              <a16:creationId xmlns:a16="http://schemas.microsoft.com/office/drawing/2014/main" id="{E074A199-80E7-4AED-950D-0E291152F291}"/>
            </a:ext>
          </a:extLst>
        </xdr:cNvPr>
        <xdr:cNvSpPr txBox="1">
          <a:spLocks noChangeArrowheads="1"/>
        </xdr:cNvSpPr>
      </xdr:nvSpPr>
      <xdr:spPr bwMode="auto">
        <a:xfrm>
          <a:off x="161925" y="56483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28"</a:t>
          </a:r>
        </a:p>
      </xdr:txBody>
    </xdr:sp>
    <xdr:clientData/>
  </xdr:oneCellAnchor>
  <xdr:oneCellAnchor>
    <xdr:from>
      <xdr:col>0</xdr:col>
      <xdr:colOff>123825</xdr:colOff>
      <xdr:row>38</xdr:row>
      <xdr:rowOff>19050</xdr:rowOff>
    </xdr:from>
    <xdr:ext cx="276225" cy="228600"/>
    <xdr:sp macro="" textlink="">
      <xdr:nvSpPr>
        <xdr:cNvPr id="27691" name="Text Box 43">
          <a:extLst>
            <a:ext uri="{FF2B5EF4-FFF2-40B4-BE49-F238E27FC236}">
              <a16:creationId xmlns:a16="http://schemas.microsoft.com/office/drawing/2014/main" id="{9F1DFBB6-1995-4A92-90EB-2823845E3028}"/>
            </a:ext>
          </a:extLst>
        </xdr:cNvPr>
        <xdr:cNvSpPr txBox="1">
          <a:spLocks noChangeArrowheads="1"/>
        </xdr:cNvSpPr>
      </xdr:nvSpPr>
      <xdr:spPr bwMode="auto">
        <a:xfrm>
          <a:off x="123825" y="626745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30"</a:t>
          </a:r>
        </a:p>
      </xdr:txBody>
    </xdr:sp>
    <xdr:clientData/>
  </xdr:oneCellAnchor>
  <xdr:oneCellAnchor>
    <xdr:from>
      <xdr:col>0</xdr:col>
      <xdr:colOff>123825</xdr:colOff>
      <xdr:row>42</xdr:row>
      <xdr:rowOff>66675</xdr:rowOff>
    </xdr:from>
    <xdr:ext cx="276225" cy="228600"/>
    <xdr:sp macro="" textlink="">
      <xdr:nvSpPr>
        <xdr:cNvPr id="27692" name="Text Box 44">
          <a:extLst>
            <a:ext uri="{FF2B5EF4-FFF2-40B4-BE49-F238E27FC236}">
              <a16:creationId xmlns:a16="http://schemas.microsoft.com/office/drawing/2014/main" id="{CAD26560-634C-4567-9B2A-4C186A96D463}"/>
            </a:ext>
          </a:extLst>
        </xdr:cNvPr>
        <xdr:cNvSpPr txBox="1">
          <a:spLocks noChangeArrowheads="1"/>
        </xdr:cNvSpPr>
      </xdr:nvSpPr>
      <xdr:spPr bwMode="auto">
        <a:xfrm>
          <a:off x="123825" y="69818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32"</a:t>
          </a:r>
        </a:p>
      </xdr:txBody>
    </xdr:sp>
    <xdr:clientData/>
  </xdr:oneCellAnchor>
  <xdr:oneCellAnchor>
    <xdr:from>
      <xdr:col>0</xdr:col>
      <xdr:colOff>123825</xdr:colOff>
      <xdr:row>46</xdr:row>
      <xdr:rowOff>47625</xdr:rowOff>
    </xdr:from>
    <xdr:ext cx="276225" cy="228600"/>
    <xdr:sp macro="" textlink="">
      <xdr:nvSpPr>
        <xdr:cNvPr id="27693" name="Text Box 45">
          <a:extLst>
            <a:ext uri="{FF2B5EF4-FFF2-40B4-BE49-F238E27FC236}">
              <a16:creationId xmlns:a16="http://schemas.microsoft.com/office/drawing/2014/main" id="{0F214BB2-9253-4E45-8357-7E283E8825C2}"/>
            </a:ext>
          </a:extLst>
        </xdr:cNvPr>
        <xdr:cNvSpPr txBox="1">
          <a:spLocks noChangeArrowheads="1"/>
        </xdr:cNvSpPr>
      </xdr:nvSpPr>
      <xdr:spPr bwMode="auto">
        <a:xfrm>
          <a:off x="123825" y="76295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34"</a:t>
          </a:r>
        </a:p>
      </xdr:txBody>
    </xdr:sp>
    <xdr:clientData/>
  </xdr:oneCellAnchor>
  <xdr:oneCellAnchor>
    <xdr:from>
      <xdr:col>0</xdr:col>
      <xdr:colOff>123825</xdr:colOff>
      <xdr:row>50</xdr:row>
      <xdr:rowOff>66675</xdr:rowOff>
    </xdr:from>
    <xdr:ext cx="276225" cy="228600"/>
    <xdr:sp macro="" textlink="">
      <xdr:nvSpPr>
        <xdr:cNvPr id="27694" name="Text Box 46">
          <a:extLst>
            <a:ext uri="{FF2B5EF4-FFF2-40B4-BE49-F238E27FC236}">
              <a16:creationId xmlns:a16="http://schemas.microsoft.com/office/drawing/2014/main" id="{97CA9280-A5E6-4491-A867-6BA5C78EE781}"/>
            </a:ext>
          </a:extLst>
        </xdr:cNvPr>
        <xdr:cNvSpPr txBox="1">
          <a:spLocks noChangeArrowheads="1"/>
        </xdr:cNvSpPr>
      </xdr:nvSpPr>
      <xdr:spPr bwMode="auto">
        <a:xfrm>
          <a:off x="123825" y="83153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36"</a:t>
          </a:r>
        </a:p>
      </xdr:txBody>
    </xdr:sp>
    <xdr:clientData/>
  </xdr:oneCellAnchor>
  <xdr:oneCellAnchor>
    <xdr:from>
      <xdr:col>0</xdr:col>
      <xdr:colOff>161925</xdr:colOff>
      <xdr:row>55</xdr:row>
      <xdr:rowOff>66675</xdr:rowOff>
    </xdr:from>
    <xdr:ext cx="276225" cy="228600"/>
    <xdr:sp macro="" textlink="">
      <xdr:nvSpPr>
        <xdr:cNvPr id="27695" name="Text Box 47">
          <a:extLst>
            <a:ext uri="{FF2B5EF4-FFF2-40B4-BE49-F238E27FC236}">
              <a16:creationId xmlns:a16="http://schemas.microsoft.com/office/drawing/2014/main" id="{DDC4DBE8-4480-4710-AD2B-30CF6449C6B0}"/>
            </a:ext>
          </a:extLst>
        </xdr:cNvPr>
        <xdr:cNvSpPr txBox="1">
          <a:spLocks noChangeArrowheads="1"/>
        </xdr:cNvSpPr>
      </xdr:nvSpPr>
      <xdr:spPr bwMode="auto">
        <a:xfrm>
          <a:off x="161925" y="916305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38"</a:t>
          </a:r>
        </a:p>
      </xdr:txBody>
    </xdr:sp>
    <xdr:clientData/>
  </xdr:oneCellAnchor>
  <xdr:oneCellAnchor>
    <xdr:from>
      <xdr:col>0</xdr:col>
      <xdr:colOff>161925</xdr:colOff>
      <xdr:row>59</xdr:row>
      <xdr:rowOff>66675</xdr:rowOff>
    </xdr:from>
    <xdr:ext cx="276225" cy="228600"/>
    <xdr:sp macro="" textlink="">
      <xdr:nvSpPr>
        <xdr:cNvPr id="27696" name="Text Box 48">
          <a:extLst>
            <a:ext uri="{FF2B5EF4-FFF2-40B4-BE49-F238E27FC236}">
              <a16:creationId xmlns:a16="http://schemas.microsoft.com/office/drawing/2014/main" id="{1E93FC35-0A4F-4F17-BCD6-E781BC25ECC0}"/>
            </a:ext>
          </a:extLst>
        </xdr:cNvPr>
        <xdr:cNvSpPr txBox="1">
          <a:spLocks noChangeArrowheads="1"/>
        </xdr:cNvSpPr>
      </xdr:nvSpPr>
      <xdr:spPr bwMode="auto">
        <a:xfrm>
          <a:off x="161925" y="98298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40"</a:t>
          </a:r>
        </a:p>
      </xdr:txBody>
    </xdr:sp>
    <xdr:clientData/>
  </xdr:oneCellAnchor>
  <xdr:oneCellAnchor>
    <xdr:from>
      <xdr:col>0</xdr:col>
      <xdr:colOff>123825</xdr:colOff>
      <xdr:row>63</xdr:row>
      <xdr:rowOff>19050</xdr:rowOff>
    </xdr:from>
    <xdr:ext cx="276225" cy="228600"/>
    <xdr:sp macro="" textlink="">
      <xdr:nvSpPr>
        <xdr:cNvPr id="27697" name="Text Box 49">
          <a:extLst>
            <a:ext uri="{FF2B5EF4-FFF2-40B4-BE49-F238E27FC236}">
              <a16:creationId xmlns:a16="http://schemas.microsoft.com/office/drawing/2014/main" id="{FE601039-1EA5-456D-B342-426ABE2835A6}"/>
            </a:ext>
          </a:extLst>
        </xdr:cNvPr>
        <xdr:cNvSpPr txBox="1">
          <a:spLocks noChangeArrowheads="1"/>
        </xdr:cNvSpPr>
      </xdr:nvSpPr>
      <xdr:spPr bwMode="auto">
        <a:xfrm>
          <a:off x="123825" y="104489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42"</a:t>
          </a:r>
        </a:p>
      </xdr:txBody>
    </xdr:sp>
    <xdr:clientData/>
  </xdr:oneCellAnchor>
  <xdr:oneCellAnchor>
    <xdr:from>
      <xdr:col>0</xdr:col>
      <xdr:colOff>123825</xdr:colOff>
      <xdr:row>67</xdr:row>
      <xdr:rowOff>66675</xdr:rowOff>
    </xdr:from>
    <xdr:ext cx="276225" cy="228600"/>
    <xdr:sp macro="" textlink="">
      <xdr:nvSpPr>
        <xdr:cNvPr id="27698" name="Text Box 50">
          <a:extLst>
            <a:ext uri="{FF2B5EF4-FFF2-40B4-BE49-F238E27FC236}">
              <a16:creationId xmlns:a16="http://schemas.microsoft.com/office/drawing/2014/main" id="{36B5CD47-8A55-475F-86C8-5A5FA77EF082}"/>
            </a:ext>
          </a:extLst>
        </xdr:cNvPr>
        <xdr:cNvSpPr txBox="1">
          <a:spLocks noChangeArrowheads="1"/>
        </xdr:cNvSpPr>
      </xdr:nvSpPr>
      <xdr:spPr bwMode="auto">
        <a:xfrm>
          <a:off x="123825" y="111633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48"</a:t>
          </a:r>
        </a:p>
      </xdr:txBody>
    </xdr:sp>
    <xdr:clientData/>
  </xdr:oneCellAnchor>
  <xdr:oneCellAnchor>
    <xdr:from>
      <xdr:col>0</xdr:col>
      <xdr:colOff>123825</xdr:colOff>
      <xdr:row>71</xdr:row>
      <xdr:rowOff>47625</xdr:rowOff>
    </xdr:from>
    <xdr:ext cx="276225" cy="228600"/>
    <xdr:sp macro="" textlink="">
      <xdr:nvSpPr>
        <xdr:cNvPr id="27699" name="Text Box 51">
          <a:extLst>
            <a:ext uri="{FF2B5EF4-FFF2-40B4-BE49-F238E27FC236}">
              <a16:creationId xmlns:a16="http://schemas.microsoft.com/office/drawing/2014/main" id="{4FA5538E-6DA5-40AB-9C15-E56CD8376471}"/>
            </a:ext>
          </a:extLst>
        </xdr:cNvPr>
        <xdr:cNvSpPr txBox="1">
          <a:spLocks noChangeArrowheads="1"/>
        </xdr:cNvSpPr>
      </xdr:nvSpPr>
      <xdr:spPr bwMode="auto">
        <a:xfrm>
          <a:off x="123825" y="118110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54"</a:t>
          </a:r>
        </a:p>
      </xdr:txBody>
    </xdr:sp>
    <xdr:clientData/>
  </xdr:oneCellAnchor>
  <xdr:oneCellAnchor>
    <xdr:from>
      <xdr:col>0</xdr:col>
      <xdr:colOff>123825</xdr:colOff>
      <xdr:row>75</xdr:row>
      <xdr:rowOff>66675</xdr:rowOff>
    </xdr:from>
    <xdr:ext cx="276225" cy="228600"/>
    <xdr:sp macro="" textlink="">
      <xdr:nvSpPr>
        <xdr:cNvPr id="27700" name="Text Box 52">
          <a:extLst>
            <a:ext uri="{FF2B5EF4-FFF2-40B4-BE49-F238E27FC236}">
              <a16:creationId xmlns:a16="http://schemas.microsoft.com/office/drawing/2014/main" id="{1CEF3924-BBCF-4D6C-82E4-9E6B2087EB01}"/>
            </a:ext>
          </a:extLst>
        </xdr:cNvPr>
        <xdr:cNvSpPr txBox="1">
          <a:spLocks noChangeArrowheads="1"/>
        </xdr:cNvSpPr>
      </xdr:nvSpPr>
      <xdr:spPr bwMode="auto">
        <a:xfrm>
          <a:off x="123825" y="124968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60"</a:t>
          </a:r>
        </a:p>
      </xdr:txBody>
    </xdr:sp>
    <xdr:clientData/>
  </xdr:oneCellAnchor>
  <xdr:oneCellAnchor>
    <xdr:from>
      <xdr:col>0</xdr:col>
      <xdr:colOff>161925</xdr:colOff>
      <xdr:row>80</xdr:row>
      <xdr:rowOff>66675</xdr:rowOff>
    </xdr:from>
    <xdr:ext cx="276225" cy="228600"/>
    <xdr:sp macro="" textlink="">
      <xdr:nvSpPr>
        <xdr:cNvPr id="27701" name="Text Box 53">
          <a:extLst>
            <a:ext uri="{FF2B5EF4-FFF2-40B4-BE49-F238E27FC236}">
              <a16:creationId xmlns:a16="http://schemas.microsoft.com/office/drawing/2014/main" id="{E9CC7F3F-D8AC-4CE9-BBD0-7CCF8D42ECBD}"/>
            </a:ext>
          </a:extLst>
        </xdr:cNvPr>
        <xdr:cNvSpPr txBox="1">
          <a:spLocks noChangeArrowheads="1"/>
        </xdr:cNvSpPr>
      </xdr:nvSpPr>
      <xdr:spPr bwMode="auto">
        <a:xfrm>
          <a:off x="161925" y="1334452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66"</a:t>
          </a:r>
        </a:p>
      </xdr:txBody>
    </xdr:sp>
    <xdr:clientData/>
  </xdr:oneCellAnchor>
  <xdr:oneCellAnchor>
    <xdr:from>
      <xdr:col>0</xdr:col>
      <xdr:colOff>161925</xdr:colOff>
      <xdr:row>84</xdr:row>
      <xdr:rowOff>66675</xdr:rowOff>
    </xdr:from>
    <xdr:ext cx="276225" cy="228600"/>
    <xdr:sp macro="" textlink="">
      <xdr:nvSpPr>
        <xdr:cNvPr id="27702" name="Text Box 54">
          <a:extLst>
            <a:ext uri="{FF2B5EF4-FFF2-40B4-BE49-F238E27FC236}">
              <a16:creationId xmlns:a16="http://schemas.microsoft.com/office/drawing/2014/main" id="{FFAF923A-16A9-4E1E-982B-9C94B04EE395}"/>
            </a:ext>
          </a:extLst>
        </xdr:cNvPr>
        <xdr:cNvSpPr txBox="1">
          <a:spLocks noChangeArrowheads="1"/>
        </xdr:cNvSpPr>
      </xdr:nvSpPr>
      <xdr:spPr bwMode="auto">
        <a:xfrm>
          <a:off x="161925" y="140112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72"</a:t>
          </a:r>
        </a:p>
      </xdr:txBody>
    </xdr:sp>
    <xdr:clientData/>
  </xdr:oneCellAnchor>
  <xdr:oneCellAnchor>
    <xdr:from>
      <xdr:col>0</xdr:col>
      <xdr:colOff>123825</xdr:colOff>
      <xdr:row>88</xdr:row>
      <xdr:rowOff>19050</xdr:rowOff>
    </xdr:from>
    <xdr:ext cx="276225" cy="228600"/>
    <xdr:sp macro="" textlink="">
      <xdr:nvSpPr>
        <xdr:cNvPr id="27703" name="Text Box 55">
          <a:extLst>
            <a:ext uri="{FF2B5EF4-FFF2-40B4-BE49-F238E27FC236}">
              <a16:creationId xmlns:a16="http://schemas.microsoft.com/office/drawing/2014/main" id="{6D297327-1C5F-42D6-A0A3-A49305C5CEC5}"/>
            </a:ext>
          </a:extLst>
        </xdr:cNvPr>
        <xdr:cNvSpPr txBox="1">
          <a:spLocks noChangeArrowheads="1"/>
        </xdr:cNvSpPr>
      </xdr:nvSpPr>
      <xdr:spPr bwMode="auto">
        <a:xfrm>
          <a:off x="123825" y="14630400"/>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78"</a:t>
          </a:r>
        </a:p>
      </xdr:txBody>
    </xdr:sp>
    <xdr:clientData/>
  </xdr:oneCellAnchor>
  <xdr:oneCellAnchor>
    <xdr:from>
      <xdr:col>0</xdr:col>
      <xdr:colOff>123825</xdr:colOff>
      <xdr:row>92</xdr:row>
      <xdr:rowOff>66675</xdr:rowOff>
    </xdr:from>
    <xdr:ext cx="276225" cy="228600"/>
    <xdr:sp macro="" textlink="">
      <xdr:nvSpPr>
        <xdr:cNvPr id="27704" name="Text Box 56">
          <a:extLst>
            <a:ext uri="{FF2B5EF4-FFF2-40B4-BE49-F238E27FC236}">
              <a16:creationId xmlns:a16="http://schemas.microsoft.com/office/drawing/2014/main" id="{E89DBE7F-DA4D-4A02-9C65-970949D305B7}"/>
            </a:ext>
          </a:extLst>
        </xdr:cNvPr>
        <xdr:cNvSpPr txBox="1">
          <a:spLocks noChangeArrowheads="1"/>
        </xdr:cNvSpPr>
      </xdr:nvSpPr>
      <xdr:spPr bwMode="auto">
        <a:xfrm>
          <a:off x="123825" y="153447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84"</a:t>
          </a:r>
        </a:p>
      </xdr:txBody>
    </xdr:sp>
    <xdr:clientData/>
  </xdr:oneCellAnchor>
  <xdr:oneCellAnchor>
    <xdr:from>
      <xdr:col>0</xdr:col>
      <xdr:colOff>123825</xdr:colOff>
      <xdr:row>96</xdr:row>
      <xdr:rowOff>47625</xdr:rowOff>
    </xdr:from>
    <xdr:ext cx="276225" cy="228600"/>
    <xdr:sp macro="" textlink="">
      <xdr:nvSpPr>
        <xdr:cNvPr id="27705" name="Text Box 57">
          <a:extLst>
            <a:ext uri="{FF2B5EF4-FFF2-40B4-BE49-F238E27FC236}">
              <a16:creationId xmlns:a16="http://schemas.microsoft.com/office/drawing/2014/main" id="{E562AD40-E3A5-49BE-964F-5C0BA6F648CD}"/>
            </a:ext>
          </a:extLst>
        </xdr:cNvPr>
        <xdr:cNvSpPr txBox="1">
          <a:spLocks noChangeArrowheads="1"/>
        </xdr:cNvSpPr>
      </xdr:nvSpPr>
      <xdr:spPr bwMode="auto">
        <a:xfrm>
          <a:off x="123825" y="159924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90"</a:t>
          </a:r>
        </a:p>
      </xdr:txBody>
    </xdr:sp>
    <xdr:clientData/>
  </xdr:oneCellAnchor>
  <xdr:oneCellAnchor>
    <xdr:from>
      <xdr:col>0</xdr:col>
      <xdr:colOff>123825</xdr:colOff>
      <xdr:row>100</xdr:row>
      <xdr:rowOff>66675</xdr:rowOff>
    </xdr:from>
    <xdr:ext cx="276225" cy="228600"/>
    <xdr:sp macro="" textlink="">
      <xdr:nvSpPr>
        <xdr:cNvPr id="27706" name="Text Box 58">
          <a:extLst>
            <a:ext uri="{FF2B5EF4-FFF2-40B4-BE49-F238E27FC236}">
              <a16:creationId xmlns:a16="http://schemas.microsoft.com/office/drawing/2014/main" id="{609AA18D-D0FF-427F-B177-15119E744815}"/>
            </a:ext>
          </a:extLst>
        </xdr:cNvPr>
        <xdr:cNvSpPr txBox="1">
          <a:spLocks noChangeArrowheads="1"/>
        </xdr:cNvSpPr>
      </xdr:nvSpPr>
      <xdr:spPr bwMode="auto">
        <a:xfrm>
          <a:off x="123825" y="16678275"/>
          <a:ext cx="3429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96"</a:t>
          </a:r>
        </a:p>
      </xdr:txBody>
    </xdr:sp>
    <xdr:clientData/>
  </xdr:oneCellAnchor>
  <xdr:oneCellAnchor>
    <xdr:from>
      <xdr:col>0</xdr:col>
      <xdr:colOff>76200</xdr:colOff>
      <xdr:row>105</xdr:row>
      <xdr:rowOff>66675</xdr:rowOff>
    </xdr:from>
    <xdr:ext cx="361950" cy="228600"/>
    <xdr:sp macro="" textlink="">
      <xdr:nvSpPr>
        <xdr:cNvPr id="27707" name="Text Box 59">
          <a:extLst>
            <a:ext uri="{FF2B5EF4-FFF2-40B4-BE49-F238E27FC236}">
              <a16:creationId xmlns:a16="http://schemas.microsoft.com/office/drawing/2014/main" id="{A9CA9C4A-9ABD-41DB-9A2C-2E4DE4448C6B}"/>
            </a:ext>
          </a:extLst>
        </xdr:cNvPr>
        <xdr:cNvSpPr txBox="1">
          <a:spLocks noChangeArrowheads="1"/>
        </xdr:cNvSpPr>
      </xdr:nvSpPr>
      <xdr:spPr bwMode="auto">
        <a:xfrm>
          <a:off x="76200" y="1752600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102"</a:t>
          </a:r>
        </a:p>
      </xdr:txBody>
    </xdr:sp>
    <xdr:clientData/>
  </xdr:oneCellAnchor>
  <xdr:oneCellAnchor>
    <xdr:from>
      <xdr:col>0</xdr:col>
      <xdr:colOff>114300</xdr:colOff>
      <xdr:row>109</xdr:row>
      <xdr:rowOff>66675</xdr:rowOff>
    </xdr:from>
    <xdr:ext cx="361950" cy="228600"/>
    <xdr:sp macro="" textlink="">
      <xdr:nvSpPr>
        <xdr:cNvPr id="27708" name="Text Box 60">
          <a:extLst>
            <a:ext uri="{FF2B5EF4-FFF2-40B4-BE49-F238E27FC236}">
              <a16:creationId xmlns:a16="http://schemas.microsoft.com/office/drawing/2014/main" id="{C6309B45-8EFB-4D02-9DE4-5DD23A77A1B0}"/>
            </a:ext>
          </a:extLst>
        </xdr:cNvPr>
        <xdr:cNvSpPr txBox="1">
          <a:spLocks noChangeArrowheads="1"/>
        </xdr:cNvSpPr>
      </xdr:nvSpPr>
      <xdr:spPr bwMode="auto">
        <a:xfrm>
          <a:off x="114300" y="181927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108"</a:t>
          </a:r>
        </a:p>
      </xdr:txBody>
    </xdr:sp>
    <xdr:clientData/>
  </xdr:oneCellAnchor>
  <xdr:oneCellAnchor>
    <xdr:from>
      <xdr:col>0</xdr:col>
      <xdr:colOff>95250</xdr:colOff>
      <xdr:row>113</xdr:row>
      <xdr:rowOff>19050</xdr:rowOff>
    </xdr:from>
    <xdr:ext cx="361950" cy="228600"/>
    <xdr:sp macro="" textlink="">
      <xdr:nvSpPr>
        <xdr:cNvPr id="27709" name="Text Box 61">
          <a:extLst>
            <a:ext uri="{FF2B5EF4-FFF2-40B4-BE49-F238E27FC236}">
              <a16:creationId xmlns:a16="http://schemas.microsoft.com/office/drawing/2014/main" id="{200B2D3E-CE6A-4576-999E-AB2B1EDE2372}"/>
            </a:ext>
          </a:extLst>
        </xdr:cNvPr>
        <xdr:cNvSpPr txBox="1">
          <a:spLocks noChangeArrowheads="1"/>
        </xdr:cNvSpPr>
      </xdr:nvSpPr>
      <xdr:spPr bwMode="auto">
        <a:xfrm>
          <a:off x="95250" y="1881187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114"</a:t>
          </a:r>
        </a:p>
      </xdr:txBody>
    </xdr:sp>
    <xdr:clientData/>
  </xdr:oneCellAnchor>
  <xdr:oneCellAnchor>
    <xdr:from>
      <xdr:col>0</xdr:col>
      <xdr:colOff>114300</xdr:colOff>
      <xdr:row>117</xdr:row>
      <xdr:rowOff>76200</xdr:rowOff>
    </xdr:from>
    <xdr:ext cx="361950" cy="228600"/>
    <xdr:sp macro="" textlink="">
      <xdr:nvSpPr>
        <xdr:cNvPr id="27710" name="Text Box 62">
          <a:extLst>
            <a:ext uri="{FF2B5EF4-FFF2-40B4-BE49-F238E27FC236}">
              <a16:creationId xmlns:a16="http://schemas.microsoft.com/office/drawing/2014/main" id="{90B632BA-63A0-46B4-866F-190829DC47C6}"/>
            </a:ext>
          </a:extLst>
        </xdr:cNvPr>
        <xdr:cNvSpPr txBox="1">
          <a:spLocks noChangeArrowheads="1"/>
        </xdr:cNvSpPr>
      </xdr:nvSpPr>
      <xdr:spPr bwMode="auto">
        <a:xfrm>
          <a:off x="114300" y="1953577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120"</a:t>
          </a:r>
        </a:p>
      </xdr:txBody>
    </xdr:sp>
    <xdr:clientData/>
  </xdr:oneCellAnchor>
  <xdr:oneCellAnchor>
    <xdr:from>
      <xdr:col>0</xdr:col>
      <xdr:colOff>123825</xdr:colOff>
      <xdr:row>121</xdr:row>
      <xdr:rowOff>47625</xdr:rowOff>
    </xdr:from>
    <xdr:ext cx="361950" cy="228600"/>
    <xdr:sp macro="" textlink="">
      <xdr:nvSpPr>
        <xdr:cNvPr id="27711" name="Text Box 63">
          <a:extLst>
            <a:ext uri="{FF2B5EF4-FFF2-40B4-BE49-F238E27FC236}">
              <a16:creationId xmlns:a16="http://schemas.microsoft.com/office/drawing/2014/main" id="{A1FE3B3E-FE10-4657-830E-BDA4C3047FE3}"/>
            </a:ext>
          </a:extLst>
        </xdr:cNvPr>
        <xdr:cNvSpPr txBox="1">
          <a:spLocks noChangeArrowheads="1"/>
        </xdr:cNvSpPr>
      </xdr:nvSpPr>
      <xdr:spPr bwMode="auto">
        <a:xfrm>
          <a:off x="123825" y="201739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126"</a:t>
          </a:r>
        </a:p>
      </xdr:txBody>
    </xdr:sp>
    <xdr:clientData/>
  </xdr:oneCellAnchor>
  <xdr:oneCellAnchor>
    <xdr:from>
      <xdr:col>0</xdr:col>
      <xdr:colOff>123825</xdr:colOff>
      <xdr:row>125</xdr:row>
      <xdr:rowOff>66675</xdr:rowOff>
    </xdr:from>
    <xdr:ext cx="361950" cy="228600"/>
    <xdr:sp macro="" textlink="">
      <xdr:nvSpPr>
        <xdr:cNvPr id="27712" name="Text Box 64">
          <a:extLst>
            <a:ext uri="{FF2B5EF4-FFF2-40B4-BE49-F238E27FC236}">
              <a16:creationId xmlns:a16="http://schemas.microsoft.com/office/drawing/2014/main" id="{506DB10A-C103-4684-A03A-AB8FCFE4AD47}"/>
            </a:ext>
          </a:extLst>
        </xdr:cNvPr>
        <xdr:cNvSpPr txBox="1">
          <a:spLocks noChangeArrowheads="1"/>
        </xdr:cNvSpPr>
      </xdr:nvSpPr>
      <xdr:spPr bwMode="auto">
        <a:xfrm>
          <a:off x="123825" y="208597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132"</a:t>
          </a:r>
        </a:p>
      </xdr:txBody>
    </xdr:sp>
    <xdr:clientData/>
  </xdr:oneCellAnchor>
  <xdr:oneCellAnchor>
    <xdr:from>
      <xdr:col>0</xdr:col>
      <xdr:colOff>76200</xdr:colOff>
      <xdr:row>130</xdr:row>
      <xdr:rowOff>66675</xdr:rowOff>
    </xdr:from>
    <xdr:ext cx="361950" cy="228600"/>
    <xdr:sp macro="" textlink="">
      <xdr:nvSpPr>
        <xdr:cNvPr id="27713" name="Text Box 65">
          <a:extLst>
            <a:ext uri="{FF2B5EF4-FFF2-40B4-BE49-F238E27FC236}">
              <a16:creationId xmlns:a16="http://schemas.microsoft.com/office/drawing/2014/main" id="{E174C40B-4BB5-434B-BD17-FA0A95D09016}"/>
            </a:ext>
          </a:extLst>
        </xdr:cNvPr>
        <xdr:cNvSpPr txBox="1">
          <a:spLocks noChangeArrowheads="1"/>
        </xdr:cNvSpPr>
      </xdr:nvSpPr>
      <xdr:spPr bwMode="auto">
        <a:xfrm>
          <a:off x="76200" y="2170747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138"</a:t>
          </a:r>
        </a:p>
      </xdr:txBody>
    </xdr:sp>
    <xdr:clientData/>
  </xdr:oneCellAnchor>
  <xdr:oneCellAnchor>
    <xdr:from>
      <xdr:col>0</xdr:col>
      <xdr:colOff>114300</xdr:colOff>
      <xdr:row>134</xdr:row>
      <xdr:rowOff>66675</xdr:rowOff>
    </xdr:from>
    <xdr:ext cx="361950" cy="228600"/>
    <xdr:sp macro="" textlink="">
      <xdr:nvSpPr>
        <xdr:cNvPr id="27714" name="Text Box 66">
          <a:extLst>
            <a:ext uri="{FF2B5EF4-FFF2-40B4-BE49-F238E27FC236}">
              <a16:creationId xmlns:a16="http://schemas.microsoft.com/office/drawing/2014/main" id="{58223FF1-DCDD-4AAB-89E5-74810BBBF3C8}"/>
            </a:ext>
          </a:extLst>
        </xdr:cNvPr>
        <xdr:cNvSpPr txBox="1">
          <a:spLocks noChangeArrowheads="1"/>
        </xdr:cNvSpPr>
      </xdr:nvSpPr>
      <xdr:spPr bwMode="auto">
        <a:xfrm>
          <a:off x="114300" y="2237422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144"</a:t>
          </a:r>
        </a:p>
      </xdr:txBody>
    </xdr:sp>
    <xdr:clientData/>
  </xdr:oneCellAnchor>
  <xdr:oneCellAnchor>
    <xdr:from>
      <xdr:col>0</xdr:col>
      <xdr:colOff>95250</xdr:colOff>
      <xdr:row>138</xdr:row>
      <xdr:rowOff>19050</xdr:rowOff>
    </xdr:from>
    <xdr:ext cx="361950" cy="228600"/>
    <xdr:sp macro="" textlink="">
      <xdr:nvSpPr>
        <xdr:cNvPr id="27715" name="Text Box 67">
          <a:extLst>
            <a:ext uri="{FF2B5EF4-FFF2-40B4-BE49-F238E27FC236}">
              <a16:creationId xmlns:a16="http://schemas.microsoft.com/office/drawing/2014/main" id="{A042A8AF-00AB-4C87-8A3D-F8672EF1A3BB}"/>
            </a:ext>
          </a:extLst>
        </xdr:cNvPr>
        <xdr:cNvSpPr txBox="1">
          <a:spLocks noChangeArrowheads="1"/>
        </xdr:cNvSpPr>
      </xdr:nvSpPr>
      <xdr:spPr bwMode="auto">
        <a:xfrm>
          <a:off x="95250" y="229933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156"</a:t>
          </a:r>
        </a:p>
      </xdr:txBody>
    </xdr:sp>
    <xdr:clientData/>
  </xdr:oneCellAnchor>
  <xdr:oneCellAnchor>
    <xdr:from>
      <xdr:col>0</xdr:col>
      <xdr:colOff>114300</xdr:colOff>
      <xdr:row>142</xdr:row>
      <xdr:rowOff>76200</xdr:rowOff>
    </xdr:from>
    <xdr:ext cx="361950" cy="228600"/>
    <xdr:sp macro="" textlink="">
      <xdr:nvSpPr>
        <xdr:cNvPr id="27716" name="Text Box 68">
          <a:extLst>
            <a:ext uri="{FF2B5EF4-FFF2-40B4-BE49-F238E27FC236}">
              <a16:creationId xmlns:a16="http://schemas.microsoft.com/office/drawing/2014/main" id="{BDB6639C-A825-4C2C-AC25-F5ED693CDD7F}"/>
            </a:ext>
          </a:extLst>
        </xdr:cNvPr>
        <xdr:cNvSpPr txBox="1">
          <a:spLocks noChangeArrowheads="1"/>
        </xdr:cNvSpPr>
      </xdr:nvSpPr>
      <xdr:spPr bwMode="auto">
        <a:xfrm>
          <a:off x="114300" y="237172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168"</a:t>
          </a:r>
        </a:p>
      </xdr:txBody>
    </xdr:sp>
    <xdr:clientData/>
  </xdr:oneCellAnchor>
  <xdr:oneCellAnchor>
    <xdr:from>
      <xdr:col>0</xdr:col>
      <xdr:colOff>123825</xdr:colOff>
      <xdr:row>146</xdr:row>
      <xdr:rowOff>47625</xdr:rowOff>
    </xdr:from>
    <xdr:ext cx="361950" cy="228600"/>
    <xdr:sp macro="" textlink="">
      <xdr:nvSpPr>
        <xdr:cNvPr id="27717" name="Text Box 69">
          <a:extLst>
            <a:ext uri="{FF2B5EF4-FFF2-40B4-BE49-F238E27FC236}">
              <a16:creationId xmlns:a16="http://schemas.microsoft.com/office/drawing/2014/main" id="{4DA13E0C-F71C-4F18-8E00-252C22B30F40}"/>
            </a:ext>
          </a:extLst>
        </xdr:cNvPr>
        <xdr:cNvSpPr txBox="1">
          <a:spLocks noChangeArrowheads="1"/>
        </xdr:cNvSpPr>
      </xdr:nvSpPr>
      <xdr:spPr bwMode="auto">
        <a:xfrm>
          <a:off x="123825" y="2435542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180"</a:t>
          </a:r>
        </a:p>
      </xdr:txBody>
    </xdr:sp>
    <xdr:clientData/>
  </xdr:oneCellAnchor>
  <xdr:oneCellAnchor>
    <xdr:from>
      <xdr:col>0</xdr:col>
      <xdr:colOff>123825</xdr:colOff>
      <xdr:row>150</xdr:row>
      <xdr:rowOff>66675</xdr:rowOff>
    </xdr:from>
    <xdr:ext cx="361950" cy="228600"/>
    <xdr:sp macro="" textlink="">
      <xdr:nvSpPr>
        <xdr:cNvPr id="27718" name="Text Box 70">
          <a:extLst>
            <a:ext uri="{FF2B5EF4-FFF2-40B4-BE49-F238E27FC236}">
              <a16:creationId xmlns:a16="http://schemas.microsoft.com/office/drawing/2014/main" id="{30698FE6-4426-4116-B886-21C604977F82}"/>
            </a:ext>
          </a:extLst>
        </xdr:cNvPr>
        <xdr:cNvSpPr txBox="1">
          <a:spLocks noChangeArrowheads="1"/>
        </xdr:cNvSpPr>
      </xdr:nvSpPr>
      <xdr:spPr bwMode="auto">
        <a:xfrm>
          <a:off x="123825" y="2504122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192"</a:t>
          </a:r>
        </a:p>
      </xdr:txBody>
    </xdr:sp>
    <xdr:clientData/>
  </xdr:oneCellAnchor>
  <xdr:oneCellAnchor>
    <xdr:from>
      <xdr:col>0</xdr:col>
      <xdr:colOff>76200</xdr:colOff>
      <xdr:row>155</xdr:row>
      <xdr:rowOff>66675</xdr:rowOff>
    </xdr:from>
    <xdr:ext cx="361950" cy="228600"/>
    <xdr:sp macro="" textlink="">
      <xdr:nvSpPr>
        <xdr:cNvPr id="27719" name="Text Box 71">
          <a:extLst>
            <a:ext uri="{FF2B5EF4-FFF2-40B4-BE49-F238E27FC236}">
              <a16:creationId xmlns:a16="http://schemas.microsoft.com/office/drawing/2014/main" id="{F0541618-4725-4BE7-97E9-00CB14FFD3FC}"/>
            </a:ext>
          </a:extLst>
        </xdr:cNvPr>
        <xdr:cNvSpPr txBox="1">
          <a:spLocks noChangeArrowheads="1"/>
        </xdr:cNvSpPr>
      </xdr:nvSpPr>
      <xdr:spPr bwMode="auto">
        <a:xfrm>
          <a:off x="76200" y="2588895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204"</a:t>
          </a:r>
        </a:p>
      </xdr:txBody>
    </xdr:sp>
    <xdr:clientData/>
  </xdr:oneCellAnchor>
  <xdr:oneCellAnchor>
    <xdr:from>
      <xdr:col>0</xdr:col>
      <xdr:colOff>114300</xdr:colOff>
      <xdr:row>159</xdr:row>
      <xdr:rowOff>66675</xdr:rowOff>
    </xdr:from>
    <xdr:ext cx="361950" cy="228600"/>
    <xdr:sp macro="" textlink="">
      <xdr:nvSpPr>
        <xdr:cNvPr id="27720" name="Text Box 72">
          <a:extLst>
            <a:ext uri="{FF2B5EF4-FFF2-40B4-BE49-F238E27FC236}">
              <a16:creationId xmlns:a16="http://schemas.microsoft.com/office/drawing/2014/main" id="{D76B47BA-96F1-4328-B594-67B361C3973F}"/>
            </a:ext>
          </a:extLst>
        </xdr:cNvPr>
        <xdr:cNvSpPr txBox="1">
          <a:spLocks noChangeArrowheads="1"/>
        </xdr:cNvSpPr>
      </xdr:nvSpPr>
      <xdr:spPr bwMode="auto">
        <a:xfrm>
          <a:off x="114300" y="26555700"/>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216"</a:t>
          </a:r>
        </a:p>
      </xdr:txBody>
    </xdr:sp>
    <xdr:clientData/>
  </xdr:oneCellAnchor>
  <xdr:oneCellAnchor>
    <xdr:from>
      <xdr:col>0</xdr:col>
      <xdr:colOff>95250</xdr:colOff>
      <xdr:row>163</xdr:row>
      <xdr:rowOff>19050</xdr:rowOff>
    </xdr:from>
    <xdr:ext cx="361950" cy="228600"/>
    <xdr:sp macro="" textlink="">
      <xdr:nvSpPr>
        <xdr:cNvPr id="27721" name="Text Box 73">
          <a:extLst>
            <a:ext uri="{FF2B5EF4-FFF2-40B4-BE49-F238E27FC236}">
              <a16:creationId xmlns:a16="http://schemas.microsoft.com/office/drawing/2014/main" id="{339BB55F-AE25-4F66-888A-9CEFB047FE2F}"/>
            </a:ext>
          </a:extLst>
        </xdr:cNvPr>
        <xdr:cNvSpPr txBox="1">
          <a:spLocks noChangeArrowheads="1"/>
        </xdr:cNvSpPr>
      </xdr:nvSpPr>
      <xdr:spPr bwMode="auto">
        <a:xfrm>
          <a:off x="95250" y="2717482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228"</a:t>
          </a:r>
        </a:p>
      </xdr:txBody>
    </xdr:sp>
    <xdr:clientData/>
  </xdr:oneCellAnchor>
  <xdr:oneCellAnchor>
    <xdr:from>
      <xdr:col>0</xdr:col>
      <xdr:colOff>114300</xdr:colOff>
      <xdr:row>167</xdr:row>
      <xdr:rowOff>76200</xdr:rowOff>
    </xdr:from>
    <xdr:ext cx="361950" cy="228600"/>
    <xdr:sp macro="" textlink="">
      <xdr:nvSpPr>
        <xdr:cNvPr id="27722" name="Text Box 74">
          <a:extLst>
            <a:ext uri="{FF2B5EF4-FFF2-40B4-BE49-F238E27FC236}">
              <a16:creationId xmlns:a16="http://schemas.microsoft.com/office/drawing/2014/main" id="{6E079E40-0B69-4107-9E6A-CDC49E577604}"/>
            </a:ext>
          </a:extLst>
        </xdr:cNvPr>
        <xdr:cNvSpPr txBox="1">
          <a:spLocks noChangeArrowheads="1"/>
        </xdr:cNvSpPr>
      </xdr:nvSpPr>
      <xdr:spPr bwMode="auto">
        <a:xfrm>
          <a:off x="114300" y="27898725"/>
          <a:ext cx="42862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IN" sz="1200" b="1" i="0" u="none" strike="noStrike" baseline="0">
              <a:solidFill>
                <a:srgbClr val="0000FF"/>
              </a:solidFill>
              <a:latin typeface="Arial"/>
              <a:cs typeface="Arial"/>
            </a:rPr>
            <a:t>240"</a:t>
          </a: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1</xdr:col>
      <xdr:colOff>552450</xdr:colOff>
      <xdr:row>1</xdr:row>
      <xdr:rowOff>0</xdr:rowOff>
    </xdr:from>
    <xdr:to>
      <xdr:col>6</xdr:col>
      <xdr:colOff>200025</xdr:colOff>
      <xdr:row>6</xdr:row>
      <xdr:rowOff>142875</xdr:rowOff>
    </xdr:to>
    <xdr:grpSp>
      <xdr:nvGrpSpPr>
        <xdr:cNvPr id="11349" name="Group 1"/>
        <xdr:cNvGrpSpPr>
          <a:grpSpLocks/>
        </xdr:cNvGrpSpPr>
      </xdr:nvGrpSpPr>
      <xdr:grpSpPr bwMode="auto">
        <a:xfrm>
          <a:off x="1162050" y="171450"/>
          <a:ext cx="2695575" cy="952500"/>
          <a:chOff x="16" y="34"/>
          <a:chExt cx="283" cy="100"/>
        </a:xfrm>
      </xdr:grpSpPr>
      <xdr:grpSp>
        <xdr:nvGrpSpPr>
          <xdr:cNvPr id="11352" name="Group 2"/>
          <xdr:cNvGrpSpPr>
            <a:grpSpLocks/>
          </xdr:cNvGrpSpPr>
        </xdr:nvGrpSpPr>
        <xdr:grpSpPr bwMode="auto">
          <a:xfrm>
            <a:off x="16" y="34"/>
            <a:ext cx="27" cy="100"/>
            <a:chOff x="613" y="35"/>
            <a:chExt cx="27" cy="100"/>
          </a:xfrm>
        </xdr:grpSpPr>
        <xdr:sp macro="" textlink="">
          <xdr:nvSpPr>
            <xdr:cNvPr id="11359" name="Arc 3"/>
            <xdr:cNvSpPr>
              <a:spLocks/>
            </xdr:cNvSpPr>
          </xdr:nvSpPr>
          <xdr:spPr bwMode="auto">
            <a:xfrm flipH="1">
              <a:off x="613" y="35"/>
              <a:ext cx="27" cy="5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1360" name="Arc 4"/>
            <xdr:cNvSpPr>
              <a:spLocks/>
            </xdr:cNvSpPr>
          </xdr:nvSpPr>
          <xdr:spPr bwMode="auto">
            <a:xfrm flipH="1" flipV="1">
              <a:off x="613" y="85"/>
              <a:ext cx="27" cy="5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grpSp>
        <xdr:nvGrpSpPr>
          <xdr:cNvPr id="11353" name="Group 5"/>
          <xdr:cNvGrpSpPr>
            <a:grpSpLocks/>
          </xdr:cNvGrpSpPr>
        </xdr:nvGrpSpPr>
        <xdr:grpSpPr bwMode="auto">
          <a:xfrm flipH="1" flipV="1">
            <a:off x="272" y="34"/>
            <a:ext cx="27" cy="100"/>
            <a:chOff x="613" y="35"/>
            <a:chExt cx="27" cy="100"/>
          </a:xfrm>
        </xdr:grpSpPr>
        <xdr:sp macro="" textlink="">
          <xdr:nvSpPr>
            <xdr:cNvPr id="11357" name="Arc 6"/>
            <xdr:cNvSpPr>
              <a:spLocks/>
            </xdr:cNvSpPr>
          </xdr:nvSpPr>
          <xdr:spPr bwMode="auto">
            <a:xfrm flipH="1">
              <a:off x="613" y="35"/>
              <a:ext cx="27" cy="5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1358" name="Arc 7"/>
            <xdr:cNvSpPr>
              <a:spLocks/>
            </xdr:cNvSpPr>
          </xdr:nvSpPr>
          <xdr:spPr bwMode="auto">
            <a:xfrm flipH="1" flipV="1">
              <a:off x="613" y="85"/>
              <a:ext cx="27" cy="5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sp macro="" textlink="">
        <xdr:nvSpPr>
          <xdr:cNvPr id="11354" name="Rectangle 8"/>
          <xdr:cNvSpPr>
            <a:spLocks noChangeArrowheads="1"/>
          </xdr:cNvSpPr>
        </xdr:nvSpPr>
        <xdr:spPr bwMode="auto">
          <a:xfrm>
            <a:off x="64" y="34"/>
            <a:ext cx="192" cy="1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1355" name="Line 9"/>
          <xdr:cNvSpPr>
            <a:spLocks noChangeShapeType="1"/>
          </xdr:cNvSpPr>
        </xdr:nvSpPr>
        <xdr:spPr bwMode="auto">
          <a:xfrm>
            <a:off x="43" y="34"/>
            <a:ext cx="0" cy="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56" name="Line 10"/>
          <xdr:cNvSpPr>
            <a:spLocks noChangeShapeType="1"/>
          </xdr:cNvSpPr>
        </xdr:nvSpPr>
        <xdr:spPr bwMode="auto">
          <a:xfrm>
            <a:off x="272" y="34"/>
            <a:ext cx="0" cy="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0</xdr:col>
      <xdr:colOff>47625</xdr:colOff>
      <xdr:row>8</xdr:row>
      <xdr:rowOff>0</xdr:rowOff>
    </xdr:from>
    <xdr:to>
      <xdr:col>8</xdr:col>
      <xdr:colOff>419100</xdr:colOff>
      <xdr:row>13</xdr:row>
      <xdr:rowOff>38100</xdr:rowOff>
    </xdr:to>
    <xdr:sp macro="" textlink="">
      <xdr:nvSpPr>
        <xdr:cNvPr id="11275" name="Text Box 11">
          <a:extLst>
            <a:ext uri="{FF2B5EF4-FFF2-40B4-BE49-F238E27FC236}">
              <a16:creationId xmlns:a16="http://schemas.microsoft.com/office/drawing/2014/main" id="{37E142DD-EE25-46C8-B392-61C965ED44AE}"/>
            </a:ext>
          </a:extLst>
        </xdr:cNvPr>
        <xdr:cNvSpPr txBox="1">
          <a:spLocks noChangeArrowheads="1"/>
        </xdr:cNvSpPr>
      </xdr:nvSpPr>
      <xdr:spPr bwMode="auto">
        <a:xfrm>
          <a:off x="47625" y="1304925"/>
          <a:ext cx="5248275" cy="8477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Cylindrical Volumes of Vessels --- expressed as Gallons of Liquid Content per inch length of Cylinder.  </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Source: Chemical Engineers' Handbook; Perry &amp; Chilton; 5th Edition; p. 6-86</a:t>
          </a:r>
        </a:p>
      </xdr:txBody>
    </xdr:sp>
    <xdr:clientData/>
  </xdr:twoCellAnchor>
  <xdr:twoCellAnchor>
    <xdr:from>
      <xdr:col>11</xdr:col>
      <xdr:colOff>28575</xdr:colOff>
      <xdr:row>0</xdr:row>
      <xdr:rowOff>0</xdr:rowOff>
    </xdr:from>
    <xdr:to>
      <xdr:col>21</xdr:col>
      <xdr:colOff>600075</xdr:colOff>
      <xdr:row>19</xdr:row>
      <xdr:rowOff>0</xdr:rowOff>
    </xdr:to>
    <xdr:sp macro="" textlink="">
      <xdr:nvSpPr>
        <xdr:cNvPr id="11276" name="Rectangle 12">
          <a:extLst>
            <a:ext uri="{FF2B5EF4-FFF2-40B4-BE49-F238E27FC236}">
              <a16:creationId xmlns:a16="http://schemas.microsoft.com/office/drawing/2014/main" id="{2AAD9E4A-7367-40EF-908F-B1C52F6BC9D3}"/>
            </a:ext>
          </a:extLst>
        </xdr:cNvPr>
        <xdr:cNvSpPr>
          <a:spLocks noChangeArrowheads="1"/>
        </xdr:cNvSpPr>
      </xdr:nvSpPr>
      <xdr:spPr bwMode="auto">
        <a:xfrm>
          <a:off x="6734175" y="0"/>
          <a:ext cx="6667500" cy="30861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Oct 31, 1999</a:t>
          </a:r>
        </a:p>
        <a:p>
          <a:pPr algn="l" rtl="0">
            <a:defRPr sz="1000"/>
          </a:pPr>
          <a:r>
            <a:rPr lang="en-IN" sz="1000" b="0" i="0" u="none" strike="noStrike" baseline="0">
              <a:solidFill>
                <a:srgbClr val="000000"/>
              </a:solidFill>
              <a:latin typeface="Arial"/>
              <a:cs typeface="Arial"/>
            </a:rPr>
            <a:t>www.about.com</a:t>
          </a:r>
        </a:p>
        <a:p>
          <a:pPr algn="l" rtl="0">
            <a:defRPr sz="1000"/>
          </a:pPr>
          <a:endParaRPr lang="en-IN" sz="1000" b="0" i="0" u="none" strike="noStrike" baseline="0">
            <a:solidFill>
              <a:srgbClr val="000000"/>
            </a:solidFill>
            <a:latin typeface="Arial"/>
            <a:cs typeface="Arial"/>
          </a:endParaRPr>
        </a:p>
        <a:p>
          <a:pPr algn="l" rtl="0">
            <a:defRPr sz="1000"/>
          </a:pPr>
          <a:r>
            <a:rPr lang="en-IN" sz="1200" b="0" i="0" u="none" strike="noStrike" baseline="0">
              <a:solidFill>
                <a:srgbClr val="000000"/>
              </a:solidFill>
              <a:latin typeface="Arial"/>
              <a:cs typeface="Arial"/>
            </a:rPr>
            <a:t>The volume, V, of a liquid in a horizontal cylindrical tank with flat heads is:</a:t>
          </a: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r>
            <a:rPr lang="en-IN" sz="1600" b="1" i="0" u="none" strike="noStrike" baseline="0">
              <a:solidFill>
                <a:srgbClr val="000000"/>
              </a:solidFill>
              <a:latin typeface="Arial"/>
              <a:cs typeface="Arial"/>
            </a:rPr>
            <a:t>V = LD</a:t>
          </a:r>
          <a:r>
            <a:rPr lang="en-IN" sz="1600" b="1" i="0" u="none" strike="noStrike" baseline="30000">
              <a:solidFill>
                <a:srgbClr val="000000"/>
              </a:solidFill>
              <a:latin typeface="Arial"/>
              <a:cs typeface="Arial"/>
            </a:rPr>
            <a:t>2</a:t>
          </a:r>
          <a:r>
            <a:rPr lang="en-IN" sz="1600" b="1" i="0" u="none" strike="noStrike" baseline="0">
              <a:solidFill>
                <a:srgbClr val="000000"/>
              </a:solidFill>
              <a:latin typeface="Arial"/>
              <a:cs typeface="Arial"/>
            </a:rPr>
            <a:t> (2Z-sin(2Z)) /8</a:t>
          </a:r>
          <a:r>
            <a:rPr lang="en-IN" sz="1000" b="0" i="0" u="none" strike="noStrike" baseline="0">
              <a:solidFill>
                <a:srgbClr val="000000"/>
              </a:solidFill>
              <a:latin typeface="Arial"/>
              <a:cs typeface="Arial"/>
            </a:rPr>
            <a:t> </a:t>
          </a:r>
        </a:p>
        <a:p>
          <a:pPr algn="l" rtl="0">
            <a:defRPr sz="1000"/>
          </a:pPr>
          <a:endParaRPr lang="en-IN" sz="1000" b="0" i="0" u="none" strike="noStrike" baseline="0">
            <a:solidFill>
              <a:srgbClr val="000000"/>
            </a:solidFill>
            <a:latin typeface="Arial"/>
            <a:cs typeface="Arial"/>
          </a:endParaRPr>
        </a:p>
        <a:p>
          <a:pPr algn="l" rtl="0">
            <a:defRPr sz="1000"/>
          </a:pPr>
          <a:r>
            <a:rPr lang="en-IN" sz="1200" b="0" i="0" u="none" strike="noStrike" baseline="0">
              <a:solidFill>
                <a:srgbClr val="000000"/>
              </a:solidFill>
              <a:latin typeface="Arial"/>
              <a:cs typeface="Arial"/>
            </a:rPr>
            <a:t>Where,</a:t>
          </a:r>
        </a:p>
        <a:p>
          <a:pPr algn="l" rtl="0">
            <a:defRPr sz="1000"/>
          </a:pPr>
          <a:r>
            <a:rPr lang="en-IN" sz="1200" b="0" i="0" u="none" strike="noStrike" baseline="0">
              <a:solidFill>
                <a:srgbClr val="000000"/>
              </a:solidFill>
              <a:latin typeface="Arial"/>
              <a:cs typeface="Arial"/>
            </a:rPr>
            <a:t>Z = arccos(1-2h/D) </a:t>
          </a:r>
        </a:p>
        <a:p>
          <a:pPr algn="l" rtl="0">
            <a:defRPr sz="1000"/>
          </a:pPr>
          <a:r>
            <a:rPr lang="en-IN" sz="1200" b="0" i="0" u="none" strike="noStrike" baseline="0">
              <a:solidFill>
                <a:srgbClr val="000000"/>
              </a:solidFill>
              <a:latin typeface="Arial"/>
              <a:cs typeface="Arial"/>
            </a:rPr>
            <a:t>h = height of liquid in the horizontal cylindrical tank </a:t>
          </a:r>
        </a:p>
        <a:p>
          <a:pPr algn="l" rtl="0">
            <a:defRPr sz="1000"/>
          </a:pPr>
          <a:r>
            <a:rPr lang="en-IN" sz="1200" b="0" i="0" u="none" strike="noStrike" baseline="0">
              <a:solidFill>
                <a:srgbClr val="000000"/>
              </a:solidFill>
              <a:latin typeface="Arial"/>
              <a:cs typeface="Arial"/>
            </a:rPr>
            <a:t>D = diameter of the tank </a:t>
          </a:r>
        </a:p>
        <a:p>
          <a:pPr algn="l" rtl="0">
            <a:defRPr sz="1000"/>
          </a:pPr>
          <a:r>
            <a:rPr lang="en-IN" sz="1200" b="0" i="0" u="none" strike="noStrike" baseline="0">
              <a:solidFill>
                <a:srgbClr val="000000"/>
              </a:solidFill>
              <a:latin typeface="Arial"/>
              <a:cs typeface="Arial"/>
            </a:rPr>
            <a:t>L = length of the tank </a:t>
          </a:r>
        </a:p>
        <a:p>
          <a:pPr algn="l" rtl="0">
            <a:defRPr sz="1000"/>
          </a:pPr>
          <a:endParaRPr lang="en-IN" sz="1200" b="0" i="0" u="none" strike="noStrike" baseline="0">
            <a:solidFill>
              <a:srgbClr val="000000"/>
            </a:solidFill>
            <a:latin typeface="Arial"/>
            <a:cs typeface="Arial"/>
          </a:endParaRPr>
        </a:p>
        <a:p>
          <a:pPr algn="l" rtl="0">
            <a:defRPr sz="1000"/>
          </a:pPr>
          <a:r>
            <a:rPr lang="en-IN" sz="1200" b="0" i="0" u="none" strike="noStrike" baseline="0">
              <a:solidFill>
                <a:srgbClr val="000000"/>
              </a:solidFill>
              <a:latin typeface="Arial"/>
              <a:cs typeface="Arial"/>
            </a:rPr>
            <a:t>Note that the result of the arccos-function has to be taken in radians.</a:t>
          </a:r>
        </a:p>
        <a:p>
          <a:pPr algn="l" rtl="0">
            <a:defRPr sz="1000"/>
          </a:pPr>
          <a:endParaRPr lang="en-IN" sz="1200" b="0" i="0" u="none" strike="noStrike" baseline="0">
            <a:solidFill>
              <a:srgbClr val="000000"/>
            </a:solidFill>
            <a:latin typeface="Arial"/>
            <a:cs typeface="Arial"/>
          </a:endParaRPr>
        </a:p>
        <a:p>
          <a:pPr algn="l" rtl="0">
            <a:defRPr sz="1000"/>
          </a:pPr>
          <a:r>
            <a:rPr lang="en-IN" sz="1200" b="0" i="0" u="none" strike="noStrike" baseline="0">
              <a:solidFill>
                <a:srgbClr val="000000"/>
              </a:solidFill>
              <a:latin typeface="Arial"/>
              <a:cs typeface="Arial"/>
            </a:rPr>
            <a:t>Bernhard Spang</a:t>
          </a: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171450</xdr:colOff>
      <xdr:row>35</xdr:row>
      <xdr:rowOff>76200</xdr:rowOff>
    </xdr:from>
    <xdr:to>
      <xdr:col>6</xdr:col>
      <xdr:colOff>381000</xdr:colOff>
      <xdr:row>45</xdr:row>
      <xdr:rowOff>9525</xdr:rowOff>
    </xdr:to>
    <xdr:grpSp>
      <xdr:nvGrpSpPr>
        <xdr:cNvPr id="18525" name="Group 14"/>
        <xdr:cNvGrpSpPr>
          <a:grpSpLocks/>
        </xdr:cNvGrpSpPr>
      </xdr:nvGrpSpPr>
      <xdr:grpSpPr bwMode="auto">
        <a:xfrm>
          <a:off x="2590800" y="5800725"/>
          <a:ext cx="1428750" cy="1590675"/>
          <a:chOff x="292" y="625"/>
          <a:chExt cx="150" cy="167"/>
        </a:xfrm>
      </xdr:grpSpPr>
      <xdr:sp macro="" textlink="">
        <xdr:nvSpPr>
          <xdr:cNvPr id="18526" name="Arc 1"/>
          <xdr:cNvSpPr>
            <a:spLocks/>
          </xdr:cNvSpPr>
        </xdr:nvSpPr>
        <xdr:spPr bwMode="auto">
          <a:xfrm>
            <a:off x="307" y="631"/>
            <a:ext cx="128" cy="12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8527" name="Arc 2"/>
          <xdr:cNvSpPr>
            <a:spLocks/>
          </xdr:cNvSpPr>
        </xdr:nvSpPr>
        <xdr:spPr bwMode="auto">
          <a:xfrm>
            <a:off x="307" y="687"/>
            <a:ext cx="77" cy="6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8528" name="Line 3"/>
          <xdr:cNvSpPr>
            <a:spLocks noChangeShapeType="1"/>
          </xdr:cNvSpPr>
        </xdr:nvSpPr>
        <xdr:spPr bwMode="auto">
          <a:xfrm flipV="1">
            <a:off x="307" y="625"/>
            <a:ext cx="0" cy="6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529" name="Line 4"/>
          <xdr:cNvSpPr>
            <a:spLocks noChangeShapeType="1"/>
          </xdr:cNvSpPr>
        </xdr:nvSpPr>
        <xdr:spPr bwMode="auto">
          <a:xfrm>
            <a:off x="385" y="755"/>
            <a:ext cx="5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530" name="Arc 5"/>
          <xdr:cNvSpPr>
            <a:spLocks/>
          </xdr:cNvSpPr>
        </xdr:nvSpPr>
        <xdr:spPr bwMode="auto">
          <a:xfrm>
            <a:off x="307" y="681"/>
            <a:ext cx="86" cy="7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8531" name="Arc 6"/>
          <xdr:cNvSpPr>
            <a:spLocks/>
          </xdr:cNvSpPr>
        </xdr:nvSpPr>
        <xdr:spPr bwMode="auto">
          <a:xfrm>
            <a:off x="307" y="625"/>
            <a:ext cx="135" cy="13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8532" name="Line 7"/>
          <xdr:cNvSpPr>
            <a:spLocks noChangeShapeType="1"/>
          </xdr:cNvSpPr>
        </xdr:nvSpPr>
        <xdr:spPr bwMode="auto">
          <a:xfrm>
            <a:off x="384" y="755"/>
            <a:ext cx="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533" name="Arc 9"/>
          <xdr:cNvSpPr>
            <a:spLocks/>
          </xdr:cNvSpPr>
        </xdr:nvSpPr>
        <xdr:spPr bwMode="auto">
          <a:xfrm>
            <a:off x="292" y="652"/>
            <a:ext cx="128" cy="12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19050">
            <a:solidFill>
              <a:srgbClr xmlns:mc="http://schemas.openxmlformats.org/markup-compatibility/2006" xmlns:a14="http://schemas.microsoft.com/office/drawing/2010/main" val="000000" mc:Ignorable="a14" a14:legacySpreadsheetColorIndex="64"/>
            </a:solidFill>
            <a:prstDash val="lgDashDotDot"/>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8534" name="Line 10"/>
          <xdr:cNvSpPr>
            <a:spLocks noChangeShapeType="1"/>
          </xdr:cNvSpPr>
        </xdr:nvSpPr>
        <xdr:spPr bwMode="auto">
          <a:xfrm>
            <a:off x="417" y="758"/>
            <a:ext cx="0" cy="3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535" name="Line 11"/>
          <xdr:cNvSpPr>
            <a:spLocks noChangeShapeType="1"/>
          </xdr:cNvSpPr>
        </xdr:nvSpPr>
        <xdr:spPr bwMode="auto">
          <a:xfrm>
            <a:off x="305" y="695"/>
            <a:ext cx="0" cy="9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536" name="Line 12"/>
          <xdr:cNvSpPr>
            <a:spLocks noChangeShapeType="1"/>
          </xdr:cNvSpPr>
        </xdr:nvSpPr>
        <xdr:spPr bwMode="auto">
          <a:xfrm>
            <a:off x="306" y="775"/>
            <a:ext cx="11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8445" name="Text Box 13">
            <a:extLst>
              <a:ext uri="{FF2B5EF4-FFF2-40B4-BE49-F238E27FC236}">
                <a16:creationId xmlns:a16="http://schemas.microsoft.com/office/drawing/2014/main" id="{A46000A3-2F0E-4306-A206-76063FDEA6CE}"/>
              </a:ext>
            </a:extLst>
          </xdr:cNvPr>
          <xdr:cNvSpPr txBox="1">
            <a:spLocks noChangeArrowheads="1"/>
          </xdr:cNvSpPr>
        </xdr:nvSpPr>
        <xdr:spPr bwMode="auto">
          <a:xfrm>
            <a:off x="351" y="766"/>
            <a:ext cx="13"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A</a:t>
            </a:r>
          </a:p>
        </xdr:txBody>
      </xdr:sp>
    </xdr:grpSp>
    <xdr:clientData/>
  </xdr:twoCellAnchor>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66675</xdr:rowOff>
        </xdr:from>
        <xdr:to>
          <xdr:col>10</xdr:col>
          <xdr:colOff>514350</xdr:colOff>
          <xdr:row>52</xdr:row>
          <xdr:rowOff>19050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xdr:from>
      <xdr:col>6</xdr:col>
      <xdr:colOff>28575</xdr:colOff>
      <xdr:row>1</xdr:row>
      <xdr:rowOff>104775</xdr:rowOff>
    </xdr:from>
    <xdr:to>
      <xdr:col>10</xdr:col>
      <xdr:colOff>628650</xdr:colOff>
      <xdr:row>15</xdr:row>
      <xdr:rowOff>57150</xdr:rowOff>
    </xdr:to>
    <xdr:grpSp>
      <xdr:nvGrpSpPr>
        <xdr:cNvPr id="23735" name="Group 1"/>
        <xdr:cNvGrpSpPr>
          <a:grpSpLocks/>
        </xdr:cNvGrpSpPr>
      </xdr:nvGrpSpPr>
      <xdr:grpSpPr bwMode="auto">
        <a:xfrm>
          <a:off x="4743450" y="304800"/>
          <a:ext cx="3038475" cy="2543175"/>
          <a:chOff x="435" y="33"/>
          <a:chExt cx="319" cy="265"/>
        </a:xfrm>
      </xdr:grpSpPr>
      <xdr:sp macro="" textlink="">
        <xdr:nvSpPr>
          <xdr:cNvPr id="23737" name="Oval 2"/>
          <xdr:cNvSpPr>
            <a:spLocks noChangeArrowheads="1"/>
          </xdr:cNvSpPr>
        </xdr:nvSpPr>
        <xdr:spPr bwMode="auto">
          <a:xfrm>
            <a:off x="435" y="33"/>
            <a:ext cx="255" cy="265"/>
          </a:xfrm>
          <a:prstGeom prst="ellipse">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3555" name="Text Box 3">
            <a:extLst>
              <a:ext uri="{FF2B5EF4-FFF2-40B4-BE49-F238E27FC236}">
                <a16:creationId xmlns:a16="http://schemas.microsoft.com/office/drawing/2014/main" id="{B94C14A5-6232-4054-8374-CCE80DA34277}"/>
              </a:ext>
            </a:extLst>
          </xdr:cNvPr>
          <xdr:cNvSpPr txBox="1">
            <a:spLocks noChangeArrowheads="1"/>
          </xdr:cNvSpPr>
        </xdr:nvSpPr>
        <xdr:spPr bwMode="auto">
          <a:xfrm>
            <a:off x="518" y="251"/>
            <a:ext cx="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800" b="0" i="0" u="none" strike="noStrike" baseline="0">
                <a:solidFill>
                  <a:srgbClr val="000000"/>
                </a:solidFill>
                <a:latin typeface="Arial"/>
                <a:cs typeface="Arial"/>
              </a:rPr>
              <a:t>a</a:t>
            </a:r>
          </a:p>
        </xdr:txBody>
      </xdr:sp>
      <xdr:sp macro="" textlink="">
        <xdr:nvSpPr>
          <xdr:cNvPr id="23556" name="Text Box 4">
            <a:extLst>
              <a:ext uri="{FF2B5EF4-FFF2-40B4-BE49-F238E27FC236}">
                <a16:creationId xmlns:a16="http://schemas.microsoft.com/office/drawing/2014/main" id="{9EFFA72F-CF58-4580-8653-CCEA83E24986}"/>
              </a:ext>
            </a:extLst>
          </xdr:cNvPr>
          <xdr:cNvSpPr txBox="1">
            <a:spLocks noChangeArrowheads="1"/>
          </xdr:cNvSpPr>
        </xdr:nvSpPr>
        <xdr:spPr bwMode="auto">
          <a:xfrm>
            <a:off x="527" y="215"/>
            <a:ext cx="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800" b="0" i="0" u="none" strike="noStrike" baseline="0">
                <a:solidFill>
                  <a:srgbClr val="000000"/>
                </a:solidFill>
                <a:latin typeface="Arial"/>
                <a:cs typeface="Arial"/>
              </a:rPr>
              <a:t>b</a:t>
            </a:r>
          </a:p>
        </xdr:txBody>
      </xdr:sp>
      <xdr:sp macro="" textlink="">
        <xdr:nvSpPr>
          <xdr:cNvPr id="23557" name="Text Box 5">
            <a:extLst>
              <a:ext uri="{FF2B5EF4-FFF2-40B4-BE49-F238E27FC236}">
                <a16:creationId xmlns:a16="http://schemas.microsoft.com/office/drawing/2014/main" id="{A0CD7538-D828-4CB2-B33C-45E57612D1E5}"/>
              </a:ext>
            </a:extLst>
          </xdr:cNvPr>
          <xdr:cNvSpPr txBox="1">
            <a:spLocks noChangeArrowheads="1"/>
          </xdr:cNvSpPr>
        </xdr:nvSpPr>
        <xdr:spPr bwMode="auto">
          <a:xfrm>
            <a:off x="562" y="236"/>
            <a:ext cx="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800" b="0" i="0" u="none" strike="noStrike" baseline="0">
                <a:solidFill>
                  <a:srgbClr val="000000"/>
                </a:solidFill>
                <a:latin typeface="Arial"/>
                <a:cs typeface="Arial"/>
              </a:rPr>
              <a:t>x</a:t>
            </a:r>
          </a:p>
        </xdr:txBody>
      </xdr:sp>
      <xdr:sp macro="" textlink="">
        <xdr:nvSpPr>
          <xdr:cNvPr id="23558" name="Text Box 6">
            <a:extLst>
              <a:ext uri="{FF2B5EF4-FFF2-40B4-BE49-F238E27FC236}">
                <a16:creationId xmlns:a16="http://schemas.microsoft.com/office/drawing/2014/main" id="{A584A860-6144-42E3-90A1-FA477C6381C4}"/>
              </a:ext>
            </a:extLst>
          </xdr:cNvPr>
          <xdr:cNvSpPr txBox="1">
            <a:spLocks noChangeArrowheads="1"/>
          </xdr:cNvSpPr>
        </xdr:nvSpPr>
        <xdr:spPr bwMode="auto">
          <a:xfrm>
            <a:off x="547" y="173"/>
            <a:ext cx="9"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800" b="0" i="0" u="none" strike="noStrike" baseline="0">
                <a:solidFill>
                  <a:srgbClr val="000000"/>
                </a:solidFill>
                <a:latin typeface="Arial"/>
                <a:cs typeface="Arial"/>
              </a:rPr>
              <a:t>ß</a:t>
            </a:r>
          </a:p>
        </xdr:txBody>
      </xdr:sp>
      <xdr:grpSp>
        <xdr:nvGrpSpPr>
          <xdr:cNvPr id="23742" name="Group 7"/>
          <xdr:cNvGrpSpPr>
            <a:grpSpLocks/>
          </xdr:cNvGrpSpPr>
        </xdr:nvGrpSpPr>
        <xdr:grpSpPr bwMode="auto">
          <a:xfrm flipV="1">
            <a:off x="457" y="157"/>
            <a:ext cx="209" cy="139"/>
            <a:chOff x="576" y="39"/>
            <a:chExt cx="261" cy="162"/>
          </a:xfrm>
        </xdr:grpSpPr>
        <xdr:sp macro="" textlink="">
          <xdr:nvSpPr>
            <xdr:cNvPr id="23751" name="Oval 8"/>
            <xdr:cNvSpPr>
              <a:spLocks noChangeArrowheads="1"/>
            </xdr:cNvSpPr>
          </xdr:nvSpPr>
          <xdr:spPr bwMode="auto">
            <a:xfrm>
              <a:off x="576" y="84"/>
              <a:ext cx="58" cy="56"/>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3752" name="Line 9"/>
            <xdr:cNvSpPr>
              <a:spLocks noChangeShapeType="1"/>
            </xdr:cNvSpPr>
          </xdr:nvSpPr>
          <xdr:spPr bwMode="auto">
            <a:xfrm flipV="1">
              <a:off x="706" y="59"/>
              <a:ext cx="84" cy="14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23753" name="Line 10"/>
            <xdr:cNvSpPr>
              <a:spLocks noChangeShapeType="1"/>
            </xdr:cNvSpPr>
          </xdr:nvSpPr>
          <xdr:spPr bwMode="auto">
            <a:xfrm>
              <a:off x="584" y="94"/>
              <a:ext cx="123" cy="10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754" name="Line 11"/>
            <xdr:cNvSpPr>
              <a:spLocks noChangeShapeType="1"/>
            </xdr:cNvSpPr>
          </xdr:nvSpPr>
          <xdr:spPr bwMode="auto">
            <a:xfrm flipV="1">
              <a:off x="576" y="112"/>
              <a:ext cx="1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755" name="Line 12"/>
            <xdr:cNvSpPr>
              <a:spLocks noChangeShapeType="1"/>
            </xdr:cNvSpPr>
          </xdr:nvSpPr>
          <xdr:spPr bwMode="auto">
            <a:xfrm>
              <a:off x="583" y="93"/>
              <a:ext cx="12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756" name="Line 13"/>
            <xdr:cNvSpPr>
              <a:spLocks noChangeShapeType="1"/>
            </xdr:cNvSpPr>
          </xdr:nvSpPr>
          <xdr:spPr bwMode="auto">
            <a:xfrm>
              <a:off x="576" y="112"/>
              <a:ext cx="0" cy="7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757" name="Freeform 14"/>
            <xdr:cNvSpPr>
              <a:spLocks/>
            </xdr:cNvSpPr>
          </xdr:nvSpPr>
          <xdr:spPr bwMode="auto">
            <a:xfrm>
              <a:off x="576" y="39"/>
              <a:ext cx="130" cy="137"/>
            </a:xfrm>
            <a:custGeom>
              <a:avLst/>
              <a:gdLst>
                <a:gd name="T0" fmla="*/ 0 w 130"/>
                <a:gd name="T1" fmla="*/ 123 h 142"/>
                <a:gd name="T2" fmla="*/ 0 w 130"/>
                <a:gd name="T3" fmla="*/ 66 h 142"/>
                <a:gd name="T4" fmla="*/ 1 w 130"/>
                <a:gd name="T5" fmla="*/ 62 h 142"/>
                <a:gd name="T6" fmla="*/ 3 w 130"/>
                <a:gd name="T7" fmla="*/ 57 h 142"/>
                <a:gd name="T8" fmla="*/ 5 w 130"/>
                <a:gd name="T9" fmla="*/ 52 h 142"/>
                <a:gd name="T10" fmla="*/ 8 w 130"/>
                <a:gd name="T11" fmla="*/ 48 h 142"/>
                <a:gd name="T12" fmla="*/ 13 w 130"/>
                <a:gd name="T13" fmla="*/ 43 h 142"/>
                <a:gd name="T14" fmla="*/ 24 w 130"/>
                <a:gd name="T15" fmla="*/ 36 h 142"/>
                <a:gd name="T16" fmla="*/ 40 w 130"/>
                <a:gd name="T17" fmla="*/ 23 h 142"/>
                <a:gd name="T18" fmla="*/ 61 w 130"/>
                <a:gd name="T19" fmla="*/ 14 h 142"/>
                <a:gd name="T20" fmla="*/ 83 w 130"/>
                <a:gd name="T21" fmla="*/ 7 h 142"/>
                <a:gd name="T22" fmla="*/ 105 w 130"/>
                <a:gd name="T23" fmla="*/ 2 h 142"/>
                <a:gd name="T24" fmla="*/ 122 w 130"/>
                <a:gd name="T25" fmla="*/ 0 h 142"/>
                <a:gd name="T26" fmla="*/ 130 w 130"/>
                <a:gd name="T27" fmla="*/ 0 h 14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0" h="142">
                  <a:moveTo>
                    <a:pt x="0" y="142"/>
                  </a:moveTo>
                  <a:lnTo>
                    <a:pt x="0" y="76"/>
                  </a:lnTo>
                  <a:lnTo>
                    <a:pt x="1" y="70"/>
                  </a:lnTo>
                  <a:lnTo>
                    <a:pt x="3" y="65"/>
                  </a:lnTo>
                  <a:lnTo>
                    <a:pt x="5" y="60"/>
                  </a:lnTo>
                  <a:lnTo>
                    <a:pt x="8" y="56"/>
                  </a:lnTo>
                  <a:lnTo>
                    <a:pt x="13" y="51"/>
                  </a:lnTo>
                  <a:lnTo>
                    <a:pt x="24" y="40"/>
                  </a:lnTo>
                  <a:lnTo>
                    <a:pt x="40" y="27"/>
                  </a:lnTo>
                  <a:lnTo>
                    <a:pt x="61" y="15"/>
                  </a:lnTo>
                  <a:lnTo>
                    <a:pt x="83" y="7"/>
                  </a:lnTo>
                  <a:lnTo>
                    <a:pt x="105" y="2"/>
                  </a:lnTo>
                  <a:lnTo>
                    <a:pt x="122" y="0"/>
                  </a:lnTo>
                  <a:lnTo>
                    <a:pt x="130" y="0"/>
                  </a:lnTo>
                </a:path>
              </a:pathLst>
            </a:custGeom>
            <a:noFill/>
            <a:ln w="254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23758" name="Freeform 15"/>
            <xdr:cNvSpPr>
              <a:spLocks/>
            </xdr:cNvSpPr>
          </xdr:nvSpPr>
          <xdr:spPr bwMode="auto">
            <a:xfrm flipH="1">
              <a:off x="707" y="39"/>
              <a:ext cx="130" cy="137"/>
            </a:xfrm>
            <a:custGeom>
              <a:avLst/>
              <a:gdLst>
                <a:gd name="T0" fmla="*/ 0 w 130"/>
                <a:gd name="T1" fmla="*/ 123 h 142"/>
                <a:gd name="T2" fmla="*/ 0 w 130"/>
                <a:gd name="T3" fmla="*/ 66 h 142"/>
                <a:gd name="T4" fmla="*/ 1 w 130"/>
                <a:gd name="T5" fmla="*/ 62 h 142"/>
                <a:gd name="T6" fmla="*/ 3 w 130"/>
                <a:gd name="T7" fmla="*/ 57 h 142"/>
                <a:gd name="T8" fmla="*/ 5 w 130"/>
                <a:gd name="T9" fmla="*/ 52 h 142"/>
                <a:gd name="T10" fmla="*/ 8 w 130"/>
                <a:gd name="T11" fmla="*/ 48 h 142"/>
                <a:gd name="T12" fmla="*/ 13 w 130"/>
                <a:gd name="T13" fmla="*/ 43 h 142"/>
                <a:gd name="T14" fmla="*/ 24 w 130"/>
                <a:gd name="T15" fmla="*/ 36 h 142"/>
                <a:gd name="T16" fmla="*/ 40 w 130"/>
                <a:gd name="T17" fmla="*/ 23 h 142"/>
                <a:gd name="T18" fmla="*/ 61 w 130"/>
                <a:gd name="T19" fmla="*/ 14 h 142"/>
                <a:gd name="T20" fmla="*/ 83 w 130"/>
                <a:gd name="T21" fmla="*/ 7 h 142"/>
                <a:gd name="T22" fmla="*/ 105 w 130"/>
                <a:gd name="T23" fmla="*/ 2 h 142"/>
                <a:gd name="T24" fmla="*/ 122 w 130"/>
                <a:gd name="T25" fmla="*/ 0 h 142"/>
                <a:gd name="T26" fmla="*/ 130 w 130"/>
                <a:gd name="T27" fmla="*/ 0 h 14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0" h="142">
                  <a:moveTo>
                    <a:pt x="0" y="142"/>
                  </a:moveTo>
                  <a:lnTo>
                    <a:pt x="0" y="76"/>
                  </a:lnTo>
                  <a:lnTo>
                    <a:pt x="1" y="70"/>
                  </a:lnTo>
                  <a:lnTo>
                    <a:pt x="3" y="65"/>
                  </a:lnTo>
                  <a:lnTo>
                    <a:pt x="5" y="60"/>
                  </a:lnTo>
                  <a:lnTo>
                    <a:pt x="8" y="56"/>
                  </a:lnTo>
                  <a:lnTo>
                    <a:pt x="13" y="51"/>
                  </a:lnTo>
                  <a:lnTo>
                    <a:pt x="24" y="40"/>
                  </a:lnTo>
                  <a:lnTo>
                    <a:pt x="40" y="27"/>
                  </a:lnTo>
                  <a:lnTo>
                    <a:pt x="61" y="15"/>
                  </a:lnTo>
                  <a:lnTo>
                    <a:pt x="83" y="7"/>
                  </a:lnTo>
                  <a:lnTo>
                    <a:pt x="105" y="2"/>
                  </a:lnTo>
                  <a:lnTo>
                    <a:pt x="122" y="0"/>
                  </a:lnTo>
                  <a:lnTo>
                    <a:pt x="130" y="0"/>
                  </a:lnTo>
                </a:path>
              </a:pathLst>
            </a:custGeom>
            <a:noFill/>
            <a:ln w="254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23759" name="Line 16"/>
            <xdr:cNvSpPr>
              <a:spLocks noChangeShapeType="1"/>
            </xdr:cNvSpPr>
          </xdr:nvSpPr>
          <xdr:spPr bwMode="auto">
            <a:xfrm flipV="1">
              <a:off x="706" y="40"/>
              <a:ext cx="0" cy="16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760" name="Line 17"/>
            <xdr:cNvSpPr>
              <a:spLocks noChangeShapeType="1"/>
            </xdr:cNvSpPr>
          </xdr:nvSpPr>
          <xdr:spPr bwMode="auto">
            <a:xfrm flipH="1">
              <a:off x="590" y="112"/>
              <a:ext cx="16"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3570" name="Text Box 18">
            <a:extLst>
              <a:ext uri="{FF2B5EF4-FFF2-40B4-BE49-F238E27FC236}">
                <a16:creationId xmlns:a16="http://schemas.microsoft.com/office/drawing/2014/main" id="{54649988-A564-4B0A-B9F8-8F16BAE11B7F}"/>
              </a:ext>
            </a:extLst>
          </xdr:cNvPr>
          <xdr:cNvSpPr txBox="1">
            <a:spLocks noChangeArrowheads="1"/>
          </xdr:cNvSpPr>
        </xdr:nvSpPr>
        <xdr:spPr bwMode="auto">
          <a:xfrm>
            <a:off x="599" y="203"/>
            <a:ext cx="1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800" b="0" i="0" u="none" strike="noStrike" baseline="0">
                <a:solidFill>
                  <a:srgbClr val="000000"/>
                </a:solidFill>
                <a:latin typeface="Arial"/>
                <a:cs typeface="Arial"/>
              </a:rPr>
              <a:t>R</a:t>
            </a:r>
            <a:r>
              <a:rPr lang="en-IN" sz="800" b="0" i="0" u="none" strike="noStrike" baseline="-25000">
                <a:solidFill>
                  <a:srgbClr val="000000"/>
                </a:solidFill>
                <a:latin typeface="Arial"/>
                <a:cs typeface="Arial"/>
              </a:rPr>
              <a:t>i</a:t>
            </a:r>
          </a:p>
        </xdr:txBody>
      </xdr:sp>
      <xdr:sp macro="" textlink="">
        <xdr:nvSpPr>
          <xdr:cNvPr id="23571" name="Text Box 19">
            <a:extLst>
              <a:ext uri="{FF2B5EF4-FFF2-40B4-BE49-F238E27FC236}">
                <a16:creationId xmlns:a16="http://schemas.microsoft.com/office/drawing/2014/main" id="{36DD5D49-7EDF-40D6-9C18-4331CC32135D}"/>
              </a:ext>
            </a:extLst>
          </xdr:cNvPr>
          <xdr:cNvSpPr txBox="1">
            <a:spLocks noChangeArrowheads="1"/>
          </xdr:cNvSpPr>
        </xdr:nvSpPr>
        <xdr:spPr bwMode="auto">
          <a:xfrm>
            <a:off x="478" y="192"/>
            <a:ext cx="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800" b="0" i="0" u="none" strike="noStrike" baseline="0">
                <a:solidFill>
                  <a:srgbClr val="000000"/>
                </a:solidFill>
                <a:latin typeface="Arial"/>
                <a:cs typeface="Arial"/>
              </a:rPr>
              <a:t>r</a:t>
            </a:r>
            <a:r>
              <a:rPr lang="en-IN" sz="800" b="0" i="0" u="none" strike="noStrike" baseline="-25000">
                <a:solidFill>
                  <a:srgbClr val="000000"/>
                </a:solidFill>
                <a:latin typeface="Arial"/>
                <a:cs typeface="Arial"/>
              </a:rPr>
              <a:t>i</a:t>
            </a:r>
          </a:p>
        </xdr:txBody>
      </xdr:sp>
      <xdr:sp macro="" textlink="">
        <xdr:nvSpPr>
          <xdr:cNvPr id="23572" name="Text Box 20">
            <a:extLst>
              <a:ext uri="{FF2B5EF4-FFF2-40B4-BE49-F238E27FC236}">
                <a16:creationId xmlns:a16="http://schemas.microsoft.com/office/drawing/2014/main" id="{7FC710ED-6340-4937-987E-21E642C28FF9}"/>
              </a:ext>
            </a:extLst>
          </xdr:cNvPr>
          <xdr:cNvSpPr txBox="1">
            <a:spLocks noChangeArrowheads="1"/>
          </xdr:cNvSpPr>
        </xdr:nvSpPr>
        <xdr:spPr bwMode="auto">
          <a:xfrm>
            <a:off x="562" y="201"/>
            <a:ext cx="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800" b="0" i="0" u="none" strike="noStrike" baseline="0">
                <a:solidFill>
                  <a:srgbClr val="000000"/>
                </a:solidFill>
                <a:latin typeface="Arial"/>
                <a:cs typeface="Arial"/>
              </a:rPr>
              <a:t>c</a:t>
            </a:r>
          </a:p>
        </xdr:txBody>
      </xdr:sp>
      <xdr:sp macro="" textlink="">
        <xdr:nvSpPr>
          <xdr:cNvPr id="23573" name="Text Box 21">
            <a:extLst>
              <a:ext uri="{FF2B5EF4-FFF2-40B4-BE49-F238E27FC236}">
                <a16:creationId xmlns:a16="http://schemas.microsoft.com/office/drawing/2014/main" id="{9406287D-191B-46CC-91AA-3DC51975FE34}"/>
              </a:ext>
            </a:extLst>
          </xdr:cNvPr>
          <xdr:cNvSpPr txBox="1">
            <a:spLocks noChangeArrowheads="1"/>
          </xdr:cNvSpPr>
        </xdr:nvSpPr>
        <xdr:spPr bwMode="auto">
          <a:xfrm>
            <a:off x="730" y="252"/>
            <a:ext cx="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800" b="0" i="0" u="none" strike="noStrike" baseline="0">
                <a:solidFill>
                  <a:srgbClr val="000000"/>
                </a:solidFill>
                <a:latin typeface="Arial"/>
                <a:cs typeface="Arial"/>
              </a:rPr>
              <a:t>h</a:t>
            </a:r>
          </a:p>
        </xdr:txBody>
      </xdr:sp>
      <xdr:sp macro="" textlink="">
        <xdr:nvSpPr>
          <xdr:cNvPr id="23747" name="Line 22"/>
          <xdr:cNvSpPr>
            <a:spLocks noChangeShapeType="1"/>
          </xdr:cNvSpPr>
        </xdr:nvSpPr>
        <xdr:spPr bwMode="auto">
          <a:xfrm>
            <a:off x="679" y="233"/>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748" name="Line 23"/>
          <xdr:cNvSpPr>
            <a:spLocks noChangeShapeType="1"/>
          </xdr:cNvSpPr>
        </xdr:nvSpPr>
        <xdr:spPr bwMode="auto">
          <a:xfrm>
            <a:off x="623" y="294"/>
            <a:ext cx="1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749" name="Line 24"/>
          <xdr:cNvSpPr>
            <a:spLocks noChangeShapeType="1"/>
          </xdr:cNvSpPr>
        </xdr:nvSpPr>
        <xdr:spPr bwMode="auto">
          <a:xfrm>
            <a:off x="725" y="236"/>
            <a:ext cx="0" cy="5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lg"/>
            <a:tailEnd type="stealth" w="sm" len="lg"/>
          </a:ln>
          <a:extLst>
            <a:ext uri="{909E8E84-426E-40DD-AFC4-6F175D3DCCD1}">
              <a14:hiddenFill xmlns:a14="http://schemas.microsoft.com/office/drawing/2010/main">
                <a:noFill/>
              </a14:hiddenFill>
            </a:ext>
          </a:extLst>
        </xdr:spPr>
      </xdr:sp>
      <xdr:sp macro="" textlink="">
        <xdr:nvSpPr>
          <xdr:cNvPr id="23577" name="Text Box 25">
            <a:extLst>
              <a:ext uri="{FF2B5EF4-FFF2-40B4-BE49-F238E27FC236}">
                <a16:creationId xmlns:a16="http://schemas.microsoft.com/office/drawing/2014/main" id="{848E0F47-84C4-4DAB-9225-563440163C1F}"/>
              </a:ext>
            </a:extLst>
          </xdr:cNvPr>
          <xdr:cNvSpPr txBox="1">
            <a:spLocks noChangeArrowheads="1"/>
          </xdr:cNvSpPr>
        </xdr:nvSpPr>
        <xdr:spPr bwMode="auto">
          <a:xfrm>
            <a:off x="562" y="262"/>
            <a:ext cx="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IN" sz="800" b="0" i="0" u="none" strike="noStrike" baseline="0">
                <a:solidFill>
                  <a:srgbClr val="000000"/>
                </a:solidFill>
                <a:latin typeface="Arial"/>
                <a:cs typeface="Arial"/>
              </a:rPr>
              <a:t>z</a:t>
            </a:r>
          </a:p>
        </xdr:txBody>
      </xdr:sp>
    </xdr:grpSp>
    <xdr:clientData/>
  </xdr:twoCellAnchor>
  <xdr:twoCellAnchor>
    <xdr:from>
      <xdr:col>0</xdr:col>
      <xdr:colOff>47625</xdr:colOff>
      <xdr:row>41</xdr:row>
      <xdr:rowOff>47625</xdr:rowOff>
    </xdr:from>
    <xdr:to>
      <xdr:col>10</xdr:col>
      <xdr:colOff>561975</xdr:colOff>
      <xdr:row>74</xdr:row>
      <xdr:rowOff>95250</xdr:rowOff>
    </xdr:to>
    <xdr:graphicFrame macro="">
      <xdr:nvGraphicFramePr>
        <xdr:cNvPr id="23736"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1476375</xdr:colOff>
      <xdr:row>1</xdr:row>
      <xdr:rowOff>9525</xdr:rowOff>
    </xdr:from>
    <xdr:to>
      <xdr:col>5</xdr:col>
      <xdr:colOff>581025</xdr:colOff>
      <xdr:row>4</xdr:row>
      <xdr:rowOff>85725</xdr:rowOff>
    </xdr:to>
    <xdr:sp macro="" textlink="">
      <xdr:nvSpPr>
        <xdr:cNvPr id="17411" name="Text Box 3">
          <a:extLst>
            <a:ext uri="{FF2B5EF4-FFF2-40B4-BE49-F238E27FC236}">
              <a16:creationId xmlns:a16="http://schemas.microsoft.com/office/drawing/2014/main" id="{37141907-4164-4D5C-8307-D1CC9E261416}"/>
            </a:ext>
          </a:extLst>
        </xdr:cNvPr>
        <xdr:cNvSpPr txBox="1">
          <a:spLocks noChangeArrowheads="1"/>
        </xdr:cNvSpPr>
      </xdr:nvSpPr>
      <xdr:spPr bwMode="auto">
        <a:xfrm>
          <a:off x="1476375" y="171450"/>
          <a:ext cx="3571875" cy="561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Steps:</a:t>
          </a:r>
        </a:p>
        <a:p>
          <a:pPr algn="l" rtl="0">
            <a:defRPr sz="1000"/>
          </a:pPr>
          <a:r>
            <a:rPr lang="en-IN" sz="1000" b="0" i="0" u="none" strike="noStrike" baseline="0">
              <a:solidFill>
                <a:srgbClr val="000000"/>
              </a:solidFill>
              <a:latin typeface="Arial"/>
              <a:cs typeface="Arial"/>
            </a:rPr>
            <a:t>(1) Enter the required information in the </a:t>
          </a:r>
          <a:r>
            <a:rPr lang="en-IN" sz="1000" b="1" i="0" u="none" strike="noStrike" baseline="0">
              <a:solidFill>
                <a:srgbClr val="000000"/>
              </a:solidFill>
              <a:latin typeface="Arial"/>
              <a:cs typeface="Arial"/>
            </a:rPr>
            <a:t>YELLOW</a:t>
          </a:r>
          <a:r>
            <a:rPr lang="en-IN" sz="1000" b="0" i="0" u="none" strike="noStrike" baseline="0">
              <a:solidFill>
                <a:srgbClr val="000000"/>
              </a:solidFill>
              <a:latin typeface="Arial"/>
              <a:cs typeface="Arial"/>
            </a:rPr>
            <a:t> cells;</a:t>
          </a:r>
        </a:p>
        <a:p>
          <a:pPr algn="l" rtl="0">
            <a:defRPr sz="1000"/>
          </a:pPr>
          <a:r>
            <a:rPr lang="en-IN" sz="1000" b="0" i="0" u="none" strike="noStrike" baseline="0">
              <a:solidFill>
                <a:srgbClr val="000000"/>
              </a:solidFill>
              <a:latin typeface="Arial"/>
              <a:cs typeface="Arial"/>
            </a:rPr>
            <a:t>(2) The calculated results appear in </a:t>
          </a:r>
          <a:r>
            <a:rPr lang="en-IN" sz="1000" b="1" i="0" u="none" strike="noStrike" baseline="0">
              <a:solidFill>
                <a:srgbClr val="FF0000"/>
              </a:solidFill>
              <a:latin typeface="Arial"/>
              <a:cs typeface="Arial"/>
            </a:rPr>
            <a:t>RED</a:t>
          </a:r>
          <a:r>
            <a:rPr lang="en-IN" sz="1000" b="0" i="0" u="none" strike="noStrike" baseline="0">
              <a:solidFill>
                <a:srgbClr val="000000"/>
              </a:solidFill>
              <a:latin typeface="Arial"/>
              <a:cs typeface="Arial"/>
            </a:rPr>
            <a:t> numbers.</a:t>
          </a:r>
        </a:p>
      </xdr:txBody>
    </xdr:sp>
    <xdr:clientData/>
  </xdr:twoCellAnchor>
  <xdr:twoCellAnchor>
    <xdr:from>
      <xdr:col>3</xdr:col>
      <xdr:colOff>57150</xdr:colOff>
      <xdr:row>10</xdr:row>
      <xdr:rowOff>0</xdr:rowOff>
    </xdr:from>
    <xdr:to>
      <xdr:col>3</xdr:col>
      <xdr:colOff>438150</xdr:colOff>
      <xdr:row>15</xdr:row>
      <xdr:rowOff>0</xdr:rowOff>
    </xdr:to>
    <xdr:sp macro="" textlink="">
      <xdr:nvSpPr>
        <xdr:cNvPr id="17426" name="AutoShape 4"/>
        <xdr:cNvSpPr>
          <a:spLocks/>
        </xdr:cNvSpPr>
      </xdr:nvSpPr>
      <xdr:spPr bwMode="auto">
        <a:xfrm>
          <a:off x="3286125" y="1619250"/>
          <a:ext cx="381000" cy="809625"/>
        </a:xfrm>
        <a:prstGeom prst="rightBrace">
          <a:avLst>
            <a:gd name="adj1" fmla="val 17708"/>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0</xdr:colOff>
      <xdr:row>2</xdr:row>
      <xdr:rowOff>85725</xdr:rowOff>
    </xdr:from>
    <xdr:to>
      <xdr:col>4</xdr:col>
      <xdr:colOff>581025</xdr:colOff>
      <xdr:row>2</xdr:row>
      <xdr:rowOff>85725</xdr:rowOff>
    </xdr:to>
    <xdr:sp macro="" textlink="">
      <xdr:nvSpPr>
        <xdr:cNvPr id="24591" name="Line 1"/>
        <xdr:cNvSpPr>
          <a:spLocks noChangeShapeType="1"/>
        </xdr:cNvSpPr>
      </xdr:nvSpPr>
      <xdr:spPr bwMode="auto">
        <a:xfrm>
          <a:off x="1066800" y="409575"/>
          <a:ext cx="1762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390525</xdr:colOff>
      <xdr:row>1</xdr:row>
      <xdr:rowOff>76200</xdr:rowOff>
    </xdr:from>
    <xdr:to>
      <xdr:col>13</xdr:col>
      <xdr:colOff>428625</xdr:colOff>
      <xdr:row>15</xdr:row>
      <xdr:rowOff>95250</xdr:rowOff>
    </xdr:to>
    <xdr:pic>
      <xdr:nvPicPr>
        <xdr:cNvPr id="24592" name="Picture 2" descr="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238125"/>
          <a:ext cx="2286000" cy="2314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3</xdr:col>
      <xdr:colOff>47625</xdr:colOff>
      <xdr:row>33</xdr:row>
      <xdr:rowOff>57150</xdr:rowOff>
    </xdr:from>
    <xdr:to>
      <xdr:col>14</xdr:col>
      <xdr:colOff>257175</xdr:colOff>
      <xdr:row>50</xdr:row>
      <xdr:rowOff>133350</xdr:rowOff>
    </xdr:to>
    <xdr:pic>
      <xdr:nvPicPr>
        <xdr:cNvPr id="22635" name="Picture 1" descr="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5495925"/>
          <a:ext cx="3667125" cy="2828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114300</xdr:colOff>
      <xdr:row>122</xdr:row>
      <xdr:rowOff>47625</xdr:rowOff>
    </xdr:from>
    <xdr:to>
      <xdr:col>11</xdr:col>
      <xdr:colOff>285750</xdr:colOff>
      <xdr:row>124</xdr:row>
      <xdr:rowOff>66675</xdr:rowOff>
    </xdr:to>
    <xdr:pic>
      <xdr:nvPicPr>
        <xdr:cNvPr id="22636" name="Picture 2" descr="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20126325"/>
          <a:ext cx="20574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76200</xdr:colOff>
      <xdr:row>152</xdr:row>
      <xdr:rowOff>38100</xdr:rowOff>
    </xdr:from>
    <xdr:to>
      <xdr:col>12</xdr:col>
      <xdr:colOff>276225</xdr:colOff>
      <xdr:row>165</xdr:row>
      <xdr:rowOff>85725</xdr:rowOff>
    </xdr:to>
    <xdr:pic>
      <xdr:nvPicPr>
        <xdr:cNvPr id="22637" name="Picture 3" descr="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0" y="25050750"/>
          <a:ext cx="2714625" cy="2152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238125</xdr:colOff>
      <xdr:row>178</xdr:row>
      <xdr:rowOff>9525</xdr:rowOff>
    </xdr:from>
    <xdr:to>
      <xdr:col>13</xdr:col>
      <xdr:colOff>219075</xdr:colOff>
      <xdr:row>189</xdr:row>
      <xdr:rowOff>76200</xdr:rowOff>
    </xdr:to>
    <xdr:pic>
      <xdr:nvPicPr>
        <xdr:cNvPr id="22638" name="Picture 4" descr="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95425" y="29232225"/>
          <a:ext cx="2809875"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247650</xdr:colOff>
      <xdr:row>196</xdr:row>
      <xdr:rowOff>57150</xdr:rowOff>
    </xdr:from>
    <xdr:to>
      <xdr:col>13</xdr:col>
      <xdr:colOff>19050</xdr:colOff>
      <xdr:row>210</xdr:row>
      <xdr:rowOff>104775</xdr:rowOff>
    </xdr:to>
    <xdr:pic>
      <xdr:nvPicPr>
        <xdr:cNvPr id="22639" name="Picture 5" descr="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19275" y="32261175"/>
          <a:ext cx="2286000" cy="2314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304800</xdr:colOff>
      <xdr:row>249</xdr:row>
      <xdr:rowOff>85725</xdr:rowOff>
    </xdr:from>
    <xdr:to>
      <xdr:col>14</xdr:col>
      <xdr:colOff>209550</xdr:colOff>
      <xdr:row>259</xdr:row>
      <xdr:rowOff>9525</xdr:rowOff>
    </xdr:to>
    <xdr:pic>
      <xdr:nvPicPr>
        <xdr:cNvPr id="22640" name="Picture 6" descr="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62100" y="41081325"/>
          <a:ext cx="3048000"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285750</xdr:colOff>
      <xdr:row>278</xdr:row>
      <xdr:rowOff>28575</xdr:rowOff>
    </xdr:from>
    <xdr:to>
      <xdr:col>13</xdr:col>
      <xdr:colOff>200025</xdr:colOff>
      <xdr:row>284</xdr:row>
      <xdr:rowOff>76200</xdr:rowOff>
    </xdr:to>
    <xdr:pic>
      <xdr:nvPicPr>
        <xdr:cNvPr id="22641" name="Picture 7" descr="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43050" y="45939075"/>
          <a:ext cx="27432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309</xdr:row>
      <xdr:rowOff>0</xdr:rowOff>
    </xdr:from>
    <xdr:to>
      <xdr:col>14</xdr:col>
      <xdr:colOff>228600</xdr:colOff>
      <xdr:row>315</xdr:row>
      <xdr:rowOff>85725</xdr:rowOff>
    </xdr:to>
    <xdr:pic>
      <xdr:nvPicPr>
        <xdr:cNvPr id="22642" name="Picture 8" descr="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85950" y="51263550"/>
          <a:ext cx="274320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21</xdr:col>
      <xdr:colOff>95250</xdr:colOff>
      <xdr:row>94</xdr:row>
      <xdr:rowOff>38100</xdr:rowOff>
    </xdr:from>
    <xdr:to>
      <xdr:col>41</xdr:col>
      <xdr:colOff>247650</xdr:colOff>
      <xdr:row>119</xdr:row>
      <xdr:rowOff>76200</xdr:rowOff>
    </xdr:to>
    <xdr:pic>
      <xdr:nvPicPr>
        <xdr:cNvPr id="22643" name="Picture 9" descr="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715125" y="15544800"/>
          <a:ext cx="6438900" cy="412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142875</xdr:colOff>
      <xdr:row>353</xdr:row>
      <xdr:rowOff>104775</xdr:rowOff>
    </xdr:from>
    <xdr:to>
      <xdr:col>27</xdr:col>
      <xdr:colOff>47625</xdr:colOff>
      <xdr:row>407</xdr:row>
      <xdr:rowOff>123825</xdr:rowOff>
    </xdr:to>
    <xdr:pic>
      <xdr:nvPicPr>
        <xdr:cNvPr id="22644" name="Picture 10" descr="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72075" y="58559700"/>
          <a:ext cx="3381375" cy="895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19050</xdr:colOff>
      <xdr:row>437</xdr:row>
      <xdr:rowOff>66675</xdr:rowOff>
    </xdr:from>
    <xdr:to>
      <xdr:col>40</xdr:col>
      <xdr:colOff>133350</xdr:colOff>
      <xdr:row>504</xdr:row>
      <xdr:rowOff>47625</xdr:rowOff>
    </xdr:to>
    <xdr:pic>
      <xdr:nvPicPr>
        <xdr:cNvPr id="22645" name="Picture 11" descr="19"/>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324600" y="72313800"/>
          <a:ext cx="6400800" cy="10868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209550</xdr:colOff>
      <xdr:row>480</xdr:row>
      <xdr:rowOff>9525</xdr:rowOff>
    </xdr:from>
    <xdr:to>
      <xdr:col>15</xdr:col>
      <xdr:colOff>238125</xdr:colOff>
      <xdr:row>490</xdr:row>
      <xdr:rowOff>76200</xdr:rowOff>
    </xdr:to>
    <xdr:pic>
      <xdr:nvPicPr>
        <xdr:cNvPr id="22646" name="Picture 12" descr="24"/>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38200" y="79257525"/>
          <a:ext cx="4114800" cy="1685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28575</xdr:colOff>
          <xdr:row>355</xdr:row>
          <xdr:rowOff>19050</xdr:rowOff>
        </xdr:from>
        <xdr:to>
          <xdr:col>12</xdr:col>
          <xdr:colOff>57150</xdr:colOff>
          <xdr:row>364</xdr:row>
          <xdr:rowOff>38100</xdr:rowOff>
        </xdr:to>
        <xdr:sp macro="" textlink="">
          <xdr:nvSpPr>
            <xdr:cNvPr id="22541" name="Object 13" hidden="1">
              <a:extLst>
                <a:ext uri="{63B3BB69-23CF-44E3-9099-C40C66FF867C}">
                  <a14:compatExt spid="_x0000_s2254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365</xdr:row>
          <xdr:rowOff>28575</xdr:rowOff>
        </xdr:from>
        <xdr:to>
          <xdr:col>16</xdr:col>
          <xdr:colOff>28575</xdr:colOff>
          <xdr:row>367</xdr:row>
          <xdr:rowOff>133350</xdr:rowOff>
        </xdr:to>
        <xdr:sp macro="" textlink="">
          <xdr:nvSpPr>
            <xdr:cNvPr id="22542" name="Object 14" hidden="1">
              <a:extLst>
                <a:ext uri="{63B3BB69-23CF-44E3-9099-C40C66FF867C}">
                  <a14:compatExt spid="_x0000_s225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372</xdr:row>
          <xdr:rowOff>9525</xdr:rowOff>
        </xdr:from>
        <xdr:to>
          <xdr:col>7</xdr:col>
          <xdr:colOff>152400</xdr:colOff>
          <xdr:row>374</xdr:row>
          <xdr:rowOff>114300</xdr:rowOff>
        </xdr:to>
        <xdr:sp macro="" textlink="">
          <xdr:nvSpPr>
            <xdr:cNvPr id="22543" name="Object 15" hidden="1">
              <a:extLst>
                <a:ext uri="{63B3BB69-23CF-44E3-9099-C40C66FF867C}">
                  <a14:compatExt spid="_x0000_s225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379</xdr:row>
          <xdr:rowOff>9525</xdr:rowOff>
        </xdr:from>
        <xdr:to>
          <xdr:col>15</xdr:col>
          <xdr:colOff>95250</xdr:colOff>
          <xdr:row>381</xdr:row>
          <xdr:rowOff>142875</xdr:rowOff>
        </xdr:to>
        <xdr:sp macro="" textlink="">
          <xdr:nvSpPr>
            <xdr:cNvPr id="22544" name="Object 16" hidden="1">
              <a:extLst>
                <a:ext uri="{63B3BB69-23CF-44E3-9099-C40C66FF867C}">
                  <a14:compatExt spid="_x0000_s2254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xdr:colOff>
          <xdr:row>385</xdr:row>
          <xdr:rowOff>180975</xdr:rowOff>
        </xdr:from>
        <xdr:to>
          <xdr:col>9</xdr:col>
          <xdr:colOff>76200</xdr:colOff>
          <xdr:row>387</xdr:row>
          <xdr:rowOff>76200</xdr:rowOff>
        </xdr:to>
        <xdr:sp macro="" textlink="">
          <xdr:nvSpPr>
            <xdr:cNvPr id="22545" name="Object 17" hidden="1">
              <a:extLst>
                <a:ext uri="{63B3BB69-23CF-44E3-9099-C40C66FF867C}">
                  <a14:compatExt spid="_x0000_s225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295275</xdr:colOff>
          <xdr:row>387</xdr:row>
          <xdr:rowOff>123825</xdr:rowOff>
        </xdr:from>
        <xdr:to>
          <xdr:col>6</xdr:col>
          <xdr:colOff>114300</xdr:colOff>
          <xdr:row>390</xdr:row>
          <xdr:rowOff>28575</xdr:rowOff>
        </xdr:to>
        <xdr:sp macro="" textlink="">
          <xdr:nvSpPr>
            <xdr:cNvPr id="22546" name="Object 18" hidden="1">
              <a:extLst>
                <a:ext uri="{63B3BB69-23CF-44E3-9099-C40C66FF867C}">
                  <a14:compatExt spid="_x0000_s2254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391</xdr:row>
          <xdr:rowOff>104775</xdr:rowOff>
        </xdr:from>
        <xdr:to>
          <xdr:col>11</xdr:col>
          <xdr:colOff>133350</xdr:colOff>
          <xdr:row>393</xdr:row>
          <xdr:rowOff>38100</xdr:rowOff>
        </xdr:to>
        <xdr:sp macro="" textlink="">
          <xdr:nvSpPr>
            <xdr:cNvPr id="22547" name="Object 19" hidden="1">
              <a:extLst>
                <a:ext uri="{63B3BB69-23CF-44E3-9099-C40C66FF867C}">
                  <a14:compatExt spid="_x0000_s2254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285750</xdr:colOff>
      <xdr:row>394</xdr:row>
      <xdr:rowOff>104775</xdr:rowOff>
    </xdr:from>
    <xdr:to>
      <xdr:col>8</xdr:col>
      <xdr:colOff>76200</xdr:colOff>
      <xdr:row>397</xdr:row>
      <xdr:rowOff>142875</xdr:rowOff>
    </xdr:to>
    <xdr:pic>
      <xdr:nvPicPr>
        <xdr:cNvPr id="22647" name="Picture 20"/>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85750" y="65389125"/>
          <a:ext cx="2305050" cy="523875"/>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5</xdr:col>
          <xdr:colOff>276225</xdr:colOff>
          <xdr:row>400</xdr:row>
          <xdr:rowOff>152400</xdr:rowOff>
        </xdr:from>
        <xdr:to>
          <xdr:col>11</xdr:col>
          <xdr:colOff>142875</xdr:colOff>
          <xdr:row>402</xdr:row>
          <xdr:rowOff>28575</xdr:rowOff>
        </xdr:to>
        <xdr:sp macro="" textlink="">
          <xdr:nvSpPr>
            <xdr:cNvPr id="22549" name="Object 21" hidden="1">
              <a:extLst>
                <a:ext uri="{63B3BB69-23CF-44E3-9099-C40C66FF867C}">
                  <a14:compatExt spid="_x0000_s225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403</xdr:row>
          <xdr:rowOff>95250</xdr:rowOff>
        </xdr:from>
        <xdr:to>
          <xdr:col>6</xdr:col>
          <xdr:colOff>247650</xdr:colOff>
          <xdr:row>406</xdr:row>
          <xdr:rowOff>95250</xdr:rowOff>
        </xdr:to>
        <xdr:sp macro="" textlink="">
          <xdr:nvSpPr>
            <xdr:cNvPr id="22550" name="Object 22" hidden="1">
              <a:extLst>
                <a:ext uri="{63B3BB69-23CF-44E3-9099-C40C66FF867C}">
                  <a14:compatExt spid="_x0000_s225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408</xdr:row>
          <xdr:rowOff>142875</xdr:rowOff>
        </xdr:from>
        <xdr:to>
          <xdr:col>14</xdr:col>
          <xdr:colOff>114300</xdr:colOff>
          <xdr:row>410</xdr:row>
          <xdr:rowOff>76200</xdr:rowOff>
        </xdr:to>
        <xdr:sp macro="" textlink="">
          <xdr:nvSpPr>
            <xdr:cNvPr id="22551" name="Object 23" hidden="1">
              <a:extLst>
                <a:ext uri="{63B3BB69-23CF-44E3-9099-C40C66FF867C}">
                  <a14:compatExt spid="_x0000_s2255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410</xdr:row>
          <xdr:rowOff>123825</xdr:rowOff>
        </xdr:from>
        <xdr:to>
          <xdr:col>19</xdr:col>
          <xdr:colOff>276225</xdr:colOff>
          <xdr:row>414</xdr:row>
          <xdr:rowOff>57150</xdr:rowOff>
        </xdr:to>
        <xdr:sp macro="" textlink="">
          <xdr:nvSpPr>
            <xdr:cNvPr id="22552" name="Object 24" hidden="1">
              <a:extLst>
                <a:ext uri="{63B3BB69-23CF-44E3-9099-C40C66FF867C}">
                  <a14:compatExt spid="_x0000_s2255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247650</xdr:colOff>
          <xdr:row>416</xdr:row>
          <xdr:rowOff>95250</xdr:rowOff>
        </xdr:from>
        <xdr:to>
          <xdr:col>15</xdr:col>
          <xdr:colOff>285750</xdr:colOff>
          <xdr:row>418</xdr:row>
          <xdr:rowOff>114300</xdr:rowOff>
        </xdr:to>
        <xdr:sp macro="" textlink="">
          <xdr:nvSpPr>
            <xdr:cNvPr id="22553" name="Object 25" hidden="1">
              <a:extLst>
                <a:ext uri="{63B3BB69-23CF-44E3-9099-C40C66FF867C}">
                  <a14:compatExt spid="_x0000_s22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419</xdr:row>
          <xdr:rowOff>123825</xdr:rowOff>
        </xdr:from>
        <xdr:to>
          <xdr:col>11</xdr:col>
          <xdr:colOff>228600</xdr:colOff>
          <xdr:row>423</xdr:row>
          <xdr:rowOff>9525</xdr:rowOff>
        </xdr:to>
        <xdr:sp macro="" textlink="">
          <xdr:nvSpPr>
            <xdr:cNvPr id="22554" name="Object 26" hidden="1">
              <a:extLst>
                <a:ext uri="{63B3BB69-23CF-44E3-9099-C40C66FF867C}">
                  <a14:compatExt spid="_x0000_s2255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85725</xdr:colOff>
          <xdr:row>426</xdr:row>
          <xdr:rowOff>95250</xdr:rowOff>
        </xdr:from>
        <xdr:to>
          <xdr:col>19</xdr:col>
          <xdr:colOff>285750</xdr:colOff>
          <xdr:row>429</xdr:row>
          <xdr:rowOff>76200</xdr:rowOff>
        </xdr:to>
        <xdr:sp macro="" textlink="">
          <xdr:nvSpPr>
            <xdr:cNvPr id="22555" name="Object 27" hidden="1">
              <a:extLst>
                <a:ext uri="{63B3BB69-23CF-44E3-9099-C40C66FF867C}">
                  <a14:compatExt spid="_x0000_s2255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85725</xdr:colOff>
          <xdr:row>430</xdr:row>
          <xdr:rowOff>123825</xdr:rowOff>
        </xdr:from>
        <xdr:to>
          <xdr:col>4</xdr:col>
          <xdr:colOff>142875</xdr:colOff>
          <xdr:row>435</xdr:row>
          <xdr:rowOff>76200</xdr:rowOff>
        </xdr:to>
        <xdr:sp macro="" textlink="">
          <xdr:nvSpPr>
            <xdr:cNvPr id="22556" name="Object 28" hidden="1">
              <a:extLst>
                <a:ext uri="{63B3BB69-23CF-44E3-9099-C40C66FF867C}">
                  <a14:compatExt spid="_x0000_s2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47625</xdr:rowOff>
    </xdr:from>
    <xdr:to>
      <xdr:col>11</xdr:col>
      <xdr:colOff>0</xdr:colOff>
      <xdr:row>14</xdr:row>
      <xdr:rowOff>0</xdr:rowOff>
    </xdr:to>
    <xdr:grpSp>
      <xdr:nvGrpSpPr>
        <xdr:cNvPr id="19706" name="Group 44"/>
        <xdr:cNvGrpSpPr>
          <a:grpSpLocks/>
        </xdr:cNvGrpSpPr>
      </xdr:nvGrpSpPr>
      <xdr:grpSpPr bwMode="auto">
        <a:xfrm>
          <a:off x="66675" y="47625"/>
          <a:ext cx="6638925" cy="2219325"/>
          <a:chOff x="7" y="5"/>
          <a:chExt cx="662" cy="233"/>
        </a:xfrm>
      </xdr:grpSpPr>
      <xdr:sp macro="" textlink="">
        <xdr:nvSpPr>
          <xdr:cNvPr id="19708" name="Oval 2"/>
          <xdr:cNvSpPr>
            <a:spLocks noChangeArrowheads="1"/>
          </xdr:cNvSpPr>
        </xdr:nvSpPr>
        <xdr:spPr bwMode="auto">
          <a:xfrm>
            <a:off x="96" y="85"/>
            <a:ext cx="72" cy="153"/>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9709" name="Oval 3"/>
          <xdr:cNvSpPr>
            <a:spLocks noChangeArrowheads="1"/>
          </xdr:cNvSpPr>
        </xdr:nvSpPr>
        <xdr:spPr bwMode="auto">
          <a:xfrm>
            <a:off x="359" y="85"/>
            <a:ext cx="72" cy="153"/>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9710" name="Line 4"/>
          <xdr:cNvSpPr>
            <a:spLocks noChangeShapeType="1"/>
          </xdr:cNvSpPr>
        </xdr:nvSpPr>
        <xdr:spPr bwMode="auto">
          <a:xfrm>
            <a:off x="434" y="204"/>
            <a:ext cx="4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711" name="Rectangle 1"/>
          <xdr:cNvSpPr>
            <a:spLocks noChangeArrowheads="1"/>
          </xdr:cNvSpPr>
        </xdr:nvSpPr>
        <xdr:spPr bwMode="auto">
          <a:xfrm>
            <a:off x="131" y="85"/>
            <a:ext cx="265" cy="15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9712" name="Oval 6"/>
          <xdr:cNvSpPr>
            <a:spLocks noChangeArrowheads="1"/>
          </xdr:cNvSpPr>
        </xdr:nvSpPr>
        <xdr:spPr bwMode="auto">
          <a:xfrm>
            <a:off x="482" y="85"/>
            <a:ext cx="156" cy="152"/>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9713" name="Line 7"/>
          <xdr:cNvSpPr>
            <a:spLocks noChangeShapeType="1"/>
          </xdr:cNvSpPr>
        </xdr:nvSpPr>
        <xdr:spPr bwMode="auto">
          <a:xfrm flipH="1">
            <a:off x="7" y="85"/>
            <a:ext cx="10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714" name="Line 8"/>
          <xdr:cNvSpPr>
            <a:spLocks noChangeShapeType="1"/>
          </xdr:cNvSpPr>
        </xdr:nvSpPr>
        <xdr:spPr bwMode="auto">
          <a:xfrm flipH="1">
            <a:off x="11" y="238"/>
            <a:ext cx="10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715" name="Line 9"/>
          <xdr:cNvSpPr>
            <a:spLocks noChangeShapeType="1"/>
          </xdr:cNvSpPr>
        </xdr:nvSpPr>
        <xdr:spPr bwMode="auto">
          <a:xfrm>
            <a:off x="560" y="159"/>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716" name="Line 5"/>
          <xdr:cNvSpPr>
            <a:spLocks noChangeShapeType="1"/>
          </xdr:cNvSpPr>
        </xdr:nvSpPr>
        <xdr:spPr bwMode="auto">
          <a:xfrm>
            <a:off x="68" y="160"/>
            <a:ext cx="601"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19717" name="Freeform 11"/>
          <xdr:cNvSpPr>
            <a:spLocks/>
          </xdr:cNvSpPr>
        </xdr:nvSpPr>
        <xdr:spPr bwMode="auto">
          <a:xfrm>
            <a:off x="104" y="203"/>
            <a:ext cx="320" cy="35"/>
          </a:xfrm>
          <a:custGeom>
            <a:avLst/>
            <a:gdLst>
              <a:gd name="T0" fmla="*/ 31 w 312"/>
              <a:gd name="T1" fmla="*/ 35 h 35"/>
              <a:gd name="T2" fmla="*/ 18 w 312"/>
              <a:gd name="T3" fmla="*/ 31 h 35"/>
              <a:gd name="T4" fmla="*/ 15 w 312"/>
              <a:gd name="T5" fmla="*/ 29 h 35"/>
              <a:gd name="T6" fmla="*/ 11 w 312"/>
              <a:gd name="T7" fmla="*/ 25 h 35"/>
              <a:gd name="T8" fmla="*/ 9 w 312"/>
              <a:gd name="T9" fmla="*/ 23 h 35"/>
              <a:gd name="T10" fmla="*/ 4 w 312"/>
              <a:gd name="T11" fmla="*/ 15 h 35"/>
              <a:gd name="T12" fmla="*/ 0 w 312"/>
              <a:gd name="T13" fmla="*/ 0 h 35"/>
              <a:gd name="T14" fmla="*/ 345 w 312"/>
              <a:gd name="T15" fmla="*/ 1 h 35"/>
              <a:gd name="T16" fmla="*/ 335 w 312"/>
              <a:gd name="T17" fmla="*/ 20 h 35"/>
              <a:gd name="T18" fmla="*/ 314 w 312"/>
              <a:gd name="T19" fmla="*/ 35 h 35"/>
              <a:gd name="T20" fmla="*/ 31 w 312"/>
              <a:gd name="T21" fmla="*/ 35 h 3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312" h="35">
                <a:moveTo>
                  <a:pt x="27" y="35"/>
                </a:moveTo>
                <a:cubicBezTo>
                  <a:pt x="18" y="34"/>
                  <a:pt x="23" y="34"/>
                  <a:pt x="18" y="31"/>
                </a:cubicBezTo>
                <a:cubicBezTo>
                  <a:pt x="16" y="30"/>
                  <a:pt x="16" y="30"/>
                  <a:pt x="15" y="29"/>
                </a:cubicBezTo>
                <a:cubicBezTo>
                  <a:pt x="14" y="28"/>
                  <a:pt x="12" y="26"/>
                  <a:pt x="11" y="25"/>
                </a:cubicBezTo>
                <a:cubicBezTo>
                  <a:pt x="10" y="24"/>
                  <a:pt x="10" y="25"/>
                  <a:pt x="9" y="23"/>
                </a:cubicBezTo>
                <a:cubicBezTo>
                  <a:pt x="8" y="21"/>
                  <a:pt x="5" y="19"/>
                  <a:pt x="4" y="15"/>
                </a:cubicBezTo>
                <a:cubicBezTo>
                  <a:pt x="2" y="11"/>
                  <a:pt x="0" y="3"/>
                  <a:pt x="0" y="0"/>
                </a:cubicBezTo>
                <a:lnTo>
                  <a:pt x="312" y="1"/>
                </a:lnTo>
                <a:cubicBezTo>
                  <a:pt x="309" y="7"/>
                  <a:pt x="309" y="17"/>
                  <a:pt x="303" y="20"/>
                </a:cubicBezTo>
                <a:cubicBezTo>
                  <a:pt x="299" y="28"/>
                  <a:pt x="294" y="35"/>
                  <a:pt x="284" y="35"/>
                </a:cubicBezTo>
                <a:lnTo>
                  <a:pt x="27" y="35"/>
                </a:lnTo>
                <a:close/>
              </a:path>
            </a:pathLst>
          </a:cu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9718" name="Freeform 13"/>
          <xdr:cNvSpPr>
            <a:spLocks/>
          </xdr:cNvSpPr>
        </xdr:nvSpPr>
        <xdr:spPr bwMode="auto">
          <a:xfrm>
            <a:off x="495" y="204"/>
            <a:ext cx="129" cy="34"/>
          </a:xfrm>
          <a:custGeom>
            <a:avLst/>
            <a:gdLst>
              <a:gd name="T0" fmla="*/ 0 w 125"/>
              <a:gd name="T1" fmla="*/ 0 h 34"/>
              <a:gd name="T2" fmla="*/ 66 w 125"/>
              <a:gd name="T3" fmla="*/ 33 h 34"/>
              <a:gd name="T4" fmla="*/ 69 w 125"/>
              <a:gd name="T5" fmla="*/ 34 h 34"/>
              <a:gd name="T6" fmla="*/ 110 w 125"/>
              <a:gd name="T7" fmla="*/ 24 h 34"/>
              <a:gd name="T8" fmla="*/ 122 w 125"/>
              <a:gd name="T9" fmla="*/ 19 h 34"/>
              <a:gd name="T10" fmla="*/ 124 w 125"/>
              <a:gd name="T11" fmla="*/ 17 h 34"/>
              <a:gd name="T12" fmla="*/ 127 w 125"/>
              <a:gd name="T13" fmla="*/ 16 h 34"/>
              <a:gd name="T14" fmla="*/ 131 w 125"/>
              <a:gd name="T15" fmla="*/ 13 h 34"/>
              <a:gd name="T16" fmla="*/ 133 w 125"/>
              <a:gd name="T17" fmla="*/ 12 h 34"/>
              <a:gd name="T18" fmla="*/ 141 w 125"/>
              <a:gd name="T19" fmla="*/ 0 h 34"/>
              <a:gd name="T20" fmla="*/ 0 w 125"/>
              <a:gd name="T21" fmla="*/ 0 h 34"/>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25" h="34">
                <a:moveTo>
                  <a:pt x="0" y="0"/>
                </a:moveTo>
                <a:cubicBezTo>
                  <a:pt x="19" y="19"/>
                  <a:pt x="28" y="31"/>
                  <a:pt x="58" y="33"/>
                </a:cubicBezTo>
                <a:cubicBezTo>
                  <a:pt x="59" y="34"/>
                  <a:pt x="61" y="34"/>
                  <a:pt x="61" y="34"/>
                </a:cubicBezTo>
                <a:cubicBezTo>
                  <a:pt x="73" y="33"/>
                  <a:pt x="88" y="31"/>
                  <a:pt x="98" y="24"/>
                </a:cubicBezTo>
                <a:cubicBezTo>
                  <a:pt x="105" y="21"/>
                  <a:pt x="105" y="20"/>
                  <a:pt x="107" y="19"/>
                </a:cubicBezTo>
                <a:cubicBezTo>
                  <a:pt x="109" y="18"/>
                  <a:pt x="108" y="17"/>
                  <a:pt x="109" y="17"/>
                </a:cubicBezTo>
                <a:cubicBezTo>
                  <a:pt x="110" y="16"/>
                  <a:pt x="110" y="17"/>
                  <a:pt x="111" y="16"/>
                </a:cubicBezTo>
                <a:cubicBezTo>
                  <a:pt x="112" y="15"/>
                  <a:pt x="114" y="14"/>
                  <a:pt x="115" y="13"/>
                </a:cubicBezTo>
                <a:cubicBezTo>
                  <a:pt x="116" y="12"/>
                  <a:pt x="115" y="14"/>
                  <a:pt x="117" y="12"/>
                </a:cubicBezTo>
                <a:cubicBezTo>
                  <a:pt x="119" y="8"/>
                  <a:pt x="125" y="4"/>
                  <a:pt x="125" y="0"/>
                </a:cubicBezTo>
                <a:lnTo>
                  <a:pt x="0" y="0"/>
                </a:lnTo>
                <a:close/>
              </a:path>
            </a:pathLst>
          </a:cu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9719" name="Line 14"/>
          <xdr:cNvSpPr>
            <a:spLocks noChangeShapeType="1"/>
          </xdr:cNvSpPr>
        </xdr:nvSpPr>
        <xdr:spPr bwMode="auto">
          <a:xfrm>
            <a:off x="19" y="85"/>
            <a:ext cx="0" cy="1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9720" name="Line 16"/>
          <xdr:cNvSpPr>
            <a:spLocks noChangeShapeType="1"/>
          </xdr:cNvSpPr>
        </xdr:nvSpPr>
        <xdr:spPr bwMode="auto">
          <a:xfrm flipV="1">
            <a:off x="131" y="5"/>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721" name="Line 17"/>
          <xdr:cNvSpPr>
            <a:spLocks noChangeShapeType="1"/>
          </xdr:cNvSpPr>
        </xdr:nvSpPr>
        <xdr:spPr bwMode="auto">
          <a:xfrm flipV="1">
            <a:off x="395" y="7"/>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722" name="Line 18"/>
          <xdr:cNvSpPr>
            <a:spLocks noChangeShapeType="1"/>
          </xdr:cNvSpPr>
        </xdr:nvSpPr>
        <xdr:spPr bwMode="auto">
          <a:xfrm flipV="1">
            <a:off x="433" y="7"/>
            <a:ext cx="0" cy="1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723" name="Line 19"/>
          <xdr:cNvSpPr>
            <a:spLocks noChangeShapeType="1"/>
          </xdr:cNvSpPr>
        </xdr:nvSpPr>
        <xdr:spPr bwMode="auto">
          <a:xfrm flipV="1">
            <a:off x="94" y="22"/>
            <a:ext cx="0" cy="1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724" name="Line 20"/>
          <xdr:cNvSpPr>
            <a:spLocks noChangeShapeType="1"/>
          </xdr:cNvSpPr>
        </xdr:nvSpPr>
        <xdr:spPr bwMode="auto">
          <a:xfrm>
            <a:off x="131" y="34"/>
            <a:ext cx="26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9725" name="Line 22"/>
          <xdr:cNvSpPr>
            <a:spLocks noChangeShapeType="1"/>
          </xdr:cNvSpPr>
        </xdr:nvSpPr>
        <xdr:spPr bwMode="auto">
          <a:xfrm>
            <a:off x="433" y="34"/>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sp macro="" textlink="">
        <xdr:nvSpPr>
          <xdr:cNvPr id="19726" name="Line 23"/>
          <xdr:cNvSpPr>
            <a:spLocks noChangeShapeType="1"/>
          </xdr:cNvSpPr>
        </xdr:nvSpPr>
        <xdr:spPr bwMode="auto">
          <a:xfrm flipH="1">
            <a:off x="66" y="34"/>
            <a:ext cx="2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9727" name="Line 24"/>
          <xdr:cNvSpPr>
            <a:spLocks noChangeShapeType="1"/>
          </xdr:cNvSpPr>
        </xdr:nvSpPr>
        <xdr:spPr bwMode="auto">
          <a:xfrm>
            <a:off x="417" y="238"/>
            <a:ext cx="10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728" name="Line 27"/>
          <xdr:cNvSpPr>
            <a:spLocks noChangeShapeType="1"/>
          </xdr:cNvSpPr>
        </xdr:nvSpPr>
        <xdr:spPr bwMode="auto">
          <a:xfrm>
            <a:off x="460" y="204"/>
            <a:ext cx="0" cy="3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9484" name="Text Box 28">
            <a:extLst>
              <a:ext uri="{FF2B5EF4-FFF2-40B4-BE49-F238E27FC236}">
                <a16:creationId xmlns:a16="http://schemas.microsoft.com/office/drawing/2014/main" id="{32CD8858-2F42-4A49-8DF7-772497DAF52C}"/>
              </a:ext>
            </a:extLst>
          </xdr:cNvPr>
          <xdr:cNvSpPr txBox="1">
            <a:spLocks noChangeArrowheads="1"/>
          </xdr:cNvSpPr>
        </xdr:nvSpPr>
        <xdr:spPr bwMode="auto">
          <a:xfrm>
            <a:off x="465" y="213"/>
            <a:ext cx="14" cy="19"/>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800" b="0" i="0" u="none" strike="noStrike" baseline="0">
                <a:solidFill>
                  <a:srgbClr val="000000"/>
                </a:solidFill>
                <a:latin typeface="Arial"/>
                <a:cs typeface="Arial"/>
              </a:rPr>
              <a:t>H</a:t>
            </a:r>
            <a:r>
              <a:rPr lang="en-IN" sz="800" b="0" i="0" u="none" strike="noStrike" baseline="-25000">
                <a:solidFill>
                  <a:srgbClr val="000000"/>
                </a:solidFill>
                <a:latin typeface="Arial"/>
                <a:cs typeface="Arial"/>
              </a:rPr>
              <a:t>1</a:t>
            </a:r>
          </a:p>
        </xdr:txBody>
      </xdr:sp>
      <xdr:sp macro="" textlink="">
        <xdr:nvSpPr>
          <xdr:cNvPr id="19487" name="Text Box 31">
            <a:extLst>
              <a:ext uri="{FF2B5EF4-FFF2-40B4-BE49-F238E27FC236}">
                <a16:creationId xmlns:a16="http://schemas.microsoft.com/office/drawing/2014/main" id="{411D8AEB-4DEE-4D40-8588-A47AF3A5BBF7}"/>
              </a:ext>
            </a:extLst>
          </xdr:cNvPr>
          <xdr:cNvSpPr txBox="1">
            <a:spLocks noChangeArrowheads="1"/>
          </xdr:cNvSpPr>
        </xdr:nvSpPr>
        <xdr:spPr bwMode="auto">
          <a:xfrm>
            <a:off x="503" y="173"/>
            <a:ext cx="19" cy="1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IN" sz="800" b="0" i="0" u="none" strike="noStrike" baseline="0">
                <a:solidFill>
                  <a:srgbClr val="000000"/>
                </a:solidFill>
                <a:latin typeface="Arial"/>
                <a:cs typeface="Arial"/>
              </a:rPr>
              <a:t>D/2</a:t>
            </a:r>
          </a:p>
        </xdr:txBody>
      </xdr:sp>
      <xdr:sp macro="" textlink="">
        <xdr:nvSpPr>
          <xdr:cNvPr id="19488" name="Text Box 32">
            <a:extLst>
              <a:ext uri="{FF2B5EF4-FFF2-40B4-BE49-F238E27FC236}">
                <a16:creationId xmlns:a16="http://schemas.microsoft.com/office/drawing/2014/main" id="{D68D5193-E6FA-4C1B-B14F-2961BCC11EC3}"/>
              </a:ext>
            </a:extLst>
          </xdr:cNvPr>
          <xdr:cNvSpPr txBox="1">
            <a:spLocks noChangeArrowheads="1"/>
          </xdr:cNvSpPr>
        </xdr:nvSpPr>
        <xdr:spPr bwMode="auto">
          <a:xfrm>
            <a:off x="596" y="172"/>
            <a:ext cx="19" cy="1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IN" sz="800" b="0" i="0" u="none" strike="noStrike" baseline="0">
                <a:solidFill>
                  <a:srgbClr val="000000"/>
                </a:solidFill>
                <a:latin typeface="Arial"/>
                <a:cs typeface="Arial"/>
              </a:rPr>
              <a:t>D/2</a:t>
            </a:r>
          </a:p>
        </xdr:txBody>
      </xdr:sp>
      <xdr:sp macro="" textlink="">
        <xdr:nvSpPr>
          <xdr:cNvPr id="19732" name="Line 29"/>
          <xdr:cNvSpPr>
            <a:spLocks noChangeShapeType="1"/>
          </xdr:cNvSpPr>
        </xdr:nvSpPr>
        <xdr:spPr bwMode="auto">
          <a:xfrm>
            <a:off x="560" y="160"/>
            <a:ext cx="65" cy="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489" name="Text Box 33">
            <a:extLst>
              <a:ext uri="{FF2B5EF4-FFF2-40B4-BE49-F238E27FC236}">
                <a16:creationId xmlns:a16="http://schemas.microsoft.com/office/drawing/2014/main" id="{D25459FA-2FD9-45B8-A87E-E3E2FF2961AB}"/>
              </a:ext>
            </a:extLst>
          </xdr:cNvPr>
          <xdr:cNvSpPr txBox="1">
            <a:spLocks noChangeArrowheads="1"/>
          </xdr:cNvSpPr>
        </xdr:nvSpPr>
        <xdr:spPr bwMode="auto">
          <a:xfrm>
            <a:off x="545" y="170"/>
            <a:ext cx="10" cy="1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0" anchor="t" upright="1">
            <a:spAutoFit/>
          </a:bodyPr>
          <a:lstStyle/>
          <a:p>
            <a:pPr algn="ctr" rtl="0">
              <a:defRPr sz="1000"/>
            </a:pPr>
            <a:r>
              <a:rPr lang="en-IN" sz="800" b="0" i="0" u="none" strike="noStrike" baseline="0">
                <a:solidFill>
                  <a:srgbClr val="000000"/>
                </a:solidFill>
                <a:latin typeface="Symbol"/>
              </a:rPr>
              <a:t>a</a:t>
            </a:r>
          </a:p>
        </xdr:txBody>
      </xdr:sp>
      <xdr:sp macro="" textlink="">
        <xdr:nvSpPr>
          <xdr:cNvPr id="19734" name="Arc 34"/>
          <xdr:cNvSpPr>
            <a:spLocks/>
          </xdr:cNvSpPr>
        </xdr:nvSpPr>
        <xdr:spPr bwMode="auto">
          <a:xfrm rot="9620771">
            <a:off x="543" y="175"/>
            <a:ext cx="11" cy="13"/>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9735" name="Line 30"/>
          <xdr:cNvSpPr>
            <a:spLocks noChangeShapeType="1"/>
          </xdr:cNvSpPr>
        </xdr:nvSpPr>
        <xdr:spPr bwMode="auto">
          <a:xfrm flipH="1">
            <a:off x="495" y="160"/>
            <a:ext cx="65" cy="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9491" name="Text Box 35">
            <a:extLst>
              <a:ext uri="{FF2B5EF4-FFF2-40B4-BE49-F238E27FC236}">
                <a16:creationId xmlns:a16="http://schemas.microsoft.com/office/drawing/2014/main" id="{DAF4FA52-5F34-445D-BB5C-669A95F703BE}"/>
              </a:ext>
            </a:extLst>
          </xdr:cNvPr>
          <xdr:cNvSpPr txBox="1">
            <a:spLocks noChangeArrowheads="1"/>
          </xdr:cNvSpPr>
        </xdr:nvSpPr>
        <xdr:spPr bwMode="auto">
          <a:xfrm>
            <a:off x="254" y="24"/>
            <a:ext cx="10"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L</a:t>
            </a:r>
          </a:p>
        </xdr:txBody>
      </xdr:sp>
      <xdr:sp macro="" textlink="">
        <xdr:nvSpPr>
          <xdr:cNvPr id="19492" name="Text Box 36">
            <a:extLst>
              <a:ext uri="{FF2B5EF4-FFF2-40B4-BE49-F238E27FC236}">
                <a16:creationId xmlns:a16="http://schemas.microsoft.com/office/drawing/2014/main" id="{51AF302B-14FF-4387-BC19-B2C0FECAFABE}"/>
              </a:ext>
            </a:extLst>
          </xdr:cNvPr>
          <xdr:cNvSpPr txBox="1">
            <a:spLocks noChangeArrowheads="1"/>
          </xdr:cNvSpPr>
        </xdr:nvSpPr>
        <xdr:spPr bwMode="auto">
          <a:xfrm>
            <a:off x="11" y="143"/>
            <a:ext cx="12"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D</a:t>
            </a:r>
          </a:p>
        </xdr:txBody>
      </xdr:sp>
      <xdr:sp macro="" textlink="">
        <xdr:nvSpPr>
          <xdr:cNvPr id="19493" name="Text Box 37">
            <a:extLst>
              <a:ext uri="{FF2B5EF4-FFF2-40B4-BE49-F238E27FC236}">
                <a16:creationId xmlns:a16="http://schemas.microsoft.com/office/drawing/2014/main" id="{3460540C-D736-4D68-9CCA-ACDA8AA81DAC}"/>
              </a:ext>
            </a:extLst>
          </xdr:cNvPr>
          <xdr:cNvSpPr txBox="1">
            <a:spLocks noChangeArrowheads="1"/>
          </xdr:cNvSpPr>
        </xdr:nvSpPr>
        <xdr:spPr bwMode="auto">
          <a:xfrm>
            <a:off x="105" y="23"/>
            <a:ext cx="10"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b</a:t>
            </a:r>
          </a:p>
        </xdr:txBody>
      </xdr:sp>
      <xdr:sp macro="" textlink="">
        <xdr:nvSpPr>
          <xdr:cNvPr id="19494" name="Text Box 38">
            <a:extLst>
              <a:ext uri="{FF2B5EF4-FFF2-40B4-BE49-F238E27FC236}">
                <a16:creationId xmlns:a16="http://schemas.microsoft.com/office/drawing/2014/main" id="{772EEC0C-7BED-4B3C-99CA-CCFBA6EEEBA9}"/>
              </a:ext>
            </a:extLst>
          </xdr:cNvPr>
          <xdr:cNvSpPr txBox="1">
            <a:spLocks noChangeArrowheads="1"/>
          </xdr:cNvSpPr>
        </xdr:nvSpPr>
        <xdr:spPr bwMode="auto">
          <a:xfrm>
            <a:off x="404" y="24"/>
            <a:ext cx="10"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b</a:t>
            </a:r>
          </a:p>
        </xdr:txBody>
      </xdr:sp>
    </xdr:grpSp>
    <xdr:clientData/>
  </xdr:twoCellAnchor>
  <mc:AlternateContent xmlns:mc="http://schemas.openxmlformats.org/markup-compatibility/2006">
    <mc:Choice xmlns:a14="http://schemas.microsoft.com/office/drawing/2010/main" Requires="a14">
      <xdr:twoCellAnchor editAs="oneCell">
        <xdr:from>
          <xdr:col>2</xdr:col>
          <xdr:colOff>161925</xdr:colOff>
          <xdr:row>29</xdr:row>
          <xdr:rowOff>38100</xdr:rowOff>
        </xdr:from>
        <xdr:to>
          <xdr:col>6</xdr:col>
          <xdr:colOff>9525</xdr:colOff>
          <xdr:row>33</xdr:row>
          <xdr:rowOff>57150</xdr:rowOff>
        </xdr:to>
        <xdr:sp macro="" textlink="">
          <xdr:nvSpPr>
            <xdr:cNvPr id="19497" name="Object 41" hidden="1">
              <a:extLst>
                <a:ext uri="{63B3BB69-23CF-44E3-9099-C40C66FF867C}">
                  <a14:compatExt spid="_x0000_s194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35</xdr:row>
          <xdr:rowOff>85725</xdr:rowOff>
        </xdr:from>
        <xdr:to>
          <xdr:col>6</xdr:col>
          <xdr:colOff>152400</xdr:colOff>
          <xdr:row>39</xdr:row>
          <xdr:rowOff>47625</xdr:rowOff>
        </xdr:to>
        <xdr:sp macro="" textlink="">
          <xdr:nvSpPr>
            <xdr:cNvPr id="19498" name="Object 42" hidden="1">
              <a:extLst>
                <a:ext uri="{63B3BB69-23CF-44E3-9099-C40C66FF867C}">
                  <a14:compatExt spid="_x0000_s1949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39</xdr:row>
          <xdr:rowOff>152400</xdr:rowOff>
        </xdr:from>
        <xdr:to>
          <xdr:col>9</xdr:col>
          <xdr:colOff>104775</xdr:colOff>
          <xdr:row>47</xdr:row>
          <xdr:rowOff>95250</xdr:rowOff>
        </xdr:to>
        <xdr:sp macro="" textlink="">
          <xdr:nvSpPr>
            <xdr:cNvPr id="19499" name="Object 43" hidden="1">
              <a:extLst>
                <a:ext uri="{63B3BB69-23CF-44E3-9099-C40C66FF867C}">
                  <a14:compatExt spid="_x0000_s1949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295275</xdr:colOff>
      <xdr:row>1</xdr:row>
      <xdr:rowOff>9525</xdr:rowOff>
    </xdr:from>
    <xdr:to>
      <xdr:col>18</xdr:col>
      <xdr:colOff>600075</xdr:colOff>
      <xdr:row>21</xdr:row>
      <xdr:rowOff>114300</xdr:rowOff>
    </xdr:to>
    <xdr:sp macro="" textlink="">
      <xdr:nvSpPr>
        <xdr:cNvPr id="19501" name="Rectangle 45">
          <a:extLst>
            <a:ext uri="{FF2B5EF4-FFF2-40B4-BE49-F238E27FC236}">
              <a16:creationId xmlns:a16="http://schemas.microsoft.com/office/drawing/2014/main" id="{7D849E4E-E32E-4D6A-B8A4-F7E969BAC90F}"/>
            </a:ext>
          </a:extLst>
        </xdr:cNvPr>
        <xdr:cNvSpPr>
          <a:spLocks noChangeArrowheads="1"/>
        </xdr:cNvSpPr>
      </xdr:nvSpPr>
      <xdr:spPr bwMode="auto">
        <a:xfrm>
          <a:off x="7000875" y="171450"/>
          <a:ext cx="4572000" cy="3371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Oct 31, 1999</a:t>
          </a:r>
        </a:p>
        <a:p>
          <a:pPr algn="l" rtl="0">
            <a:defRPr sz="1000"/>
          </a:pPr>
          <a:r>
            <a:rPr lang="en-IN" sz="1000" b="0" i="0" u="none" strike="noStrike" baseline="0">
              <a:solidFill>
                <a:srgbClr val="000000"/>
              </a:solidFill>
              <a:latin typeface="Arial"/>
              <a:cs typeface="Arial"/>
            </a:rPr>
            <a:t>www.about.com</a:t>
          </a: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r>
            <a:rPr lang="en-IN" sz="1200" b="0" i="0" u="none" strike="noStrike" baseline="0">
              <a:solidFill>
                <a:srgbClr val="000000"/>
              </a:solidFill>
              <a:latin typeface="Arial"/>
              <a:cs typeface="Arial"/>
            </a:rPr>
            <a:t>The volume V of a liquid in a horizontal cylindrical tank is:</a:t>
          </a: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a:t>
          </a:r>
          <a:r>
            <a:rPr lang="en-IN" sz="1600" b="1" i="0" u="none" strike="noStrike" baseline="0">
              <a:solidFill>
                <a:srgbClr val="000000"/>
              </a:solidFill>
              <a:latin typeface="Arial"/>
              <a:cs typeface="Arial"/>
            </a:rPr>
            <a:t>V = LD</a:t>
          </a:r>
          <a:r>
            <a:rPr lang="en-IN" sz="1600" b="1" i="0" u="none" strike="noStrike" baseline="30000">
              <a:solidFill>
                <a:srgbClr val="000000"/>
              </a:solidFill>
              <a:latin typeface="Arial"/>
              <a:cs typeface="Arial"/>
            </a:rPr>
            <a:t>2</a:t>
          </a:r>
          <a:r>
            <a:rPr lang="en-IN" sz="1600" b="1" i="0" u="none" strike="noStrike" baseline="0">
              <a:solidFill>
                <a:srgbClr val="000000"/>
              </a:solidFill>
              <a:latin typeface="Arial"/>
              <a:cs typeface="Arial"/>
            </a:rPr>
            <a:t> (2Z-sin(2Z)) /8</a:t>
          </a:r>
          <a:r>
            <a:rPr lang="en-IN" sz="1000" b="0" i="0" u="none" strike="noStrike" baseline="0">
              <a:solidFill>
                <a:srgbClr val="000000"/>
              </a:solidFill>
              <a:latin typeface="Arial"/>
              <a:cs typeface="Arial"/>
            </a:rPr>
            <a:t> </a:t>
          </a:r>
        </a:p>
        <a:p>
          <a:pPr algn="l" rtl="0">
            <a:defRPr sz="1000"/>
          </a:pPr>
          <a:endParaRPr lang="en-IN" sz="1000" b="0" i="0" u="none" strike="noStrike" baseline="0">
            <a:solidFill>
              <a:srgbClr val="000000"/>
            </a:solidFill>
            <a:latin typeface="Arial"/>
            <a:cs typeface="Arial"/>
          </a:endParaRPr>
        </a:p>
        <a:p>
          <a:pPr algn="l" rtl="0">
            <a:defRPr sz="1000"/>
          </a:pPr>
          <a:r>
            <a:rPr lang="en-IN" sz="1200" b="0" i="0" u="none" strike="noStrike" baseline="0">
              <a:solidFill>
                <a:srgbClr val="000000"/>
              </a:solidFill>
              <a:latin typeface="Arial"/>
              <a:cs typeface="Arial"/>
            </a:rPr>
            <a:t>Where,</a:t>
          </a:r>
        </a:p>
        <a:p>
          <a:pPr algn="l" rtl="0">
            <a:defRPr sz="1000"/>
          </a:pPr>
          <a:r>
            <a:rPr lang="en-IN" sz="1200" b="0" i="0" u="none" strike="noStrike" baseline="0">
              <a:solidFill>
                <a:srgbClr val="000000"/>
              </a:solidFill>
              <a:latin typeface="Arial"/>
              <a:cs typeface="Arial"/>
            </a:rPr>
            <a:t>Z = arccos(1-2h/D) </a:t>
          </a:r>
        </a:p>
        <a:p>
          <a:pPr algn="l" rtl="0">
            <a:defRPr sz="1000"/>
          </a:pPr>
          <a:r>
            <a:rPr lang="en-IN" sz="1200" b="0" i="0" u="none" strike="noStrike" baseline="0">
              <a:solidFill>
                <a:srgbClr val="000000"/>
              </a:solidFill>
              <a:latin typeface="Arial"/>
              <a:cs typeface="Arial"/>
            </a:rPr>
            <a:t>h = height of liquid in the horizontal cylindrical tank </a:t>
          </a:r>
        </a:p>
        <a:p>
          <a:pPr algn="l" rtl="0">
            <a:defRPr sz="1000"/>
          </a:pPr>
          <a:r>
            <a:rPr lang="en-IN" sz="1200" b="0" i="0" u="none" strike="noStrike" baseline="0">
              <a:solidFill>
                <a:srgbClr val="000000"/>
              </a:solidFill>
              <a:latin typeface="Arial"/>
              <a:cs typeface="Arial"/>
            </a:rPr>
            <a:t>D = diameter of the tank </a:t>
          </a:r>
        </a:p>
        <a:p>
          <a:pPr algn="l" rtl="0">
            <a:defRPr sz="1000"/>
          </a:pPr>
          <a:r>
            <a:rPr lang="en-IN" sz="1200" b="0" i="0" u="none" strike="noStrike" baseline="0">
              <a:solidFill>
                <a:srgbClr val="000000"/>
              </a:solidFill>
              <a:latin typeface="Arial"/>
              <a:cs typeface="Arial"/>
            </a:rPr>
            <a:t>L = length of the tank </a:t>
          </a:r>
        </a:p>
        <a:p>
          <a:pPr algn="l" rtl="0">
            <a:defRPr sz="1000"/>
          </a:pPr>
          <a:endParaRPr lang="en-IN" sz="1200" b="0" i="0" u="none" strike="noStrike" baseline="0">
            <a:solidFill>
              <a:srgbClr val="000000"/>
            </a:solidFill>
            <a:latin typeface="Arial"/>
            <a:cs typeface="Arial"/>
          </a:endParaRPr>
        </a:p>
        <a:p>
          <a:pPr algn="l" rtl="0">
            <a:defRPr sz="1000"/>
          </a:pPr>
          <a:r>
            <a:rPr lang="en-IN" sz="1200" b="0" i="0" u="none" strike="noStrike" baseline="0">
              <a:solidFill>
                <a:srgbClr val="000000"/>
              </a:solidFill>
              <a:latin typeface="Arial"/>
              <a:cs typeface="Arial"/>
            </a:rPr>
            <a:t>Note that the result of the arccos-function has to be taken in radians.</a:t>
          </a:r>
        </a:p>
        <a:p>
          <a:pPr algn="l" rtl="0">
            <a:defRPr sz="1000"/>
          </a:pPr>
          <a:endParaRPr lang="en-IN" sz="1200" b="0" i="0" u="none" strike="noStrike" baseline="0">
            <a:solidFill>
              <a:srgbClr val="000000"/>
            </a:solidFill>
            <a:latin typeface="Arial"/>
            <a:cs typeface="Arial"/>
          </a:endParaRPr>
        </a:p>
        <a:p>
          <a:pPr algn="l" rtl="0">
            <a:defRPr sz="1000"/>
          </a:pPr>
          <a:r>
            <a:rPr lang="en-IN" sz="1200" b="0" i="0" u="none" strike="noStrike" baseline="0">
              <a:solidFill>
                <a:srgbClr val="000000"/>
              </a:solidFill>
              <a:latin typeface="Arial"/>
              <a:cs typeface="Arial"/>
            </a:rPr>
            <a:t>Bernhard Spang</a:t>
          </a: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2</xdr:row>
      <xdr:rowOff>85725</xdr:rowOff>
    </xdr:from>
    <xdr:to>
      <xdr:col>9</xdr:col>
      <xdr:colOff>352425</xdr:colOff>
      <xdr:row>17</xdr:row>
      <xdr:rowOff>66675</xdr:rowOff>
    </xdr:to>
    <xdr:grpSp>
      <xdr:nvGrpSpPr>
        <xdr:cNvPr id="20793" name="Group 52"/>
        <xdr:cNvGrpSpPr>
          <a:grpSpLocks/>
        </xdr:cNvGrpSpPr>
      </xdr:nvGrpSpPr>
      <xdr:grpSpPr bwMode="auto">
        <a:xfrm>
          <a:off x="266700" y="409575"/>
          <a:ext cx="5572125" cy="2409825"/>
          <a:chOff x="64" y="33"/>
          <a:chExt cx="585" cy="253"/>
        </a:xfrm>
      </xdr:grpSpPr>
      <xdr:sp macro="" textlink="">
        <xdr:nvSpPr>
          <xdr:cNvPr id="20794" name="Oval 1"/>
          <xdr:cNvSpPr>
            <a:spLocks noChangeArrowheads="1"/>
          </xdr:cNvSpPr>
        </xdr:nvSpPr>
        <xdr:spPr bwMode="auto">
          <a:xfrm>
            <a:off x="64" y="73"/>
            <a:ext cx="128" cy="89"/>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0795" name="Oval 3"/>
          <xdr:cNvSpPr>
            <a:spLocks noChangeArrowheads="1"/>
          </xdr:cNvSpPr>
        </xdr:nvSpPr>
        <xdr:spPr bwMode="auto">
          <a:xfrm>
            <a:off x="64" y="193"/>
            <a:ext cx="128" cy="89"/>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0796" name="Rectangle 2"/>
          <xdr:cNvSpPr>
            <a:spLocks noChangeArrowheads="1"/>
          </xdr:cNvSpPr>
        </xdr:nvSpPr>
        <xdr:spPr bwMode="auto">
          <a:xfrm>
            <a:off x="64" y="119"/>
            <a:ext cx="128" cy="1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0797" name="Freeform 7"/>
          <xdr:cNvSpPr>
            <a:spLocks/>
          </xdr:cNvSpPr>
        </xdr:nvSpPr>
        <xdr:spPr bwMode="auto">
          <a:xfrm>
            <a:off x="70" y="255"/>
            <a:ext cx="118" cy="28"/>
          </a:xfrm>
          <a:custGeom>
            <a:avLst/>
            <a:gdLst>
              <a:gd name="T0" fmla="*/ 0 w 112"/>
              <a:gd name="T1" fmla="*/ 0 h 24"/>
              <a:gd name="T2" fmla="*/ 18 w 112"/>
              <a:gd name="T3" fmla="*/ 22 h 24"/>
              <a:gd name="T4" fmla="*/ 67 w 112"/>
              <a:gd name="T5" fmla="*/ 43 h 24"/>
              <a:gd name="T6" fmla="*/ 89 w 112"/>
              <a:gd name="T7" fmla="*/ 41 h 24"/>
              <a:gd name="T8" fmla="*/ 90 w 112"/>
              <a:gd name="T9" fmla="*/ 40 h 24"/>
              <a:gd name="T10" fmla="*/ 94 w 112"/>
              <a:gd name="T11" fmla="*/ 37 h 24"/>
              <a:gd name="T12" fmla="*/ 99 w 112"/>
              <a:gd name="T13" fmla="*/ 35 h 24"/>
              <a:gd name="T14" fmla="*/ 102 w 112"/>
              <a:gd name="T15" fmla="*/ 34 h 24"/>
              <a:gd name="T16" fmla="*/ 102 w 112"/>
              <a:gd name="T17" fmla="*/ 34 h 24"/>
              <a:gd name="T18" fmla="*/ 109 w 112"/>
              <a:gd name="T19" fmla="*/ 32 h 24"/>
              <a:gd name="T20" fmla="*/ 112 w 112"/>
              <a:gd name="T21" fmla="*/ 29 h 24"/>
              <a:gd name="T22" fmla="*/ 115 w 112"/>
              <a:gd name="T23" fmla="*/ 26 h 24"/>
              <a:gd name="T24" fmla="*/ 122 w 112"/>
              <a:gd name="T25" fmla="*/ 22 h 24"/>
              <a:gd name="T26" fmla="*/ 132 w 112"/>
              <a:gd name="T27" fmla="*/ 9 h 24"/>
              <a:gd name="T28" fmla="*/ 138 w 112"/>
              <a:gd name="T29" fmla="*/ 0 h 24"/>
              <a:gd name="T30" fmla="*/ 0 w 112"/>
              <a:gd name="T31" fmla="*/ 0 h 24"/>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Lst>
            <a:ahLst/>
            <a:cxnLst>
              <a:cxn ang="T32">
                <a:pos x="T0" y="T1"/>
              </a:cxn>
              <a:cxn ang="T33">
                <a:pos x="T2" y="T3"/>
              </a:cxn>
              <a:cxn ang="T34">
                <a:pos x="T4" y="T5"/>
              </a:cxn>
              <a:cxn ang="T35">
                <a:pos x="T6" y="T7"/>
              </a:cxn>
              <a:cxn ang="T36">
                <a:pos x="T8" y="T9"/>
              </a:cxn>
              <a:cxn ang="T37">
                <a:pos x="T10" y="T11"/>
              </a:cxn>
              <a:cxn ang="T38">
                <a:pos x="T12" y="T13"/>
              </a:cxn>
              <a:cxn ang="T39">
                <a:pos x="T14" y="T15"/>
              </a:cxn>
              <a:cxn ang="T40">
                <a:pos x="T16" y="T17"/>
              </a:cxn>
              <a:cxn ang="T41">
                <a:pos x="T18" y="T19"/>
              </a:cxn>
              <a:cxn ang="T42">
                <a:pos x="T20" y="T21"/>
              </a:cxn>
              <a:cxn ang="T43">
                <a:pos x="T22" y="T23"/>
              </a:cxn>
              <a:cxn ang="T44">
                <a:pos x="T24" y="T25"/>
              </a:cxn>
              <a:cxn ang="T45">
                <a:pos x="T26" y="T27"/>
              </a:cxn>
              <a:cxn ang="T46">
                <a:pos x="T28" y="T29"/>
              </a:cxn>
              <a:cxn ang="T47">
                <a:pos x="T30" y="T31"/>
              </a:cxn>
            </a:cxnLst>
            <a:rect l="0" t="0" r="r" b="b"/>
            <a:pathLst>
              <a:path w="112" h="24">
                <a:moveTo>
                  <a:pt x="0" y="0"/>
                </a:moveTo>
                <a:cubicBezTo>
                  <a:pt x="4" y="4"/>
                  <a:pt x="9" y="10"/>
                  <a:pt x="14" y="12"/>
                </a:cubicBezTo>
                <a:cubicBezTo>
                  <a:pt x="23" y="21"/>
                  <a:pt x="43" y="22"/>
                  <a:pt x="55" y="23"/>
                </a:cubicBezTo>
                <a:cubicBezTo>
                  <a:pt x="65" y="24"/>
                  <a:pt x="69" y="22"/>
                  <a:pt x="72" y="22"/>
                </a:cubicBezTo>
                <a:cubicBezTo>
                  <a:pt x="75" y="22"/>
                  <a:pt x="72" y="21"/>
                  <a:pt x="73" y="21"/>
                </a:cubicBezTo>
                <a:cubicBezTo>
                  <a:pt x="74" y="21"/>
                  <a:pt x="75" y="20"/>
                  <a:pt x="76" y="20"/>
                </a:cubicBezTo>
                <a:cubicBezTo>
                  <a:pt x="77" y="20"/>
                  <a:pt x="79" y="19"/>
                  <a:pt x="80" y="19"/>
                </a:cubicBezTo>
                <a:cubicBezTo>
                  <a:pt x="81" y="19"/>
                  <a:pt x="83" y="18"/>
                  <a:pt x="83" y="18"/>
                </a:cubicBezTo>
                <a:cubicBezTo>
                  <a:pt x="84" y="18"/>
                  <a:pt x="82" y="18"/>
                  <a:pt x="83" y="18"/>
                </a:cubicBezTo>
                <a:cubicBezTo>
                  <a:pt x="84" y="18"/>
                  <a:pt x="87" y="18"/>
                  <a:pt x="88" y="17"/>
                </a:cubicBezTo>
                <a:cubicBezTo>
                  <a:pt x="89" y="16"/>
                  <a:pt x="90" y="16"/>
                  <a:pt x="91" y="15"/>
                </a:cubicBezTo>
                <a:cubicBezTo>
                  <a:pt x="93" y="14"/>
                  <a:pt x="92" y="14"/>
                  <a:pt x="93" y="14"/>
                </a:cubicBezTo>
                <a:cubicBezTo>
                  <a:pt x="94" y="14"/>
                  <a:pt x="97" y="13"/>
                  <a:pt x="99" y="12"/>
                </a:cubicBezTo>
                <a:cubicBezTo>
                  <a:pt x="102" y="9"/>
                  <a:pt x="104" y="8"/>
                  <a:pt x="107" y="5"/>
                </a:cubicBezTo>
                <a:cubicBezTo>
                  <a:pt x="109" y="3"/>
                  <a:pt x="112" y="0"/>
                  <a:pt x="112" y="0"/>
                </a:cubicBezTo>
                <a:lnTo>
                  <a:pt x="0" y="0"/>
                </a:lnTo>
                <a:close/>
              </a:path>
            </a:pathLst>
          </a:cu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0798" name="Oval 8"/>
          <xdr:cNvSpPr>
            <a:spLocks noChangeArrowheads="1"/>
          </xdr:cNvSpPr>
        </xdr:nvSpPr>
        <xdr:spPr bwMode="auto">
          <a:xfrm>
            <a:off x="256" y="73"/>
            <a:ext cx="128" cy="89"/>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0799" name="Oval 9"/>
          <xdr:cNvSpPr>
            <a:spLocks noChangeArrowheads="1"/>
          </xdr:cNvSpPr>
        </xdr:nvSpPr>
        <xdr:spPr bwMode="auto">
          <a:xfrm>
            <a:off x="256" y="193"/>
            <a:ext cx="128" cy="89"/>
          </a:xfrm>
          <a:prstGeom prst="ellipse">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0800" name="Rectangle 10"/>
          <xdr:cNvSpPr>
            <a:spLocks noChangeArrowheads="1"/>
          </xdr:cNvSpPr>
        </xdr:nvSpPr>
        <xdr:spPr bwMode="auto">
          <a:xfrm>
            <a:off x="256" y="119"/>
            <a:ext cx="128" cy="1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0801" name="Rectangle 12"/>
          <xdr:cNvSpPr>
            <a:spLocks noChangeArrowheads="1"/>
          </xdr:cNvSpPr>
        </xdr:nvSpPr>
        <xdr:spPr bwMode="auto">
          <a:xfrm>
            <a:off x="256" y="170"/>
            <a:ext cx="128" cy="68"/>
          </a:xfrm>
          <a:prstGeom prst="rect">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0802" name="Oval 13"/>
          <xdr:cNvSpPr>
            <a:spLocks noChangeArrowheads="1"/>
          </xdr:cNvSpPr>
        </xdr:nvSpPr>
        <xdr:spPr bwMode="auto">
          <a:xfrm>
            <a:off x="448" y="73"/>
            <a:ext cx="128" cy="89"/>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0803" name="Oval 14"/>
          <xdr:cNvSpPr>
            <a:spLocks noChangeArrowheads="1"/>
          </xdr:cNvSpPr>
        </xdr:nvSpPr>
        <xdr:spPr bwMode="auto">
          <a:xfrm>
            <a:off x="448" y="193"/>
            <a:ext cx="128" cy="89"/>
          </a:xfrm>
          <a:prstGeom prst="ellipse">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0804" name="Rectangle 15"/>
          <xdr:cNvSpPr>
            <a:spLocks noChangeArrowheads="1"/>
          </xdr:cNvSpPr>
        </xdr:nvSpPr>
        <xdr:spPr bwMode="auto">
          <a:xfrm>
            <a:off x="448" y="119"/>
            <a:ext cx="128" cy="119"/>
          </a:xfrm>
          <a:prstGeom prst="rect">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0805" name="Freeform 21"/>
          <xdr:cNvSpPr>
            <a:spLocks/>
          </xdr:cNvSpPr>
        </xdr:nvSpPr>
        <xdr:spPr bwMode="auto">
          <a:xfrm>
            <a:off x="448" y="102"/>
            <a:ext cx="128" cy="17"/>
          </a:xfrm>
          <a:custGeom>
            <a:avLst/>
            <a:gdLst>
              <a:gd name="T0" fmla="*/ 0 w 128"/>
              <a:gd name="T1" fmla="*/ 17 h 17"/>
              <a:gd name="T2" fmla="*/ 1 w 128"/>
              <a:gd name="T3" fmla="*/ 10 h 17"/>
              <a:gd name="T4" fmla="*/ 1 w 128"/>
              <a:gd name="T5" fmla="*/ 8 h 17"/>
              <a:gd name="T6" fmla="*/ 2 w 128"/>
              <a:gd name="T7" fmla="*/ 7 h 17"/>
              <a:gd name="T8" fmla="*/ 2 w 128"/>
              <a:gd name="T9" fmla="*/ 6 h 17"/>
              <a:gd name="T10" fmla="*/ 2 w 128"/>
              <a:gd name="T11" fmla="*/ 4 h 17"/>
              <a:gd name="T12" fmla="*/ 4 w 128"/>
              <a:gd name="T13" fmla="*/ 2 h 17"/>
              <a:gd name="T14" fmla="*/ 4 w 128"/>
              <a:gd name="T15" fmla="*/ 1 h 17"/>
              <a:gd name="T16" fmla="*/ 6 w 128"/>
              <a:gd name="T17" fmla="*/ 0 h 17"/>
              <a:gd name="T18" fmla="*/ 124 w 128"/>
              <a:gd name="T19" fmla="*/ 0 h 17"/>
              <a:gd name="T20" fmla="*/ 126 w 128"/>
              <a:gd name="T21" fmla="*/ 4 h 17"/>
              <a:gd name="T22" fmla="*/ 128 w 128"/>
              <a:gd name="T23" fmla="*/ 17 h 17"/>
              <a:gd name="T24" fmla="*/ 0 w 128"/>
              <a:gd name="T25" fmla="*/ 17 h 1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28" h="17">
                <a:moveTo>
                  <a:pt x="0" y="17"/>
                </a:moveTo>
                <a:cubicBezTo>
                  <a:pt x="2" y="15"/>
                  <a:pt x="0" y="13"/>
                  <a:pt x="1" y="10"/>
                </a:cubicBezTo>
                <a:cubicBezTo>
                  <a:pt x="1" y="8"/>
                  <a:pt x="1" y="8"/>
                  <a:pt x="1" y="8"/>
                </a:cubicBezTo>
                <a:cubicBezTo>
                  <a:pt x="1" y="8"/>
                  <a:pt x="2" y="7"/>
                  <a:pt x="2" y="7"/>
                </a:cubicBezTo>
                <a:cubicBezTo>
                  <a:pt x="2" y="7"/>
                  <a:pt x="2" y="6"/>
                  <a:pt x="2" y="6"/>
                </a:cubicBezTo>
                <a:cubicBezTo>
                  <a:pt x="2" y="6"/>
                  <a:pt x="2" y="5"/>
                  <a:pt x="2" y="4"/>
                </a:cubicBezTo>
                <a:cubicBezTo>
                  <a:pt x="2" y="3"/>
                  <a:pt x="4" y="2"/>
                  <a:pt x="4" y="2"/>
                </a:cubicBezTo>
                <a:cubicBezTo>
                  <a:pt x="4" y="2"/>
                  <a:pt x="4" y="1"/>
                  <a:pt x="4" y="1"/>
                </a:cubicBezTo>
                <a:cubicBezTo>
                  <a:pt x="4" y="1"/>
                  <a:pt x="4" y="0"/>
                  <a:pt x="6" y="0"/>
                </a:cubicBezTo>
                <a:lnTo>
                  <a:pt x="124" y="0"/>
                </a:lnTo>
                <a:cubicBezTo>
                  <a:pt x="127" y="3"/>
                  <a:pt x="125" y="4"/>
                  <a:pt x="126" y="4"/>
                </a:cubicBezTo>
                <a:cubicBezTo>
                  <a:pt x="128" y="8"/>
                  <a:pt x="128" y="17"/>
                  <a:pt x="128" y="17"/>
                </a:cubicBezTo>
                <a:lnTo>
                  <a:pt x="0" y="17"/>
                </a:lnTo>
                <a:close/>
              </a:path>
            </a:pathLst>
          </a:cu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0806" name="Line 22"/>
          <xdr:cNvSpPr>
            <a:spLocks noChangeShapeType="1"/>
          </xdr:cNvSpPr>
        </xdr:nvSpPr>
        <xdr:spPr bwMode="auto">
          <a:xfrm>
            <a:off x="196" y="119"/>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07" name="Line 23"/>
          <xdr:cNvSpPr>
            <a:spLocks noChangeShapeType="1"/>
          </xdr:cNvSpPr>
        </xdr:nvSpPr>
        <xdr:spPr bwMode="auto">
          <a:xfrm>
            <a:off x="201" y="238"/>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08" name="Line 24"/>
          <xdr:cNvSpPr>
            <a:spLocks noChangeShapeType="1"/>
          </xdr:cNvSpPr>
        </xdr:nvSpPr>
        <xdr:spPr bwMode="auto">
          <a:xfrm>
            <a:off x="163" y="72"/>
            <a:ext cx="1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09" name="Line 25"/>
          <xdr:cNvSpPr>
            <a:spLocks noChangeShapeType="1"/>
          </xdr:cNvSpPr>
        </xdr:nvSpPr>
        <xdr:spPr bwMode="auto">
          <a:xfrm>
            <a:off x="448" y="33"/>
            <a:ext cx="0" cy="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10" name="Line 26"/>
          <xdr:cNvSpPr>
            <a:spLocks noChangeShapeType="1"/>
          </xdr:cNvSpPr>
        </xdr:nvSpPr>
        <xdr:spPr bwMode="auto">
          <a:xfrm>
            <a:off x="576" y="35"/>
            <a:ext cx="0" cy="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11" name="Line 28"/>
          <xdr:cNvSpPr>
            <a:spLocks noChangeShapeType="1"/>
          </xdr:cNvSpPr>
        </xdr:nvSpPr>
        <xdr:spPr bwMode="auto">
          <a:xfrm>
            <a:off x="221" y="119"/>
            <a:ext cx="0" cy="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0507" name="Text Box 27">
            <a:extLst>
              <a:ext uri="{FF2B5EF4-FFF2-40B4-BE49-F238E27FC236}">
                <a16:creationId xmlns:a16="http://schemas.microsoft.com/office/drawing/2014/main" id="{253A6E8F-1F37-4BF9-883F-3BCDA894CBB5}"/>
              </a:ext>
            </a:extLst>
          </xdr:cNvPr>
          <xdr:cNvSpPr txBox="1">
            <a:spLocks noChangeArrowheads="1"/>
          </xdr:cNvSpPr>
        </xdr:nvSpPr>
        <xdr:spPr bwMode="auto">
          <a:xfrm>
            <a:off x="213" y="159"/>
            <a:ext cx="11"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L</a:t>
            </a:r>
          </a:p>
        </xdr:txBody>
      </xdr:sp>
      <xdr:sp macro="" textlink="">
        <xdr:nvSpPr>
          <xdr:cNvPr id="20813" name="Line 29"/>
          <xdr:cNvSpPr>
            <a:spLocks noChangeShapeType="1"/>
          </xdr:cNvSpPr>
        </xdr:nvSpPr>
        <xdr:spPr bwMode="auto">
          <a:xfrm>
            <a:off x="391" y="238"/>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14" name="Line 30"/>
          <xdr:cNvSpPr>
            <a:spLocks noChangeShapeType="1"/>
          </xdr:cNvSpPr>
        </xdr:nvSpPr>
        <xdr:spPr bwMode="auto">
          <a:xfrm>
            <a:off x="340" y="284"/>
            <a:ext cx="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511" name="Text Box 31">
            <a:extLst>
              <a:ext uri="{FF2B5EF4-FFF2-40B4-BE49-F238E27FC236}">
                <a16:creationId xmlns:a16="http://schemas.microsoft.com/office/drawing/2014/main" id="{FF042B86-A1CD-44D5-BBE0-CB3F0D02DF7D}"/>
              </a:ext>
            </a:extLst>
          </xdr:cNvPr>
          <xdr:cNvSpPr txBox="1">
            <a:spLocks noChangeArrowheads="1"/>
          </xdr:cNvSpPr>
        </xdr:nvSpPr>
        <xdr:spPr bwMode="auto">
          <a:xfrm>
            <a:off x="425" y="251"/>
            <a:ext cx="11"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b</a:t>
            </a:r>
          </a:p>
        </xdr:txBody>
      </xdr:sp>
      <xdr:sp macro="" textlink="">
        <xdr:nvSpPr>
          <xdr:cNvPr id="20816" name="Line 32"/>
          <xdr:cNvSpPr>
            <a:spLocks noChangeShapeType="1"/>
          </xdr:cNvSpPr>
        </xdr:nvSpPr>
        <xdr:spPr bwMode="auto">
          <a:xfrm>
            <a:off x="418" y="238"/>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0513" name="Text Box 33">
            <a:extLst>
              <a:ext uri="{FF2B5EF4-FFF2-40B4-BE49-F238E27FC236}">
                <a16:creationId xmlns:a16="http://schemas.microsoft.com/office/drawing/2014/main" id="{E70DB259-2A15-46F0-BC3F-50DD0303DC1F}"/>
              </a:ext>
            </a:extLst>
          </xdr:cNvPr>
          <xdr:cNvSpPr txBox="1">
            <a:spLocks noChangeArrowheads="1"/>
          </xdr:cNvSpPr>
        </xdr:nvSpPr>
        <xdr:spPr bwMode="auto">
          <a:xfrm>
            <a:off x="388" y="249"/>
            <a:ext cx="18" cy="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H</a:t>
            </a:r>
            <a:r>
              <a:rPr lang="en-IN" sz="1000" b="0" i="0" u="none" strike="noStrike" baseline="-25000">
                <a:solidFill>
                  <a:srgbClr val="000000"/>
                </a:solidFill>
                <a:latin typeface="Arial"/>
                <a:cs typeface="Arial"/>
              </a:rPr>
              <a:t>1</a:t>
            </a:r>
          </a:p>
        </xdr:txBody>
      </xdr:sp>
      <xdr:sp macro="" textlink="">
        <xdr:nvSpPr>
          <xdr:cNvPr id="20818" name="Line 34"/>
          <xdr:cNvSpPr>
            <a:spLocks noChangeShapeType="1"/>
          </xdr:cNvSpPr>
        </xdr:nvSpPr>
        <xdr:spPr bwMode="auto">
          <a:xfrm>
            <a:off x="193" y="255"/>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19" name="Line 35"/>
          <xdr:cNvSpPr>
            <a:spLocks noChangeShapeType="1"/>
          </xdr:cNvSpPr>
        </xdr:nvSpPr>
        <xdr:spPr bwMode="auto">
          <a:xfrm>
            <a:off x="150" y="285"/>
            <a:ext cx="9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20" name="Line 36"/>
          <xdr:cNvSpPr>
            <a:spLocks noChangeShapeType="1"/>
          </xdr:cNvSpPr>
        </xdr:nvSpPr>
        <xdr:spPr bwMode="auto">
          <a:xfrm>
            <a:off x="198" y="255"/>
            <a:ext cx="0" cy="31"/>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0517" name="Text Box 37">
            <a:extLst>
              <a:ext uri="{FF2B5EF4-FFF2-40B4-BE49-F238E27FC236}">
                <a16:creationId xmlns:a16="http://schemas.microsoft.com/office/drawing/2014/main" id="{94776F31-6C01-4DD3-A2B0-5417EDE2AB78}"/>
              </a:ext>
            </a:extLst>
          </xdr:cNvPr>
          <xdr:cNvSpPr txBox="1">
            <a:spLocks noChangeArrowheads="1"/>
          </xdr:cNvSpPr>
        </xdr:nvSpPr>
        <xdr:spPr bwMode="auto">
          <a:xfrm>
            <a:off x="214" y="257"/>
            <a:ext cx="18" cy="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H</a:t>
            </a:r>
            <a:r>
              <a:rPr lang="en-IN" sz="1000" b="0" i="0" u="none" strike="noStrike" baseline="-25000">
                <a:solidFill>
                  <a:srgbClr val="000000"/>
                </a:solidFill>
                <a:latin typeface="Arial"/>
                <a:cs typeface="Arial"/>
              </a:rPr>
              <a:t>1</a:t>
            </a:r>
          </a:p>
        </xdr:txBody>
      </xdr:sp>
      <xdr:sp macro="" textlink="">
        <xdr:nvSpPr>
          <xdr:cNvPr id="20822" name="Line 38"/>
          <xdr:cNvSpPr>
            <a:spLocks noChangeShapeType="1"/>
          </xdr:cNvSpPr>
        </xdr:nvSpPr>
        <xdr:spPr bwMode="auto">
          <a:xfrm>
            <a:off x="203" y="71"/>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0519" name="Text Box 39">
            <a:extLst>
              <a:ext uri="{FF2B5EF4-FFF2-40B4-BE49-F238E27FC236}">
                <a16:creationId xmlns:a16="http://schemas.microsoft.com/office/drawing/2014/main" id="{2CDC5EA8-9D9B-41FB-85D1-140B99A79E1F}"/>
              </a:ext>
            </a:extLst>
          </xdr:cNvPr>
          <xdr:cNvSpPr txBox="1">
            <a:spLocks noChangeArrowheads="1"/>
          </xdr:cNvSpPr>
        </xdr:nvSpPr>
        <xdr:spPr bwMode="auto">
          <a:xfrm>
            <a:off x="213" y="84"/>
            <a:ext cx="11"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b</a:t>
            </a:r>
          </a:p>
        </xdr:txBody>
      </xdr:sp>
      <xdr:sp macro="" textlink="">
        <xdr:nvSpPr>
          <xdr:cNvPr id="20824" name="Line 40"/>
          <xdr:cNvSpPr>
            <a:spLocks noChangeShapeType="1"/>
          </xdr:cNvSpPr>
        </xdr:nvSpPr>
        <xdr:spPr bwMode="auto">
          <a:xfrm>
            <a:off x="388" y="170"/>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25" name="Line 41"/>
          <xdr:cNvSpPr>
            <a:spLocks noChangeShapeType="1"/>
          </xdr:cNvSpPr>
        </xdr:nvSpPr>
        <xdr:spPr bwMode="auto">
          <a:xfrm>
            <a:off x="581" y="102"/>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26" name="Line 42"/>
          <xdr:cNvSpPr>
            <a:spLocks noChangeShapeType="1"/>
          </xdr:cNvSpPr>
        </xdr:nvSpPr>
        <xdr:spPr bwMode="auto">
          <a:xfrm>
            <a:off x="580" y="238"/>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27" name="Line 43"/>
          <xdr:cNvSpPr>
            <a:spLocks noChangeShapeType="1"/>
          </xdr:cNvSpPr>
        </xdr:nvSpPr>
        <xdr:spPr bwMode="auto">
          <a:xfrm>
            <a:off x="581" y="119"/>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28" name="Line 44"/>
          <xdr:cNvSpPr>
            <a:spLocks noChangeShapeType="1"/>
          </xdr:cNvSpPr>
        </xdr:nvSpPr>
        <xdr:spPr bwMode="auto">
          <a:xfrm>
            <a:off x="608" y="119"/>
            <a:ext cx="0" cy="1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0525" name="Text Box 45">
            <a:extLst>
              <a:ext uri="{FF2B5EF4-FFF2-40B4-BE49-F238E27FC236}">
                <a16:creationId xmlns:a16="http://schemas.microsoft.com/office/drawing/2014/main" id="{301EDC89-4103-41C1-B8C4-533777360A41}"/>
              </a:ext>
            </a:extLst>
          </xdr:cNvPr>
          <xdr:cNvSpPr txBox="1">
            <a:spLocks noChangeArrowheads="1"/>
          </xdr:cNvSpPr>
        </xdr:nvSpPr>
        <xdr:spPr bwMode="auto">
          <a:xfrm>
            <a:off x="601" y="164"/>
            <a:ext cx="18" cy="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H</a:t>
            </a:r>
            <a:r>
              <a:rPr lang="en-IN" sz="1000" b="0" i="0" u="none" strike="noStrike" baseline="-25000">
                <a:solidFill>
                  <a:srgbClr val="000000"/>
                </a:solidFill>
                <a:latin typeface="Arial"/>
                <a:cs typeface="Arial"/>
              </a:rPr>
              <a:t>3</a:t>
            </a:r>
          </a:p>
        </xdr:txBody>
      </xdr:sp>
      <xdr:sp macro="" textlink="">
        <xdr:nvSpPr>
          <xdr:cNvPr id="20830" name="Line 46"/>
          <xdr:cNvSpPr>
            <a:spLocks noChangeShapeType="1"/>
          </xdr:cNvSpPr>
        </xdr:nvSpPr>
        <xdr:spPr bwMode="auto">
          <a:xfrm>
            <a:off x="448" y="51"/>
            <a:ext cx="1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0527" name="Text Box 47">
            <a:extLst>
              <a:ext uri="{FF2B5EF4-FFF2-40B4-BE49-F238E27FC236}">
                <a16:creationId xmlns:a16="http://schemas.microsoft.com/office/drawing/2014/main" id="{FD2A248D-43E5-4043-B133-9C3789BFECF4}"/>
              </a:ext>
            </a:extLst>
          </xdr:cNvPr>
          <xdr:cNvSpPr txBox="1">
            <a:spLocks noChangeArrowheads="1"/>
          </xdr:cNvSpPr>
        </xdr:nvSpPr>
        <xdr:spPr bwMode="auto">
          <a:xfrm>
            <a:off x="504" y="40"/>
            <a:ext cx="13"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D</a:t>
            </a:r>
          </a:p>
        </xdr:txBody>
      </xdr:sp>
      <xdr:sp macro="" textlink="">
        <xdr:nvSpPr>
          <xdr:cNvPr id="20832" name="Line 48"/>
          <xdr:cNvSpPr>
            <a:spLocks noChangeShapeType="1"/>
          </xdr:cNvSpPr>
        </xdr:nvSpPr>
        <xdr:spPr bwMode="auto">
          <a:xfrm flipV="1">
            <a:off x="418" y="170"/>
            <a:ext cx="0" cy="68"/>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0529" name="Text Box 49">
            <a:extLst>
              <a:ext uri="{FF2B5EF4-FFF2-40B4-BE49-F238E27FC236}">
                <a16:creationId xmlns:a16="http://schemas.microsoft.com/office/drawing/2014/main" id="{7591F34B-7C49-4AE8-99E4-EBF04B57C873}"/>
              </a:ext>
            </a:extLst>
          </xdr:cNvPr>
          <xdr:cNvSpPr txBox="1">
            <a:spLocks noChangeArrowheads="1"/>
          </xdr:cNvSpPr>
        </xdr:nvSpPr>
        <xdr:spPr bwMode="auto">
          <a:xfrm>
            <a:off x="406" y="189"/>
            <a:ext cx="18" cy="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H</a:t>
            </a:r>
            <a:r>
              <a:rPr lang="en-IN" sz="1000" b="0" i="0" u="none" strike="noStrike" baseline="-25000">
                <a:solidFill>
                  <a:srgbClr val="000000"/>
                </a:solidFill>
                <a:latin typeface="Arial"/>
                <a:cs typeface="Arial"/>
              </a:rPr>
              <a:t>3</a:t>
            </a:r>
          </a:p>
        </xdr:txBody>
      </xdr:sp>
      <xdr:sp macro="" textlink="">
        <xdr:nvSpPr>
          <xdr:cNvPr id="20530" name="Text Box 50">
            <a:extLst>
              <a:ext uri="{FF2B5EF4-FFF2-40B4-BE49-F238E27FC236}">
                <a16:creationId xmlns:a16="http://schemas.microsoft.com/office/drawing/2014/main" id="{A92C9D63-CDB5-431B-9527-1A097903BB5E}"/>
              </a:ext>
            </a:extLst>
          </xdr:cNvPr>
          <xdr:cNvSpPr txBox="1">
            <a:spLocks noChangeArrowheads="1"/>
          </xdr:cNvSpPr>
        </xdr:nvSpPr>
        <xdr:spPr bwMode="auto">
          <a:xfrm>
            <a:off x="631" y="97"/>
            <a:ext cx="18" cy="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H</a:t>
            </a:r>
            <a:r>
              <a:rPr lang="en-IN" sz="1000" b="0" i="0" u="none" strike="noStrike" baseline="-25000">
                <a:solidFill>
                  <a:srgbClr val="000000"/>
                </a:solidFill>
                <a:latin typeface="Arial"/>
                <a:cs typeface="Arial"/>
              </a:rPr>
              <a:t>2</a:t>
            </a:r>
          </a:p>
        </xdr:txBody>
      </xdr:sp>
      <xdr:sp macro="" textlink="">
        <xdr:nvSpPr>
          <xdr:cNvPr id="20835" name="Line 51"/>
          <xdr:cNvSpPr>
            <a:spLocks noChangeShapeType="1"/>
          </xdr:cNvSpPr>
        </xdr:nvSpPr>
        <xdr:spPr bwMode="auto">
          <a:xfrm>
            <a:off x="607" y="82"/>
            <a:ext cx="0"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1</xdr:col>
          <xdr:colOff>533400</xdr:colOff>
          <xdr:row>31</xdr:row>
          <xdr:rowOff>85725</xdr:rowOff>
        </xdr:from>
        <xdr:to>
          <xdr:col>6</xdr:col>
          <xdr:colOff>542925</xdr:colOff>
          <xdr:row>35</xdr:row>
          <xdr:rowOff>47625</xdr:rowOff>
        </xdr:to>
        <xdr:sp macro="" textlink="">
          <xdr:nvSpPr>
            <xdr:cNvPr id="20533" name="Object 53" hidden="1">
              <a:extLst>
                <a:ext uri="{63B3BB69-23CF-44E3-9099-C40C66FF867C}">
                  <a14:compatExt spid="_x0000_s205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3</xdr:col>
      <xdr:colOff>238125</xdr:colOff>
      <xdr:row>0</xdr:row>
      <xdr:rowOff>142875</xdr:rowOff>
    </xdr:from>
    <xdr:to>
      <xdr:col>16</xdr:col>
      <xdr:colOff>590550</xdr:colOff>
      <xdr:row>48</xdr:row>
      <xdr:rowOff>0</xdr:rowOff>
    </xdr:to>
    <xdr:graphicFrame macro="">
      <xdr:nvGraphicFramePr>
        <xdr:cNvPr id="308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171450</xdr:colOff>
      <xdr:row>24</xdr:row>
      <xdr:rowOff>9525</xdr:rowOff>
    </xdr:from>
    <xdr:ext cx="1821781" cy="600164"/>
    <xdr:sp macro="" textlink="">
      <xdr:nvSpPr>
        <xdr:cNvPr id="3074" name="Text Box 2">
          <a:extLst>
            <a:ext uri="{FF2B5EF4-FFF2-40B4-BE49-F238E27FC236}">
              <a16:creationId xmlns:a16="http://schemas.microsoft.com/office/drawing/2014/main" id="{7CBFD841-4338-4E21-97B0-F82EA90BDEAB}"/>
            </a:ext>
          </a:extLst>
        </xdr:cNvPr>
        <xdr:cNvSpPr txBox="1">
          <a:spLocks noChangeArrowheads="1"/>
        </xdr:cNvSpPr>
      </xdr:nvSpPr>
      <xdr:spPr bwMode="auto">
        <a:xfrm>
          <a:off x="171450" y="3914775"/>
          <a:ext cx="1821781" cy="60016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lnSpc>
              <a:spcPts val="1100"/>
            </a:lnSpc>
            <a:defRPr sz="1000"/>
          </a:pPr>
          <a:r>
            <a:rPr lang="en-IN" sz="1000" b="0" i="0" u="none" strike="noStrike" baseline="0">
              <a:solidFill>
                <a:srgbClr val="000000"/>
              </a:solidFill>
              <a:latin typeface="Arial"/>
              <a:cs typeface="Arial"/>
            </a:rPr>
            <a:t>Data Source: </a:t>
          </a:r>
        </a:p>
        <a:p>
          <a:pPr algn="l" rtl="0">
            <a:lnSpc>
              <a:spcPts val="1100"/>
            </a:lnSpc>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NGPSA Engineering Data Book</a:t>
          </a:r>
        </a:p>
        <a:p>
          <a:pPr algn="l" rtl="0">
            <a:defRPr sz="1000"/>
          </a:pPr>
          <a:r>
            <a:rPr lang="en-IN" sz="1000" b="0" i="0" u="none" strike="noStrike" baseline="0">
              <a:solidFill>
                <a:srgbClr val="000000"/>
              </a:solidFill>
              <a:latin typeface="Arial"/>
              <a:cs typeface="Arial"/>
            </a:rPr>
            <a:t>9th Edition; 1972; p. 13-7</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47625</xdr:rowOff>
    </xdr:from>
    <xdr:to>
      <xdr:col>9</xdr:col>
      <xdr:colOff>1009650</xdr:colOff>
      <xdr:row>51</xdr:row>
      <xdr:rowOff>19050</xdr:rowOff>
    </xdr:to>
    <xdr:graphicFrame macro="">
      <xdr:nvGraphicFramePr>
        <xdr:cNvPr id="1557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55</xdr:row>
      <xdr:rowOff>28575</xdr:rowOff>
    </xdr:from>
    <xdr:to>
      <xdr:col>9</xdr:col>
      <xdr:colOff>990600</xdr:colOff>
      <xdr:row>108</xdr:row>
      <xdr:rowOff>76200</xdr:rowOff>
    </xdr:to>
    <xdr:sp macro="" textlink="">
      <xdr:nvSpPr>
        <xdr:cNvPr id="15362" name="Text Box 2">
          <a:extLst>
            <a:ext uri="{FF2B5EF4-FFF2-40B4-BE49-F238E27FC236}">
              <a16:creationId xmlns:a16="http://schemas.microsoft.com/office/drawing/2014/main" id="{245DB750-DA74-407A-9415-7BE382944161}"/>
            </a:ext>
          </a:extLst>
        </xdr:cNvPr>
        <xdr:cNvSpPr txBox="1">
          <a:spLocks noChangeArrowheads="1"/>
        </xdr:cNvSpPr>
      </xdr:nvSpPr>
      <xdr:spPr bwMode="auto">
        <a:xfrm>
          <a:off x="19050" y="8934450"/>
          <a:ext cx="6600825" cy="8629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Reference: Chemical Engineers' Handbook; Perry &amp; Chilton; 5th Edition; P.6-87</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To obtain the total volumetric capacity of a process vessel, the volumetric capacity of the vessel heads must be calculated separately and added to the vessel's cylindrical volume.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five types of formed vessel heads most frequently used are:</a:t>
          </a:r>
        </a:p>
        <a:p>
          <a:pPr algn="l" rtl="0">
            <a:defRPr sz="1000"/>
          </a:pPr>
          <a:r>
            <a:rPr lang="en-IN" sz="1000" b="0" i="0" u="none" strike="noStrike" baseline="0">
              <a:solidFill>
                <a:srgbClr val="000000"/>
              </a:solidFill>
              <a:latin typeface="Arial"/>
              <a:cs typeface="Arial"/>
            </a:rPr>
            <a:t>          1. Hemispherical </a:t>
          </a:r>
        </a:p>
        <a:p>
          <a:pPr algn="l" rtl="0">
            <a:defRPr sz="1000"/>
          </a:pPr>
          <a:r>
            <a:rPr lang="en-IN" sz="1000" b="0" i="0" u="none" strike="noStrike" baseline="0">
              <a:solidFill>
                <a:srgbClr val="000000"/>
              </a:solidFill>
              <a:latin typeface="Arial"/>
              <a:cs typeface="Arial"/>
            </a:rPr>
            <a:t>          2. 2:1 Ellipsoidal</a:t>
          </a:r>
        </a:p>
        <a:p>
          <a:pPr algn="l" rtl="0">
            <a:defRPr sz="1000"/>
          </a:pPr>
          <a:r>
            <a:rPr lang="en-IN" sz="1000" b="0" i="0" u="none" strike="noStrike" baseline="0">
              <a:solidFill>
                <a:srgbClr val="000000"/>
              </a:solidFill>
              <a:latin typeface="Arial"/>
              <a:cs typeface="Arial"/>
            </a:rPr>
            <a:t>          3. ASME F&amp;D (Torispherical)</a:t>
          </a:r>
        </a:p>
        <a:p>
          <a:pPr algn="l" rtl="0">
            <a:defRPr sz="1000"/>
          </a:pPr>
          <a:r>
            <a:rPr lang="en-IN" sz="1000" b="0" i="0" u="none" strike="noStrike" baseline="0">
              <a:solidFill>
                <a:srgbClr val="000000"/>
              </a:solidFill>
              <a:latin typeface="Arial"/>
              <a:cs typeface="Arial"/>
            </a:rPr>
            <a:t>          4. Standard Dished  (a misnomer, since there are no existing standards for dished heads)</a:t>
          </a:r>
        </a:p>
        <a:p>
          <a:pPr algn="l" rtl="0">
            <a:defRPr sz="1000"/>
          </a:pPr>
          <a:r>
            <a:rPr lang="en-IN" sz="1000" b="0" i="0" u="none" strike="noStrike" baseline="0">
              <a:solidFill>
                <a:srgbClr val="000000"/>
              </a:solidFill>
              <a:latin typeface="Arial"/>
              <a:cs typeface="Arial"/>
            </a:rPr>
            <a:t>          5. Conical</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Standard Dished head is not suited for pressure vessels and, consequently, does not comply with the A.S.M.E. Pressure Vessel Code.  It is restricted to pressures less than 15 psig.  The ASME F&amp;D head is usually restricted to pressure vessels designed for less than 200 psig.  Above this design pressure the 2:1 Ellipsoidal head is usually employed, with the Hemipherical head reserved for those applications that require the maximum in pressure resistance and mechanical integrity.</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To obtain the partially-filled liquid contents' volume of a horizontal tank requires the determination of the partial volume of the two vessel heads as well as the cylindrical partial volume.  The contents of a partially-filled vessel are arrived at by adding the partial contents of the Cylindrical portion and both heads: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Partial Volume = (Total Cylinder volume)(Zc) + (Total Heads' volume)(Ze)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where,      Zc = Cylindrical partial volume coefficient</a:t>
          </a:r>
        </a:p>
        <a:p>
          <a:pPr algn="l" rtl="0">
            <a:defRPr sz="1000"/>
          </a:pPr>
          <a:r>
            <a:rPr lang="en-IN" sz="1000" b="0" i="0" u="none" strike="noStrike" baseline="0">
              <a:solidFill>
                <a:srgbClr val="000000"/>
              </a:solidFill>
              <a:latin typeface="Arial"/>
              <a:cs typeface="Arial"/>
            </a:rPr>
            <a:t>                Ze = Heads' partial volume coefficient </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cylindrical partial volume can be expressed by the following explicit analytical expressions: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1)     V</a:t>
          </a:r>
          <a:r>
            <a:rPr lang="en-IN" sz="1000" b="0" i="0" u="none" strike="noStrike" baseline="-25000">
              <a:solidFill>
                <a:srgbClr val="000000"/>
              </a:solidFill>
              <a:latin typeface="Arial"/>
              <a:cs typeface="Arial"/>
            </a:rPr>
            <a:t>1</a:t>
          </a:r>
          <a:r>
            <a:rPr lang="en-IN" sz="1000" b="0" i="0" u="none" strike="noStrike" baseline="0">
              <a:solidFill>
                <a:srgbClr val="000000"/>
              </a:solidFill>
              <a:latin typeface="Arial"/>
              <a:cs typeface="Arial"/>
            </a:rPr>
            <a:t> = {r</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cos</a:t>
          </a:r>
          <a:r>
            <a:rPr lang="en-IN" sz="1000" b="0" i="0" u="none" strike="noStrike" baseline="30000">
              <a:solidFill>
                <a:srgbClr val="000000"/>
              </a:solidFill>
              <a:latin typeface="Arial"/>
              <a:cs typeface="Arial"/>
            </a:rPr>
            <a:t>-1</a:t>
          </a:r>
          <a:r>
            <a:rPr lang="en-IN" sz="1000" b="0" i="0" u="none" strike="noStrike" baseline="0">
              <a:solidFill>
                <a:srgbClr val="000000"/>
              </a:solidFill>
              <a:latin typeface="Arial"/>
              <a:cs typeface="Arial"/>
            </a:rPr>
            <a:t>[(r-h/r]-(r-h)(2rh-h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a:t>
          </a:r>
          <a:r>
            <a:rPr lang="en-IN" sz="1000" b="0" i="0" u="none" strike="noStrike" baseline="30000">
              <a:solidFill>
                <a:srgbClr val="000000"/>
              </a:solidFill>
              <a:latin typeface="Arial"/>
              <a:cs typeface="Arial"/>
            </a:rPr>
            <a:t>0.5</a:t>
          </a:r>
          <a:r>
            <a:rPr lang="en-IN" sz="1000" b="0" i="0" u="none" strike="noStrike" baseline="0">
              <a:solidFill>
                <a:srgbClr val="000000"/>
              </a:solidFill>
              <a:latin typeface="Arial"/>
              <a:cs typeface="Arial"/>
            </a:rPr>
            <a:t>}L     .........(Kowal,G.; Chem. Eng; pp. 130-132; 6/11/73)</a:t>
          </a:r>
        </a:p>
        <a:p>
          <a:pPr algn="l" rtl="0">
            <a:defRPr sz="1000"/>
          </a:pPr>
          <a:r>
            <a:rPr lang="en-IN" sz="1000" b="0" i="0" u="none" strike="noStrike" baseline="0">
              <a:solidFill>
                <a:srgbClr val="000000"/>
              </a:solidFill>
              <a:latin typeface="Arial"/>
              <a:cs typeface="Arial"/>
            </a:rPr>
            <a:t>2)     V</a:t>
          </a:r>
          <a:r>
            <a:rPr lang="en-IN" sz="1000" b="0" i="0" u="none" strike="noStrike" baseline="-25000">
              <a:solidFill>
                <a:srgbClr val="000000"/>
              </a:solidFill>
              <a:latin typeface="Arial"/>
              <a:cs typeface="Arial"/>
            </a:rPr>
            <a:t>2</a:t>
          </a:r>
          <a:r>
            <a:rPr lang="en-IN" sz="1000" b="0" i="0" u="none" strike="noStrike" baseline="0">
              <a:solidFill>
                <a:srgbClr val="000000"/>
              </a:solidFill>
              <a:latin typeface="Arial"/>
              <a:cs typeface="Arial"/>
            </a:rPr>
            <a:t> = 0.00433 L{</a:t>
          </a:r>
          <a:r>
            <a:rPr lang="en-IN" sz="1000" b="0" i="0" u="none" strike="noStrike" baseline="0">
              <a:solidFill>
                <a:srgbClr val="000000"/>
              </a:solidFill>
              <a:latin typeface="Symbol"/>
              <a:cs typeface="Arial"/>
            </a:rPr>
            <a:t>p</a:t>
          </a:r>
          <a:r>
            <a:rPr lang="en-IN" sz="1000" b="0" i="0" u="none" strike="noStrike" baseline="0">
              <a:solidFill>
                <a:srgbClr val="000000"/>
              </a:solidFill>
              <a:latin typeface="Arial"/>
              <a:cs typeface="Arial"/>
            </a:rPr>
            <a:t>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/8-[(0.5d-h)(dh-h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a:t>
          </a:r>
          <a:r>
            <a:rPr lang="en-IN" sz="1000" b="0" i="0" u="none" strike="noStrike" baseline="30000">
              <a:solidFill>
                <a:srgbClr val="000000"/>
              </a:solidFill>
              <a:latin typeface="Arial"/>
              <a:cs typeface="Arial"/>
            </a:rPr>
            <a:t>0.5</a:t>
          </a:r>
          <a:r>
            <a:rPr lang="en-IN" sz="1000" b="0" i="0" u="none" strike="noStrike" baseline="0">
              <a:solidFill>
                <a:srgbClr val="000000"/>
              </a:solidFill>
              <a:latin typeface="Arial"/>
              <a:cs typeface="Arial"/>
            </a:rPr>
            <a:t> + 0.25d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arcSine(0.25d-0.5h)]}</a:t>
          </a:r>
        </a:p>
        <a:p>
          <a:pPr algn="l" rtl="0">
            <a:defRPr sz="1000"/>
          </a:pPr>
          <a:r>
            <a:rPr lang="en-IN" sz="1000" b="0" i="0" u="none" strike="noStrike" baseline="0">
              <a:solidFill>
                <a:srgbClr val="000000"/>
              </a:solidFill>
              <a:latin typeface="Arial"/>
              <a:cs typeface="Arial"/>
            </a:rPr>
            <a:t>                                                                    ..........(Caplan, F.; Hydrocarbon Processing; July 1968)</a:t>
          </a:r>
        </a:p>
        <a:p>
          <a:pPr algn="l" rtl="0">
            <a:defRPr sz="1000"/>
          </a:pPr>
          <a:r>
            <a:rPr lang="en-IN" sz="1000" b="0" i="0" u="none" strike="noStrike" baseline="0">
              <a:solidFill>
                <a:srgbClr val="000000"/>
              </a:solidFill>
              <a:latin typeface="Arial"/>
              <a:cs typeface="Arial"/>
            </a:rPr>
            <a:t>3)     V</a:t>
          </a:r>
          <a:r>
            <a:rPr lang="en-IN" sz="1000" b="0" i="0" u="none" strike="noStrike" baseline="-25000">
              <a:solidFill>
                <a:srgbClr val="000000"/>
              </a:solidFill>
              <a:latin typeface="Arial"/>
              <a:cs typeface="Arial"/>
            </a:rPr>
            <a:t>3</a:t>
          </a:r>
          <a:r>
            <a:rPr lang="en-IN" sz="1000" b="0" i="0" u="none" strike="noStrike" baseline="0">
              <a:solidFill>
                <a:srgbClr val="000000"/>
              </a:solidFill>
              <a:latin typeface="Arial"/>
              <a:cs typeface="Arial"/>
            </a:rPr>
            <a:t> = L r</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a:t>
          </a:r>
          <a:r>
            <a:rPr lang="en-IN" sz="1000" b="0" i="0" u="none" strike="noStrike" baseline="0">
              <a:solidFill>
                <a:srgbClr val="000000"/>
              </a:solidFill>
              <a:latin typeface="Symbol"/>
              <a:cs typeface="Arial"/>
            </a:rPr>
            <a:t>a</a:t>
          </a:r>
          <a:r>
            <a:rPr lang="en-IN" sz="1000" b="0" i="0" u="none" strike="noStrike" baseline="0">
              <a:solidFill>
                <a:srgbClr val="000000"/>
              </a:solidFill>
              <a:latin typeface="Arial"/>
              <a:cs typeface="Arial"/>
            </a:rPr>
            <a:t>/57.30) - sin</a:t>
          </a:r>
          <a:r>
            <a:rPr lang="en-IN" sz="1000" b="0" i="0" u="none" strike="noStrike" baseline="0">
              <a:solidFill>
                <a:srgbClr val="000000"/>
              </a:solidFill>
              <a:latin typeface="Symbol"/>
              <a:cs typeface="Arial"/>
            </a:rPr>
            <a:t>a</a:t>
          </a:r>
          <a:r>
            <a:rPr lang="en-IN" sz="1000" b="0" i="0" u="none" strike="noStrike" baseline="0">
              <a:solidFill>
                <a:srgbClr val="000000"/>
              </a:solidFill>
              <a:latin typeface="Arial"/>
              <a:cs typeface="Arial"/>
            </a:rPr>
            <a:t>cos</a:t>
          </a:r>
          <a:r>
            <a:rPr lang="en-IN" sz="1000" b="0" i="0" u="none" strike="noStrike" baseline="0">
              <a:solidFill>
                <a:srgbClr val="000000"/>
              </a:solidFill>
              <a:latin typeface="Symbol"/>
              <a:cs typeface="Arial"/>
            </a:rPr>
            <a:t>a</a:t>
          </a:r>
          <a:r>
            <a:rPr lang="en-IN" sz="1000" b="0" i="0" u="none" strike="noStrike" baseline="0">
              <a:solidFill>
                <a:srgbClr val="000000"/>
              </a:solidFill>
              <a:latin typeface="Arial"/>
              <a:cs typeface="Arial"/>
            </a:rPr>
            <a:t>]            ..........(Chem. Engrs. Handbook; Perry/Chilton; 5th ed.; p.6-86)</a:t>
          </a:r>
        </a:p>
        <a:p>
          <a:pPr algn="l" rtl="0">
            <a:defRPr sz="1000"/>
          </a:pPr>
          <a:r>
            <a:rPr lang="en-IN" sz="1000" b="0" i="0" u="none" strike="noStrike" baseline="0">
              <a:solidFill>
                <a:srgbClr val="000000"/>
              </a:solidFill>
              <a:latin typeface="Arial"/>
              <a:cs typeface="Arial"/>
            </a:rPr>
            <a:t>where,     V</a:t>
          </a:r>
          <a:r>
            <a:rPr lang="en-IN" sz="1000" b="0" i="0" u="none" strike="noStrike" baseline="-25000">
              <a:solidFill>
                <a:srgbClr val="000000"/>
              </a:solidFill>
              <a:latin typeface="Arial"/>
              <a:cs typeface="Arial"/>
            </a:rPr>
            <a:t>1</a:t>
          </a:r>
          <a:r>
            <a:rPr lang="en-IN" sz="1000" b="0" i="0" u="none" strike="noStrike" baseline="0">
              <a:solidFill>
                <a:srgbClr val="000000"/>
              </a:solidFill>
              <a:latin typeface="Arial"/>
              <a:cs typeface="Arial"/>
            </a:rPr>
            <a:t> = in</a:t>
          </a:r>
          <a:r>
            <a:rPr lang="en-IN" sz="1000" b="0" i="0" u="none" strike="noStrike" baseline="30000">
              <a:solidFill>
                <a:srgbClr val="000000"/>
              </a:solidFill>
              <a:latin typeface="Arial"/>
              <a:cs typeface="Arial"/>
            </a:rPr>
            <a:t>3</a:t>
          </a: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2</a:t>
          </a:r>
          <a:r>
            <a:rPr lang="en-IN" sz="1000" b="0" i="0" u="none" strike="noStrike" baseline="0">
              <a:solidFill>
                <a:srgbClr val="000000"/>
              </a:solidFill>
              <a:latin typeface="Arial"/>
              <a:cs typeface="Arial"/>
            </a:rPr>
            <a:t> = gal</a:t>
          </a: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3</a:t>
          </a:r>
          <a:r>
            <a:rPr lang="en-IN" sz="1000" b="0" i="0" u="none" strike="noStrike" baseline="0">
              <a:solidFill>
                <a:srgbClr val="000000"/>
              </a:solidFill>
              <a:latin typeface="Arial"/>
              <a:cs typeface="Arial"/>
            </a:rPr>
            <a:t> = in</a:t>
          </a:r>
          <a:r>
            <a:rPr lang="en-IN" sz="1000" b="0" i="0" u="none" strike="noStrike" baseline="30000">
              <a:solidFill>
                <a:srgbClr val="000000"/>
              </a:solidFill>
              <a:latin typeface="Arial"/>
              <a:cs typeface="Arial"/>
            </a:rPr>
            <a:t>3</a:t>
          </a: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r   = vessel's inside radius, in.</a:t>
          </a:r>
        </a:p>
        <a:p>
          <a:pPr algn="l" rtl="0">
            <a:defRPr sz="1000"/>
          </a:pPr>
          <a:r>
            <a:rPr lang="en-IN" sz="1000" b="0" i="0" u="none" strike="noStrike" baseline="0">
              <a:solidFill>
                <a:srgbClr val="000000"/>
              </a:solidFill>
              <a:latin typeface="Arial"/>
              <a:cs typeface="Arial"/>
            </a:rPr>
            <a:t>                h  = depth of liquid content in the horizontal head, in.</a:t>
          </a:r>
        </a:p>
        <a:p>
          <a:pPr algn="l" rtl="0">
            <a:defRPr sz="1000"/>
          </a:pPr>
          <a:r>
            <a:rPr lang="en-IN" sz="1000" b="0" i="0" u="none" strike="noStrike" baseline="0">
              <a:solidFill>
                <a:srgbClr val="000000"/>
              </a:solidFill>
              <a:latin typeface="Arial"/>
              <a:cs typeface="Arial"/>
            </a:rPr>
            <a:t>                L  = total straight, cylindrical, horizontal length, in. </a:t>
          </a:r>
        </a:p>
        <a:p>
          <a:pPr algn="l" rtl="0">
            <a:defRPr sz="1000"/>
          </a:pPr>
          <a:r>
            <a:rPr lang="en-IN" sz="1000" b="0" i="0" u="none" strike="noStrike" baseline="0">
              <a:solidFill>
                <a:srgbClr val="000000"/>
              </a:solidFill>
              <a:latin typeface="Arial"/>
              <a:cs typeface="Arial"/>
            </a:rPr>
            <a:t>                </a:t>
          </a:r>
          <a:r>
            <a:rPr lang="en-IN" sz="1000" b="0" i="0" u="none" strike="noStrike" baseline="0">
              <a:solidFill>
                <a:srgbClr val="000000"/>
              </a:solidFill>
              <a:latin typeface="Symbol"/>
              <a:cs typeface="Arial"/>
            </a:rPr>
            <a:t>a  </a:t>
          </a:r>
          <a:r>
            <a:rPr lang="en-IN" sz="1000" b="0" i="0" u="none" strike="noStrike" baseline="0">
              <a:solidFill>
                <a:srgbClr val="000000"/>
              </a:solidFill>
              <a:latin typeface="Arial"/>
              <a:cs typeface="Arial"/>
            </a:rPr>
            <a:t>= 1/2 of the total angle subtended by the chord forming the liquid level, degrees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partial volumes of horizontal-oriented heads (except for Hemi-heads) are not defined in a mathematically exact formula but can be expressed by the following analytical expressions:</a:t>
          </a:r>
        </a:p>
        <a:p>
          <a:pPr algn="l" rtl="0">
            <a:defRPr sz="1000"/>
          </a:pPr>
          <a:r>
            <a:rPr lang="en-IN" sz="1000" b="0" i="0" u="none" strike="noStrike" baseline="0">
              <a:solidFill>
                <a:srgbClr val="000000"/>
              </a:solidFill>
              <a:latin typeface="Arial"/>
              <a:cs typeface="Arial"/>
            </a:rPr>
            <a:t>(From Caplan, F.; Hydrocarbon Processing; July 1968)</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DH</a:t>
          </a:r>
          <a:r>
            <a:rPr lang="en-IN" sz="1000" b="0" i="0" u="none" strike="noStrike" baseline="0">
              <a:solidFill>
                <a:srgbClr val="000000"/>
              </a:solidFill>
              <a:latin typeface="Arial"/>
              <a:cs typeface="Arial"/>
            </a:rPr>
            <a:t> = 0.0009328 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(1.5d - h) .......................Volume of a dished-only head, in US gallons</a:t>
          </a: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Ell</a:t>
          </a:r>
          <a:r>
            <a:rPr lang="en-IN" sz="1000" b="0" i="0" u="none" strike="noStrike" baseline="0">
              <a:solidFill>
                <a:srgbClr val="000000"/>
              </a:solidFill>
              <a:latin typeface="Arial"/>
              <a:cs typeface="Arial"/>
            </a:rPr>
            <a:t>  = 0.00226 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(1.5d - h)      .......................Volume of 2:1 Ellipsoidal head, in US gallons</a:t>
          </a: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HH</a:t>
          </a:r>
          <a:r>
            <a:rPr lang="en-IN" sz="1000" b="0" i="0" u="none" strike="noStrike" baseline="0">
              <a:solidFill>
                <a:srgbClr val="000000"/>
              </a:solidFill>
              <a:latin typeface="Arial"/>
              <a:cs typeface="Arial"/>
            </a:rPr>
            <a:t> = 2  V</a:t>
          </a:r>
          <a:r>
            <a:rPr lang="en-IN" sz="1000" b="0" i="0" u="none" strike="noStrike" baseline="-25000">
              <a:solidFill>
                <a:srgbClr val="000000"/>
              </a:solidFill>
              <a:latin typeface="Arial"/>
              <a:cs typeface="Arial"/>
            </a:rPr>
            <a:t>Ell</a:t>
          </a:r>
          <a:r>
            <a:rPr lang="en-IN" sz="1000" b="0" i="0" u="none" strike="noStrike" baseline="0">
              <a:solidFill>
                <a:srgbClr val="000000"/>
              </a:solidFill>
              <a:latin typeface="Arial"/>
              <a:cs typeface="Arial"/>
            </a:rPr>
            <a:t>                           .......................Volume of Hemispherical head, in US gallons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where,  h = depth of liquid content in the horizontal head, in.</a:t>
          </a:r>
        </a:p>
        <a:p>
          <a:pPr algn="l" rtl="0">
            <a:defRPr sz="1000"/>
          </a:pPr>
          <a:r>
            <a:rPr lang="en-IN" sz="1000" b="0" i="0" u="none" strike="noStrike" baseline="0">
              <a:solidFill>
                <a:srgbClr val="000000"/>
              </a:solidFill>
              <a:latin typeface="Arial"/>
              <a:cs typeface="Arial"/>
            </a:rPr>
            <a:t>           d = inside diameter of the horizontal head, in.</a:t>
          </a:r>
        </a:p>
        <a:p>
          <a:pPr algn="l" rtl="0">
            <a:defRPr sz="1000"/>
          </a:pPr>
          <a:r>
            <a:rPr lang="en-IN" sz="1000" b="0" i="0" u="none" strike="noStrike" baseline="0">
              <a:solidFill>
                <a:srgbClr val="000000"/>
              </a:solidFill>
              <a:latin typeface="Arial"/>
              <a:cs typeface="Arial"/>
            </a:rPr>
            <a:t>          </a:t>
          </a:r>
        </a:p>
        <a:p>
          <a:pPr algn="l" rtl="0">
            <a:defRPr sz="1000"/>
          </a:pPr>
          <a:endParaRPr lang="en-IN" sz="1000" b="0" i="0" u="none" strike="noStrike" baseline="0">
            <a:solidFill>
              <a:srgbClr val="000000"/>
            </a:solidFill>
            <a:latin typeface="Arial"/>
            <a:cs typeface="Arial"/>
          </a:endParaRPr>
        </a:p>
      </xdr:txBody>
    </xdr:sp>
    <xdr:clientData/>
  </xdr:twoCellAnchor>
  <xdr:twoCellAnchor>
    <xdr:from>
      <xdr:col>0</xdr:col>
      <xdr:colOff>47625</xdr:colOff>
      <xdr:row>111</xdr:row>
      <xdr:rowOff>9525</xdr:rowOff>
    </xdr:from>
    <xdr:to>
      <xdr:col>9</xdr:col>
      <xdr:colOff>1009650</xdr:colOff>
      <xdr:row>160</xdr:row>
      <xdr:rowOff>28575</xdr:rowOff>
    </xdr:to>
    <xdr:sp macro="" textlink="">
      <xdr:nvSpPr>
        <xdr:cNvPr id="15363" name="Text Box 3">
          <a:extLst>
            <a:ext uri="{FF2B5EF4-FFF2-40B4-BE49-F238E27FC236}">
              <a16:creationId xmlns:a16="http://schemas.microsoft.com/office/drawing/2014/main" id="{1FA90DA4-8508-4291-AC2D-AAE08B1A78A4}"/>
            </a:ext>
          </a:extLst>
        </xdr:cNvPr>
        <xdr:cNvSpPr txBox="1">
          <a:spLocks noChangeArrowheads="1"/>
        </xdr:cNvSpPr>
      </xdr:nvSpPr>
      <xdr:spPr bwMode="auto">
        <a:xfrm>
          <a:off x="47625" y="17983200"/>
          <a:ext cx="6591300" cy="7953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calculation of the partially-filled cylindrical portion of a horizontal vessel is straight-forward and can be done using the analytical expressions noted above.  The equation given by Caplan (V</a:t>
          </a:r>
          <a:r>
            <a:rPr lang="en-IN" sz="1000" b="0" i="0" u="none" strike="noStrike" baseline="-25000">
              <a:solidFill>
                <a:srgbClr val="000000"/>
              </a:solidFill>
              <a:latin typeface="Arial"/>
              <a:cs typeface="Arial"/>
            </a:rPr>
            <a:t>2</a:t>
          </a:r>
          <a:r>
            <a:rPr lang="en-IN" sz="1000" b="0" i="0" u="none" strike="noStrike" baseline="0">
              <a:solidFill>
                <a:srgbClr val="000000"/>
              </a:solidFill>
              <a:latin typeface="Arial"/>
              <a:cs typeface="Arial"/>
            </a:rPr>
            <a:t>) should be very accurate since it is directly derived from an exact mathematical model presented in C.R.C. Standard Mathematical Tables; 12th Ed.(1959); p. 399.</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partial volume of heads is open to inaccuracies and while the analytical equations are suitable for estimating, the method usually used is the Ze method for determining the liquid fraction of the </a:t>
          </a:r>
          <a:r>
            <a:rPr lang="en-IN" sz="1000" b="0" i="0" u="sng" strike="noStrike" baseline="0">
              <a:solidFill>
                <a:srgbClr val="000000"/>
              </a:solidFill>
              <a:latin typeface="Arial"/>
              <a:cs typeface="Arial"/>
            </a:rPr>
            <a:t>entire</a:t>
          </a:r>
          <a:r>
            <a:rPr lang="en-IN" sz="1000" b="0" i="0" u="none" strike="noStrike" baseline="0">
              <a:solidFill>
                <a:srgbClr val="000000"/>
              </a:solidFill>
              <a:latin typeface="Arial"/>
              <a:cs typeface="Arial"/>
            </a:rPr>
            <a:t> head.  For this purpose, the Doolittle [Ind. Eng. Chem. 21, p. 322-323 (1928)] equation is used:</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partial</a:t>
          </a:r>
          <a:r>
            <a:rPr lang="en-IN" sz="1000" b="0" i="0" u="none" strike="noStrike" baseline="0">
              <a:solidFill>
                <a:srgbClr val="000000"/>
              </a:solidFill>
              <a:latin typeface="Arial"/>
              <a:cs typeface="Arial"/>
            </a:rPr>
            <a:t> = 0.00093 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(3r - h)</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where,           V</a:t>
          </a:r>
          <a:r>
            <a:rPr lang="en-IN" sz="1000" b="0" i="0" u="none" strike="noStrike" baseline="-25000">
              <a:solidFill>
                <a:srgbClr val="000000"/>
              </a:solidFill>
              <a:latin typeface="Arial"/>
              <a:cs typeface="Arial"/>
            </a:rPr>
            <a:t>partial</a:t>
          </a:r>
          <a:r>
            <a:rPr lang="en-IN" sz="1000" b="0" i="0" u="none" strike="noStrike" baseline="0">
              <a:solidFill>
                <a:srgbClr val="000000"/>
              </a:solidFill>
              <a:latin typeface="Arial"/>
              <a:cs typeface="Arial"/>
            </a:rPr>
            <a:t> = partial volume, gallons</a:t>
          </a:r>
        </a:p>
        <a:p>
          <a:pPr algn="l" rtl="0">
            <a:defRPr sz="1000"/>
          </a:pPr>
          <a:r>
            <a:rPr lang="en-IN" sz="1000" b="0" i="0" u="none" strike="noStrike" baseline="0">
              <a:solidFill>
                <a:srgbClr val="000000"/>
              </a:solidFill>
              <a:latin typeface="Arial"/>
              <a:cs typeface="Arial"/>
            </a:rPr>
            <a:t>                      h = depth of liquid in both heads, in.</a:t>
          </a:r>
        </a:p>
        <a:p>
          <a:pPr algn="l" rtl="0">
            <a:defRPr sz="1000"/>
          </a:pPr>
          <a:r>
            <a:rPr lang="en-IN" sz="1000" b="0" i="0" u="none" strike="noStrike" baseline="0">
              <a:solidFill>
                <a:srgbClr val="000000"/>
              </a:solidFill>
              <a:latin typeface="Arial"/>
              <a:cs typeface="Arial"/>
            </a:rPr>
            <a:t>                      r  = inside radius of the horizontal heads, in. </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(Note that this is the same equation offered by Caplan, above, for a dished-only head.  His equation for an ellipsoidal head, although of the same form, is 142% in excess of the basic Doolittle relationship.)</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Doolittle made some simplifying assumptions which affect the accuracy of the volume given by his equation, but the equation is satisfactory for determining the volume </a:t>
          </a:r>
          <a:r>
            <a:rPr lang="en-IN" sz="1000" b="0" i="0" u="sng" strike="noStrike" baseline="0">
              <a:solidFill>
                <a:srgbClr val="000000"/>
              </a:solidFill>
              <a:latin typeface="Arial"/>
              <a:cs typeface="Arial"/>
            </a:rPr>
            <a:t>as a fraction of the entire head</a:t>
          </a:r>
          <a:r>
            <a:rPr lang="en-IN" sz="1000" b="0" i="0" u="none" strike="noStrike" baseline="0">
              <a:solidFill>
                <a:srgbClr val="000000"/>
              </a:solidFill>
              <a:latin typeface="Arial"/>
              <a:cs typeface="Arial"/>
            </a:rPr>
            <a:t>.  This fraction, calculated by Doolittle's formula, is given in the Table listed above and regressed in the accompanying Chart.  The Table or the resulting 3rd order polynomial equation,</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Ze = -2 (h/d)</a:t>
          </a:r>
          <a:r>
            <a:rPr lang="en-IN" sz="1000" b="0" i="0" u="none" strike="noStrike" baseline="30000">
              <a:solidFill>
                <a:srgbClr val="000000"/>
              </a:solidFill>
              <a:latin typeface="Arial"/>
              <a:cs typeface="Arial"/>
            </a:rPr>
            <a:t>3</a:t>
          </a:r>
          <a:r>
            <a:rPr lang="en-IN" sz="1000" b="0" i="0" u="none" strike="noStrike" baseline="0">
              <a:solidFill>
                <a:srgbClr val="000000"/>
              </a:solidFill>
              <a:latin typeface="Arial"/>
              <a:cs typeface="Arial"/>
            </a:rPr>
            <a:t> + 3 (h/d)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- 0.0016 (h/d) + 0.0001</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can be used to arrive at a partial volume of standard dished, torispherical (ASME F&amp;D), ellipsoidal, and hemispherical heads </a:t>
          </a:r>
          <a:r>
            <a:rPr lang="en-IN" sz="1000" b="0" i="0" u="sng" strike="noStrike" baseline="0">
              <a:solidFill>
                <a:srgbClr val="000000"/>
              </a:solidFill>
              <a:latin typeface="Arial"/>
              <a:cs typeface="Arial"/>
            </a:rPr>
            <a:t>with an error of less than 2% of the entire head's volume</a:t>
          </a:r>
          <a:r>
            <a:rPr lang="en-IN" sz="1000" b="0" i="0" u="none" strike="noStrike" baseline="0">
              <a:solidFill>
                <a:srgbClr val="000000"/>
              </a:solidFill>
              <a:latin typeface="Arial"/>
              <a:cs typeface="Arial"/>
            </a:rPr>
            <a:t>.</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Conical heads' volumes are defined by the exact mathematical expression for a truncated cone: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a:t>
          </a:r>
          <a:r>
            <a:rPr lang="en-IN" sz="1000" b="0" i="0" u="none" strike="noStrike" baseline="-25000">
              <a:solidFill>
                <a:srgbClr val="000000"/>
              </a:solidFill>
              <a:latin typeface="Arial"/>
              <a:cs typeface="Arial"/>
            </a:rPr>
            <a:t>c</a:t>
          </a:r>
          <a:r>
            <a:rPr lang="en-IN" sz="1000" b="0" i="0" u="none" strike="noStrike" baseline="0">
              <a:solidFill>
                <a:srgbClr val="000000"/>
              </a:solidFill>
              <a:latin typeface="Arial"/>
              <a:cs typeface="Arial"/>
            </a:rPr>
            <a:t> = </a:t>
          </a:r>
          <a:r>
            <a:rPr lang="en-IN" sz="1000" b="0" i="0" u="none" strike="noStrike" baseline="0">
              <a:solidFill>
                <a:srgbClr val="000000"/>
              </a:solidFill>
              <a:latin typeface="Symbol"/>
              <a:cs typeface="Arial"/>
            </a:rPr>
            <a:t>p </a:t>
          </a:r>
          <a:r>
            <a:rPr lang="en-IN" sz="1000" b="0" i="0" u="none" strike="noStrike" baseline="0">
              <a:solidFill>
                <a:srgbClr val="000000"/>
              </a:solidFill>
              <a:latin typeface="Arial"/>
              <a:cs typeface="Arial"/>
            </a:rPr>
            <a:t>h (D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 dD + d</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 12</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where,     V</a:t>
          </a:r>
          <a:r>
            <a:rPr lang="en-IN" sz="1000" b="0" i="0" u="none" strike="noStrike" baseline="-25000">
              <a:solidFill>
                <a:srgbClr val="000000"/>
              </a:solidFill>
              <a:latin typeface="Arial"/>
              <a:cs typeface="Arial"/>
            </a:rPr>
            <a:t>c</a:t>
          </a:r>
          <a:r>
            <a:rPr lang="en-IN" sz="1000" b="0" i="0" u="none" strike="noStrike" baseline="0">
              <a:solidFill>
                <a:srgbClr val="000000"/>
              </a:solidFill>
              <a:latin typeface="Arial"/>
              <a:cs typeface="Arial"/>
            </a:rPr>
            <a:t> = total conical volume, cu. ft.</a:t>
          </a:r>
        </a:p>
        <a:p>
          <a:pPr algn="l" rtl="0">
            <a:defRPr sz="1000"/>
          </a:pPr>
          <a:r>
            <a:rPr lang="en-IN" sz="1000" b="0" i="0" u="none" strike="noStrike" baseline="0">
              <a:solidFill>
                <a:srgbClr val="000000"/>
              </a:solidFill>
              <a:latin typeface="Arial"/>
              <a:cs typeface="Arial"/>
            </a:rPr>
            <a:t>                h  = height of the cone, ft</a:t>
          </a:r>
        </a:p>
        <a:p>
          <a:pPr algn="l" rtl="0">
            <a:defRPr sz="1000"/>
          </a:pPr>
          <a:r>
            <a:rPr lang="en-IN" sz="1000" b="0" i="0" u="none" strike="noStrike" baseline="0">
              <a:solidFill>
                <a:srgbClr val="000000"/>
              </a:solidFill>
              <a:latin typeface="Arial"/>
              <a:cs typeface="Arial"/>
            </a:rPr>
            <a:t>                d  = diameter of the small end, ft</a:t>
          </a:r>
        </a:p>
        <a:p>
          <a:pPr algn="l" rtl="0">
            <a:defRPr sz="1000"/>
          </a:pPr>
          <a:r>
            <a:rPr lang="en-IN" sz="1000" b="0" i="0" u="none" strike="noStrike" baseline="0">
              <a:solidFill>
                <a:srgbClr val="000000"/>
              </a:solidFill>
              <a:latin typeface="Arial"/>
              <a:cs typeface="Arial"/>
            </a:rPr>
            <a:t>                D  = diameter of the large end, ft</a:t>
          </a:r>
        </a:p>
        <a:p>
          <a:pPr algn="l" rtl="0">
            <a:defRPr sz="1000"/>
          </a:pPr>
          <a:r>
            <a:rPr lang="en-IN" sz="1000" b="0" i="0" u="none" strike="noStrike" baseline="0">
              <a:solidFill>
                <a:srgbClr val="000000"/>
              </a:solidFill>
              <a:latin typeface="Arial"/>
              <a:cs typeface="Arial"/>
            </a:rPr>
            <a:t> </a:t>
          </a:r>
        </a:p>
        <a:p>
          <a:pPr algn="l" rtl="0">
            <a:defRPr sz="1000"/>
          </a:pPr>
          <a:r>
            <a:rPr lang="en-IN" sz="1000" b="0" i="0" u="none" strike="noStrike" baseline="0">
              <a:solidFill>
                <a:srgbClr val="000000"/>
              </a:solidFill>
              <a:latin typeface="Arial"/>
              <a:cs typeface="Arial"/>
            </a:rPr>
            <a:t>When a tank volume cannot be calculated, or when greater precision is required, calibration may be necessary.  This is done by draining (or filling) the tank and measuring the volume of liquid.  The measurement may be made by weighing, by a calibrated fluid meter (i.e., Micro Motion Coriolis flowmeter), or by repeatedly filling small measuring tanks which have been calibrated by weight.  From the known fluid density at the measured temperature, the equivalent volume can be quickly converted from the measured fluid mass.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a:t>
          </a: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xdr:txBody>
    </xdr:sp>
    <xdr:clientData/>
  </xdr:twoCellAnchor>
  <xdr:twoCellAnchor>
    <xdr:from>
      <xdr:col>0</xdr:col>
      <xdr:colOff>19050</xdr:colOff>
      <xdr:row>185</xdr:row>
      <xdr:rowOff>123825</xdr:rowOff>
    </xdr:from>
    <xdr:to>
      <xdr:col>9</xdr:col>
      <xdr:colOff>1000125</xdr:colOff>
      <xdr:row>218</xdr:row>
      <xdr:rowOff>9525</xdr:rowOff>
    </xdr:to>
    <xdr:sp macro="" textlink="">
      <xdr:nvSpPr>
        <xdr:cNvPr id="15378" name="Text Box 18">
          <a:extLst>
            <a:ext uri="{FF2B5EF4-FFF2-40B4-BE49-F238E27FC236}">
              <a16:creationId xmlns:a16="http://schemas.microsoft.com/office/drawing/2014/main" id="{B83AFED8-905F-4C11-B512-4B69E42CDD9A}"/>
            </a:ext>
          </a:extLst>
        </xdr:cNvPr>
        <xdr:cNvSpPr txBox="1">
          <a:spLocks noChangeArrowheads="1"/>
        </xdr:cNvSpPr>
      </xdr:nvSpPr>
      <xdr:spPr bwMode="auto">
        <a:xfrm>
          <a:off x="19050" y="30079950"/>
          <a:ext cx="6610350" cy="5229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Doolittle relationship can be applied to Horizontal </a:t>
          </a:r>
          <a:r>
            <a:rPr lang="en-IN" sz="1000" b="0" i="0" u="sng" strike="noStrike" baseline="0">
              <a:solidFill>
                <a:srgbClr val="000000"/>
              </a:solidFill>
              <a:latin typeface="Arial"/>
              <a:cs typeface="Arial"/>
            </a:rPr>
            <a:t>and</a:t>
          </a:r>
          <a:r>
            <a:rPr lang="en-IN" sz="1000" b="0" i="0" u="none" strike="noStrike" baseline="0">
              <a:solidFill>
                <a:srgbClr val="000000"/>
              </a:solidFill>
              <a:latin typeface="Arial"/>
              <a:cs typeface="Arial"/>
            </a:rPr>
            <a:t> Vertical-oriented Ellipsoidal (and F&amp;D) vessel heads.  However, </a:t>
          </a:r>
          <a:r>
            <a:rPr lang="en-IN" sz="1000" b="1" i="1" u="none" strike="noStrike" baseline="0">
              <a:solidFill>
                <a:srgbClr val="000000"/>
              </a:solidFill>
              <a:latin typeface="Arial"/>
              <a:cs typeface="Arial"/>
            </a:rPr>
            <a:t>it is important to note that the H/D ratio that sets the fractional Coefficient, Ze, is measured differently in both cases</a:t>
          </a:r>
          <a:r>
            <a:rPr lang="en-IN" sz="1000" b="0" i="0" u="none" strike="noStrike" baseline="0">
              <a:solidFill>
                <a:srgbClr val="000000"/>
              </a:solidFill>
              <a:latin typeface="Arial"/>
              <a:cs typeface="Arial"/>
            </a:rPr>
            <a:t>.  Refer to the above illustrations of Ellipsoids oriented horizontally and vertically.</a:t>
          </a: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r>
            <a:rPr lang="en-IN" sz="1000" b="1" i="0" u="none" strike="noStrike" baseline="0">
              <a:solidFill>
                <a:srgbClr val="000000"/>
              </a:solidFill>
              <a:latin typeface="Arial"/>
              <a:cs typeface="Arial"/>
            </a:rPr>
            <a:t>For</a:t>
          </a:r>
          <a:r>
            <a:rPr lang="en-IN" sz="1000" b="0" i="0" u="none" strike="noStrike" baseline="0">
              <a:solidFill>
                <a:srgbClr val="000000"/>
              </a:solidFill>
              <a:latin typeface="Arial"/>
              <a:cs typeface="Arial"/>
            </a:rPr>
            <a:t> </a:t>
          </a:r>
          <a:r>
            <a:rPr lang="en-IN" sz="1000" b="1" i="0" u="none" strike="noStrike" baseline="0">
              <a:solidFill>
                <a:srgbClr val="000000"/>
              </a:solidFill>
              <a:latin typeface="Arial"/>
              <a:cs typeface="Arial"/>
            </a:rPr>
            <a:t>Horizontal Vessel Heads:</a:t>
          </a: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In this case, note that the H/D ratio represents the Liquid depth divided by the Major Axis (internal diameter) of the Ellipsoidal heads.</a:t>
          </a:r>
        </a:p>
        <a:p>
          <a:pPr algn="l" rtl="0">
            <a:defRPr sz="1000"/>
          </a:pPr>
          <a:endParaRPr lang="en-IN" sz="1000" b="0" i="0" u="none" strike="noStrike" baseline="0">
            <a:solidFill>
              <a:srgbClr val="000000"/>
            </a:solidFill>
            <a:latin typeface="Arial"/>
            <a:cs typeface="Arial"/>
          </a:endParaRPr>
        </a:p>
        <a:p>
          <a:pPr algn="l" rtl="0">
            <a:defRPr sz="1000"/>
          </a:pPr>
          <a:endParaRPr lang="en-IN" sz="1000" b="0" i="0" u="none" strike="noStrike" baseline="0">
            <a:solidFill>
              <a:srgbClr val="000000"/>
            </a:solidFill>
            <a:latin typeface="Arial"/>
            <a:cs typeface="Arial"/>
          </a:endParaRPr>
        </a:p>
        <a:p>
          <a:pPr algn="l" rtl="0">
            <a:defRPr sz="1000"/>
          </a:pPr>
          <a:r>
            <a:rPr lang="en-IN" sz="1000" b="1" i="0" u="none" strike="noStrike" baseline="0">
              <a:solidFill>
                <a:srgbClr val="000000"/>
              </a:solidFill>
              <a:latin typeface="Arial"/>
              <a:cs typeface="Arial"/>
            </a:rPr>
            <a:t>For Vertical Vessel Heads:</a:t>
          </a:r>
        </a:p>
        <a:p>
          <a:pPr algn="l" rtl="0">
            <a:defRPr sz="1000"/>
          </a:pPr>
          <a:endParaRPr lang="en-IN" sz="1000" b="1"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The H/D ratio corresponding to this orientation is the Liquid depth divided by the</a:t>
          </a:r>
          <a:r>
            <a:rPr lang="en-IN" sz="1000" b="1" i="0" u="sng" strike="noStrike" baseline="0">
              <a:solidFill>
                <a:srgbClr val="000000"/>
              </a:solidFill>
              <a:latin typeface="Arial"/>
              <a:cs typeface="Arial"/>
            </a:rPr>
            <a:t> Minor</a:t>
          </a:r>
          <a:r>
            <a:rPr lang="en-IN" sz="1000" b="0" i="0" u="none" strike="noStrike" baseline="0">
              <a:solidFill>
                <a:srgbClr val="000000"/>
              </a:solidFill>
              <a:latin typeface="Arial"/>
              <a:cs typeface="Arial"/>
            </a:rPr>
            <a:t> Axis, </a:t>
          </a:r>
          <a:r>
            <a:rPr lang="en-IN" sz="1000" b="0" i="0" u="sng" strike="noStrike" baseline="0">
              <a:solidFill>
                <a:srgbClr val="000000"/>
              </a:solidFill>
              <a:latin typeface="Arial"/>
              <a:cs typeface="Arial"/>
            </a:rPr>
            <a:t>not the Major Axis (internal diameter) of the Ellipsoidal heads</a:t>
          </a:r>
          <a:r>
            <a:rPr lang="en-IN" sz="1000" b="0" i="0" u="none" strike="noStrike" baseline="0">
              <a:solidFill>
                <a:srgbClr val="000000"/>
              </a:solidFill>
              <a:latin typeface="Arial"/>
              <a:cs typeface="Arial"/>
            </a:rPr>
            <a:t>.  This means that the Inside Depth of Dish (IDD) must be known.  The IDD is the depth of the head at its center and includes the inside corner radius but not the straight flange or nominal thickness of the head.  Characteristic IDD's for various types of heads are: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Standard dished head:      OD / 7   (Note: This is only approximate, since no standards exist for dished heads)</a:t>
          </a:r>
        </a:p>
        <a:p>
          <a:pPr algn="l" rtl="0">
            <a:defRPr sz="1000"/>
          </a:pPr>
          <a:r>
            <a:rPr lang="en-IN" sz="1000" b="0" i="0" u="none" strike="noStrike" baseline="0">
              <a:solidFill>
                <a:srgbClr val="000000"/>
              </a:solidFill>
              <a:latin typeface="Arial"/>
              <a:cs typeface="Arial"/>
            </a:rPr>
            <a:t>          ASME F&amp;D head:             OD / 6</a:t>
          </a:r>
        </a:p>
        <a:p>
          <a:pPr algn="l" rtl="0">
            <a:defRPr sz="1000"/>
          </a:pPr>
          <a:r>
            <a:rPr lang="en-IN" sz="1000" b="0" i="0" u="none" strike="noStrike" baseline="0">
              <a:solidFill>
                <a:srgbClr val="000000"/>
              </a:solidFill>
              <a:latin typeface="Arial"/>
              <a:cs typeface="Arial"/>
            </a:rPr>
            <a:t>          Ellipsoidal, 2:1 head:         ID / 4</a:t>
          </a:r>
        </a:p>
        <a:p>
          <a:pPr algn="l" rtl="0">
            <a:defRPr sz="1000"/>
          </a:pPr>
          <a:r>
            <a:rPr lang="en-IN" sz="1000" b="0" i="0" u="none" strike="noStrike" baseline="0">
              <a:solidFill>
                <a:srgbClr val="000000"/>
              </a:solidFill>
              <a:latin typeface="Arial"/>
              <a:cs typeface="Arial"/>
            </a:rPr>
            <a:t>          Hemispherical head:          ID / 2</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An analytical equation for the partial volume of vertical oriented, "standard" dished heads at various depths is:</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V = 0.01363 H</a:t>
          </a:r>
          <a:r>
            <a:rPr lang="en-IN" sz="1000" b="0" i="0" u="none" strike="noStrike" baseline="30000">
              <a:solidFill>
                <a:srgbClr val="000000"/>
              </a:solidFill>
              <a:latin typeface="Arial"/>
              <a:cs typeface="Arial"/>
            </a:rPr>
            <a:t>2</a:t>
          </a:r>
          <a:r>
            <a:rPr lang="en-IN" sz="1000" b="0" i="0" u="none" strike="noStrike" baseline="0">
              <a:solidFill>
                <a:srgbClr val="000000"/>
              </a:solidFill>
              <a:latin typeface="Arial"/>
              <a:cs typeface="Arial"/>
            </a:rPr>
            <a:t> L  - 0.004545 H</a:t>
          </a:r>
          <a:r>
            <a:rPr lang="en-IN" sz="1000" b="0" i="0" u="none" strike="noStrike" baseline="30000">
              <a:solidFill>
                <a:srgbClr val="000000"/>
              </a:solidFill>
              <a:latin typeface="Arial"/>
              <a:cs typeface="Arial"/>
            </a:rPr>
            <a:t>3</a:t>
          </a:r>
          <a:r>
            <a:rPr lang="en-IN" sz="1000" b="0" i="0" u="none" strike="noStrike" baseline="0">
              <a:solidFill>
                <a:srgbClr val="000000"/>
              </a:solidFill>
              <a:latin typeface="Arial"/>
              <a:cs typeface="Arial"/>
            </a:rPr>
            <a:t> ......................(Chemical Processing Nomographs;Dale S. Davis; </a:t>
          </a:r>
        </a:p>
        <a:p>
          <a:pPr algn="l" rtl="0">
            <a:defRPr sz="1000"/>
          </a:pPr>
          <a:r>
            <a:rPr lang="en-IN" sz="1000" b="0" i="0" u="none" strike="noStrike" baseline="0">
              <a:solidFill>
                <a:srgbClr val="000000"/>
              </a:solidFill>
              <a:latin typeface="Arial"/>
              <a:cs typeface="Arial"/>
            </a:rPr>
            <a:t>                                                                                   Chemical Publishing Co.;1969; p. 276)</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where,    V = liquid volume in the dish, gallons (excluding flanged section)</a:t>
          </a:r>
        </a:p>
        <a:p>
          <a:pPr algn="l" rtl="0">
            <a:defRPr sz="1000"/>
          </a:pPr>
          <a:r>
            <a:rPr lang="en-IN" sz="1000" b="0" i="0" u="none" strike="noStrike" baseline="0">
              <a:solidFill>
                <a:srgbClr val="000000"/>
              </a:solidFill>
              <a:latin typeface="Arial"/>
              <a:cs typeface="Arial"/>
            </a:rPr>
            <a:t>               H = liquid depth in the dish, inches</a:t>
          </a:r>
        </a:p>
        <a:p>
          <a:pPr algn="l" rtl="0">
            <a:defRPr sz="1000"/>
          </a:pPr>
          <a:r>
            <a:rPr lang="en-IN" sz="1000" b="0" i="0" u="none" strike="noStrike" baseline="0">
              <a:solidFill>
                <a:srgbClr val="000000"/>
              </a:solidFill>
              <a:latin typeface="Arial"/>
              <a:cs typeface="Arial"/>
            </a:rPr>
            <a:t>               L = radius of the dish, inches (usually equal to the tank ID, minus 6 inches)</a:t>
          </a:r>
        </a:p>
      </xdr:txBody>
    </xdr:sp>
    <xdr:clientData/>
  </xdr:twoCellAnchor>
  <xdr:twoCellAnchor>
    <xdr:from>
      <xdr:col>0</xdr:col>
      <xdr:colOff>266700</xdr:colOff>
      <xdr:row>168</xdr:row>
      <xdr:rowOff>0</xdr:rowOff>
    </xdr:from>
    <xdr:to>
      <xdr:col>9</xdr:col>
      <xdr:colOff>514350</xdr:colOff>
      <xdr:row>184</xdr:row>
      <xdr:rowOff>95250</xdr:rowOff>
    </xdr:to>
    <xdr:grpSp>
      <xdr:nvGrpSpPr>
        <xdr:cNvPr id="15578" name="Group 39"/>
        <xdr:cNvGrpSpPr>
          <a:grpSpLocks/>
        </xdr:cNvGrpSpPr>
      </xdr:nvGrpSpPr>
      <xdr:grpSpPr bwMode="auto">
        <a:xfrm>
          <a:off x="266700" y="27203400"/>
          <a:ext cx="5876925" cy="2686050"/>
          <a:chOff x="28" y="2856"/>
          <a:chExt cx="617" cy="282"/>
        </a:xfrm>
      </xdr:grpSpPr>
      <xdr:sp macro="" textlink="">
        <xdr:nvSpPr>
          <xdr:cNvPr id="15579" name="Oval 4"/>
          <xdr:cNvSpPr>
            <a:spLocks noChangeArrowheads="1"/>
          </xdr:cNvSpPr>
        </xdr:nvSpPr>
        <xdr:spPr bwMode="auto">
          <a:xfrm>
            <a:off x="155" y="2860"/>
            <a:ext cx="102" cy="219"/>
          </a:xfrm>
          <a:prstGeom prst="ellipse">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5580" name="Oval 5"/>
          <xdr:cNvSpPr>
            <a:spLocks noChangeArrowheads="1"/>
          </xdr:cNvSpPr>
        </xdr:nvSpPr>
        <xdr:spPr bwMode="auto">
          <a:xfrm rot="5448470">
            <a:off x="394" y="2847"/>
            <a:ext cx="102" cy="219"/>
          </a:xfrm>
          <a:prstGeom prst="ellipse">
            <a:avLst/>
          </a:prstGeom>
          <a:solidFill>
            <a:srgbClr xmlns:mc="http://schemas.openxmlformats.org/markup-compatibility/2006" xmlns:a14="http://schemas.microsoft.com/office/drawing/2010/main" val="FFFFFF" mc:Ignorable="a14" a14:legacySpreadsheetColorIndex="9"/>
          </a:solidFill>
          <a:ln w="1587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5581" name="Line 6"/>
          <xdr:cNvSpPr>
            <a:spLocks noChangeShapeType="1"/>
          </xdr:cNvSpPr>
        </xdr:nvSpPr>
        <xdr:spPr bwMode="auto">
          <a:xfrm flipH="1">
            <a:off x="33" y="2856"/>
            <a:ext cx="15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582" name="Line 7"/>
          <xdr:cNvSpPr>
            <a:spLocks noChangeShapeType="1"/>
          </xdr:cNvSpPr>
        </xdr:nvSpPr>
        <xdr:spPr bwMode="auto">
          <a:xfrm flipH="1">
            <a:off x="36" y="3077"/>
            <a:ext cx="15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583" name="Line 8"/>
          <xdr:cNvSpPr>
            <a:spLocks noChangeShapeType="1"/>
          </xdr:cNvSpPr>
        </xdr:nvSpPr>
        <xdr:spPr bwMode="auto">
          <a:xfrm flipH="1">
            <a:off x="481" y="2906"/>
            <a:ext cx="15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584" name="Line 9"/>
          <xdr:cNvSpPr>
            <a:spLocks noChangeShapeType="1"/>
          </xdr:cNvSpPr>
        </xdr:nvSpPr>
        <xdr:spPr bwMode="auto">
          <a:xfrm flipH="1">
            <a:off x="490" y="3009"/>
            <a:ext cx="15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370" name="Text Box 10">
            <a:extLst>
              <a:ext uri="{FF2B5EF4-FFF2-40B4-BE49-F238E27FC236}">
                <a16:creationId xmlns:a16="http://schemas.microsoft.com/office/drawing/2014/main" id="{32ECB44F-73DD-48CB-B07F-91D7699DD0BA}"/>
              </a:ext>
            </a:extLst>
          </xdr:cNvPr>
          <xdr:cNvSpPr txBox="1">
            <a:spLocks noChangeArrowheads="1"/>
          </xdr:cNvSpPr>
        </xdr:nvSpPr>
        <xdr:spPr bwMode="auto">
          <a:xfrm>
            <a:off x="28" y="2935"/>
            <a:ext cx="114" cy="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IN" sz="1000" b="0" i="0" u="none" strike="noStrike" baseline="0">
                <a:solidFill>
                  <a:srgbClr val="000000"/>
                </a:solidFill>
                <a:latin typeface="Arial"/>
                <a:cs typeface="Arial"/>
              </a:rPr>
              <a:t>Horizontal vessel </a:t>
            </a:r>
          </a:p>
          <a:p>
            <a:pPr algn="ctr" rtl="0">
              <a:defRPr sz="1000"/>
            </a:pPr>
            <a:r>
              <a:rPr lang="en-IN" sz="1000" b="0" i="0" u="none" strike="noStrike" baseline="0">
                <a:solidFill>
                  <a:srgbClr val="000000"/>
                </a:solidFill>
                <a:latin typeface="Arial"/>
                <a:cs typeface="Arial"/>
              </a:rPr>
              <a:t>diameter (D)</a:t>
            </a:r>
          </a:p>
          <a:p>
            <a:pPr algn="ctr" rtl="0">
              <a:defRPr sz="1000"/>
            </a:pPr>
            <a:r>
              <a:rPr lang="en-IN" sz="1000" b="0" i="0" u="none" strike="noStrike" baseline="0">
                <a:solidFill>
                  <a:srgbClr val="000000"/>
                </a:solidFill>
                <a:latin typeface="Arial"/>
                <a:cs typeface="Arial"/>
              </a:rPr>
              <a:t>(major axis)</a:t>
            </a:r>
          </a:p>
        </xdr:txBody>
      </xdr:sp>
      <xdr:sp macro="" textlink="">
        <xdr:nvSpPr>
          <xdr:cNvPr id="15371" name="Text Box 11">
            <a:extLst>
              <a:ext uri="{FF2B5EF4-FFF2-40B4-BE49-F238E27FC236}">
                <a16:creationId xmlns:a16="http://schemas.microsoft.com/office/drawing/2014/main" id="{2579EFD7-3D9D-4A18-A05F-55A53F8D7AC7}"/>
              </a:ext>
            </a:extLst>
          </xdr:cNvPr>
          <xdr:cNvSpPr txBox="1">
            <a:spLocks noChangeArrowheads="1"/>
          </xdr:cNvSpPr>
        </xdr:nvSpPr>
        <xdr:spPr bwMode="auto">
          <a:xfrm>
            <a:off x="566" y="2941"/>
            <a:ext cx="66" cy="3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lnSpc>
                <a:spcPts val="800"/>
              </a:lnSpc>
              <a:defRPr sz="1000"/>
            </a:pPr>
            <a:r>
              <a:rPr lang="en-IN" sz="1000" b="0" i="0" u="none" strike="noStrike" baseline="0">
                <a:solidFill>
                  <a:srgbClr val="000000"/>
                </a:solidFill>
                <a:latin typeface="Arial"/>
                <a:cs typeface="Arial"/>
              </a:rPr>
              <a:t>minor axis</a:t>
            </a:r>
          </a:p>
          <a:p>
            <a:pPr algn="ctr" rtl="0">
              <a:lnSpc>
                <a:spcPts val="1000"/>
              </a:lnSpc>
              <a:defRPr sz="1000"/>
            </a:pPr>
            <a:r>
              <a:rPr lang="en-IN" sz="1000" b="0" i="0" u="none" strike="noStrike" baseline="0">
                <a:solidFill>
                  <a:srgbClr val="000000"/>
                </a:solidFill>
                <a:latin typeface="Arial"/>
                <a:cs typeface="Arial"/>
              </a:rPr>
              <a:t>(D)</a:t>
            </a:r>
          </a:p>
        </xdr:txBody>
      </xdr:sp>
      <xdr:sp macro="" textlink="">
        <xdr:nvSpPr>
          <xdr:cNvPr id="15372" name="Text Box 12">
            <a:extLst>
              <a:ext uri="{FF2B5EF4-FFF2-40B4-BE49-F238E27FC236}">
                <a16:creationId xmlns:a16="http://schemas.microsoft.com/office/drawing/2014/main" id="{6B64CE43-2035-467B-9598-E46956A5F54F}"/>
              </a:ext>
            </a:extLst>
          </xdr:cNvPr>
          <xdr:cNvSpPr txBox="1">
            <a:spLocks noChangeArrowheads="1"/>
          </xdr:cNvSpPr>
        </xdr:nvSpPr>
        <xdr:spPr bwMode="auto">
          <a:xfrm>
            <a:off x="97" y="3112"/>
            <a:ext cx="220" cy="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Horizontal Vessel Heads' orientation</a:t>
            </a:r>
          </a:p>
        </xdr:txBody>
      </xdr:sp>
      <xdr:sp macro="" textlink="">
        <xdr:nvSpPr>
          <xdr:cNvPr id="15373" name="Text Box 13">
            <a:extLst>
              <a:ext uri="{FF2B5EF4-FFF2-40B4-BE49-F238E27FC236}">
                <a16:creationId xmlns:a16="http://schemas.microsoft.com/office/drawing/2014/main" id="{8C4940D0-B471-4101-84F4-0451D628517C}"/>
              </a:ext>
            </a:extLst>
          </xdr:cNvPr>
          <xdr:cNvSpPr txBox="1">
            <a:spLocks noChangeArrowheads="1"/>
          </xdr:cNvSpPr>
        </xdr:nvSpPr>
        <xdr:spPr bwMode="auto">
          <a:xfrm>
            <a:off x="355" y="3112"/>
            <a:ext cx="202" cy="26"/>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Vertical Vessel Heads' orientation</a:t>
            </a:r>
          </a:p>
        </xdr:txBody>
      </xdr:sp>
      <xdr:sp macro="" textlink="">
        <xdr:nvSpPr>
          <xdr:cNvPr id="15589" name="Line 14"/>
          <xdr:cNvSpPr>
            <a:spLocks noChangeShapeType="1"/>
          </xdr:cNvSpPr>
        </xdr:nvSpPr>
        <xdr:spPr bwMode="auto">
          <a:xfrm flipV="1">
            <a:off x="598" y="2906"/>
            <a:ext cx="0" cy="3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5590" name="Line 15"/>
          <xdr:cNvSpPr>
            <a:spLocks noChangeShapeType="1"/>
          </xdr:cNvSpPr>
        </xdr:nvSpPr>
        <xdr:spPr bwMode="auto">
          <a:xfrm>
            <a:off x="598" y="2978"/>
            <a:ext cx="0" cy="3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5591" name="Line 16"/>
          <xdr:cNvSpPr>
            <a:spLocks noChangeShapeType="1"/>
          </xdr:cNvSpPr>
        </xdr:nvSpPr>
        <xdr:spPr bwMode="auto">
          <a:xfrm flipV="1">
            <a:off x="83" y="2856"/>
            <a:ext cx="0" cy="7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5592" name="Line 17"/>
          <xdr:cNvSpPr>
            <a:spLocks noChangeShapeType="1"/>
          </xdr:cNvSpPr>
        </xdr:nvSpPr>
        <xdr:spPr bwMode="auto">
          <a:xfrm>
            <a:off x="82" y="2985"/>
            <a:ext cx="0" cy="9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5593" name="Line 20"/>
          <xdr:cNvSpPr>
            <a:spLocks noChangeShapeType="1"/>
          </xdr:cNvSpPr>
        </xdr:nvSpPr>
        <xdr:spPr bwMode="auto">
          <a:xfrm>
            <a:off x="350" y="2982"/>
            <a:ext cx="19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594" name="Line 21"/>
          <xdr:cNvSpPr>
            <a:spLocks noChangeShapeType="1"/>
          </xdr:cNvSpPr>
        </xdr:nvSpPr>
        <xdr:spPr bwMode="auto">
          <a:xfrm>
            <a:off x="303" y="3009"/>
            <a:ext cx="8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595" name="Line 22"/>
          <xdr:cNvSpPr>
            <a:spLocks noChangeShapeType="1"/>
          </xdr:cNvSpPr>
        </xdr:nvSpPr>
        <xdr:spPr bwMode="auto">
          <a:xfrm>
            <a:off x="298" y="2982"/>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596" name="Line 23"/>
          <xdr:cNvSpPr>
            <a:spLocks noChangeShapeType="1"/>
          </xdr:cNvSpPr>
        </xdr:nvSpPr>
        <xdr:spPr bwMode="auto">
          <a:xfrm flipH="1">
            <a:off x="104" y="3011"/>
            <a:ext cx="5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384" name="Text Box 24">
            <a:extLst>
              <a:ext uri="{FF2B5EF4-FFF2-40B4-BE49-F238E27FC236}">
                <a16:creationId xmlns:a16="http://schemas.microsoft.com/office/drawing/2014/main" id="{BF93A539-2809-49FD-8312-43706ACB6AD0}"/>
              </a:ext>
            </a:extLst>
          </xdr:cNvPr>
          <xdr:cNvSpPr txBox="1">
            <a:spLocks noChangeArrowheads="1"/>
          </xdr:cNvSpPr>
        </xdr:nvSpPr>
        <xdr:spPr bwMode="auto">
          <a:xfrm>
            <a:off x="311" y="2985"/>
            <a:ext cx="13"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H</a:t>
            </a:r>
          </a:p>
        </xdr:txBody>
      </xdr:sp>
      <xdr:sp macro="" textlink="">
        <xdr:nvSpPr>
          <xdr:cNvPr id="15598" name="Line 25"/>
          <xdr:cNvSpPr>
            <a:spLocks noChangeShapeType="1"/>
          </xdr:cNvSpPr>
        </xdr:nvSpPr>
        <xdr:spPr bwMode="auto">
          <a:xfrm>
            <a:off x="334" y="2982"/>
            <a:ext cx="0" cy="27"/>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5599" name="Line 26"/>
          <xdr:cNvSpPr>
            <a:spLocks noChangeShapeType="1"/>
          </xdr:cNvSpPr>
        </xdr:nvSpPr>
        <xdr:spPr bwMode="auto">
          <a:xfrm>
            <a:off x="143" y="3011"/>
            <a:ext cx="0" cy="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5387" name="Text Box 27">
            <a:extLst>
              <a:ext uri="{FF2B5EF4-FFF2-40B4-BE49-F238E27FC236}">
                <a16:creationId xmlns:a16="http://schemas.microsoft.com/office/drawing/2014/main" id="{401A4FB5-79C5-4D57-B061-D79068440678}"/>
              </a:ext>
            </a:extLst>
          </xdr:cNvPr>
          <xdr:cNvSpPr txBox="1">
            <a:spLocks noChangeArrowheads="1"/>
          </xdr:cNvSpPr>
        </xdr:nvSpPr>
        <xdr:spPr bwMode="auto">
          <a:xfrm>
            <a:off x="124" y="3036"/>
            <a:ext cx="13" cy="2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22860" anchor="ctr" upright="1">
            <a:spAutoFit/>
          </a:bodyPr>
          <a:lstStyle/>
          <a:p>
            <a:pPr algn="ctr" rtl="0">
              <a:defRPr sz="1000"/>
            </a:pPr>
            <a:r>
              <a:rPr lang="en-IN" sz="1000" b="0" i="0" u="none" strike="noStrike" baseline="0">
                <a:solidFill>
                  <a:srgbClr val="000000"/>
                </a:solidFill>
                <a:latin typeface="Arial"/>
                <a:cs typeface="Arial"/>
              </a:rPr>
              <a:t>H</a:t>
            </a:r>
          </a:p>
        </xdr:txBody>
      </xdr:sp>
      <xdr:sp macro="" textlink="">
        <xdr:nvSpPr>
          <xdr:cNvPr id="15601" name="Freeform 34"/>
          <xdr:cNvSpPr>
            <a:spLocks/>
          </xdr:cNvSpPr>
        </xdr:nvSpPr>
        <xdr:spPr bwMode="auto">
          <a:xfrm>
            <a:off x="157" y="3008"/>
            <a:ext cx="99" cy="70"/>
          </a:xfrm>
          <a:custGeom>
            <a:avLst/>
            <a:gdLst>
              <a:gd name="T0" fmla="*/ 1 w 99"/>
              <a:gd name="T1" fmla="*/ 3 h 70"/>
              <a:gd name="T2" fmla="*/ 11 w 99"/>
              <a:gd name="T3" fmla="*/ 39 h 70"/>
              <a:gd name="T4" fmla="*/ 19 w 99"/>
              <a:gd name="T5" fmla="*/ 52 h 70"/>
              <a:gd name="T6" fmla="*/ 22 w 99"/>
              <a:gd name="T7" fmla="*/ 56 h 70"/>
              <a:gd name="T8" fmla="*/ 38 w 99"/>
              <a:gd name="T9" fmla="*/ 68 h 70"/>
              <a:gd name="T10" fmla="*/ 47 w 99"/>
              <a:gd name="T11" fmla="*/ 70 h 70"/>
              <a:gd name="T12" fmla="*/ 62 w 99"/>
              <a:gd name="T13" fmla="*/ 66 h 70"/>
              <a:gd name="T14" fmla="*/ 71 w 99"/>
              <a:gd name="T15" fmla="*/ 61 h 70"/>
              <a:gd name="T16" fmla="*/ 83 w 99"/>
              <a:gd name="T17" fmla="*/ 47 h 70"/>
              <a:gd name="T18" fmla="*/ 88 w 99"/>
              <a:gd name="T19" fmla="*/ 33 h 70"/>
              <a:gd name="T20" fmla="*/ 95 w 99"/>
              <a:gd name="T21" fmla="*/ 11 h 70"/>
              <a:gd name="T22" fmla="*/ 95 w 99"/>
              <a:gd name="T23" fmla="*/ 7 h 70"/>
              <a:gd name="T24" fmla="*/ 95 w 99"/>
              <a:gd name="T25" fmla="*/ 1 h 70"/>
              <a:gd name="T26" fmla="*/ 74 w 99"/>
              <a:gd name="T27" fmla="*/ 2 h 70"/>
              <a:gd name="T28" fmla="*/ 59 w 99"/>
              <a:gd name="T29" fmla="*/ 1 h 70"/>
              <a:gd name="T30" fmla="*/ 53 w 99"/>
              <a:gd name="T31" fmla="*/ 2 h 70"/>
              <a:gd name="T32" fmla="*/ 45 w 99"/>
              <a:gd name="T33" fmla="*/ 2 h 70"/>
              <a:gd name="T34" fmla="*/ 40 w 99"/>
              <a:gd name="T35" fmla="*/ 3 h 70"/>
              <a:gd name="T36" fmla="*/ 33 w 99"/>
              <a:gd name="T37" fmla="*/ 2 h 70"/>
              <a:gd name="T38" fmla="*/ 24 w 99"/>
              <a:gd name="T39" fmla="*/ 1 h 70"/>
              <a:gd name="T40" fmla="*/ 14 w 99"/>
              <a:gd name="T41" fmla="*/ 1 h 70"/>
              <a:gd name="T42" fmla="*/ 6 w 99"/>
              <a:gd name="T43" fmla="*/ 1 h 70"/>
              <a:gd name="T44" fmla="*/ 1 w 99"/>
              <a:gd name="T45" fmla="*/ 3 h 70"/>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0" t="0" r="r" b="b"/>
            <a:pathLst>
              <a:path w="99" h="70">
                <a:moveTo>
                  <a:pt x="1" y="3"/>
                </a:moveTo>
                <a:cubicBezTo>
                  <a:pt x="0" y="9"/>
                  <a:pt x="8" y="31"/>
                  <a:pt x="11" y="39"/>
                </a:cubicBezTo>
                <a:cubicBezTo>
                  <a:pt x="14" y="47"/>
                  <a:pt x="17" y="49"/>
                  <a:pt x="19" y="52"/>
                </a:cubicBezTo>
                <a:cubicBezTo>
                  <a:pt x="21" y="55"/>
                  <a:pt x="19" y="53"/>
                  <a:pt x="22" y="56"/>
                </a:cubicBezTo>
                <a:cubicBezTo>
                  <a:pt x="25" y="61"/>
                  <a:pt x="31" y="64"/>
                  <a:pt x="38" y="68"/>
                </a:cubicBezTo>
                <a:cubicBezTo>
                  <a:pt x="41" y="69"/>
                  <a:pt x="47" y="70"/>
                  <a:pt x="47" y="70"/>
                </a:cubicBezTo>
                <a:cubicBezTo>
                  <a:pt x="53" y="69"/>
                  <a:pt x="56" y="68"/>
                  <a:pt x="62" y="66"/>
                </a:cubicBezTo>
                <a:cubicBezTo>
                  <a:pt x="67" y="60"/>
                  <a:pt x="66" y="64"/>
                  <a:pt x="71" y="61"/>
                </a:cubicBezTo>
                <a:cubicBezTo>
                  <a:pt x="73" y="58"/>
                  <a:pt x="79" y="49"/>
                  <a:pt x="83" y="47"/>
                </a:cubicBezTo>
                <a:cubicBezTo>
                  <a:pt x="85" y="43"/>
                  <a:pt x="84" y="34"/>
                  <a:pt x="88" y="33"/>
                </a:cubicBezTo>
                <a:cubicBezTo>
                  <a:pt x="90" y="27"/>
                  <a:pt x="93" y="15"/>
                  <a:pt x="95" y="11"/>
                </a:cubicBezTo>
                <a:cubicBezTo>
                  <a:pt x="96" y="8"/>
                  <a:pt x="95" y="9"/>
                  <a:pt x="95" y="7"/>
                </a:cubicBezTo>
                <a:cubicBezTo>
                  <a:pt x="95" y="6"/>
                  <a:pt x="99" y="2"/>
                  <a:pt x="95" y="1"/>
                </a:cubicBezTo>
                <a:cubicBezTo>
                  <a:pt x="92" y="0"/>
                  <a:pt x="80" y="2"/>
                  <a:pt x="74" y="2"/>
                </a:cubicBezTo>
                <a:cubicBezTo>
                  <a:pt x="68" y="2"/>
                  <a:pt x="62" y="1"/>
                  <a:pt x="59" y="1"/>
                </a:cubicBezTo>
                <a:cubicBezTo>
                  <a:pt x="56" y="1"/>
                  <a:pt x="55" y="2"/>
                  <a:pt x="53" y="2"/>
                </a:cubicBezTo>
                <a:cubicBezTo>
                  <a:pt x="51" y="2"/>
                  <a:pt x="47" y="2"/>
                  <a:pt x="45" y="2"/>
                </a:cubicBezTo>
                <a:cubicBezTo>
                  <a:pt x="43" y="2"/>
                  <a:pt x="42" y="3"/>
                  <a:pt x="40" y="3"/>
                </a:cubicBezTo>
                <a:cubicBezTo>
                  <a:pt x="38" y="3"/>
                  <a:pt x="36" y="2"/>
                  <a:pt x="33" y="2"/>
                </a:cubicBezTo>
                <a:cubicBezTo>
                  <a:pt x="30" y="2"/>
                  <a:pt x="27" y="1"/>
                  <a:pt x="24" y="1"/>
                </a:cubicBezTo>
                <a:cubicBezTo>
                  <a:pt x="21" y="1"/>
                  <a:pt x="17" y="1"/>
                  <a:pt x="14" y="1"/>
                </a:cubicBezTo>
                <a:cubicBezTo>
                  <a:pt x="11" y="1"/>
                  <a:pt x="8" y="1"/>
                  <a:pt x="6" y="1"/>
                </a:cubicBezTo>
                <a:cubicBezTo>
                  <a:pt x="4" y="1"/>
                  <a:pt x="2" y="3"/>
                  <a:pt x="1" y="3"/>
                </a:cubicBezTo>
                <a:close/>
              </a:path>
            </a:pathLst>
          </a:cu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5602" name="Freeform 37"/>
          <xdr:cNvSpPr>
            <a:spLocks/>
          </xdr:cNvSpPr>
        </xdr:nvSpPr>
        <xdr:spPr bwMode="auto">
          <a:xfrm>
            <a:off x="349" y="2981"/>
            <a:ext cx="193" cy="27"/>
          </a:xfrm>
          <a:custGeom>
            <a:avLst/>
            <a:gdLst>
              <a:gd name="T0" fmla="*/ 3 w 193"/>
              <a:gd name="T1" fmla="*/ 1 h 27"/>
              <a:gd name="T2" fmla="*/ 9 w 193"/>
              <a:gd name="T3" fmla="*/ 6 h 27"/>
              <a:gd name="T4" fmla="*/ 22 w 193"/>
              <a:gd name="T5" fmla="*/ 13 h 27"/>
              <a:gd name="T6" fmla="*/ 31 w 193"/>
              <a:gd name="T7" fmla="*/ 17 h 27"/>
              <a:gd name="T8" fmla="*/ 33 w 193"/>
              <a:gd name="T9" fmla="*/ 17 h 27"/>
              <a:gd name="T10" fmla="*/ 35 w 193"/>
              <a:gd name="T11" fmla="*/ 18 h 27"/>
              <a:gd name="T12" fmla="*/ 48 w 193"/>
              <a:gd name="T13" fmla="*/ 22 h 27"/>
              <a:gd name="T14" fmla="*/ 59 w 193"/>
              <a:gd name="T15" fmla="*/ 25 h 27"/>
              <a:gd name="T16" fmla="*/ 71 w 193"/>
              <a:gd name="T17" fmla="*/ 27 h 27"/>
              <a:gd name="T18" fmla="*/ 76 w 193"/>
              <a:gd name="T19" fmla="*/ 27 h 27"/>
              <a:gd name="T20" fmla="*/ 76 w 193"/>
              <a:gd name="T21" fmla="*/ 27 h 27"/>
              <a:gd name="T22" fmla="*/ 76 w 193"/>
              <a:gd name="T23" fmla="*/ 27 h 27"/>
              <a:gd name="T24" fmla="*/ 77 w 193"/>
              <a:gd name="T25" fmla="*/ 27 h 27"/>
              <a:gd name="T26" fmla="*/ 79 w 193"/>
              <a:gd name="T27" fmla="*/ 27 h 27"/>
              <a:gd name="T28" fmla="*/ 90 w 193"/>
              <a:gd name="T29" fmla="*/ 27 h 27"/>
              <a:gd name="T30" fmla="*/ 105 w 193"/>
              <a:gd name="T31" fmla="*/ 27 h 27"/>
              <a:gd name="T32" fmla="*/ 118 w 193"/>
              <a:gd name="T33" fmla="*/ 27 h 27"/>
              <a:gd name="T34" fmla="*/ 127 w 193"/>
              <a:gd name="T35" fmla="*/ 26 h 27"/>
              <a:gd name="T36" fmla="*/ 129 w 193"/>
              <a:gd name="T37" fmla="*/ 25 h 27"/>
              <a:gd name="T38" fmla="*/ 129 w 193"/>
              <a:gd name="T39" fmla="*/ 25 h 27"/>
              <a:gd name="T40" fmla="*/ 130 w 193"/>
              <a:gd name="T41" fmla="*/ 25 h 27"/>
              <a:gd name="T42" fmla="*/ 134 w 193"/>
              <a:gd name="T43" fmla="*/ 24 h 27"/>
              <a:gd name="T44" fmla="*/ 136 w 193"/>
              <a:gd name="T45" fmla="*/ 24 h 27"/>
              <a:gd name="T46" fmla="*/ 146 w 193"/>
              <a:gd name="T47" fmla="*/ 22 h 27"/>
              <a:gd name="T48" fmla="*/ 171 w 193"/>
              <a:gd name="T49" fmla="*/ 14 h 27"/>
              <a:gd name="T50" fmla="*/ 185 w 193"/>
              <a:gd name="T51" fmla="*/ 7 h 27"/>
              <a:gd name="T52" fmla="*/ 192 w 193"/>
              <a:gd name="T53" fmla="*/ 1 h 27"/>
              <a:gd name="T54" fmla="*/ 184 w 193"/>
              <a:gd name="T55" fmla="*/ 1 h 27"/>
              <a:gd name="T56" fmla="*/ 174 w 193"/>
              <a:gd name="T57" fmla="*/ 1 h 27"/>
              <a:gd name="T58" fmla="*/ 166 w 193"/>
              <a:gd name="T59" fmla="*/ 1 h 27"/>
              <a:gd name="T60" fmla="*/ 149 w 193"/>
              <a:gd name="T61" fmla="*/ 1 h 27"/>
              <a:gd name="T62" fmla="*/ 121 w 193"/>
              <a:gd name="T63" fmla="*/ 1 h 27"/>
              <a:gd name="T64" fmla="*/ 107 w 193"/>
              <a:gd name="T65" fmla="*/ 1 h 27"/>
              <a:gd name="T66" fmla="*/ 44 w 193"/>
              <a:gd name="T67" fmla="*/ 1 h 27"/>
              <a:gd name="T68" fmla="*/ 37 w 193"/>
              <a:gd name="T69" fmla="*/ 1 h 27"/>
              <a:gd name="T70" fmla="*/ 36 w 193"/>
              <a:gd name="T71" fmla="*/ 1 h 27"/>
              <a:gd name="T72" fmla="*/ 32 w 193"/>
              <a:gd name="T73" fmla="*/ 1 h 27"/>
              <a:gd name="T74" fmla="*/ 34 w 193"/>
              <a:gd name="T75" fmla="*/ 1 h 27"/>
              <a:gd name="T76" fmla="*/ 31 w 193"/>
              <a:gd name="T77" fmla="*/ 1 h 27"/>
              <a:gd name="T78" fmla="*/ 26 w 193"/>
              <a:gd name="T79" fmla="*/ 1 h 27"/>
              <a:gd name="T80" fmla="*/ 3 w 193"/>
              <a:gd name="T81" fmla="*/ 1 h 27"/>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0" t="0" r="r" b="b"/>
            <a:pathLst>
              <a:path w="193" h="27">
                <a:moveTo>
                  <a:pt x="3" y="1"/>
                </a:moveTo>
                <a:cubicBezTo>
                  <a:pt x="0" y="2"/>
                  <a:pt x="6" y="4"/>
                  <a:pt x="9" y="6"/>
                </a:cubicBezTo>
                <a:cubicBezTo>
                  <a:pt x="12" y="8"/>
                  <a:pt x="19" y="11"/>
                  <a:pt x="22" y="13"/>
                </a:cubicBezTo>
                <a:cubicBezTo>
                  <a:pt x="25" y="15"/>
                  <a:pt x="29" y="16"/>
                  <a:pt x="31" y="17"/>
                </a:cubicBezTo>
                <a:cubicBezTo>
                  <a:pt x="33" y="18"/>
                  <a:pt x="32" y="17"/>
                  <a:pt x="33" y="17"/>
                </a:cubicBezTo>
                <a:cubicBezTo>
                  <a:pt x="34" y="17"/>
                  <a:pt x="33" y="17"/>
                  <a:pt x="35" y="18"/>
                </a:cubicBezTo>
                <a:cubicBezTo>
                  <a:pt x="37" y="19"/>
                  <a:pt x="44" y="21"/>
                  <a:pt x="48" y="22"/>
                </a:cubicBezTo>
                <a:cubicBezTo>
                  <a:pt x="52" y="23"/>
                  <a:pt x="55" y="24"/>
                  <a:pt x="59" y="25"/>
                </a:cubicBezTo>
                <a:cubicBezTo>
                  <a:pt x="63" y="26"/>
                  <a:pt x="68" y="27"/>
                  <a:pt x="71" y="27"/>
                </a:cubicBezTo>
                <a:cubicBezTo>
                  <a:pt x="74" y="27"/>
                  <a:pt x="75" y="27"/>
                  <a:pt x="76" y="27"/>
                </a:cubicBezTo>
                <a:cubicBezTo>
                  <a:pt x="77" y="27"/>
                  <a:pt x="76" y="27"/>
                  <a:pt x="76" y="27"/>
                </a:cubicBezTo>
                <a:cubicBezTo>
                  <a:pt x="76" y="27"/>
                  <a:pt x="76" y="27"/>
                  <a:pt x="76" y="27"/>
                </a:cubicBezTo>
                <a:cubicBezTo>
                  <a:pt x="76" y="27"/>
                  <a:pt x="77" y="27"/>
                  <a:pt x="77" y="27"/>
                </a:cubicBezTo>
                <a:cubicBezTo>
                  <a:pt x="77" y="27"/>
                  <a:pt x="77" y="27"/>
                  <a:pt x="79" y="27"/>
                </a:cubicBezTo>
                <a:cubicBezTo>
                  <a:pt x="81" y="27"/>
                  <a:pt x="86" y="27"/>
                  <a:pt x="90" y="27"/>
                </a:cubicBezTo>
                <a:cubicBezTo>
                  <a:pt x="94" y="27"/>
                  <a:pt x="100" y="27"/>
                  <a:pt x="105" y="27"/>
                </a:cubicBezTo>
                <a:cubicBezTo>
                  <a:pt x="110" y="27"/>
                  <a:pt x="114" y="27"/>
                  <a:pt x="118" y="27"/>
                </a:cubicBezTo>
                <a:cubicBezTo>
                  <a:pt x="122" y="27"/>
                  <a:pt x="125" y="26"/>
                  <a:pt x="127" y="26"/>
                </a:cubicBezTo>
                <a:cubicBezTo>
                  <a:pt x="129" y="26"/>
                  <a:pt x="129" y="25"/>
                  <a:pt x="129" y="25"/>
                </a:cubicBezTo>
                <a:cubicBezTo>
                  <a:pt x="129" y="25"/>
                  <a:pt x="129" y="25"/>
                  <a:pt x="129" y="25"/>
                </a:cubicBezTo>
                <a:cubicBezTo>
                  <a:pt x="129" y="25"/>
                  <a:pt x="129" y="25"/>
                  <a:pt x="130" y="25"/>
                </a:cubicBezTo>
                <a:cubicBezTo>
                  <a:pt x="131" y="25"/>
                  <a:pt x="133" y="24"/>
                  <a:pt x="134" y="24"/>
                </a:cubicBezTo>
                <a:cubicBezTo>
                  <a:pt x="135" y="24"/>
                  <a:pt x="134" y="24"/>
                  <a:pt x="136" y="24"/>
                </a:cubicBezTo>
                <a:cubicBezTo>
                  <a:pt x="138" y="24"/>
                  <a:pt x="140" y="24"/>
                  <a:pt x="146" y="22"/>
                </a:cubicBezTo>
                <a:cubicBezTo>
                  <a:pt x="153" y="20"/>
                  <a:pt x="164" y="17"/>
                  <a:pt x="171" y="14"/>
                </a:cubicBezTo>
                <a:cubicBezTo>
                  <a:pt x="177" y="11"/>
                  <a:pt x="182" y="9"/>
                  <a:pt x="185" y="7"/>
                </a:cubicBezTo>
                <a:cubicBezTo>
                  <a:pt x="188" y="5"/>
                  <a:pt x="192" y="0"/>
                  <a:pt x="192" y="1"/>
                </a:cubicBezTo>
                <a:cubicBezTo>
                  <a:pt x="193" y="0"/>
                  <a:pt x="186" y="1"/>
                  <a:pt x="184" y="1"/>
                </a:cubicBezTo>
                <a:cubicBezTo>
                  <a:pt x="183" y="1"/>
                  <a:pt x="177" y="1"/>
                  <a:pt x="174" y="1"/>
                </a:cubicBezTo>
                <a:cubicBezTo>
                  <a:pt x="171" y="1"/>
                  <a:pt x="170" y="1"/>
                  <a:pt x="166" y="1"/>
                </a:cubicBezTo>
                <a:cubicBezTo>
                  <a:pt x="162" y="1"/>
                  <a:pt x="156" y="1"/>
                  <a:pt x="149" y="1"/>
                </a:cubicBezTo>
                <a:cubicBezTo>
                  <a:pt x="142" y="1"/>
                  <a:pt x="128" y="1"/>
                  <a:pt x="121" y="1"/>
                </a:cubicBezTo>
                <a:cubicBezTo>
                  <a:pt x="116" y="1"/>
                  <a:pt x="107" y="1"/>
                  <a:pt x="107" y="1"/>
                </a:cubicBezTo>
                <a:cubicBezTo>
                  <a:pt x="94" y="1"/>
                  <a:pt x="56" y="1"/>
                  <a:pt x="44" y="1"/>
                </a:cubicBezTo>
                <a:cubicBezTo>
                  <a:pt x="32" y="1"/>
                  <a:pt x="38" y="1"/>
                  <a:pt x="37" y="1"/>
                </a:cubicBezTo>
                <a:cubicBezTo>
                  <a:pt x="36" y="1"/>
                  <a:pt x="37" y="1"/>
                  <a:pt x="36" y="1"/>
                </a:cubicBezTo>
                <a:cubicBezTo>
                  <a:pt x="35" y="1"/>
                  <a:pt x="32" y="1"/>
                  <a:pt x="32" y="1"/>
                </a:cubicBezTo>
                <a:cubicBezTo>
                  <a:pt x="32" y="1"/>
                  <a:pt x="34" y="1"/>
                  <a:pt x="34" y="1"/>
                </a:cubicBezTo>
                <a:cubicBezTo>
                  <a:pt x="34" y="1"/>
                  <a:pt x="32" y="1"/>
                  <a:pt x="31" y="1"/>
                </a:cubicBezTo>
                <a:cubicBezTo>
                  <a:pt x="30" y="1"/>
                  <a:pt x="31" y="1"/>
                  <a:pt x="26" y="1"/>
                </a:cubicBezTo>
                <a:cubicBezTo>
                  <a:pt x="21" y="1"/>
                  <a:pt x="6" y="0"/>
                  <a:pt x="3" y="1"/>
                </a:cubicBezTo>
                <a:close/>
              </a:path>
            </a:pathLst>
          </a:cu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round/>
            <a:headEnd/>
            <a:tailEnd/>
          </a:ln>
        </xdr:spPr>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457200</xdr:colOff>
      <xdr:row>0</xdr:row>
      <xdr:rowOff>76200</xdr:rowOff>
    </xdr:from>
    <xdr:to>
      <xdr:col>22</xdr:col>
      <xdr:colOff>238125</xdr:colOff>
      <xdr:row>49</xdr:row>
      <xdr:rowOff>9525</xdr:rowOff>
    </xdr:to>
    <xdr:graphicFrame macro="">
      <xdr:nvGraphicFramePr>
        <xdr:cNvPr id="513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23</xdr:row>
      <xdr:rowOff>152400</xdr:rowOff>
    </xdr:from>
    <xdr:to>
      <xdr:col>3</xdr:col>
      <xdr:colOff>409575</xdr:colOff>
      <xdr:row>34</xdr:row>
      <xdr:rowOff>95250</xdr:rowOff>
    </xdr:to>
    <xdr:sp macro="" textlink="">
      <xdr:nvSpPr>
        <xdr:cNvPr id="5122" name="Text Box 2">
          <a:extLst>
            <a:ext uri="{FF2B5EF4-FFF2-40B4-BE49-F238E27FC236}">
              <a16:creationId xmlns:a16="http://schemas.microsoft.com/office/drawing/2014/main" id="{23800CEF-CED0-4F25-89FF-4B4FF9FF468C}"/>
            </a:ext>
          </a:extLst>
        </xdr:cNvPr>
        <xdr:cNvSpPr txBox="1">
          <a:spLocks noChangeArrowheads="1"/>
        </xdr:cNvSpPr>
      </xdr:nvSpPr>
      <xdr:spPr bwMode="auto">
        <a:xfrm>
          <a:off x="47625" y="3895725"/>
          <a:ext cx="2190750" cy="1724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Data Source: </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NGPSA Engineering Data Book</a:t>
          </a:r>
        </a:p>
        <a:p>
          <a:pPr algn="l" rtl="0">
            <a:defRPr sz="1000"/>
          </a:pPr>
          <a:r>
            <a:rPr lang="en-IN" sz="1000" b="0" i="0" u="none" strike="noStrike" baseline="0">
              <a:solidFill>
                <a:srgbClr val="000000"/>
              </a:solidFill>
              <a:latin typeface="Arial"/>
              <a:cs typeface="Arial"/>
            </a:rPr>
            <a:t>9th Edition; 1972; p. 13-9</a:t>
          </a:r>
        </a:p>
        <a:p>
          <a:pPr algn="l" rtl="0">
            <a:defRPr sz="1000"/>
          </a:pPr>
          <a:endParaRPr lang="en-IN" sz="1000" b="0" i="0" u="none" strike="noStrike" baseline="0">
            <a:solidFill>
              <a:srgbClr val="000000"/>
            </a:solidFill>
            <a:latin typeface="Arial"/>
            <a:cs typeface="Arial"/>
          </a:endParaRPr>
        </a:p>
        <a:p>
          <a:pPr algn="l" rtl="0">
            <a:defRPr sz="1000"/>
          </a:pPr>
          <a:r>
            <a:rPr lang="en-IN" sz="1000" b="1" i="0" u="none" strike="noStrike" baseline="0">
              <a:solidFill>
                <a:srgbClr val="000000"/>
              </a:solidFill>
              <a:latin typeface="Arial"/>
              <a:cs typeface="Arial"/>
            </a:rPr>
            <a:t>NOTE</a:t>
          </a:r>
          <a:r>
            <a:rPr lang="en-IN" sz="1000" b="0" i="0" u="none" strike="noStrike" baseline="0">
              <a:solidFill>
                <a:srgbClr val="000000"/>
              </a:solidFill>
              <a:latin typeface="Arial"/>
              <a:cs typeface="Arial"/>
            </a:rPr>
            <a:t>: These capacity coefficients </a:t>
          </a:r>
          <a:r>
            <a:rPr lang="en-IN" sz="1000" b="0" i="0" u="sng" strike="noStrike" baseline="0">
              <a:solidFill>
                <a:srgbClr val="000000"/>
              </a:solidFill>
              <a:latin typeface="Arial"/>
              <a:cs typeface="Arial"/>
            </a:rPr>
            <a:t>apply for the volume of 2 ellipsoidal or hemispherical heads</a:t>
          </a:r>
          <a:r>
            <a:rPr lang="en-IN" sz="1000" b="0" i="0" u="none" strike="noStrike" baseline="0">
              <a:solidFill>
                <a:srgbClr val="000000"/>
              </a:solidFill>
              <a:latin typeface="Arial"/>
              <a:cs typeface="Arial"/>
            </a:rPr>
            <a:t>……..not the volume for 1 head!!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22</xdr:row>
      <xdr:rowOff>47625</xdr:rowOff>
    </xdr:from>
    <xdr:to>
      <xdr:col>5</xdr:col>
      <xdr:colOff>285750</xdr:colOff>
      <xdr:row>29</xdr:row>
      <xdr:rowOff>85725</xdr:rowOff>
    </xdr:to>
    <xdr:sp macro="" textlink="">
      <xdr:nvSpPr>
        <xdr:cNvPr id="6145" name="Text Box 1">
          <a:extLst>
            <a:ext uri="{FF2B5EF4-FFF2-40B4-BE49-F238E27FC236}">
              <a16:creationId xmlns:a16="http://schemas.microsoft.com/office/drawing/2014/main" id="{CE84D7A9-5CCC-455B-BEF5-F27BBA667D24}"/>
            </a:ext>
          </a:extLst>
        </xdr:cNvPr>
        <xdr:cNvSpPr txBox="1">
          <a:spLocks noChangeArrowheads="1"/>
        </xdr:cNvSpPr>
      </xdr:nvSpPr>
      <xdr:spPr bwMode="auto">
        <a:xfrm>
          <a:off x="66675" y="5057775"/>
          <a:ext cx="4857750" cy="11715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Data source: </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Trinity Industries, Inc.</a:t>
          </a:r>
        </a:p>
        <a:p>
          <a:pPr algn="l" rtl="0">
            <a:defRPr sz="1000"/>
          </a:pPr>
          <a:r>
            <a:rPr lang="en-IN" sz="1000" b="0" i="0" u="none" strike="noStrike" baseline="0">
              <a:solidFill>
                <a:srgbClr val="000000"/>
              </a:solidFill>
              <a:latin typeface="Arial"/>
              <a:cs typeface="Arial"/>
            </a:rPr>
            <a:t>                  Head Division</a:t>
          </a:r>
        </a:p>
        <a:p>
          <a:pPr algn="l" rtl="0">
            <a:defRPr sz="1000"/>
          </a:pPr>
          <a:r>
            <a:rPr lang="en-IN" sz="1000" b="0" i="0" u="none" strike="noStrike" baseline="0">
              <a:solidFill>
                <a:srgbClr val="000000"/>
              </a:solidFill>
              <a:latin typeface="Arial"/>
              <a:cs typeface="Arial"/>
            </a:rPr>
            <a:t>                  Catalog No. 7962M; Page 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0</xdr:row>
      <xdr:rowOff>47625</xdr:rowOff>
    </xdr:from>
    <xdr:to>
      <xdr:col>11</xdr:col>
      <xdr:colOff>876300</xdr:colOff>
      <xdr:row>29</xdr:row>
      <xdr:rowOff>133350</xdr:rowOff>
    </xdr:to>
    <xdr:graphicFrame macro="">
      <xdr:nvGraphicFramePr>
        <xdr:cNvPr id="718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40</xdr:row>
      <xdr:rowOff>66675</xdr:rowOff>
    </xdr:from>
    <xdr:to>
      <xdr:col>1</xdr:col>
      <xdr:colOff>809625</xdr:colOff>
      <xdr:row>46</xdr:row>
      <xdr:rowOff>114300</xdr:rowOff>
    </xdr:to>
    <xdr:sp macro="" textlink="">
      <xdr:nvSpPr>
        <xdr:cNvPr id="7170" name="Text 2">
          <a:extLst>
            <a:ext uri="{FF2B5EF4-FFF2-40B4-BE49-F238E27FC236}">
              <a16:creationId xmlns:a16="http://schemas.microsoft.com/office/drawing/2014/main" id="{E962F7AE-B054-45D2-93E6-73CB06840251}"/>
            </a:ext>
          </a:extLst>
        </xdr:cNvPr>
        <xdr:cNvSpPr txBox="1">
          <a:spLocks noChangeArrowheads="1"/>
        </xdr:cNvSpPr>
      </xdr:nvSpPr>
      <xdr:spPr bwMode="auto">
        <a:xfrm>
          <a:off x="38100" y="6600825"/>
          <a:ext cx="1562100" cy="1019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Arial"/>
              <a:cs typeface="Arial"/>
            </a:rPr>
            <a:t>Reference: </a:t>
          </a:r>
        </a:p>
        <a:p>
          <a:pPr algn="l" rtl="0">
            <a:defRPr sz="1000"/>
          </a:pPr>
          <a:r>
            <a:rPr lang="en-IN" sz="1000" b="0" i="0" u="none" strike="noStrike" baseline="0">
              <a:solidFill>
                <a:srgbClr val="000000"/>
              </a:solidFill>
              <a:latin typeface="Arial"/>
              <a:cs typeface="Arial"/>
            </a:rPr>
            <a:t>Trinity Industries, Inc.</a:t>
          </a:r>
        </a:p>
        <a:p>
          <a:pPr algn="l" rtl="0">
            <a:defRPr sz="1000"/>
          </a:pPr>
          <a:r>
            <a:rPr lang="en-IN" sz="1000" b="0" i="0" u="none" strike="noStrike" baseline="0">
              <a:solidFill>
                <a:srgbClr val="000000"/>
              </a:solidFill>
              <a:latin typeface="Arial"/>
              <a:cs typeface="Arial"/>
            </a:rPr>
            <a:t>Head Division</a:t>
          </a:r>
        </a:p>
        <a:p>
          <a:pPr algn="l" rtl="0">
            <a:defRPr sz="1000"/>
          </a:pPr>
          <a:r>
            <a:rPr lang="en-IN" sz="1000" b="0" i="0" u="none" strike="noStrike" baseline="0">
              <a:solidFill>
                <a:srgbClr val="000000"/>
              </a:solidFill>
              <a:latin typeface="Arial"/>
              <a:cs typeface="Arial"/>
            </a:rPr>
            <a:t>Navasota, TX</a:t>
          </a:r>
        </a:p>
        <a:p>
          <a:pPr algn="l" rtl="0">
            <a:defRPr sz="1000"/>
          </a:pPr>
          <a:r>
            <a:rPr lang="en-IN" sz="1000" b="0" i="0" u="none" strike="noStrike" baseline="0">
              <a:solidFill>
                <a:srgbClr val="000000"/>
              </a:solidFill>
              <a:latin typeface="Arial"/>
              <a:cs typeface="Arial"/>
            </a:rPr>
            <a:t>Product &amp; Services</a:t>
          </a:r>
        </a:p>
        <a:p>
          <a:pPr algn="l" rtl="0">
            <a:defRPr sz="1000"/>
          </a:pPr>
          <a:r>
            <a:rPr lang="en-IN" sz="1000" b="0" i="0" u="none" strike="noStrike" baseline="0">
              <a:solidFill>
                <a:srgbClr val="000000"/>
              </a:solidFill>
              <a:latin typeface="Arial"/>
              <a:cs typeface="Arial"/>
            </a:rPr>
            <a:t>Catalog # 7962M (1996)</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Engineering%20Software%20&amp;%20Spreadsheets\Equipment%20Calculations\PUMP_PS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lculation Sheet"/>
      <sheetName val="Head Calculation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20.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3" Type="http://schemas.openxmlformats.org/officeDocument/2006/relationships/oleObject" Target="../embeddings/oleObject9.bin"/><Relationship Id="rId18" Type="http://schemas.openxmlformats.org/officeDocument/2006/relationships/image" Target="../media/image13.emf"/><Relationship Id="rId26" Type="http://schemas.openxmlformats.org/officeDocument/2006/relationships/image" Target="../media/image17.emf"/><Relationship Id="rId3" Type="http://schemas.openxmlformats.org/officeDocument/2006/relationships/drawing" Target="../drawings/drawing21.xml"/><Relationship Id="rId21" Type="http://schemas.openxmlformats.org/officeDocument/2006/relationships/oleObject" Target="../embeddings/oleObject13.bin"/><Relationship Id="rId34" Type="http://schemas.openxmlformats.org/officeDocument/2006/relationships/image" Target="../media/image21.emf"/><Relationship Id="rId7" Type="http://schemas.openxmlformats.org/officeDocument/2006/relationships/oleObject" Target="../embeddings/oleObject6.bin"/><Relationship Id="rId12" Type="http://schemas.openxmlformats.org/officeDocument/2006/relationships/image" Target="../media/image10.emf"/><Relationship Id="rId17" Type="http://schemas.openxmlformats.org/officeDocument/2006/relationships/oleObject" Target="../embeddings/oleObject11.bin"/><Relationship Id="rId25" Type="http://schemas.openxmlformats.org/officeDocument/2006/relationships/oleObject" Target="../embeddings/oleObject15.bin"/><Relationship Id="rId33" Type="http://schemas.openxmlformats.org/officeDocument/2006/relationships/oleObject" Target="../embeddings/oleObject19.bin"/><Relationship Id="rId2" Type="http://schemas.openxmlformats.org/officeDocument/2006/relationships/printerSettings" Target="../printerSettings/printerSettings23.bin"/><Relationship Id="rId16" Type="http://schemas.openxmlformats.org/officeDocument/2006/relationships/image" Target="../media/image12.emf"/><Relationship Id="rId20" Type="http://schemas.openxmlformats.org/officeDocument/2006/relationships/image" Target="../media/image14.emf"/><Relationship Id="rId29" Type="http://schemas.openxmlformats.org/officeDocument/2006/relationships/oleObject" Target="../embeddings/oleObject17.bin"/><Relationship Id="rId1" Type="http://schemas.openxmlformats.org/officeDocument/2006/relationships/hyperlink" Target="mailto:Dan.Jones@degussa.com." TargetMode="External"/><Relationship Id="rId6" Type="http://schemas.openxmlformats.org/officeDocument/2006/relationships/image" Target="../media/image7.emf"/><Relationship Id="rId11" Type="http://schemas.openxmlformats.org/officeDocument/2006/relationships/oleObject" Target="../embeddings/oleObject8.bin"/><Relationship Id="rId24" Type="http://schemas.openxmlformats.org/officeDocument/2006/relationships/image" Target="../media/image16.emf"/><Relationship Id="rId32" Type="http://schemas.openxmlformats.org/officeDocument/2006/relationships/image" Target="../media/image20.emf"/><Relationship Id="rId5" Type="http://schemas.openxmlformats.org/officeDocument/2006/relationships/oleObject" Target="../embeddings/oleObject5.bin"/><Relationship Id="rId15" Type="http://schemas.openxmlformats.org/officeDocument/2006/relationships/oleObject" Target="../embeddings/oleObject10.bin"/><Relationship Id="rId23" Type="http://schemas.openxmlformats.org/officeDocument/2006/relationships/oleObject" Target="../embeddings/oleObject14.bin"/><Relationship Id="rId28" Type="http://schemas.openxmlformats.org/officeDocument/2006/relationships/image" Target="../media/image18.emf"/><Relationship Id="rId10" Type="http://schemas.openxmlformats.org/officeDocument/2006/relationships/image" Target="../media/image9.emf"/><Relationship Id="rId19" Type="http://schemas.openxmlformats.org/officeDocument/2006/relationships/oleObject" Target="../embeddings/oleObject12.bin"/><Relationship Id="rId31" Type="http://schemas.openxmlformats.org/officeDocument/2006/relationships/oleObject" Target="../embeddings/oleObject18.bin"/><Relationship Id="rId4" Type="http://schemas.openxmlformats.org/officeDocument/2006/relationships/vmlDrawing" Target="../drawings/vmlDrawing5.vml"/><Relationship Id="rId9" Type="http://schemas.openxmlformats.org/officeDocument/2006/relationships/oleObject" Target="../embeddings/oleObject7.bin"/><Relationship Id="rId14" Type="http://schemas.openxmlformats.org/officeDocument/2006/relationships/image" Target="../media/image11.emf"/><Relationship Id="rId22" Type="http://schemas.openxmlformats.org/officeDocument/2006/relationships/image" Target="../media/image15.emf"/><Relationship Id="rId27" Type="http://schemas.openxmlformats.org/officeDocument/2006/relationships/oleObject" Target="../embeddings/oleObject16.bin"/><Relationship Id="rId30" Type="http://schemas.openxmlformats.org/officeDocument/2006/relationships/image" Target="../media/image19.emf"/><Relationship Id="rId8" Type="http://schemas.openxmlformats.org/officeDocument/2006/relationships/image" Target="../media/image8.emf"/></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4.emf"/><Relationship Id="rId4" Type="http://schemas.openxmlformats.org/officeDocument/2006/relationships/oleObject" Target="../embeddings/oleObject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zoomScaleNormal="100" workbookViewId="0">
      <selection activeCell="M2" sqref="M2"/>
    </sheetView>
  </sheetViews>
  <sheetFormatPr defaultRowHeight="12.75" x14ac:dyDescent="0.2"/>
  <cols>
    <col min="1" max="1" width="3.140625" customWidth="1"/>
    <col min="2" max="2" width="6.140625" customWidth="1"/>
    <col min="12" max="12" width="5.140625" customWidth="1"/>
  </cols>
  <sheetData>
    <row r="1" spans="1:11" x14ac:dyDescent="0.2">
      <c r="A1" s="403" t="s">
        <v>477</v>
      </c>
      <c r="B1" s="403"/>
      <c r="C1" s="403"/>
      <c r="D1" s="403"/>
      <c r="E1" s="403"/>
      <c r="F1" s="403"/>
      <c r="G1" s="403"/>
      <c r="H1" s="403"/>
      <c r="I1" s="403"/>
      <c r="J1" s="403"/>
      <c r="K1" s="403"/>
    </row>
    <row r="2" spans="1:11" x14ac:dyDescent="0.2">
      <c r="A2" s="404" t="s">
        <v>601</v>
      </c>
      <c r="B2" s="403"/>
      <c r="C2" s="403"/>
      <c r="D2" s="403"/>
      <c r="E2" s="403"/>
      <c r="F2" s="403"/>
      <c r="G2" s="403"/>
      <c r="H2" s="403"/>
      <c r="I2" s="403"/>
      <c r="J2" s="403"/>
      <c r="K2" s="403"/>
    </row>
    <row r="3" spans="1:11" x14ac:dyDescent="0.2">
      <c r="A3" s="403" t="s">
        <v>602</v>
      </c>
      <c r="B3" s="403"/>
      <c r="C3" s="403"/>
      <c r="D3" s="403"/>
      <c r="E3" s="403"/>
      <c r="F3" s="403"/>
      <c r="G3" s="403"/>
      <c r="H3" s="403"/>
      <c r="I3" s="403"/>
      <c r="J3" s="403"/>
      <c r="K3" s="403"/>
    </row>
    <row r="5" spans="1:11" x14ac:dyDescent="0.2">
      <c r="A5" s="98" t="s">
        <v>402</v>
      </c>
      <c r="B5" s="403" t="s">
        <v>403</v>
      </c>
      <c r="C5" s="403"/>
      <c r="D5" s="403"/>
      <c r="E5" s="403"/>
      <c r="F5" s="403"/>
      <c r="G5" s="403"/>
      <c r="H5" s="403"/>
      <c r="I5" s="403"/>
      <c r="J5" s="403"/>
      <c r="K5" s="403"/>
    </row>
    <row r="6" spans="1:11" x14ac:dyDescent="0.2">
      <c r="B6" s="98" t="s">
        <v>404</v>
      </c>
      <c r="C6" s="403" t="s">
        <v>405</v>
      </c>
      <c r="D6" s="403"/>
      <c r="E6" s="403"/>
      <c r="F6" s="403"/>
      <c r="G6" s="403"/>
      <c r="H6" s="403"/>
      <c r="I6" s="403"/>
      <c r="J6" s="403"/>
      <c r="K6" s="403"/>
    </row>
    <row r="7" spans="1:11" x14ac:dyDescent="0.2">
      <c r="C7" s="403" t="s">
        <v>451</v>
      </c>
      <c r="D7" s="403"/>
      <c r="E7" s="403"/>
      <c r="F7" s="403"/>
      <c r="G7" s="403"/>
      <c r="H7" s="403"/>
      <c r="I7" s="403"/>
      <c r="J7" s="403"/>
      <c r="K7" s="403"/>
    </row>
    <row r="9" spans="1:11" x14ac:dyDescent="0.2">
      <c r="B9" s="98" t="s">
        <v>406</v>
      </c>
      <c r="C9" s="403" t="s">
        <v>407</v>
      </c>
      <c r="D9" s="403"/>
      <c r="E9" s="403"/>
      <c r="F9" s="403"/>
      <c r="G9" s="403"/>
      <c r="H9" s="403"/>
      <c r="I9" s="403"/>
      <c r="J9" s="403"/>
      <c r="K9" s="403"/>
    </row>
    <row r="10" spans="1:11" x14ac:dyDescent="0.2">
      <c r="C10" s="403" t="s">
        <v>408</v>
      </c>
      <c r="D10" s="403"/>
      <c r="E10" s="403"/>
      <c r="F10" s="403"/>
      <c r="G10" s="403"/>
      <c r="H10" s="403"/>
      <c r="I10" s="403"/>
      <c r="J10" s="403"/>
      <c r="K10" s="403"/>
    </row>
    <row r="11" spans="1:11" x14ac:dyDescent="0.2">
      <c r="C11" s="403" t="s">
        <v>409</v>
      </c>
      <c r="D11" s="403"/>
      <c r="E11" s="403"/>
      <c r="F11" s="403"/>
      <c r="G11" s="403"/>
      <c r="H11" s="403"/>
      <c r="I11" s="403"/>
      <c r="J11" s="403"/>
      <c r="K11" s="403"/>
    </row>
    <row r="12" spans="1:11" x14ac:dyDescent="0.2">
      <c r="C12" s="403" t="s">
        <v>410</v>
      </c>
      <c r="D12" s="403"/>
      <c r="E12" s="403"/>
      <c r="F12" s="403"/>
      <c r="G12" s="403"/>
      <c r="H12" s="403"/>
      <c r="I12" s="403"/>
      <c r="J12" s="403"/>
      <c r="K12" s="403"/>
    </row>
    <row r="14" spans="1:11" x14ac:dyDescent="0.2">
      <c r="A14" s="98" t="s">
        <v>411</v>
      </c>
      <c r="B14" s="403" t="s">
        <v>455</v>
      </c>
      <c r="C14" s="403"/>
      <c r="D14" s="403"/>
      <c r="E14" s="403"/>
      <c r="F14" s="403"/>
      <c r="G14" s="403"/>
      <c r="H14" s="403"/>
      <c r="I14" s="403"/>
      <c r="J14" s="403"/>
      <c r="K14" s="403"/>
    </row>
    <row r="15" spans="1:11" x14ac:dyDescent="0.2">
      <c r="B15" s="403" t="s">
        <v>452</v>
      </c>
      <c r="C15" s="403"/>
      <c r="D15" s="403"/>
      <c r="E15" s="403"/>
      <c r="F15" s="403"/>
      <c r="G15" s="403"/>
      <c r="H15" s="403"/>
      <c r="I15" s="403"/>
      <c r="J15" s="403"/>
      <c r="K15" s="403"/>
    </row>
    <row r="16" spans="1:11" x14ac:dyDescent="0.2">
      <c r="B16" s="403" t="s">
        <v>453</v>
      </c>
      <c r="C16" s="403"/>
      <c r="D16" s="403"/>
      <c r="E16" s="403"/>
      <c r="F16" s="403"/>
      <c r="G16" s="403"/>
      <c r="H16" s="403"/>
      <c r="I16" s="403"/>
      <c r="J16" s="403"/>
      <c r="K16" s="403"/>
    </row>
    <row r="17" spans="1:11" x14ac:dyDescent="0.2">
      <c r="B17" s="403" t="s">
        <v>454</v>
      </c>
      <c r="C17" s="403"/>
      <c r="D17" s="403"/>
      <c r="E17" s="403"/>
      <c r="F17" s="403"/>
      <c r="G17" s="403"/>
      <c r="H17" s="403"/>
      <c r="I17" s="403"/>
      <c r="J17" s="403"/>
      <c r="K17" s="403"/>
    </row>
    <row r="19" spans="1:11" x14ac:dyDescent="0.2">
      <c r="A19" s="98" t="s">
        <v>412</v>
      </c>
      <c r="B19" s="403" t="s">
        <v>413</v>
      </c>
      <c r="C19" s="403"/>
      <c r="D19" s="403"/>
      <c r="E19" s="403"/>
      <c r="F19" s="403"/>
      <c r="G19" s="403"/>
      <c r="H19" s="403"/>
      <c r="I19" s="403"/>
      <c r="J19" s="403"/>
      <c r="K19" s="403"/>
    </row>
    <row r="20" spans="1:11" x14ac:dyDescent="0.2">
      <c r="B20" s="403" t="s">
        <v>414</v>
      </c>
      <c r="C20" s="403"/>
      <c r="D20" s="403"/>
      <c r="E20" s="403"/>
      <c r="F20" s="403"/>
      <c r="G20" s="403"/>
      <c r="H20" s="403"/>
      <c r="I20" s="403"/>
      <c r="J20" s="403"/>
      <c r="K20" s="403"/>
    </row>
    <row r="21" spans="1:11" x14ac:dyDescent="0.2">
      <c r="B21" s="403" t="s">
        <v>417</v>
      </c>
      <c r="C21" s="403"/>
      <c r="D21" s="403"/>
      <c r="E21" s="403"/>
      <c r="F21" s="403"/>
      <c r="G21" s="403"/>
      <c r="H21" s="403"/>
      <c r="I21" s="403"/>
      <c r="J21" s="403"/>
      <c r="K21" s="403"/>
    </row>
    <row r="22" spans="1:11" x14ac:dyDescent="0.2">
      <c r="B22" s="403" t="s">
        <v>416</v>
      </c>
      <c r="C22" s="403"/>
      <c r="D22" s="403"/>
      <c r="E22" s="403"/>
      <c r="F22" s="403"/>
      <c r="G22" s="403"/>
      <c r="H22" s="403"/>
      <c r="I22" s="403"/>
      <c r="J22" s="403"/>
      <c r="K22" s="403"/>
    </row>
    <row r="23" spans="1:11" x14ac:dyDescent="0.2">
      <c r="B23" s="404" t="s">
        <v>567</v>
      </c>
      <c r="C23" s="403"/>
      <c r="D23" s="403"/>
      <c r="E23" s="403"/>
      <c r="F23" s="403"/>
      <c r="G23" s="403"/>
      <c r="H23" s="403"/>
      <c r="I23" s="403"/>
      <c r="J23" s="403"/>
      <c r="K23" s="403"/>
    </row>
    <row r="24" spans="1:11" x14ac:dyDescent="0.2">
      <c r="B24" s="403" t="s">
        <v>420</v>
      </c>
      <c r="C24" s="403"/>
      <c r="D24" s="403"/>
      <c r="E24" s="403"/>
      <c r="F24" s="403"/>
      <c r="G24" s="403"/>
      <c r="H24" s="403"/>
      <c r="I24" s="403"/>
      <c r="J24" s="403"/>
      <c r="K24" s="403"/>
    </row>
    <row r="25" spans="1:11" x14ac:dyDescent="0.2">
      <c r="B25" s="403" t="s">
        <v>456</v>
      </c>
      <c r="C25" s="403"/>
      <c r="D25" s="403"/>
      <c r="E25" s="403"/>
      <c r="F25" s="403"/>
      <c r="G25" s="403"/>
      <c r="H25" s="403"/>
      <c r="I25" s="403"/>
      <c r="J25" s="403"/>
      <c r="K25" s="403"/>
    </row>
    <row r="27" spans="1:11" x14ac:dyDescent="0.2">
      <c r="A27" s="98" t="s">
        <v>415</v>
      </c>
      <c r="B27" s="404" t="s">
        <v>45</v>
      </c>
      <c r="C27" s="403"/>
      <c r="D27" s="403"/>
      <c r="E27" s="403"/>
      <c r="F27" s="403"/>
      <c r="G27" s="403"/>
      <c r="H27" s="403"/>
      <c r="I27" s="403"/>
      <c r="J27" s="403"/>
      <c r="K27" s="403"/>
    </row>
    <row r="28" spans="1:11" x14ac:dyDescent="0.2">
      <c r="B28" s="405" t="s">
        <v>46</v>
      </c>
      <c r="C28" s="403"/>
      <c r="D28" s="403"/>
      <c r="E28" s="403"/>
      <c r="F28" s="403"/>
      <c r="G28" s="403"/>
      <c r="H28" s="403"/>
      <c r="I28" s="403"/>
      <c r="J28" s="403"/>
      <c r="K28" s="403"/>
    </row>
    <row r="29" spans="1:11" x14ac:dyDescent="0.2">
      <c r="B29" s="403" t="s">
        <v>421</v>
      </c>
      <c r="C29" s="403"/>
      <c r="D29" s="403"/>
      <c r="E29" s="403"/>
      <c r="F29" s="403"/>
      <c r="G29" s="403"/>
      <c r="H29" s="403"/>
      <c r="I29" s="403"/>
      <c r="J29" s="403"/>
      <c r="K29" s="403"/>
    </row>
    <row r="30" spans="1:11" x14ac:dyDescent="0.2">
      <c r="B30" s="403" t="s">
        <v>422</v>
      </c>
      <c r="C30" s="403"/>
      <c r="D30" s="403"/>
      <c r="E30" s="403"/>
      <c r="F30" s="403"/>
      <c r="G30" s="403"/>
      <c r="H30" s="403"/>
      <c r="I30" s="403"/>
      <c r="J30" s="403"/>
      <c r="K30" s="403"/>
    </row>
    <row r="31" spans="1:11" x14ac:dyDescent="0.2">
      <c r="B31" s="403" t="s">
        <v>423</v>
      </c>
      <c r="C31" s="403"/>
      <c r="D31" s="403"/>
      <c r="E31" s="403"/>
      <c r="F31" s="403"/>
      <c r="G31" s="403"/>
      <c r="H31" s="403"/>
      <c r="I31" s="403"/>
      <c r="J31" s="403"/>
      <c r="K31" s="403"/>
    </row>
    <row r="32" spans="1:11" x14ac:dyDescent="0.2">
      <c r="B32" s="403" t="s">
        <v>424</v>
      </c>
      <c r="C32" s="403"/>
      <c r="D32" s="403"/>
      <c r="E32" s="403"/>
      <c r="F32" s="403"/>
      <c r="G32" s="403"/>
      <c r="H32" s="403"/>
      <c r="I32" s="403"/>
      <c r="J32" s="403"/>
      <c r="K32" s="403"/>
    </row>
    <row r="33" spans="1:11" x14ac:dyDescent="0.2">
      <c r="B33" s="403" t="s">
        <v>425</v>
      </c>
      <c r="C33" s="403"/>
      <c r="D33" s="403"/>
      <c r="E33" s="403"/>
      <c r="F33" s="403"/>
      <c r="G33" s="403"/>
      <c r="H33" s="403"/>
      <c r="I33" s="403"/>
      <c r="J33" s="403"/>
      <c r="K33" s="403"/>
    </row>
    <row r="34" spans="1:11" x14ac:dyDescent="0.2">
      <c r="B34" s="403" t="s">
        <v>426</v>
      </c>
      <c r="C34" s="403"/>
      <c r="D34" s="403"/>
      <c r="E34" s="403"/>
      <c r="F34" s="403"/>
      <c r="G34" s="403"/>
      <c r="H34" s="403"/>
      <c r="I34" s="403"/>
      <c r="J34" s="403"/>
      <c r="K34" s="403"/>
    </row>
    <row r="35" spans="1:11" x14ac:dyDescent="0.2">
      <c r="B35" s="403" t="s">
        <v>427</v>
      </c>
      <c r="C35" s="403"/>
      <c r="D35" s="403"/>
      <c r="E35" s="403"/>
      <c r="F35" s="403"/>
      <c r="G35" s="403"/>
      <c r="H35" s="403"/>
      <c r="I35" s="403"/>
      <c r="J35" s="403"/>
      <c r="K35" s="403"/>
    </row>
    <row r="36" spans="1:11" x14ac:dyDescent="0.2">
      <c r="B36" s="403" t="s">
        <v>428</v>
      </c>
      <c r="C36" s="403"/>
      <c r="D36" s="403"/>
      <c r="E36" s="403"/>
      <c r="F36" s="403"/>
      <c r="G36" s="403"/>
      <c r="H36" s="403"/>
      <c r="I36" s="403"/>
      <c r="J36" s="403"/>
      <c r="K36" s="403"/>
    </row>
    <row r="37" spans="1:11" x14ac:dyDescent="0.2">
      <c r="B37" s="403" t="s">
        <v>429</v>
      </c>
      <c r="C37" s="403"/>
      <c r="D37" s="403"/>
      <c r="E37" s="403"/>
      <c r="F37" s="403"/>
      <c r="G37" s="403"/>
      <c r="H37" s="403"/>
      <c r="I37" s="403"/>
      <c r="J37" s="403"/>
      <c r="K37" s="403"/>
    </row>
    <row r="38" spans="1:11" x14ac:dyDescent="0.2">
      <c r="B38" s="403" t="s">
        <v>430</v>
      </c>
      <c r="C38" s="403"/>
      <c r="D38" s="403"/>
      <c r="E38" s="403"/>
      <c r="F38" s="403"/>
      <c r="G38" s="403"/>
      <c r="H38" s="403"/>
      <c r="I38" s="403"/>
      <c r="J38" s="403"/>
      <c r="K38" s="403"/>
    </row>
    <row r="39" spans="1:11" x14ac:dyDescent="0.2">
      <c r="B39" s="403" t="s">
        <v>431</v>
      </c>
      <c r="C39" s="403"/>
      <c r="D39" s="403"/>
      <c r="E39" s="403"/>
      <c r="F39" s="403"/>
      <c r="G39" s="403"/>
      <c r="H39" s="403"/>
      <c r="I39" s="403"/>
      <c r="J39" s="403"/>
      <c r="K39" s="403"/>
    </row>
    <row r="41" spans="1:11" x14ac:dyDescent="0.2">
      <c r="A41" s="98" t="s">
        <v>418</v>
      </c>
      <c r="B41" s="403" t="s">
        <v>476</v>
      </c>
      <c r="C41" s="403"/>
      <c r="D41" s="403"/>
      <c r="E41" s="403"/>
      <c r="F41" s="403"/>
      <c r="G41" s="403"/>
      <c r="H41" s="403"/>
      <c r="I41" s="403"/>
      <c r="J41" s="403"/>
      <c r="K41" s="403"/>
    </row>
    <row r="42" spans="1:11" x14ac:dyDescent="0.2">
      <c r="B42" s="403" t="s">
        <v>432</v>
      </c>
      <c r="C42" s="403"/>
      <c r="D42" s="403"/>
      <c r="E42" s="403"/>
      <c r="F42" s="403"/>
      <c r="G42" s="403"/>
      <c r="H42" s="403"/>
      <c r="I42" s="403"/>
      <c r="J42" s="403"/>
      <c r="K42" s="403"/>
    </row>
    <row r="43" spans="1:11" x14ac:dyDescent="0.2">
      <c r="B43" s="403" t="s">
        <v>433</v>
      </c>
      <c r="C43" s="403"/>
      <c r="D43" s="403"/>
      <c r="E43" s="403"/>
      <c r="F43" s="403"/>
      <c r="G43" s="403"/>
      <c r="H43" s="403"/>
      <c r="I43" s="403"/>
      <c r="J43" s="403"/>
      <c r="K43" s="403"/>
    </row>
    <row r="45" spans="1:11" x14ac:dyDescent="0.2">
      <c r="A45" s="98" t="s">
        <v>434</v>
      </c>
      <c r="B45" s="403" t="s">
        <v>435</v>
      </c>
      <c r="C45" s="403"/>
      <c r="D45" s="403"/>
      <c r="E45" s="403"/>
      <c r="F45" s="403"/>
      <c r="G45" s="403"/>
      <c r="H45" s="403"/>
      <c r="I45" s="403"/>
      <c r="J45" s="403"/>
      <c r="K45" s="403"/>
    </row>
    <row r="46" spans="1:11" x14ac:dyDescent="0.2">
      <c r="B46" s="403" t="s">
        <v>445</v>
      </c>
      <c r="C46" s="403"/>
      <c r="D46" s="403"/>
      <c r="E46" s="403"/>
      <c r="F46" s="403"/>
      <c r="G46" s="403"/>
      <c r="H46" s="403"/>
      <c r="I46" s="403"/>
      <c r="J46" s="403"/>
      <c r="K46" s="403"/>
    </row>
    <row r="47" spans="1:11" x14ac:dyDescent="0.2">
      <c r="B47" s="403" t="s">
        <v>444</v>
      </c>
      <c r="C47" s="403"/>
      <c r="D47" s="403"/>
      <c r="E47" s="403"/>
      <c r="F47" s="403"/>
      <c r="G47" s="403"/>
      <c r="H47" s="403"/>
      <c r="I47" s="403"/>
      <c r="J47" s="403"/>
      <c r="K47" s="403"/>
    </row>
    <row r="49" spans="1:11" x14ac:dyDescent="0.2">
      <c r="A49" s="98" t="s">
        <v>436</v>
      </c>
      <c r="B49" s="403" t="s">
        <v>437</v>
      </c>
      <c r="C49" s="403"/>
      <c r="D49" s="403"/>
      <c r="E49" s="403"/>
      <c r="F49" s="403"/>
      <c r="G49" s="403"/>
      <c r="H49" s="403"/>
      <c r="I49" s="403"/>
      <c r="J49" s="403"/>
      <c r="K49" s="403"/>
    </row>
    <row r="50" spans="1:11" x14ac:dyDescent="0.2">
      <c r="B50" s="403" t="s">
        <v>438</v>
      </c>
      <c r="C50" s="403"/>
      <c r="D50" s="403"/>
      <c r="E50" s="403"/>
      <c r="F50" s="403"/>
      <c r="G50" s="403"/>
      <c r="H50" s="403"/>
      <c r="I50" s="403"/>
      <c r="J50" s="403"/>
      <c r="K50" s="403"/>
    </row>
    <row r="51" spans="1:11" x14ac:dyDescent="0.2">
      <c r="B51" s="403" t="s">
        <v>439</v>
      </c>
      <c r="C51" s="403"/>
      <c r="D51" s="403"/>
      <c r="E51" s="403"/>
      <c r="F51" s="403"/>
      <c r="G51" s="403"/>
      <c r="H51" s="403"/>
      <c r="I51" s="403"/>
      <c r="J51" s="403"/>
      <c r="K51" s="403"/>
    </row>
    <row r="52" spans="1:11" x14ac:dyDescent="0.2">
      <c r="B52" s="403" t="s">
        <v>440</v>
      </c>
      <c r="C52" s="403"/>
      <c r="D52" s="403"/>
      <c r="E52" s="403"/>
      <c r="F52" s="403"/>
      <c r="G52" s="403"/>
      <c r="H52" s="403"/>
      <c r="I52" s="403"/>
      <c r="J52" s="403"/>
      <c r="K52" s="403"/>
    </row>
    <row r="54" spans="1:11" x14ac:dyDescent="0.2">
      <c r="A54" s="98" t="s">
        <v>441</v>
      </c>
      <c r="B54" s="403" t="s">
        <v>442</v>
      </c>
      <c r="C54" s="403"/>
      <c r="D54" s="403"/>
      <c r="E54" s="403"/>
      <c r="F54" s="403"/>
      <c r="G54" s="403"/>
      <c r="H54" s="403"/>
      <c r="I54" s="403"/>
      <c r="J54" s="403"/>
      <c r="K54" s="403"/>
    </row>
    <row r="55" spans="1:11" x14ac:dyDescent="0.2">
      <c r="B55" s="403" t="s">
        <v>443</v>
      </c>
      <c r="C55" s="403"/>
      <c r="D55" s="403"/>
      <c r="E55" s="403"/>
      <c r="F55" s="403"/>
      <c r="G55" s="403"/>
      <c r="H55" s="403"/>
      <c r="I55" s="403"/>
      <c r="J55" s="403"/>
      <c r="K55" s="403"/>
    </row>
    <row r="56" spans="1:11" x14ac:dyDescent="0.2">
      <c r="B56" s="403" t="s">
        <v>457</v>
      </c>
      <c r="C56" s="403"/>
      <c r="D56" s="403"/>
      <c r="E56" s="403"/>
      <c r="F56" s="403"/>
      <c r="G56" s="403"/>
      <c r="H56" s="403"/>
      <c r="I56" s="403"/>
      <c r="J56" s="403"/>
      <c r="K56" s="403"/>
    </row>
    <row r="58" spans="1:11" x14ac:dyDescent="0.2">
      <c r="A58" s="98" t="s">
        <v>458</v>
      </c>
      <c r="B58" s="403" t="s">
        <v>459</v>
      </c>
      <c r="C58" s="403"/>
      <c r="D58" s="403"/>
      <c r="E58" s="403"/>
      <c r="F58" s="403"/>
      <c r="G58" s="403"/>
      <c r="H58" s="403"/>
      <c r="I58" s="403"/>
      <c r="J58" s="403"/>
      <c r="K58" s="403"/>
    </row>
    <row r="59" spans="1:11" x14ac:dyDescent="0.2">
      <c r="B59" s="403" t="s">
        <v>460</v>
      </c>
      <c r="C59" s="403"/>
      <c r="D59" s="403"/>
      <c r="E59" s="403"/>
      <c r="F59" s="403"/>
      <c r="G59" s="403"/>
      <c r="H59" s="403"/>
      <c r="I59" s="403"/>
      <c r="J59" s="403"/>
      <c r="K59" s="403"/>
    </row>
    <row r="60" spans="1:11" x14ac:dyDescent="0.2">
      <c r="B60" s="403" t="s">
        <v>461</v>
      </c>
      <c r="C60" s="403"/>
      <c r="D60" s="403"/>
      <c r="E60" s="403"/>
      <c r="F60" s="403"/>
      <c r="G60" s="403"/>
      <c r="H60" s="403"/>
      <c r="I60" s="403"/>
      <c r="J60" s="403"/>
      <c r="K60" s="403"/>
    </row>
    <row r="61" spans="1:11" x14ac:dyDescent="0.2">
      <c r="B61" s="403" t="s">
        <v>462</v>
      </c>
      <c r="C61" s="403"/>
      <c r="D61" s="403"/>
      <c r="E61" s="403"/>
      <c r="F61" s="403"/>
      <c r="G61" s="403"/>
      <c r="H61" s="403"/>
      <c r="I61" s="403"/>
      <c r="J61" s="403"/>
      <c r="K61" s="403"/>
    </row>
    <row r="62" spans="1:11" x14ac:dyDescent="0.2">
      <c r="B62" s="403" t="s">
        <v>463</v>
      </c>
      <c r="C62" s="403"/>
      <c r="D62" s="403"/>
      <c r="E62" s="403"/>
      <c r="F62" s="403"/>
      <c r="G62" s="403"/>
      <c r="H62" s="403"/>
      <c r="I62" s="403"/>
      <c r="J62" s="403"/>
      <c r="K62" s="403"/>
    </row>
    <row r="63" spans="1:11" x14ac:dyDescent="0.2">
      <c r="B63" s="403" t="s">
        <v>464</v>
      </c>
      <c r="C63" s="403"/>
      <c r="D63" s="403"/>
      <c r="E63" s="403"/>
      <c r="F63" s="403"/>
      <c r="G63" s="403"/>
      <c r="H63" s="403"/>
      <c r="I63" s="403"/>
      <c r="J63" s="403"/>
      <c r="K63" s="403"/>
    </row>
    <row r="64" spans="1:11" x14ac:dyDescent="0.2">
      <c r="B64" s="403" t="s">
        <v>465</v>
      </c>
      <c r="C64" s="403"/>
      <c r="D64" s="403"/>
      <c r="E64" s="403"/>
      <c r="F64" s="403"/>
      <c r="G64" s="403"/>
      <c r="H64" s="403"/>
      <c r="I64" s="403"/>
      <c r="J64" s="403"/>
      <c r="K64" s="403"/>
    </row>
    <row r="66" spans="1:11" x14ac:dyDescent="0.2">
      <c r="A66" s="98" t="s">
        <v>466</v>
      </c>
      <c r="B66" s="404" t="s">
        <v>597</v>
      </c>
      <c r="C66" s="403"/>
      <c r="D66" s="403"/>
      <c r="E66" s="403"/>
      <c r="F66" s="403"/>
      <c r="G66" s="403"/>
      <c r="H66" s="403"/>
      <c r="I66" s="403"/>
      <c r="J66" s="403"/>
      <c r="K66" s="403"/>
    </row>
    <row r="67" spans="1:11" x14ac:dyDescent="0.2">
      <c r="B67" s="404" t="s">
        <v>598</v>
      </c>
      <c r="C67" s="403"/>
      <c r="D67" s="403"/>
      <c r="E67" s="403"/>
      <c r="F67" s="403"/>
      <c r="G67" s="403"/>
      <c r="H67" s="403"/>
      <c r="I67" s="403"/>
      <c r="J67" s="403"/>
      <c r="K67" s="403"/>
    </row>
    <row r="68" spans="1:11" x14ac:dyDescent="0.2">
      <c r="B68" s="403" t="s">
        <v>467</v>
      </c>
      <c r="C68" s="403"/>
      <c r="D68" s="403"/>
      <c r="E68" s="403"/>
      <c r="F68" s="403"/>
      <c r="G68" s="403"/>
      <c r="H68" s="403"/>
      <c r="I68" s="403"/>
      <c r="J68" s="403"/>
      <c r="K68" s="403"/>
    </row>
    <row r="69" spans="1:11" x14ac:dyDescent="0.2">
      <c r="B69" s="403" t="s">
        <v>468</v>
      </c>
      <c r="C69" s="403"/>
      <c r="D69" s="403"/>
      <c r="E69" s="403"/>
      <c r="F69" s="403"/>
      <c r="G69" s="403"/>
      <c r="H69" s="403"/>
      <c r="I69" s="403"/>
      <c r="J69" s="403"/>
      <c r="K69" s="403"/>
    </row>
    <row r="70" spans="1:11" x14ac:dyDescent="0.2">
      <c r="B70" s="403" t="s">
        <v>591</v>
      </c>
      <c r="C70" s="403"/>
      <c r="D70" s="403"/>
      <c r="E70" s="403"/>
      <c r="F70" s="403"/>
      <c r="G70" s="403"/>
      <c r="H70" s="403"/>
      <c r="I70" s="403"/>
      <c r="J70" s="403"/>
      <c r="K70" s="403"/>
    </row>
    <row r="71" spans="1:11" x14ac:dyDescent="0.2">
      <c r="B71" s="403" t="s">
        <v>469</v>
      </c>
      <c r="C71" s="403"/>
      <c r="D71" s="403"/>
      <c r="E71" s="403"/>
      <c r="F71" s="403"/>
      <c r="G71" s="403"/>
      <c r="H71" s="403"/>
      <c r="I71" s="403"/>
      <c r="J71" s="403"/>
      <c r="K71" s="403"/>
    </row>
    <row r="72" spans="1:11" x14ac:dyDescent="0.2">
      <c r="B72" s="403" t="s">
        <v>478</v>
      </c>
      <c r="C72" s="403"/>
      <c r="D72" s="403"/>
      <c r="E72" s="403"/>
      <c r="F72" s="403"/>
      <c r="G72" s="403"/>
      <c r="H72" s="403"/>
      <c r="I72" s="403"/>
      <c r="J72" s="403"/>
      <c r="K72" s="403"/>
    </row>
    <row r="73" spans="1:11" x14ac:dyDescent="0.2">
      <c r="B73" s="404" t="s">
        <v>599</v>
      </c>
      <c r="C73" s="403"/>
      <c r="D73" s="403"/>
      <c r="E73" s="403"/>
      <c r="F73" s="403"/>
      <c r="G73" s="403"/>
      <c r="H73" s="403"/>
      <c r="I73" s="403"/>
      <c r="J73" s="403"/>
      <c r="K73" s="403"/>
    </row>
    <row r="74" spans="1:11" x14ac:dyDescent="0.2">
      <c r="B74" s="403" t="s">
        <v>600</v>
      </c>
      <c r="C74" s="404"/>
      <c r="D74" s="404"/>
      <c r="E74" s="404"/>
      <c r="F74" s="404"/>
      <c r="G74" s="404"/>
      <c r="H74" s="404"/>
      <c r="I74" s="404"/>
      <c r="J74" s="404"/>
      <c r="K74" s="404"/>
    </row>
    <row r="76" spans="1:11" x14ac:dyDescent="0.2">
      <c r="A76" s="98" t="s">
        <v>470</v>
      </c>
      <c r="B76" s="403" t="s">
        <v>479</v>
      </c>
      <c r="C76" s="403"/>
      <c r="D76" s="403"/>
      <c r="E76" s="403"/>
      <c r="F76" s="403"/>
      <c r="G76" s="403"/>
      <c r="H76" s="403"/>
      <c r="I76" s="403"/>
      <c r="J76" s="403"/>
      <c r="K76" s="403"/>
    </row>
    <row r="77" spans="1:11" x14ac:dyDescent="0.2">
      <c r="B77" s="403" t="s">
        <v>471</v>
      </c>
      <c r="C77" s="403"/>
      <c r="D77" s="403"/>
      <c r="E77" s="403"/>
      <c r="F77" s="403"/>
      <c r="G77" s="403"/>
      <c r="H77" s="403"/>
      <c r="I77" s="403"/>
      <c r="J77" s="403"/>
      <c r="K77" s="403"/>
    </row>
    <row r="78" spans="1:11" x14ac:dyDescent="0.2">
      <c r="B78" s="403" t="s">
        <v>472</v>
      </c>
      <c r="C78" s="403"/>
      <c r="D78" s="403"/>
      <c r="E78" s="403"/>
      <c r="F78" s="403"/>
      <c r="G78" s="403"/>
      <c r="H78" s="403"/>
      <c r="I78" s="403"/>
      <c r="J78" s="403"/>
      <c r="K78" s="403"/>
    </row>
    <row r="79" spans="1:11" x14ac:dyDescent="0.2">
      <c r="B79" s="403" t="s">
        <v>473</v>
      </c>
      <c r="C79" s="403"/>
      <c r="D79" s="403"/>
      <c r="E79" s="403"/>
      <c r="F79" s="403"/>
      <c r="G79" s="403"/>
      <c r="H79" s="403"/>
      <c r="I79" s="403"/>
      <c r="J79" s="403"/>
      <c r="K79" s="403"/>
    </row>
    <row r="80" spans="1:11" x14ac:dyDescent="0.2">
      <c r="B80" s="403" t="s">
        <v>474</v>
      </c>
      <c r="C80" s="403"/>
      <c r="D80" s="403"/>
      <c r="E80" s="403"/>
      <c r="F80" s="403"/>
      <c r="G80" s="403"/>
      <c r="H80" s="403"/>
      <c r="I80" s="403"/>
      <c r="J80" s="403"/>
      <c r="K80" s="403"/>
    </row>
    <row r="81" spans="1:11" x14ac:dyDescent="0.2">
      <c r="B81" s="403" t="s">
        <v>480</v>
      </c>
      <c r="C81" s="403"/>
      <c r="D81" s="403"/>
      <c r="E81" s="403"/>
      <c r="F81" s="403"/>
      <c r="G81" s="403"/>
      <c r="H81" s="403"/>
      <c r="I81" s="403"/>
      <c r="J81" s="403"/>
      <c r="K81" s="403"/>
    </row>
    <row r="82" spans="1:11" x14ac:dyDescent="0.2">
      <c r="B82" s="403" t="s">
        <v>475</v>
      </c>
      <c r="C82" s="403"/>
      <c r="D82" s="403"/>
      <c r="E82" s="403"/>
      <c r="F82" s="403"/>
      <c r="G82" s="403"/>
      <c r="H82" s="403"/>
      <c r="I82" s="403"/>
      <c r="J82" s="403"/>
      <c r="K82" s="403"/>
    </row>
    <row r="84" spans="1:11" x14ac:dyDescent="0.2">
      <c r="A84" s="98" t="s">
        <v>568</v>
      </c>
      <c r="B84" s="403" t="s">
        <v>590</v>
      </c>
      <c r="C84" s="403"/>
      <c r="D84" s="403"/>
      <c r="E84" s="403"/>
      <c r="F84" s="403"/>
      <c r="G84" s="403"/>
      <c r="H84" s="403"/>
      <c r="I84" s="403"/>
      <c r="J84" s="403"/>
      <c r="K84" s="403"/>
    </row>
    <row r="85" spans="1:11" x14ac:dyDescent="0.2">
      <c r="B85" s="403" t="s">
        <v>569</v>
      </c>
      <c r="C85" s="403"/>
      <c r="D85" s="403"/>
      <c r="E85" s="403"/>
      <c r="F85" s="403"/>
      <c r="G85" s="403"/>
      <c r="H85" s="403"/>
      <c r="I85" s="403"/>
      <c r="J85" s="403"/>
      <c r="K85" s="403"/>
    </row>
    <row r="86" spans="1:11" x14ac:dyDescent="0.2">
      <c r="B86" s="403" t="s">
        <v>570</v>
      </c>
      <c r="C86" s="403"/>
      <c r="D86" s="403"/>
      <c r="E86" s="403"/>
      <c r="F86" s="403"/>
      <c r="G86" s="403"/>
      <c r="H86" s="403"/>
      <c r="I86" s="403"/>
      <c r="J86" s="403"/>
      <c r="K86" s="403"/>
    </row>
    <row r="87" spans="1:11" x14ac:dyDescent="0.2">
      <c r="B87" s="403" t="s">
        <v>571</v>
      </c>
      <c r="C87" s="403"/>
      <c r="D87" s="403"/>
    </row>
    <row r="89" spans="1:11" x14ac:dyDescent="0.2">
      <c r="C89" s="185" t="s">
        <v>578</v>
      </c>
      <c r="D89" s="404" t="s">
        <v>572</v>
      </c>
      <c r="E89" s="404"/>
      <c r="F89" s="404"/>
      <c r="G89" s="404"/>
      <c r="H89" s="404"/>
      <c r="I89" s="404"/>
    </row>
    <row r="90" spans="1:11" x14ac:dyDescent="0.2">
      <c r="C90" s="185" t="s">
        <v>579</v>
      </c>
      <c r="D90" s="404" t="s">
        <v>573</v>
      </c>
      <c r="E90" s="404"/>
      <c r="F90" s="404"/>
      <c r="G90" s="404"/>
      <c r="H90" s="404"/>
      <c r="I90" s="404"/>
      <c r="J90" s="404"/>
      <c r="K90" s="404"/>
    </row>
    <row r="91" spans="1:11" x14ac:dyDescent="0.2">
      <c r="C91" s="185" t="s">
        <v>580</v>
      </c>
      <c r="D91" s="404" t="s">
        <v>574</v>
      </c>
      <c r="E91" s="404"/>
      <c r="F91" s="404"/>
      <c r="G91" s="404"/>
      <c r="H91" s="404"/>
      <c r="I91" s="404"/>
      <c r="J91" s="404"/>
    </row>
    <row r="92" spans="1:11" x14ac:dyDescent="0.2">
      <c r="C92" s="185" t="s">
        <v>581</v>
      </c>
      <c r="D92" s="403" t="s">
        <v>575</v>
      </c>
      <c r="E92" s="403"/>
      <c r="F92" s="403"/>
      <c r="G92" s="403"/>
      <c r="H92" s="403"/>
      <c r="I92" s="403"/>
      <c r="J92" s="403"/>
      <c r="K92" s="403"/>
    </row>
    <row r="93" spans="1:11" x14ac:dyDescent="0.2">
      <c r="C93" s="185" t="s">
        <v>582</v>
      </c>
      <c r="D93" s="403" t="s">
        <v>576</v>
      </c>
      <c r="E93" s="403"/>
      <c r="F93" s="403"/>
      <c r="G93" s="403"/>
      <c r="H93" s="403"/>
      <c r="I93" s="403"/>
      <c r="J93" s="403"/>
      <c r="K93" s="403"/>
    </row>
    <row r="94" spans="1:11" x14ac:dyDescent="0.2">
      <c r="C94" s="185" t="s">
        <v>583</v>
      </c>
      <c r="D94" s="403" t="s">
        <v>577</v>
      </c>
      <c r="E94" s="403"/>
      <c r="F94" s="403"/>
      <c r="G94" s="403"/>
      <c r="H94" s="403"/>
      <c r="I94" s="403"/>
      <c r="J94" s="403"/>
      <c r="K94" s="403"/>
    </row>
    <row r="95" spans="1:11" x14ac:dyDescent="0.2">
      <c r="C95" s="185" t="s">
        <v>584</v>
      </c>
      <c r="D95" s="404" t="s">
        <v>585</v>
      </c>
      <c r="E95" s="404"/>
      <c r="F95" s="404"/>
      <c r="G95" s="404"/>
      <c r="H95" s="404"/>
      <c r="I95" s="404"/>
      <c r="J95" s="404"/>
      <c r="K95" s="404"/>
    </row>
    <row r="97" spans="2:11" x14ac:dyDescent="0.2">
      <c r="B97" s="403" t="s">
        <v>589</v>
      </c>
      <c r="C97" s="403"/>
      <c r="D97" s="403"/>
      <c r="E97" s="403"/>
      <c r="F97" s="403"/>
      <c r="G97" s="403"/>
      <c r="H97" s="403"/>
      <c r="I97" s="403"/>
      <c r="J97" s="403"/>
      <c r="K97" s="403"/>
    </row>
    <row r="98" spans="2:11" x14ac:dyDescent="0.2">
      <c r="B98" s="403" t="s">
        <v>586</v>
      </c>
      <c r="C98" s="403"/>
      <c r="D98" s="403"/>
      <c r="E98" s="403"/>
      <c r="F98" s="403"/>
      <c r="G98" s="403"/>
      <c r="H98" s="403"/>
      <c r="I98" s="403"/>
      <c r="J98" s="403"/>
      <c r="K98" s="403"/>
    </row>
    <row r="99" spans="2:11" x14ac:dyDescent="0.2">
      <c r="B99" s="404" t="s">
        <v>593</v>
      </c>
      <c r="C99" s="404"/>
      <c r="D99" s="404"/>
      <c r="E99" s="404"/>
      <c r="F99" s="404"/>
      <c r="G99" s="404"/>
      <c r="H99" s="404"/>
      <c r="I99" s="404"/>
      <c r="J99" s="404"/>
      <c r="K99" s="404"/>
    </row>
    <row r="100" spans="2:11" x14ac:dyDescent="0.2">
      <c r="B100" s="404" t="s">
        <v>594</v>
      </c>
      <c r="C100" s="404"/>
      <c r="D100" s="404"/>
      <c r="E100" s="404"/>
      <c r="F100" s="404"/>
      <c r="G100" s="404"/>
      <c r="H100" s="404"/>
      <c r="I100" s="404"/>
      <c r="J100" s="404"/>
      <c r="K100" s="404"/>
    </row>
    <row r="101" spans="2:11" x14ac:dyDescent="0.2">
      <c r="B101" s="404" t="s">
        <v>595</v>
      </c>
      <c r="C101" s="404"/>
      <c r="D101" s="404"/>
      <c r="E101" s="404"/>
      <c r="F101" s="404"/>
      <c r="G101" s="404"/>
      <c r="H101" s="404"/>
      <c r="I101" s="404"/>
      <c r="J101" s="404"/>
      <c r="K101" s="404"/>
    </row>
    <row r="102" spans="2:11" x14ac:dyDescent="0.2">
      <c r="B102" s="404" t="s">
        <v>587</v>
      </c>
      <c r="C102" s="404"/>
      <c r="D102" s="404"/>
      <c r="E102" s="404"/>
      <c r="F102" s="404"/>
      <c r="G102" s="404"/>
      <c r="H102" s="404"/>
      <c r="I102" s="404"/>
      <c r="J102" s="404"/>
      <c r="K102" s="404"/>
    </row>
    <row r="103" spans="2:11" x14ac:dyDescent="0.2">
      <c r="B103" s="404" t="s">
        <v>596</v>
      </c>
      <c r="C103" s="404"/>
      <c r="D103" s="404"/>
      <c r="E103" s="404"/>
      <c r="F103" s="404"/>
      <c r="G103" s="404"/>
      <c r="H103" s="404"/>
      <c r="I103" s="404"/>
      <c r="J103" s="404"/>
      <c r="K103" s="404"/>
    </row>
    <row r="104" spans="2:11" x14ac:dyDescent="0.2">
      <c r="B104" s="403" t="s">
        <v>588</v>
      </c>
      <c r="C104" s="403"/>
      <c r="D104" s="403"/>
    </row>
    <row r="106" spans="2:11" x14ac:dyDescent="0.2">
      <c r="B106" s="403" t="s">
        <v>592</v>
      </c>
      <c r="C106" s="403"/>
      <c r="D106" s="403"/>
    </row>
  </sheetData>
  <sheetProtection password="8881" sheet="1" objects="1" scenarios="1"/>
  <mergeCells count="90">
    <mergeCell ref="B102:K102"/>
    <mergeCell ref="B103:K103"/>
    <mergeCell ref="B104:D104"/>
    <mergeCell ref="B106:D106"/>
    <mergeCell ref="B98:K98"/>
    <mergeCell ref="B99:K99"/>
    <mergeCell ref="B100:K100"/>
    <mergeCell ref="B101:K101"/>
    <mergeCell ref="D93:K93"/>
    <mergeCell ref="D94:K94"/>
    <mergeCell ref="D95:K95"/>
    <mergeCell ref="B97:K97"/>
    <mergeCell ref="D89:I89"/>
    <mergeCell ref="D90:K90"/>
    <mergeCell ref="D91:J91"/>
    <mergeCell ref="D92:K92"/>
    <mergeCell ref="B84:K84"/>
    <mergeCell ref="B85:K85"/>
    <mergeCell ref="B86:K86"/>
    <mergeCell ref="B87:D87"/>
    <mergeCell ref="B81:K81"/>
    <mergeCell ref="B82:K82"/>
    <mergeCell ref="B77:K77"/>
    <mergeCell ref="B78:K78"/>
    <mergeCell ref="B79:K79"/>
    <mergeCell ref="B80:K80"/>
    <mergeCell ref="B71:K71"/>
    <mergeCell ref="B72:K72"/>
    <mergeCell ref="B73:K73"/>
    <mergeCell ref="B76:K76"/>
    <mergeCell ref="B68:K68"/>
    <mergeCell ref="B69:K69"/>
    <mergeCell ref="B70:K70"/>
    <mergeCell ref="B74:K74"/>
    <mergeCell ref="B62:K62"/>
    <mergeCell ref="B63:K63"/>
    <mergeCell ref="B64:K64"/>
    <mergeCell ref="B66:K66"/>
    <mergeCell ref="B67:K67"/>
    <mergeCell ref="B58:K58"/>
    <mergeCell ref="B59:K59"/>
    <mergeCell ref="B60:K60"/>
    <mergeCell ref="B61:K61"/>
    <mergeCell ref="B16:K16"/>
    <mergeCell ref="B17:K17"/>
    <mergeCell ref="B41:K41"/>
    <mergeCell ref="B42:K42"/>
    <mergeCell ref="B19:K19"/>
    <mergeCell ref="B20:K20"/>
    <mergeCell ref="A1:K1"/>
    <mergeCell ref="C6:K6"/>
    <mergeCell ref="C9:K9"/>
    <mergeCell ref="C10:K10"/>
    <mergeCell ref="C7:K7"/>
    <mergeCell ref="A2:K2"/>
    <mergeCell ref="B5:K5"/>
    <mergeCell ref="A3:K3"/>
    <mergeCell ref="B32:K32"/>
    <mergeCell ref="B27:K27"/>
    <mergeCell ref="B28:K28"/>
    <mergeCell ref="C11:K11"/>
    <mergeCell ref="C12:K12"/>
    <mergeCell ref="B14:K14"/>
    <mergeCell ref="B15:K15"/>
    <mergeCell ref="B23:K23"/>
    <mergeCell ref="B21:K21"/>
    <mergeCell ref="B22:K22"/>
    <mergeCell ref="B24:K24"/>
    <mergeCell ref="B25:K25"/>
    <mergeCell ref="B29:K29"/>
    <mergeCell ref="B30:K30"/>
    <mergeCell ref="B31:K31"/>
    <mergeCell ref="B49:K49"/>
    <mergeCell ref="B33:K33"/>
    <mergeCell ref="B34:K34"/>
    <mergeCell ref="B35:K35"/>
    <mergeCell ref="B36:K36"/>
    <mergeCell ref="B37:K37"/>
    <mergeCell ref="B38:K38"/>
    <mergeCell ref="B39:K39"/>
    <mergeCell ref="B43:K43"/>
    <mergeCell ref="B45:K45"/>
    <mergeCell ref="B46:K46"/>
    <mergeCell ref="B47:K47"/>
    <mergeCell ref="B56:K56"/>
    <mergeCell ref="B52:K52"/>
    <mergeCell ref="B50:K50"/>
    <mergeCell ref="B51:K51"/>
    <mergeCell ref="B54:K54"/>
    <mergeCell ref="B55:K55"/>
  </mergeCells>
  <phoneticPr fontId="7" type="noConversion"/>
  <pageMargins left="0.74" right="0.43" top="0.63" bottom="0.9" header="0.25" footer="0.55000000000000004"/>
  <pageSetup scale="97" orientation="portrait" horizontalDpi="300" verticalDpi="300" r:id="rId1"/>
  <headerFooter alignWithMargins="0">
    <oddHeader>&amp;LArt Montemayor&amp;CVessel Design Tips&amp;RAugust 21, 2000
Rev: 2(05-05-03)</oddHeader>
    <oddFooter>&amp;CPage &amp;P of &amp;N&amp;RElectronic FileName: &amp;F
WorkSheet: &amp;A</oddFooter>
  </headerFooter>
  <rowBreaks count="1" manualBreakCount="1">
    <brk id="53"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pane ySplit="2" topLeftCell="A3" activePane="bottomLeft" state="frozen"/>
      <selection pane="bottomLeft" activeCell="L9" sqref="L9"/>
    </sheetView>
  </sheetViews>
  <sheetFormatPr defaultRowHeight="12.75" x14ac:dyDescent="0.2"/>
  <cols>
    <col min="1" max="1" width="12.140625" style="10" customWidth="1"/>
    <col min="2" max="2" width="13.7109375" style="2" customWidth="1"/>
    <col min="3" max="3" width="15" style="2" customWidth="1"/>
    <col min="4" max="4" width="18" customWidth="1"/>
    <col min="5" max="5" width="10.7109375" style="2" customWidth="1"/>
    <col min="6" max="6" width="13.28515625" customWidth="1"/>
    <col min="7" max="7" width="14.5703125" customWidth="1"/>
    <col min="8" max="8" width="17.5703125" customWidth="1"/>
    <col min="9" max="9" width="12.140625" customWidth="1"/>
  </cols>
  <sheetData>
    <row r="1" spans="1:9" ht="18.75" thickTop="1" x14ac:dyDescent="0.25">
      <c r="A1" s="437" t="s">
        <v>38</v>
      </c>
      <c r="B1" s="439" t="s">
        <v>299</v>
      </c>
      <c r="C1" s="440"/>
      <c r="D1" s="440"/>
      <c r="E1" s="440"/>
      <c r="F1" s="441" t="s">
        <v>39</v>
      </c>
      <c r="G1" s="440"/>
      <c r="H1" s="440"/>
      <c r="I1" s="442"/>
    </row>
    <row r="2" spans="1:9" ht="18.75" thickBot="1" x14ac:dyDescent="0.3">
      <c r="A2" s="438"/>
      <c r="B2" s="255" t="s">
        <v>301</v>
      </c>
      <c r="C2" s="256" t="s">
        <v>302</v>
      </c>
      <c r="D2" s="257" t="s">
        <v>303</v>
      </c>
      <c r="E2" s="271" t="s">
        <v>304</v>
      </c>
      <c r="F2" s="275" t="s">
        <v>301</v>
      </c>
      <c r="G2" s="256" t="s">
        <v>302</v>
      </c>
      <c r="H2" s="257" t="s">
        <v>303</v>
      </c>
      <c r="I2" s="6" t="s">
        <v>304</v>
      </c>
    </row>
    <row r="3" spans="1:9" ht="18.75" thickTop="1" x14ac:dyDescent="0.25">
      <c r="A3" s="258">
        <v>1</v>
      </c>
      <c r="B3" s="259">
        <v>0.13100000000000001</v>
      </c>
      <c r="C3" s="260">
        <v>8.2000000000000003E-2</v>
      </c>
      <c r="D3" s="259">
        <v>0.26200000000000001</v>
      </c>
      <c r="E3" s="272">
        <v>5.2999999999999999E-2</v>
      </c>
      <c r="F3" s="276">
        <f>B3*7.48052</f>
        <v>0.97994812000000009</v>
      </c>
      <c r="G3" s="260">
        <f>C3*7.48052</f>
        <v>0.61340264</v>
      </c>
      <c r="H3" s="259">
        <f>D3*7.48052</f>
        <v>1.9598962400000002</v>
      </c>
      <c r="I3" s="261">
        <f>E3*7.48052</f>
        <v>0.39646756</v>
      </c>
    </row>
    <row r="4" spans="1:9" ht="18" x14ac:dyDescent="0.25">
      <c r="A4" s="7">
        <v>1.5</v>
      </c>
      <c r="B4" s="8">
        <v>0.442</v>
      </c>
      <c r="C4" s="9">
        <v>0.27700000000000002</v>
      </c>
      <c r="D4" s="8">
        <v>0.88400000000000001</v>
      </c>
      <c r="E4" s="273">
        <v>0.182</v>
      </c>
      <c r="F4" s="277">
        <f t="shared" ref="F4:F21" si="0">B4*7.48052</f>
        <v>3.30638984</v>
      </c>
      <c r="G4" s="267">
        <f t="shared" ref="G4:G21" si="1">C4*7.48052</f>
        <v>2.0721040400000001</v>
      </c>
      <c r="H4" s="266">
        <f t="shared" ref="H4:H21" si="2">D4*7.48052</f>
        <v>6.61277968</v>
      </c>
      <c r="I4" s="270">
        <f t="shared" ref="I4:I21" si="3">E4*7.48052</f>
        <v>1.36145464</v>
      </c>
    </row>
    <row r="5" spans="1:9" ht="18" x14ac:dyDescent="0.25">
      <c r="A5" s="258">
        <v>2</v>
      </c>
      <c r="B5" s="259">
        <v>1.0469999999999999</v>
      </c>
      <c r="C5" s="260">
        <v>0.65600000000000003</v>
      </c>
      <c r="D5" s="259">
        <v>2.0950000000000002</v>
      </c>
      <c r="E5" s="272">
        <v>0.43</v>
      </c>
      <c r="F5" s="276">
        <f t="shared" si="0"/>
        <v>7.8321044400000002</v>
      </c>
      <c r="G5" s="260">
        <f t="shared" si="1"/>
        <v>4.90722112</v>
      </c>
      <c r="H5" s="259">
        <f t="shared" si="2"/>
        <v>15.671689400000002</v>
      </c>
      <c r="I5" s="261">
        <f t="shared" si="3"/>
        <v>3.2166236000000001</v>
      </c>
    </row>
    <row r="6" spans="1:9" ht="18" x14ac:dyDescent="0.25">
      <c r="A6" s="7">
        <v>2.5</v>
      </c>
      <c r="B6" s="8">
        <v>2.0449999999999999</v>
      </c>
      <c r="C6" s="9">
        <v>1.37</v>
      </c>
      <c r="D6" s="8">
        <v>4.0910000000000002</v>
      </c>
      <c r="E6" s="273">
        <v>0.84199999999999997</v>
      </c>
      <c r="F6" s="277">
        <f t="shared" si="0"/>
        <v>15.297663399999999</v>
      </c>
      <c r="G6" s="267">
        <f t="shared" si="1"/>
        <v>10.248312400000001</v>
      </c>
      <c r="H6" s="266">
        <f t="shared" si="2"/>
        <v>30.602807320000004</v>
      </c>
      <c r="I6" s="270">
        <f t="shared" si="3"/>
        <v>6.2985978400000002</v>
      </c>
    </row>
    <row r="7" spans="1:9" ht="18" x14ac:dyDescent="0.25">
      <c r="A7" s="258">
        <v>3</v>
      </c>
      <c r="B7" s="259">
        <v>3.5350000000000001</v>
      </c>
      <c r="C7" s="260">
        <v>2.2160000000000002</v>
      </c>
      <c r="D7" s="259">
        <v>7.069</v>
      </c>
      <c r="E7" s="272">
        <v>1.454</v>
      </c>
      <c r="F7" s="276">
        <f t="shared" si="0"/>
        <v>26.443638200000002</v>
      </c>
      <c r="G7" s="260">
        <f t="shared" si="1"/>
        <v>16.576832320000001</v>
      </c>
      <c r="H7" s="259">
        <f t="shared" si="2"/>
        <v>52.879795880000003</v>
      </c>
      <c r="I7" s="261">
        <f t="shared" si="3"/>
        <v>10.876676079999999</v>
      </c>
    </row>
    <row r="8" spans="1:9" ht="18" x14ac:dyDescent="0.25">
      <c r="A8" s="7">
        <v>3.5</v>
      </c>
      <c r="B8" s="8">
        <v>5.6130000000000004</v>
      </c>
      <c r="C8" s="9">
        <v>3.6920000000000002</v>
      </c>
      <c r="D8" s="8">
        <v>11.225</v>
      </c>
      <c r="E8" s="273">
        <v>2.31</v>
      </c>
      <c r="F8" s="277">
        <f t="shared" si="0"/>
        <v>41.988158760000005</v>
      </c>
      <c r="G8" s="267">
        <f t="shared" si="1"/>
        <v>27.618079840000004</v>
      </c>
      <c r="H8" s="266">
        <f t="shared" si="2"/>
        <v>83.968836999999994</v>
      </c>
      <c r="I8" s="270">
        <f t="shared" si="3"/>
        <v>17.280001200000001</v>
      </c>
    </row>
    <row r="9" spans="1:9" ht="18" x14ac:dyDescent="0.25">
      <c r="A9" s="258">
        <v>4</v>
      </c>
      <c r="B9" s="259">
        <v>8.3780000000000001</v>
      </c>
      <c r="C9" s="260">
        <v>5.2549999999999999</v>
      </c>
      <c r="D9" s="259">
        <v>16.756</v>
      </c>
      <c r="E9" s="272">
        <v>3.448</v>
      </c>
      <c r="F9" s="276">
        <f t="shared" si="0"/>
        <v>62.671796560000004</v>
      </c>
      <c r="G9" s="260">
        <f t="shared" si="1"/>
        <v>39.310132600000003</v>
      </c>
      <c r="H9" s="259">
        <f t="shared" si="2"/>
        <v>125.34359312000001</v>
      </c>
      <c r="I9" s="261">
        <f t="shared" si="3"/>
        <v>25.792832960000002</v>
      </c>
    </row>
    <row r="10" spans="1:9" ht="18" x14ac:dyDescent="0.25">
      <c r="A10" s="7">
        <v>4.5</v>
      </c>
      <c r="B10" s="8">
        <v>11.928000000000001</v>
      </c>
      <c r="C10" s="9">
        <v>7.7670000000000003</v>
      </c>
      <c r="D10" s="8">
        <v>23.856999999999999</v>
      </c>
      <c r="E10" s="273">
        <v>4.9089999999999998</v>
      </c>
      <c r="F10" s="277">
        <f t="shared" si="0"/>
        <v>89.227642560000007</v>
      </c>
      <c r="G10" s="267">
        <f t="shared" si="1"/>
        <v>58.101198840000002</v>
      </c>
      <c r="H10" s="266">
        <f t="shared" si="2"/>
        <v>178.46276564000001</v>
      </c>
      <c r="I10" s="270">
        <f t="shared" si="3"/>
        <v>36.721872679999997</v>
      </c>
    </row>
    <row r="11" spans="1:9" ht="18" x14ac:dyDescent="0.25">
      <c r="A11" s="258">
        <v>5</v>
      </c>
      <c r="B11" s="259">
        <v>16.364000000000001</v>
      </c>
      <c r="C11" s="260">
        <v>10.263999999999999</v>
      </c>
      <c r="D11" s="259">
        <v>32.725000000000001</v>
      </c>
      <c r="E11" s="272">
        <v>6.7329999999999997</v>
      </c>
      <c r="F11" s="276">
        <f t="shared" si="0"/>
        <v>122.41122928000001</v>
      </c>
      <c r="G11" s="260">
        <f t="shared" si="1"/>
        <v>76.780057279999994</v>
      </c>
      <c r="H11" s="259">
        <f t="shared" si="2"/>
        <v>244.80001700000003</v>
      </c>
      <c r="I11" s="261">
        <f t="shared" si="3"/>
        <v>50.366341159999998</v>
      </c>
    </row>
    <row r="12" spans="1:9" ht="18" x14ac:dyDescent="0.25">
      <c r="A12" s="7">
        <v>5.5</v>
      </c>
      <c r="B12" s="8">
        <v>21.779</v>
      </c>
      <c r="C12" s="9">
        <v>13.803000000000001</v>
      </c>
      <c r="D12" s="8">
        <v>43.557000000000002</v>
      </c>
      <c r="E12" s="273">
        <v>8.9629999999999992</v>
      </c>
      <c r="F12" s="277">
        <f t="shared" si="0"/>
        <v>162.91824507999999</v>
      </c>
      <c r="G12" s="267">
        <f t="shared" si="1"/>
        <v>103.25361756000001</v>
      </c>
      <c r="H12" s="266">
        <f t="shared" si="2"/>
        <v>325.82900964000004</v>
      </c>
      <c r="I12" s="270">
        <f t="shared" si="3"/>
        <v>67.04790075999999</v>
      </c>
    </row>
    <row r="13" spans="1:9" ht="18" x14ac:dyDescent="0.25">
      <c r="A13" s="258">
        <v>6</v>
      </c>
      <c r="B13" s="259">
        <v>28.276</v>
      </c>
      <c r="C13" s="260">
        <v>18.071999999999999</v>
      </c>
      <c r="D13" s="259">
        <v>56.548000000000002</v>
      </c>
      <c r="E13" s="272">
        <v>11.635999999999999</v>
      </c>
      <c r="F13" s="276">
        <f t="shared" si="0"/>
        <v>211.51918352000001</v>
      </c>
      <c r="G13" s="260">
        <f t="shared" si="1"/>
        <v>135.18795743999999</v>
      </c>
      <c r="H13" s="259">
        <f t="shared" si="2"/>
        <v>423.00844496000002</v>
      </c>
      <c r="I13" s="261">
        <f t="shared" si="3"/>
        <v>87.04333072</v>
      </c>
    </row>
    <row r="14" spans="1:9" ht="18" x14ac:dyDescent="0.25">
      <c r="A14" s="7">
        <v>6.5</v>
      </c>
      <c r="B14" s="8">
        <v>35.951000000000001</v>
      </c>
      <c r="C14" s="9">
        <v>22.350999999999999</v>
      </c>
      <c r="D14" s="8">
        <v>71.896000000000001</v>
      </c>
      <c r="E14" s="273">
        <v>14.794</v>
      </c>
      <c r="F14" s="277">
        <f t="shared" si="0"/>
        <v>268.93217451999999</v>
      </c>
      <c r="G14" s="267">
        <f t="shared" si="1"/>
        <v>167.19710251999999</v>
      </c>
      <c r="H14" s="266">
        <f t="shared" si="2"/>
        <v>537.81946591999997</v>
      </c>
      <c r="I14" s="270">
        <f t="shared" si="3"/>
        <v>110.66681288000001</v>
      </c>
    </row>
    <row r="15" spans="1:9" ht="18" x14ac:dyDescent="0.25">
      <c r="A15" s="258">
        <v>7</v>
      </c>
      <c r="B15" s="259">
        <v>44.902000000000001</v>
      </c>
      <c r="C15" s="260">
        <v>29.081</v>
      </c>
      <c r="D15" s="259">
        <v>89.796999999999997</v>
      </c>
      <c r="E15" s="272">
        <v>18.477</v>
      </c>
      <c r="F15" s="276">
        <f t="shared" si="0"/>
        <v>335.89030904000003</v>
      </c>
      <c r="G15" s="260">
        <f t="shared" si="1"/>
        <v>217.54100212</v>
      </c>
      <c r="H15" s="259">
        <f t="shared" si="2"/>
        <v>671.72825444</v>
      </c>
      <c r="I15" s="261">
        <f t="shared" si="3"/>
        <v>138.21756804</v>
      </c>
    </row>
    <row r="16" spans="1:9" ht="18" x14ac:dyDescent="0.25">
      <c r="A16" s="7">
        <v>7.5</v>
      </c>
      <c r="B16" s="8">
        <v>55.225999999999999</v>
      </c>
      <c r="C16" s="9">
        <v>34.902999999999999</v>
      </c>
      <c r="D16" s="8">
        <v>110.447</v>
      </c>
      <c r="E16" s="273">
        <v>22.727</v>
      </c>
      <c r="F16" s="277">
        <f t="shared" si="0"/>
        <v>413.11919752</v>
      </c>
      <c r="G16" s="267">
        <f t="shared" si="1"/>
        <v>261.09258956000002</v>
      </c>
      <c r="H16" s="266">
        <f t="shared" si="2"/>
        <v>826.20099244000005</v>
      </c>
      <c r="I16" s="270">
        <f t="shared" si="3"/>
        <v>170.00977804000001</v>
      </c>
    </row>
    <row r="17" spans="1:9" ht="18" x14ac:dyDescent="0.25">
      <c r="A17" s="258">
        <v>8</v>
      </c>
      <c r="B17" s="259">
        <v>67.025000000000006</v>
      </c>
      <c r="C17" s="260">
        <v>43.238999999999997</v>
      </c>
      <c r="D17" s="259">
        <v>134.041</v>
      </c>
      <c r="E17" s="272">
        <v>27.582000000000001</v>
      </c>
      <c r="F17" s="276">
        <f t="shared" si="0"/>
        <v>501.38185300000004</v>
      </c>
      <c r="G17" s="260">
        <f t="shared" si="1"/>
        <v>323.45020427999998</v>
      </c>
      <c r="H17" s="268">
        <f t="shared" si="2"/>
        <v>1002.69638132</v>
      </c>
      <c r="I17" s="261">
        <f t="shared" si="3"/>
        <v>206.32770264000001</v>
      </c>
    </row>
    <row r="18" spans="1:9" ht="18" x14ac:dyDescent="0.25">
      <c r="A18" s="7">
        <v>8.5</v>
      </c>
      <c r="B18" s="8">
        <v>80.394000000000005</v>
      </c>
      <c r="C18" s="9">
        <v>50.764000000000003</v>
      </c>
      <c r="D18" s="8">
        <v>160.77799999999999</v>
      </c>
      <c r="E18" s="273">
        <v>33.082999999999998</v>
      </c>
      <c r="F18" s="277">
        <f t="shared" si="0"/>
        <v>601.3889248800001</v>
      </c>
      <c r="G18" s="267">
        <f t="shared" si="1"/>
        <v>379.74111728000003</v>
      </c>
      <c r="H18" s="269">
        <f t="shared" si="2"/>
        <v>1202.7030445600001</v>
      </c>
      <c r="I18" s="270">
        <f t="shared" si="3"/>
        <v>247.47804316</v>
      </c>
    </row>
    <row r="19" spans="1:9" ht="18" x14ac:dyDescent="0.25">
      <c r="A19" s="258">
        <v>9</v>
      </c>
      <c r="B19" s="259">
        <v>95.432000000000002</v>
      </c>
      <c r="C19" s="260">
        <v>59.097999999999999</v>
      </c>
      <c r="D19" s="259">
        <v>190.852</v>
      </c>
      <c r="E19" s="272">
        <v>39.271000000000001</v>
      </c>
      <c r="F19" s="276">
        <f t="shared" si="0"/>
        <v>713.88098464000007</v>
      </c>
      <c r="G19" s="260">
        <f t="shared" si="1"/>
        <v>442.08377095999998</v>
      </c>
      <c r="H19" s="268">
        <f t="shared" si="2"/>
        <v>1427.6722030400001</v>
      </c>
      <c r="I19" s="261">
        <f t="shared" si="3"/>
        <v>293.76750092000003</v>
      </c>
    </row>
    <row r="20" spans="1:9" ht="18" x14ac:dyDescent="0.25">
      <c r="A20" s="7">
        <v>9.5</v>
      </c>
      <c r="B20" s="8">
        <v>112.23699999999999</v>
      </c>
      <c r="C20" s="9">
        <v>70.820999999999998</v>
      </c>
      <c r="D20" s="8">
        <v>224.46</v>
      </c>
      <c r="E20" s="273">
        <v>46.188000000000002</v>
      </c>
      <c r="F20" s="277">
        <f t="shared" si="0"/>
        <v>839.59112324</v>
      </c>
      <c r="G20" s="267">
        <f t="shared" si="1"/>
        <v>529.77790691999996</v>
      </c>
      <c r="H20" s="269">
        <f t="shared" si="2"/>
        <v>1679.0775192000001</v>
      </c>
      <c r="I20" s="270">
        <f t="shared" si="3"/>
        <v>345.51025776000006</v>
      </c>
    </row>
    <row r="21" spans="1:9" ht="18.75" thickBot="1" x14ac:dyDescent="0.3">
      <c r="A21" s="262">
        <v>10</v>
      </c>
      <c r="B21" s="263">
        <v>130.90799999999999</v>
      </c>
      <c r="C21" s="264">
        <v>81.171999999999997</v>
      </c>
      <c r="D21" s="263">
        <v>261.79899999999998</v>
      </c>
      <c r="E21" s="274">
        <v>53.871000000000002</v>
      </c>
      <c r="F21" s="278">
        <f t="shared" si="0"/>
        <v>979.25991215999989</v>
      </c>
      <c r="G21" s="264">
        <f t="shared" si="1"/>
        <v>607.20876943999997</v>
      </c>
      <c r="H21" s="279">
        <f t="shared" si="2"/>
        <v>1958.3926554799998</v>
      </c>
      <c r="I21" s="265">
        <f t="shared" si="3"/>
        <v>402.98309292000005</v>
      </c>
    </row>
    <row r="22" spans="1:9" ht="13.5" thickTop="1" x14ac:dyDescent="0.2"/>
  </sheetData>
  <sheetProtection password="8881" sheet="1" objects="1" scenarios="1"/>
  <mergeCells count="3">
    <mergeCell ref="A1:A2"/>
    <mergeCell ref="B1:E1"/>
    <mergeCell ref="F1:I1"/>
  </mergeCells>
  <phoneticPr fontId="7" type="noConversion"/>
  <printOptions gridLines="1" gridLinesSet="0"/>
  <pageMargins left="0.52" right="0.28999999999999998" top="1.0900000000000001" bottom="0.53" header="0.67" footer="0.16"/>
  <pageSetup paperSize="3" orientation="landscape" horizontalDpi="4294967292" r:id="rId1"/>
  <headerFooter alignWithMargins="0">
    <oddHeader>&amp;LArt Montemayor&amp;C&amp;A&amp;RSeptember 12, 1997
Rev 0</oddHeader>
    <oddFooter>&amp;CPage &amp;P of &amp;N&amp;RElectronic FileName: &amp;F
WorkSheet: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H37" sqref="H37"/>
    </sheetView>
  </sheetViews>
  <sheetFormatPr defaultRowHeight="12.75" x14ac:dyDescent="0.2"/>
  <cols>
    <col min="1" max="1" width="11.85546875" customWidth="1"/>
    <col min="2" max="2" width="12.42578125" customWidth="1"/>
    <col min="6" max="6" width="5.85546875" customWidth="1"/>
    <col min="7" max="7" width="4.28515625" customWidth="1"/>
    <col min="12" max="12" width="13.5703125" customWidth="1"/>
    <col min="13" max="13" width="0.140625" customWidth="1"/>
  </cols>
  <sheetData>
    <row r="1" spans="1:2" x14ac:dyDescent="0.2">
      <c r="A1" s="3" t="s">
        <v>559</v>
      </c>
      <c r="B1" s="3" t="s">
        <v>561</v>
      </c>
    </row>
    <row r="2" spans="1:2" x14ac:dyDescent="0.2">
      <c r="A2" s="97">
        <v>12</v>
      </c>
      <c r="B2" s="10">
        <v>0.98</v>
      </c>
    </row>
    <row r="3" spans="1:2" x14ac:dyDescent="0.2">
      <c r="A3" s="97">
        <v>18</v>
      </c>
      <c r="B3" s="10">
        <v>3.31</v>
      </c>
    </row>
    <row r="4" spans="1:2" x14ac:dyDescent="0.2">
      <c r="A4" s="97">
        <v>24</v>
      </c>
      <c r="B4" s="10">
        <v>7.83</v>
      </c>
    </row>
    <row r="5" spans="1:2" x14ac:dyDescent="0.2">
      <c r="A5" s="97">
        <v>30</v>
      </c>
      <c r="B5" s="10">
        <v>15.3</v>
      </c>
    </row>
    <row r="6" spans="1:2" x14ac:dyDescent="0.2">
      <c r="A6" s="97">
        <v>36</v>
      </c>
      <c r="B6" s="10">
        <v>26.44</v>
      </c>
    </row>
    <row r="7" spans="1:2" x14ac:dyDescent="0.2">
      <c r="A7" s="97">
        <v>42</v>
      </c>
      <c r="B7" s="10">
        <v>41.99</v>
      </c>
    </row>
    <row r="8" spans="1:2" x14ac:dyDescent="0.2">
      <c r="A8" s="97">
        <v>48</v>
      </c>
      <c r="B8" s="10">
        <v>62.67</v>
      </c>
    </row>
    <row r="9" spans="1:2" x14ac:dyDescent="0.2">
      <c r="A9" s="97">
        <v>54</v>
      </c>
      <c r="B9" s="10">
        <v>89.23</v>
      </c>
    </row>
    <row r="10" spans="1:2" x14ac:dyDescent="0.2">
      <c r="A10" s="97">
        <v>60</v>
      </c>
      <c r="B10" s="10">
        <v>122.41</v>
      </c>
    </row>
    <row r="11" spans="1:2" x14ac:dyDescent="0.2">
      <c r="A11" s="97">
        <v>66</v>
      </c>
      <c r="B11" s="10">
        <v>162.91999999999999</v>
      </c>
    </row>
    <row r="12" spans="1:2" x14ac:dyDescent="0.2">
      <c r="A12" s="97">
        <v>72</v>
      </c>
      <c r="B12" s="10">
        <v>211.52</v>
      </c>
    </row>
    <row r="13" spans="1:2" x14ac:dyDescent="0.2">
      <c r="A13" s="97">
        <v>78</v>
      </c>
      <c r="B13" s="10">
        <v>268.93</v>
      </c>
    </row>
    <row r="14" spans="1:2" x14ac:dyDescent="0.2">
      <c r="A14" s="97">
        <v>84</v>
      </c>
      <c r="B14" s="10">
        <v>335.89</v>
      </c>
    </row>
    <row r="15" spans="1:2" x14ac:dyDescent="0.2">
      <c r="A15" s="97">
        <v>90</v>
      </c>
      <c r="B15" s="10">
        <v>413.12</v>
      </c>
    </row>
    <row r="16" spans="1:2" x14ac:dyDescent="0.2">
      <c r="A16" s="97">
        <v>96</v>
      </c>
      <c r="B16" s="10">
        <v>501.38</v>
      </c>
    </row>
    <row r="17" spans="1:2" x14ac:dyDescent="0.2">
      <c r="A17" s="97">
        <v>102</v>
      </c>
      <c r="B17" s="10">
        <v>601.39</v>
      </c>
    </row>
    <row r="18" spans="1:2" x14ac:dyDescent="0.2">
      <c r="A18" s="97">
        <v>108</v>
      </c>
      <c r="B18" s="10">
        <v>713.88</v>
      </c>
    </row>
    <row r="19" spans="1:2" x14ac:dyDescent="0.2">
      <c r="A19" s="97">
        <v>114</v>
      </c>
      <c r="B19" s="10">
        <v>839.59</v>
      </c>
    </row>
    <row r="20" spans="1:2" x14ac:dyDescent="0.2">
      <c r="A20" s="97">
        <v>120</v>
      </c>
      <c r="B20" s="10">
        <v>979.26</v>
      </c>
    </row>
    <row r="21" spans="1:2" x14ac:dyDescent="0.2">
      <c r="A21" s="97">
        <v>126</v>
      </c>
      <c r="B21" s="10">
        <v>1133.6099999999999</v>
      </c>
    </row>
    <row r="22" spans="1:2" x14ac:dyDescent="0.2">
      <c r="A22" s="97">
        <v>132</v>
      </c>
      <c r="B22" s="10">
        <v>1303.3900000000001</v>
      </c>
    </row>
    <row r="23" spans="1:2" x14ac:dyDescent="0.2">
      <c r="A23" s="97">
        <v>138</v>
      </c>
      <c r="B23" s="10">
        <v>1489.33</v>
      </c>
    </row>
    <row r="24" spans="1:2" x14ac:dyDescent="0.2">
      <c r="A24" s="97">
        <v>144</v>
      </c>
      <c r="B24" s="10">
        <v>1692.16</v>
      </c>
    </row>
    <row r="25" spans="1:2" x14ac:dyDescent="0.2">
      <c r="A25" s="97">
        <v>150</v>
      </c>
      <c r="B25" s="10">
        <v>1912.61</v>
      </c>
    </row>
    <row r="26" spans="1:2" x14ac:dyDescent="0.2">
      <c r="A26" s="97">
        <v>156</v>
      </c>
      <c r="B26" s="10">
        <v>2151.4299999999998</v>
      </c>
    </row>
    <row r="27" spans="1:2" x14ac:dyDescent="0.2">
      <c r="A27" s="97">
        <v>162</v>
      </c>
      <c r="B27" s="10">
        <v>2409.34</v>
      </c>
    </row>
    <row r="28" spans="1:2" x14ac:dyDescent="0.2">
      <c r="A28" s="97">
        <v>168</v>
      </c>
      <c r="B28" s="10">
        <v>2687.08</v>
      </c>
    </row>
    <row r="29" spans="1:2" x14ac:dyDescent="0.2">
      <c r="A29" s="97">
        <v>174</v>
      </c>
      <c r="B29" s="10">
        <v>2985.39</v>
      </c>
    </row>
    <row r="30" spans="1:2" x14ac:dyDescent="0.2">
      <c r="A30" s="97">
        <v>180</v>
      </c>
      <c r="B30" s="10">
        <v>3304.99</v>
      </c>
    </row>
    <row r="31" spans="1:2" x14ac:dyDescent="0.2">
      <c r="A31" s="97">
        <v>186</v>
      </c>
      <c r="B31" s="10">
        <v>3646.63</v>
      </c>
    </row>
    <row r="32" spans="1:2" x14ac:dyDescent="0.2">
      <c r="A32" s="97">
        <v>192</v>
      </c>
      <c r="B32" s="10">
        <v>4011.04</v>
      </c>
    </row>
    <row r="33" spans="1:11" x14ac:dyDescent="0.2">
      <c r="A33" s="97">
        <v>198</v>
      </c>
      <c r="B33" s="10">
        <v>4398.95</v>
      </c>
      <c r="C33" s="428" t="s">
        <v>549</v>
      </c>
      <c r="D33" s="428"/>
      <c r="E33" s="428"/>
      <c r="F33" s="428"/>
      <c r="G33" s="428"/>
      <c r="H33" s="192">
        <f>10*12</f>
        <v>120</v>
      </c>
      <c r="I33" t="s">
        <v>356</v>
      </c>
    </row>
    <row r="34" spans="1:11" ht="13.5" thickBot="1" x14ac:dyDescent="0.25">
      <c r="A34" s="97">
        <v>204</v>
      </c>
      <c r="B34" s="10">
        <v>4811.09</v>
      </c>
    </row>
    <row r="35" spans="1:11" ht="15.75" thickTop="1" thickBot="1" x14ac:dyDescent="0.25">
      <c r="A35" s="97">
        <v>210</v>
      </c>
      <c r="B35" s="10">
        <v>5248.21</v>
      </c>
      <c r="C35" s="428" t="s">
        <v>550</v>
      </c>
      <c r="D35" s="428"/>
      <c r="E35" s="428"/>
      <c r="F35" s="428"/>
      <c r="G35" s="443"/>
      <c r="H35" s="188">
        <f>0.0005666995268*(H33)^3.000000133</f>
        <v>979.25740583903757</v>
      </c>
      <c r="I35" s="189" t="s">
        <v>40</v>
      </c>
      <c r="J35" s="280">
        <f>H35*0.13368</f>
        <v>130.90713001256253</v>
      </c>
      <c r="K35" s="191" t="s">
        <v>41</v>
      </c>
    </row>
    <row r="36" spans="1:11" ht="13.5" thickTop="1" x14ac:dyDescent="0.2">
      <c r="A36" s="97">
        <v>216</v>
      </c>
      <c r="B36" s="10">
        <v>5711.03</v>
      </c>
    </row>
    <row r="37" spans="1:11" x14ac:dyDescent="0.2">
      <c r="A37" s="97">
        <v>222</v>
      </c>
      <c r="B37" s="10">
        <v>6200.29</v>
      </c>
    </row>
    <row r="38" spans="1:11" x14ac:dyDescent="0.2">
      <c r="A38" s="97">
        <v>228</v>
      </c>
      <c r="B38" s="10">
        <v>6716.73</v>
      </c>
    </row>
    <row r="39" spans="1:11" x14ac:dyDescent="0.2">
      <c r="A39" s="97">
        <v>234</v>
      </c>
      <c r="B39" s="10">
        <v>7261.07</v>
      </c>
    </row>
    <row r="40" spans="1:11" x14ac:dyDescent="0.2">
      <c r="A40" s="97">
        <v>240</v>
      </c>
      <c r="B40" s="10">
        <v>7834.06</v>
      </c>
    </row>
  </sheetData>
  <sheetProtection password="8881" sheet="1" objects="1" scenarios="1"/>
  <mergeCells count="2">
    <mergeCell ref="C33:G33"/>
    <mergeCell ref="C35:G35"/>
  </mergeCells>
  <phoneticPr fontId="7" type="noConversion"/>
  <printOptions gridLines="1" gridLinesSet="0"/>
  <pageMargins left="0.77" right="0.28000000000000003" top="0.57999999999999996" bottom="0.46" header="0.25" footer="0.16"/>
  <pageSetup paperSize="3" scale="85" orientation="landscape" horizontalDpi="4294967292" r:id="rId1"/>
  <headerFooter alignWithMargins="0">
    <oddHeader>&amp;LArt Montemayor &amp;C&amp;A&amp;RSeptember 12, 1997
Rev 0</oddHeader>
    <oddFooter xml:space="preserve">&amp;CPage &amp;P of &amp;N&amp;RElectronic FileName: &amp;F
WorkSheet: &amp;A </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6"/>
  <sheetViews>
    <sheetView showGridLines="0" zoomScaleNormal="100" workbookViewId="0">
      <selection activeCell="K17" sqref="K17"/>
    </sheetView>
  </sheetViews>
  <sheetFormatPr defaultRowHeight="12.75" x14ac:dyDescent="0.2"/>
  <cols>
    <col min="1" max="1" width="2.85546875" customWidth="1"/>
  </cols>
  <sheetData>
    <row r="1" spans="1:31" ht="10.5" customHeight="1" x14ac:dyDescent="0.2">
      <c r="A1" s="444"/>
      <c r="B1" s="444"/>
      <c r="C1" s="3"/>
      <c r="D1" s="3"/>
      <c r="E1" s="3"/>
      <c r="F1" s="3"/>
      <c r="G1" s="3"/>
      <c r="H1" s="3"/>
      <c r="I1" s="3"/>
      <c r="J1" s="3"/>
      <c r="K1" s="3"/>
      <c r="L1" s="350"/>
      <c r="M1" s="350"/>
      <c r="N1" s="350"/>
      <c r="O1" s="350"/>
      <c r="P1" s="350"/>
      <c r="Q1" s="350"/>
      <c r="R1" s="350"/>
      <c r="S1" s="350"/>
      <c r="T1" s="350"/>
      <c r="U1" s="350"/>
      <c r="V1" s="350"/>
      <c r="W1" s="350"/>
      <c r="X1" s="350"/>
      <c r="Y1" s="350"/>
      <c r="Z1" s="350"/>
      <c r="AA1" s="350"/>
      <c r="AB1" s="350"/>
      <c r="AC1" s="350"/>
      <c r="AD1" s="350"/>
      <c r="AE1" s="350"/>
    </row>
    <row r="2" spans="1:31" ht="10.5" customHeight="1" thickBot="1" x14ac:dyDescent="0.25"/>
    <row r="3" spans="1:31" ht="13.5" thickBot="1" x14ac:dyDescent="0.25">
      <c r="E3" s="351" t="s">
        <v>341</v>
      </c>
      <c r="F3" s="352">
        <f>G25*0.8</f>
        <v>60</v>
      </c>
      <c r="G3" s="353" t="s">
        <v>105</v>
      </c>
    </row>
    <row r="4" spans="1:31" ht="13.5" thickBot="1" x14ac:dyDescent="0.25"/>
    <row r="5" spans="1:31" ht="14.25" thickTop="1" thickBot="1" x14ac:dyDescent="0.25">
      <c r="B5" s="353" t="s">
        <v>106</v>
      </c>
      <c r="E5" s="354" t="s">
        <v>52</v>
      </c>
      <c r="F5" s="355">
        <f>F3*25.4</f>
        <v>1524</v>
      </c>
    </row>
    <row r="6" spans="1:31" ht="13.5" thickTop="1" x14ac:dyDescent="0.2"/>
    <row r="8" spans="1:31" x14ac:dyDescent="0.2">
      <c r="M8" s="348" t="s">
        <v>107</v>
      </c>
    </row>
    <row r="9" spans="1:31" ht="13.5" thickBot="1" x14ac:dyDescent="0.25">
      <c r="C9" s="348" t="s">
        <v>51</v>
      </c>
      <c r="M9" s="356" t="s">
        <v>108</v>
      </c>
    </row>
    <row r="10" spans="1:31" ht="13.5" thickBot="1" x14ac:dyDescent="0.25">
      <c r="B10" s="351" t="s">
        <v>341</v>
      </c>
      <c r="C10" s="352">
        <f>G25*0.1727</f>
        <v>12.952499999999999</v>
      </c>
      <c r="M10" s="357">
        <f>G25/4</f>
        <v>18.75</v>
      </c>
      <c r="N10" s="358" t="s">
        <v>341</v>
      </c>
    </row>
    <row r="11" spans="1:31" ht="14.25" thickTop="1" thickBot="1" x14ac:dyDescent="0.25">
      <c r="B11" s="354" t="s">
        <v>52</v>
      </c>
      <c r="C11" s="355">
        <f>C10*25.4</f>
        <v>328.99349999999993</v>
      </c>
      <c r="M11" s="355">
        <f>M10*25.4</f>
        <v>476.25</v>
      </c>
      <c r="N11" s="359" t="s">
        <v>52</v>
      </c>
    </row>
    <row r="12" spans="1:31" ht="13.5" thickTop="1" x14ac:dyDescent="0.2"/>
    <row r="17" spans="2:10" ht="13.5" thickBot="1" x14ac:dyDescent="0.25">
      <c r="B17" s="360"/>
    </row>
    <row r="18" spans="2:10" ht="13.5" thickBot="1" x14ac:dyDescent="0.25">
      <c r="B18" s="360"/>
      <c r="F18" s="352">
        <f>G25*0.3273</f>
        <v>24.547499999999999</v>
      </c>
      <c r="G18" s="358" t="s">
        <v>341</v>
      </c>
      <c r="I18" s="348" t="s">
        <v>109</v>
      </c>
    </row>
    <row r="19" spans="2:10" ht="13.5" thickBot="1" x14ac:dyDescent="0.25">
      <c r="B19" s="361" t="s">
        <v>110</v>
      </c>
      <c r="I19" s="352">
        <f>G25*0.9045</f>
        <v>67.837499999999991</v>
      </c>
      <c r="J19" s="358" t="s">
        <v>341</v>
      </c>
    </row>
    <row r="20" spans="2:10" ht="14.25" thickTop="1" thickBot="1" x14ac:dyDescent="0.25">
      <c r="B20" s="362" t="s">
        <v>111</v>
      </c>
      <c r="F20" s="355">
        <f>F18*25.4</f>
        <v>623.50649999999996</v>
      </c>
      <c r="G20" s="359" t="s">
        <v>52</v>
      </c>
      <c r="I20" s="355">
        <f>I19*25.4</f>
        <v>1723.0724999999998</v>
      </c>
      <c r="J20" s="359" t="s">
        <v>52</v>
      </c>
    </row>
    <row r="21" spans="2:10" ht="13.5" thickTop="1" x14ac:dyDescent="0.2">
      <c r="B21" s="363" t="s">
        <v>112</v>
      </c>
    </row>
    <row r="24" spans="2:10" ht="13.5" thickBot="1" x14ac:dyDescent="0.25"/>
    <row r="25" spans="2:10" ht="14.25" thickTop="1" thickBot="1" x14ac:dyDescent="0.25">
      <c r="G25" s="364">
        <v>75</v>
      </c>
      <c r="H25" s="104" t="s">
        <v>341</v>
      </c>
    </row>
    <row r="26" spans="2:10" ht="14.25" thickTop="1" thickBot="1" x14ac:dyDescent="0.25"/>
    <row r="27" spans="2:10" ht="14.25" thickTop="1" thickBot="1" x14ac:dyDescent="0.25">
      <c r="G27" s="365">
        <f>G25*25.4</f>
        <v>1905</v>
      </c>
      <c r="H27" s="359" t="s">
        <v>52</v>
      </c>
    </row>
    <row r="28" spans="2:10" ht="13.5" thickTop="1" x14ac:dyDescent="0.2"/>
    <row r="30" spans="2:10" x14ac:dyDescent="0.2">
      <c r="B30" s="285" t="s">
        <v>113</v>
      </c>
    </row>
    <row r="31" spans="2:10" x14ac:dyDescent="0.2">
      <c r="C31" s="353" t="s">
        <v>114</v>
      </c>
    </row>
    <row r="32" spans="2:10" x14ac:dyDescent="0.2">
      <c r="B32" s="353"/>
      <c r="C32" s="360" t="s">
        <v>20</v>
      </c>
    </row>
    <row r="33" spans="2:3" x14ac:dyDescent="0.2">
      <c r="B33" s="353"/>
      <c r="C33" s="353" t="s">
        <v>115</v>
      </c>
    </row>
    <row r="36" spans="2:3" x14ac:dyDescent="0.2">
      <c r="B36" s="223"/>
    </row>
  </sheetData>
  <sheetProtection password="8881" sheet="1" objects="1" scenarios="1"/>
  <mergeCells count="1">
    <mergeCell ref="A1:B1"/>
  </mergeCells>
  <phoneticPr fontId="0" type="noConversion"/>
  <pageMargins left="0.75" right="0.66" top="0.93" bottom="0.56999999999999995" header="0.6" footer="0.16"/>
  <pageSetup orientation="landscape" r:id="rId1"/>
  <headerFooter alignWithMargins="0">
    <oddHeader>&amp;LArt Montemayor&amp;C2:1 Ellipsoidal Heads&amp;RMay 21, 2003
Rev: 1</oddHeader>
    <oddFooter>&amp;CPage &amp;P of &amp;N&amp;RFileName: &amp;F
Worksheet: &amp;A</oddFooter>
  </headerFooter>
  <rowBreaks count="2" manualBreakCount="2">
    <brk id="82" max="16383" man="1"/>
    <brk id="161" max="16383" man="1"/>
  </rowBreaks>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election activeCell="D33" sqref="D33"/>
    </sheetView>
  </sheetViews>
  <sheetFormatPr defaultRowHeight="12.75" x14ac:dyDescent="0.2"/>
  <cols>
    <col min="1" max="1" width="11.42578125" customWidth="1"/>
    <col min="2" max="2" width="10.85546875" customWidth="1"/>
    <col min="6" max="6" width="6" customWidth="1"/>
    <col min="7" max="7" width="3.7109375" customWidth="1"/>
    <col min="14" max="14" width="9.5703125" customWidth="1"/>
  </cols>
  <sheetData>
    <row r="1" spans="1:2" x14ac:dyDescent="0.2">
      <c r="A1" s="10" t="s">
        <v>559</v>
      </c>
      <c r="B1" s="2" t="s">
        <v>560</v>
      </c>
    </row>
    <row r="2" spans="1:2" x14ac:dyDescent="0.2">
      <c r="A2" s="97">
        <v>12</v>
      </c>
      <c r="B2" s="281">
        <v>0.61</v>
      </c>
    </row>
    <row r="3" spans="1:2" x14ac:dyDescent="0.2">
      <c r="A3" s="97">
        <v>18</v>
      </c>
      <c r="B3" s="281">
        <v>2.0699999999999998</v>
      </c>
    </row>
    <row r="4" spans="1:2" x14ac:dyDescent="0.2">
      <c r="A4" s="97">
        <v>24</v>
      </c>
      <c r="B4" s="281">
        <v>4.91</v>
      </c>
    </row>
    <row r="5" spans="1:2" x14ac:dyDescent="0.2">
      <c r="A5" s="97">
        <v>30</v>
      </c>
      <c r="B5" s="281">
        <v>10.25</v>
      </c>
    </row>
    <row r="6" spans="1:2" x14ac:dyDescent="0.2">
      <c r="A6" s="97">
        <v>36</v>
      </c>
      <c r="B6" s="281">
        <v>16.579999999999998</v>
      </c>
    </row>
    <row r="7" spans="1:2" x14ac:dyDescent="0.2">
      <c r="A7" s="97">
        <v>42</v>
      </c>
      <c r="B7" s="281">
        <v>27.62</v>
      </c>
    </row>
    <row r="8" spans="1:2" x14ac:dyDescent="0.2">
      <c r="A8" s="97">
        <v>48</v>
      </c>
      <c r="B8" s="281">
        <v>39.31</v>
      </c>
    </row>
    <row r="9" spans="1:2" x14ac:dyDescent="0.2">
      <c r="A9" s="97">
        <v>54</v>
      </c>
      <c r="B9" s="281">
        <v>58.1</v>
      </c>
    </row>
    <row r="10" spans="1:2" x14ac:dyDescent="0.2">
      <c r="A10" s="97">
        <v>60</v>
      </c>
      <c r="B10" s="281">
        <v>76.78</v>
      </c>
    </row>
    <row r="11" spans="1:2" x14ac:dyDescent="0.2">
      <c r="A11" s="97">
        <v>66</v>
      </c>
      <c r="B11" s="281">
        <v>103.25</v>
      </c>
    </row>
    <row r="12" spans="1:2" x14ac:dyDescent="0.2">
      <c r="A12" s="97">
        <v>72</v>
      </c>
      <c r="B12" s="281">
        <v>135.19</v>
      </c>
    </row>
    <row r="13" spans="1:2" x14ac:dyDescent="0.2">
      <c r="A13" s="97">
        <v>78</v>
      </c>
      <c r="B13" s="281">
        <v>167.2</v>
      </c>
    </row>
    <row r="14" spans="1:2" x14ac:dyDescent="0.2">
      <c r="A14" s="97">
        <v>84</v>
      </c>
      <c r="B14" s="281">
        <v>217.54</v>
      </c>
    </row>
    <row r="15" spans="1:2" x14ac:dyDescent="0.2">
      <c r="A15" s="97">
        <v>90</v>
      </c>
      <c r="B15" s="281">
        <v>261.08999999999997</v>
      </c>
    </row>
    <row r="16" spans="1:2" x14ac:dyDescent="0.2">
      <c r="A16" s="97">
        <v>96</v>
      </c>
      <c r="B16" s="281">
        <v>323.45</v>
      </c>
    </row>
    <row r="17" spans="1:10" x14ac:dyDescent="0.2">
      <c r="A17" s="97">
        <v>102</v>
      </c>
      <c r="B17" s="281">
        <v>379.74</v>
      </c>
    </row>
    <row r="18" spans="1:10" x14ac:dyDescent="0.2">
      <c r="A18" s="97">
        <v>108</v>
      </c>
      <c r="B18" s="281">
        <v>442.08</v>
      </c>
    </row>
    <row r="19" spans="1:10" x14ac:dyDescent="0.2">
      <c r="A19" s="97">
        <v>114</v>
      </c>
      <c r="B19" s="281">
        <v>529.78</v>
      </c>
    </row>
    <row r="20" spans="1:10" x14ac:dyDescent="0.2">
      <c r="A20" s="97">
        <v>120</v>
      </c>
      <c r="B20" s="281">
        <v>607.21</v>
      </c>
    </row>
    <row r="21" spans="1:10" x14ac:dyDescent="0.2">
      <c r="A21" s="97">
        <v>126</v>
      </c>
      <c r="B21" s="281">
        <v>714.9</v>
      </c>
    </row>
    <row r="22" spans="1:10" x14ac:dyDescent="0.2">
      <c r="A22" s="97">
        <v>132</v>
      </c>
      <c r="B22" s="281">
        <v>809.04</v>
      </c>
    </row>
    <row r="23" spans="1:10" x14ac:dyDescent="0.2">
      <c r="A23" s="97">
        <v>138</v>
      </c>
      <c r="B23" s="281">
        <v>934.15</v>
      </c>
    </row>
    <row r="24" spans="1:10" x14ac:dyDescent="0.2">
      <c r="A24" s="97">
        <v>144</v>
      </c>
      <c r="B24" s="281">
        <v>1015.27</v>
      </c>
    </row>
    <row r="25" spans="1:10" x14ac:dyDescent="0.2">
      <c r="A25" s="97">
        <v>150</v>
      </c>
      <c r="B25" s="281">
        <v>1227.02</v>
      </c>
    </row>
    <row r="26" spans="1:10" x14ac:dyDescent="0.2">
      <c r="A26" s="97">
        <v>156</v>
      </c>
      <c r="B26" s="281">
        <v>1361.28</v>
      </c>
    </row>
    <row r="27" spans="1:10" x14ac:dyDescent="0.2">
      <c r="A27" s="97">
        <v>162</v>
      </c>
      <c r="B27" s="281">
        <v>1504.82</v>
      </c>
    </row>
    <row r="28" spans="1:10" x14ac:dyDescent="0.2">
      <c r="A28" s="97">
        <v>168</v>
      </c>
      <c r="B28" s="281">
        <v>1712.89</v>
      </c>
    </row>
    <row r="29" spans="1:10" x14ac:dyDescent="0.2">
      <c r="A29" s="97">
        <v>174</v>
      </c>
      <c r="B29" s="281">
        <v>1879.89</v>
      </c>
    </row>
    <row r="30" spans="1:10" x14ac:dyDescent="0.2">
      <c r="A30" s="97">
        <v>180</v>
      </c>
      <c r="B30" s="281">
        <v>2057.21</v>
      </c>
    </row>
    <row r="31" spans="1:10" x14ac:dyDescent="0.2">
      <c r="A31" s="97">
        <v>186</v>
      </c>
      <c r="B31" s="281">
        <v>2312.5300000000002</v>
      </c>
    </row>
    <row r="32" spans="1:10" x14ac:dyDescent="0.2">
      <c r="A32" s="97">
        <v>192</v>
      </c>
      <c r="B32" s="281">
        <v>2515.83</v>
      </c>
      <c r="D32" s="428" t="s">
        <v>555</v>
      </c>
      <c r="E32" s="428"/>
      <c r="F32" s="428"/>
      <c r="G32" s="428"/>
      <c r="H32" s="428"/>
      <c r="I32" s="192">
        <v>84.015749999999997</v>
      </c>
      <c r="J32" t="s">
        <v>356</v>
      </c>
    </row>
    <row r="33" spans="1:12" ht="13.5" thickBot="1" x14ac:dyDescent="0.25">
      <c r="A33" s="97">
        <v>198</v>
      </c>
      <c r="B33" s="281">
        <v>2730.51</v>
      </c>
    </row>
    <row r="34" spans="1:12" ht="15.75" thickTop="1" thickBot="1" x14ac:dyDescent="0.25">
      <c r="A34" s="97">
        <v>204</v>
      </c>
      <c r="B34" s="281">
        <v>3078.42</v>
      </c>
      <c r="D34" s="428" t="s">
        <v>556</v>
      </c>
      <c r="E34" s="428"/>
      <c r="F34" s="428"/>
      <c r="G34" s="428"/>
      <c r="H34" s="443"/>
      <c r="I34" s="190">
        <f>0.000292744198*(I32)^3.037828848</f>
        <v>205.28951612630303</v>
      </c>
      <c r="J34" s="189" t="s">
        <v>40</v>
      </c>
      <c r="K34" s="282">
        <f>I34*0.13368</f>
        <v>27.443102515764188</v>
      </c>
      <c r="L34" s="191" t="s">
        <v>41</v>
      </c>
    </row>
    <row r="35" spans="1:12" ht="13.5" thickTop="1" x14ac:dyDescent="0.2">
      <c r="A35" s="97">
        <v>210</v>
      </c>
      <c r="B35" s="281">
        <v>3324.02</v>
      </c>
    </row>
    <row r="36" spans="1:12" x14ac:dyDescent="0.2">
      <c r="A36" s="97">
        <v>216</v>
      </c>
      <c r="B36" s="281">
        <v>3582.12</v>
      </c>
    </row>
    <row r="37" spans="1:12" x14ac:dyDescent="0.2">
      <c r="A37" s="97">
        <v>222</v>
      </c>
      <c r="B37" s="281">
        <v>3853</v>
      </c>
    </row>
    <row r="38" spans="1:12" x14ac:dyDescent="0.2">
      <c r="A38" s="97">
        <v>228</v>
      </c>
      <c r="B38" s="281">
        <v>4187.6099999999997</v>
      </c>
    </row>
    <row r="39" spans="1:12" x14ac:dyDescent="0.2">
      <c r="A39" s="97">
        <v>234</v>
      </c>
      <c r="B39" s="281">
        <v>4700.8999999999996</v>
      </c>
    </row>
    <row r="40" spans="1:12" x14ac:dyDescent="0.2">
      <c r="A40" s="97">
        <v>240</v>
      </c>
      <c r="B40" s="281">
        <v>5025.88</v>
      </c>
    </row>
  </sheetData>
  <sheetProtection password="8881" sheet="1" objects="1" scenarios="1"/>
  <mergeCells count="2">
    <mergeCell ref="D32:H32"/>
    <mergeCell ref="D34:H34"/>
  </mergeCells>
  <phoneticPr fontId="7" type="noConversion"/>
  <printOptions gridLines="1" gridLinesSet="0"/>
  <pageMargins left="0.7" right="0.23" top="0.65" bottom="0.48" header="0.32" footer="0.16"/>
  <pageSetup paperSize="3" scale="90" orientation="landscape" horizontalDpi="4294967292" r:id="rId1"/>
  <headerFooter alignWithMargins="0">
    <oddHeader>&amp;LArt Montemayor &amp;C&amp;A&amp;RSeptember 12, 1997
Rev 0</oddHeader>
    <oddFooter>&amp;CPage &amp;P of &amp;N&amp;RElectronic File: &amp;F
WorkSheet: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K173"/>
  <sheetViews>
    <sheetView showGridLines="0" topLeftCell="A70" workbookViewId="0">
      <selection activeCell="G183" sqref="G183"/>
    </sheetView>
  </sheetViews>
  <sheetFormatPr defaultRowHeight="12.75" x14ac:dyDescent="0.2"/>
  <sheetData>
    <row r="13" spans="1:1" x14ac:dyDescent="0.2">
      <c r="A13" s="360" t="s">
        <v>116</v>
      </c>
    </row>
    <row r="14" spans="1:1" x14ac:dyDescent="0.2">
      <c r="A14" s="360" t="s">
        <v>157</v>
      </c>
    </row>
    <row r="15" spans="1:1" x14ac:dyDescent="0.2">
      <c r="A15" s="363" t="s">
        <v>111</v>
      </c>
    </row>
    <row r="16" spans="1:1" x14ac:dyDescent="0.2">
      <c r="A16" s="363" t="s">
        <v>112</v>
      </c>
    </row>
    <row r="24" spans="1:11" x14ac:dyDescent="0.2">
      <c r="A24" s="366" t="s">
        <v>113</v>
      </c>
    </row>
    <row r="25" spans="1:11" x14ac:dyDescent="0.2">
      <c r="B25" s="223" t="s">
        <v>117</v>
      </c>
    </row>
    <row r="26" spans="1:11" x14ac:dyDescent="0.2">
      <c r="B26" s="360" t="s">
        <v>21</v>
      </c>
    </row>
    <row r="27" spans="1:11" x14ac:dyDescent="0.2">
      <c r="A27" s="353"/>
      <c r="B27" s="223" t="s">
        <v>118</v>
      </c>
    </row>
    <row r="29" spans="1:11" x14ac:dyDescent="0.2">
      <c r="A29" t="s">
        <v>119</v>
      </c>
    </row>
    <row r="30" spans="1:11" ht="13.5" thickBot="1" x14ac:dyDescent="0.25">
      <c r="A30" s="367" t="s">
        <v>158</v>
      </c>
      <c r="G30" s="360" t="s">
        <v>159</v>
      </c>
    </row>
    <row r="31" spans="1:11" ht="14.25" thickTop="1" thickBot="1" x14ac:dyDescent="0.25">
      <c r="A31" s="368" t="s">
        <v>120</v>
      </c>
      <c r="B31" s="368" t="s">
        <v>121</v>
      </c>
      <c r="C31" s="368" t="s">
        <v>122</v>
      </c>
      <c r="D31" s="368" t="s">
        <v>123</v>
      </c>
      <c r="E31" s="368" t="s">
        <v>124</v>
      </c>
      <c r="F31" s="369" t="s">
        <v>125</v>
      </c>
      <c r="G31" s="368" t="s">
        <v>120</v>
      </c>
      <c r="H31" s="368" t="s">
        <v>160</v>
      </c>
      <c r="I31" s="368" t="s">
        <v>161</v>
      </c>
      <c r="J31" s="368" t="s">
        <v>162</v>
      </c>
      <c r="K31" s="368" t="s">
        <v>163</v>
      </c>
    </row>
    <row r="32" spans="1:11" ht="13.5" thickTop="1" x14ac:dyDescent="0.2">
      <c r="A32" s="370"/>
      <c r="B32" s="371">
        <v>0.38</v>
      </c>
      <c r="C32" s="372">
        <v>24</v>
      </c>
      <c r="D32" s="373">
        <v>1.63</v>
      </c>
      <c r="E32" s="400">
        <v>4.5</v>
      </c>
      <c r="G32" s="370"/>
      <c r="H32" s="374">
        <f t="shared" ref="H32:H55" si="0">B32*25.4</f>
        <v>9.6519999999999992</v>
      </c>
      <c r="I32" s="375">
        <f t="shared" ref="I32:I55" si="1">C32*25.4</f>
        <v>609.59999999999991</v>
      </c>
      <c r="J32" s="375">
        <f t="shared" ref="J32:J55" si="2">D32*25.4</f>
        <v>41.401999999999994</v>
      </c>
      <c r="K32" s="395">
        <f t="shared" ref="K32:K55" si="3">E32*25.4</f>
        <v>114.3</v>
      </c>
    </row>
    <row r="33" spans="1:11" x14ac:dyDescent="0.2">
      <c r="A33" s="376"/>
      <c r="B33" s="377">
        <v>0.5</v>
      </c>
      <c r="C33" s="378">
        <v>24</v>
      </c>
      <c r="D33" s="379">
        <v>1.63</v>
      </c>
      <c r="E33" s="401">
        <v>4.4400000000000004</v>
      </c>
      <c r="G33" s="380" t="s">
        <v>126</v>
      </c>
      <c r="H33" s="381">
        <f t="shared" si="0"/>
        <v>12.7</v>
      </c>
      <c r="I33" s="382">
        <f t="shared" si="1"/>
        <v>609.59999999999991</v>
      </c>
      <c r="J33" s="382">
        <f t="shared" si="2"/>
        <v>41.401999999999994</v>
      </c>
      <c r="K33" s="396">
        <f t="shared" si="3"/>
        <v>112.77600000000001</v>
      </c>
    </row>
    <row r="34" spans="1:11" x14ac:dyDescent="0.2">
      <c r="A34" s="376"/>
      <c r="B34" s="377">
        <v>0.63</v>
      </c>
      <c r="C34" s="378">
        <v>24</v>
      </c>
      <c r="D34" s="379">
        <v>1.88</v>
      </c>
      <c r="E34" s="401">
        <v>4.5</v>
      </c>
      <c r="G34" s="383">
        <v>660</v>
      </c>
      <c r="H34" s="381">
        <f t="shared" si="0"/>
        <v>16.001999999999999</v>
      </c>
      <c r="I34" s="382">
        <f t="shared" si="1"/>
        <v>609.59999999999991</v>
      </c>
      <c r="J34" s="382">
        <f t="shared" si="2"/>
        <v>47.751999999999995</v>
      </c>
      <c r="K34" s="396">
        <f t="shared" si="3"/>
        <v>114.3</v>
      </c>
    </row>
    <row r="35" spans="1:11" ht="13.5" thickBot="1" x14ac:dyDescent="0.25">
      <c r="A35" s="384"/>
      <c r="B35" s="385">
        <v>0.75</v>
      </c>
      <c r="C35" s="386">
        <v>24</v>
      </c>
      <c r="D35" s="387">
        <v>2.25</v>
      </c>
      <c r="E35" s="402">
        <v>4.6900000000000004</v>
      </c>
      <c r="G35" s="384"/>
      <c r="H35" s="388">
        <f t="shared" si="0"/>
        <v>19.049999999999997</v>
      </c>
      <c r="I35" s="389">
        <f t="shared" si="1"/>
        <v>609.59999999999991</v>
      </c>
      <c r="J35" s="389">
        <f t="shared" si="2"/>
        <v>57.15</v>
      </c>
      <c r="K35" s="397">
        <f t="shared" si="3"/>
        <v>119.126</v>
      </c>
    </row>
    <row r="36" spans="1:11" ht="13.5" thickTop="1" x14ac:dyDescent="0.2">
      <c r="A36" s="370"/>
      <c r="B36" s="390">
        <v>0.38</v>
      </c>
      <c r="C36" s="372">
        <v>26</v>
      </c>
      <c r="D36" s="373">
        <v>1.75</v>
      </c>
      <c r="E36" s="400">
        <v>4.8099999999999996</v>
      </c>
      <c r="G36" s="370"/>
      <c r="H36" s="374">
        <f t="shared" si="0"/>
        <v>9.6519999999999992</v>
      </c>
      <c r="I36" s="375">
        <f t="shared" si="1"/>
        <v>660.4</v>
      </c>
      <c r="J36" s="375">
        <f t="shared" si="2"/>
        <v>44.449999999999996</v>
      </c>
      <c r="K36" s="395">
        <f t="shared" si="3"/>
        <v>122.17399999999998</v>
      </c>
    </row>
    <row r="37" spans="1:11" x14ac:dyDescent="0.2">
      <c r="A37" s="376"/>
      <c r="B37" s="391">
        <v>0.5</v>
      </c>
      <c r="C37" s="378">
        <v>26</v>
      </c>
      <c r="D37" s="379">
        <v>1.75</v>
      </c>
      <c r="E37" s="401">
        <v>4.75</v>
      </c>
      <c r="G37" s="380" t="s">
        <v>127</v>
      </c>
      <c r="H37" s="381">
        <f t="shared" si="0"/>
        <v>12.7</v>
      </c>
      <c r="I37" s="382">
        <f t="shared" si="1"/>
        <v>660.4</v>
      </c>
      <c r="J37" s="382">
        <f t="shared" si="2"/>
        <v>44.449999999999996</v>
      </c>
      <c r="K37" s="396">
        <f t="shared" si="3"/>
        <v>120.64999999999999</v>
      </c>
    </row>
    <row r="38" spans="1:11" x14ac:dyDescent="0.2">
      <c r="A38" s="376"/>
      <c r="B38" s="391">
        <v>0.63</v>
      </c>
      <c r="C38" s="378">
        <v>26</v>
      </c>
      <c r="D38" s="379">
        <v>1.88</v>
      </c>
      <c r="E38" s="401">
        <v>4.75</v>
      </c>
      <c r="G38" s="383">
        <v>711</v>
      </c>
      <c r="H38" s="381">
        <f t="shared" si="0"/>
        <v>16.001999999999999</v>
      </c>
      <c r="I38" s="382">
        <f t="shared" si="1"/>
        <v>660.4</v>
      </c>
      <c r="J38" s="382">
        <f t="shared" si="2"/>
        <v>47.751999999999995</v>
      </c>
      <c r="K38" s="396">
        <f t="shared" si="3"/>
        <v>120.64999999999999</v>
      </c>
    </row>
    <row r="39" spans="1:11" ht="13.5" thickBot="1" x14ac:dyDescent="0.25">
      <c r="A39" s="384"/>
      <c r="B39" s="392">
        <v>0.75</v>
      </c>
      <c r="C39" s="386">
        <v>26</v>
      </c>
      <c r="D39" s="387">
        <v>2.25</v>
      </c>
      <c r="E39" s="402">
        <v>4.9400000000000004</v>
      </c>
      <c r="G39" s="384"/>
      <c r="H39" s="388">
        <f t="shared" si="0"/>
        <v>19.049999999999997</v>
      </c>
      <c r="I39" s="389">
        <f t="shared" si="1"/>
        <v>660.4</v>
      </c>
      <c r="J39" s="389">
        <f t="shared" si="2"/>
        <v>57.15</v>
      </c>
      <c r="K39" s="397">
        <f t="shared" si="3"/>
        <v>125.476</v>
      </c>
    </row>
    <row r="40" spans="1:11" ht="13.5" thickTop="1" x14ac:dyDescent="0.2">
      <c r="A40" s="370"/>
      <c r="B40" s="390">
        <v>0.38</v>
      </c>
      <c r="C40" s="372">
        <v>30</v>
      </c>
      <c r="D40" s="373">
        <v>1.88</v>
      </c>
      <c r="E40" s="400">
        <v>4.88</v>
      </c>
      <c r="G40" s="370"/>
      <c r="H40" s="374">
        <f t="shared" si="0"/>
        <v>9.6519999999999992</v>
      </c>
      <c r="I40" s="375">
        <f t="shared" si="1"/>
        <v>762</v>
      </c>
      <c r="J40" s="375">
        <f t="shared" si="2"/>
        <v>47.751999999999995</v>
      </c>
      <c r="K40" s="395">
        <f t="shared" si="3"/>
        <v>123.95199999999998</v>
      </c>
    </row>
    <row r="41" spans="1:11" x14ac:dyDescent="0.2">
      <c r="A41" s="376"/>
      <c r="B41" s="391">
        <v>0.5</v>
      </c>
      <c r="C41" s="378">
        <v>30</v>
      </c>
      <c r="D41" s="379">
        <v>1.88</v>
      </c>
      <c r="E41" s="401">
        <v>4.8099999999999996</v>
      </c>
      <c r="G41" s="380" t="s">
        <v>128</v>
      </c>
      <c r="H41" s="381">
        <f t="shared" si="0"/>
        <v>12.7</v>
      </c>
      <c r="I41" s="382">
        <f t="shared" si="1"/>
        <v>762</v>
      </c>
      <c r="J41" s="382">
        <f t="shared" si="2"/>
        <v>47.751999999999995</v>
      </c>
      <c r="K41" s="396">
        <f t="shared" si="3"/>
        <v>122.17399999999998</v>
      </c>
    </row>
    <row r="42" spans="1:11" x14ac:dyDescent="0.2">
      <c r="A42" s="376"/>
      <c r="B42" s="391">
        <v>0.63</v>
      </c>
      <c r="C42" s="378">
        <v>30</v>
      </c>
      <c r="D42" s="379">
        <v>1.88</v>
      </c>
      <c r="E42" s="401">
        <v>4.8099999999999996</v>
      </c>
      <c r="G42" s="383">
        <f>30*25.4</f>
        <v>762</v>
      </c>
      <c r="H42" s="381">
        <f t="shared" si="0"/>
        <v>16.001999999999999</v>
      </c>
      <c r="I42" s="382">
        <f t="shared" si="1"/>
        <v>762</v>
      </c>
      <c r="J42" s="382">
        <f t="shared" si="2"/>
        <v>47.751999999999995</v>
      </c>
      <c r="K42" s="396">
        <f t="shared" si="3"/>
        <v>122.17399999999998</v>
      </c>
    </row>
    <row r="43" spans="1:11" ht="13.5" thickBot="1" x14ac:dyDescent="0.25">
      <c r="A43" s="384"/>
      <c r="B43" s="392">
        <v>0.75</v>
      </c>
      <c r="C43" s="386">
        <v>30</v>
      </c>
      <c r="D43" s="387">
        <v>2.25</v>
      </c>
      <c r="E43" s="402">
        <v>5</v>
      </c>
      <c r="G43" s="384"/>
      <c r="H43" s="388">
        <f t="shared" si="0"/>
        <v>19.049999999999997</v>
      </c>
      <c r="I43" s="389">
        <f t="shared" si="1"/>
        <v>762</v>
      </c>
      <c r="J43" s="389">
        <f t="shared" si="2"/>
        <v>57.15</v>
      </c>
      <c r="K43" s="397">
        <f t="shared" si="3"/>
        <v>127</v>
      </c>
    </row>
    <row r="44" spans="1:11" ht="13.5" thickTop="1" x14ac:dyDescent="0.2">
      <c r="A44" s="370"/>
      <c r="B44" s="390">
        <v>0.38</v>
      </c>
      <c r="C44" s="372">
        <v>30</v>
      </c>
      <c r="D44" s="373">
        <v>2</v>
      </c>
      <c r="E44" s="400">
        <v>5.56</v>
      </c>
      <c r="G44" s="370"/>
      <c r="H44" s="374">
        <f t="shared" si="0"/>
        <v>9.6519999999999992</v>
      </c>
      <c r="I44" s="375">
        <f t="shared" si="1"/>
        <v>762</v>
      </c>
      <c r="J44" s="375">
        <f t="shared" si="2"/>
        <v>50.8</v>
      </c>
      <c r="K44" s="395">
        <f t="shared" si="3"/>
        <v>141.22399999999999</v>
      </c>
    </row>
    <row r="45" spans="1:11" x14ac:dyDescent="0.2">
      <c r="A45" s="376"/>
      <c r="B45" s="391">
        <v>0.5</v>
      </c>
      <c r="C45" s="378">
        <v>30</v>
      </c>
      <c r="D45" s="379">
        <v>2</v>
      </c>
      <c r="E45" s="401">
        <v>5.5</v>
      </c>
      <c r="G45" s="380" t="s">
        <v>129</v>
      </c>
      <c r="H45" s="381">
        <f t="shared" si="0"/>
        <v>12.7</v>
      </c>
      <c r="I45" s="382">
        <f t="shared" si="1"/>
        <v>762</v>
      </c>
      <c r="J45" s="382">
        <f t="shared" si="2"/>
        <v>50.8</v>
      </c>
      <c r="K45" s="396">
        <f t="shared" si="3"/>
        <v>139.69999999999999</v>
      </c>
    </row>
    <row r="46" spans="1:11" x14ac:dyDescent="0.2">
      <c r="A46" s="376"/>
      <c r="B46" s="391">
        <v>0.63</v>
      </c>
      <c r="C46" s="378">
        <v>30</v>
      </c>
      <c r="D46" s="379">
        <v>2</v>
      </c>
      <c r="E46" s="401">
        <v>5.38</v>
      </c>
      <c r="G46" s="393">
        <f>32*25.4</f>
        <v>812.8</v>
      </c>
      <c r="H46" s="381">
        <f t="shared" si="0"/>
        <v>16.001999999999999</v>
      </c>
      <c r="I46" s="382">
        <f t="shared" si="1"/>
        <v>762</v>
      </c>
      <c r="J46" s="382">
        <f t="shared" si="2"/>
        <v>50.8</v>
      </c>
      <c r="K46" s="396">
        <f t="shared" si="3"/>
        <v>136.65199999999999</v>
      </c>
    </row>
    <row r="47" spans="1:11" ht="13.5" thickBot="1" x14ac:dyDescent="0.25">
      <c r="A47" s="384"/>
      <c r="B47" s="392">
        <v>0.75</v>
      </c>
      <c r="C47" s="386">
        <v>30</v>
      </c>
      <c r="D47" s="387">
        <v>2.25</v>
      </c>
      <c r="E47" s="402">
        <v>5.5</v>
      </c>
      <c r="G47" s="384"/>
      <c r="H47" s="388">
        <f t="shared" si="0"/>
        <v>19.049999999999997</v>
      </c>
      <c r="I47" s="389">
        <f t="shared" si="1"/>
        <v>762</v>
      </c>
      <c r="J47" s="389">
        <f t="shared" si="2"/>
        <v>57.15</v>
      </c>
      <c r="K47" s="397">
        <f t="shared" si="3"/>
        <v>139.69999999999999</v>
      </c>
    </row>
    <row r="48" spans="1:11" ht="13.5" thickTop="1" x14ac:dyDescent="0.2">
      <c r="A48" s="370"/>
      <c r="B48" s="390">
        <v>0.38</v>
      </c>
      <c r="C48" s="372">
        <v>34</v>
      </c>
      <c r="D48" s="373">
        <v>2.13</v>
      </c>
      <c r="E48" s="400">
        <v>5.56</v>
      </c>
      <c r="G48" s="370"/>
      <c r="H48" s="374">
        <f t="shared" si="0"/>
        <v>9.6519999999999992</v>
      </c>
      <c r="I48" s="375">
        <f t="shared" si="1"/>
        <v>863.59999999999991</v>
      </c>
      <c r="J48" s="375">
        <f t="shared" si="2"/>
        <v>54.101999999999997</v>
      </c>
      <c r="K48" s="395">
        <f t="shared" si="3"/>
        <v>141.22399999999999</v>
      </c>
    </row>
    <row r="49" spans="1:11" x14ac:dyDescent="0.2">
      <c r="A49" s="376"/>
      <c r="B49" s="391">
        <v>0.5</v>
      </c>
      <c r="C49" s="378">
        <v>34</v>
      </c>
      <c r="D49" s="379">
        <v>2.13</v>
      </c>
      <c r="E49" s="401">
        <v>5.5</v>
      </c>
      <c r="G49" s="380">
        <v>34</v>
      </c>
      <c r="H49" s="381">
        <f t="shared" si="0"/>
        <v>12.7</v>
      </c>
      <c r="I49" s="382">
        <f t="shared" si="1"/>
        <v>863.59999999999991</v>
      </c>
      <c r="J49" s="382">
        <f t="shared" si="2"/>
        <v>54.101999999999997</v>
      </c>
      <c r="K49" s="396">
        <f t="shared" si="3"/>
        <v>139.69999999999999</v>
      </c>
    </row>
    <row r="50" spans="1:11" x14ac:dyDescent="0.2">
      <c r="A50" s="376"/>
      <c r="B50" s="391">
        <v>0.63</v>
      </c>
      <c r="C50" s="378">
        <v>30</v>
      </c>
      <c r="D50" s="379">
        <v>2.13</v>
      </c>
      <c r="E50" s="401">
        <v>6</v>
      </c>
      <c r="G50" s="383">
        <v>864</v>
      </c>
      <c r="H50" s="381">
        <f t="shared" si="0"/>
        <v>16.001999999999999</v>
      </c>
      <c r="I50" s="382">
        <f t="shared" si="1"/>
        <v>762</v>
      </c>
      <c r="J50" s="382">
        <f t="shared" si="2"/>
        <v>54.101999999999997</v>
      </c>
      <c r="K50" s="396">
        <f t="shared" si="3"/>
        <v>152.39999999999998</v>
      </c>
    </row>
    <row r="51" spans="1:11" ht="13.5" thickBot="1" x14ac:dyDescent="0.25">
      <c r="A51" s="384"/>
      <c r="B51" s="392">
        <v>0.75</v>
      </c>
      <c r="C51" s="386">
        <v>30</v>
      </c>
      <c r="D51" s="387">
        <v>2.25</v>
      </c>
      <c r="E51" s="402">
        <v>6.06</v>
      </c>
      <c r="G51" s="384"/>
      <c r="H51" s="388">
        <f t="shared" si="0"/>
        <v>19.049999999999997</v>
      </c>
      <c r="I51" s="389">
        <f t="shared" si="1"/>
        <v>762</v>
      </c>
      <c r="J51" s="389">
        <f t="shared" si="2"/>
        <v>57.15</v>
      </c>
      <c r="K51" s="397">
        <f t="shared" si="3"/>
        <v>153.92399999999998</v>
      </c>
    </row>
    <row r="52" spans="1:11" ht="13.5" thickTop="1" x14ac:dyDescent="0.2">
      <c r="A52" s="370"/>
      <c r="B52" s="390">
        <v>0.38</v>
      </c>
      <c r="C52" s="372">
        <v>36</v>
      </c>
      <c r="D52" s="373">
        <v>2.25</v>
      </c>
      <c r="E52" s="400">
        <v>5.94</v>
      </c>
      <c r="G52" s="370"/>
      <c r="H52" s="374">
        <f t="shared" si="0"/>
        <v>9.6519999999999992</v>
      </c>
      <c r="I52" s="375">
        <f t="shared" si="1"/>
        <v>914.4</v>
      </c>
      <c r="J52" s="375">
        <f t="shared" si="2"/>
        <v>57.15</v>
      </c>
      <c r="K52" s="395">
        <f t="shared" si="3"/>
        <v>150.876</v>
      </c>
    </row>
    <row r="53" spans="1:11" x14ac:dyDescent="0.2">
      <c r="A53" s="376"/>
      <c r="B53" s="391">
        <v>0.5</v>
      </c>
      <c r="C53" s="378">
        <v>36</v>
      </c>
      <c r="D53" s="379">
        <v>2.25</v>
      </c>
      <c r="E53" s="401">
        <v>5.88</v>
      </c>
      <c r="G53" s="380" t="s">
        <v>130</v>
      </c>
      <c r="H53" s="381">
        <f t="shared" si="0"/>
        <v>12.7</v>
      </c>
      <c r="I53" s="382">
        <f t="shared" si="1"/>
        <v>914.4</v>
      </c>
      <c r="J53" s="382">
        <f t="shared" si="2"/>
        <v>57.15</v>
      </c>
      <c r="K53" s="396">
        <f t="shared" si="3"/>
        <v>149.35199999999998</v>
      </c>
    </row>
    <row r="54" spans="1:11" x14ac:dyDescent="0.2">
      <c r="A54" s="376"/>
      <c r="B54" s="391">
        <v>0.63</v>
      </c>
      <c r="C54" s="378">
        <v>36</v>
      </c>
      <c r="D54" s="379">
        <v>2.25</v>
      </c>
      <c r="E54" s="401">
        <v>5.81</v>
      </c>
      <c r="G54" s="393">
        <f>36*25.4</f>
        <v>914.4</v>
      </c>
      <c r="H54" s="381">
        <f t="shared" si="0"/>
        <v>16.001999999999999</v>
      </c>
      <c r="I54" s="382">
        <f t="shared" si="1"/>
        <v>914.4</v>
      </c>
      <c r="J54" s="382">
        <f t="shared" si="2"/>
        <v>57.15</v>
      </c>
      <c r="K54" s="396">
        <f t="shared" si="3"/>
        <v>147.57399999999998</v>
      </c>
    </row>
    <row r="55" spans="1:11" ht="13.5" thickBot="1" x14ac:dyDescent="0.25">
      <c r="A55" s="384"/>
      <c r="B55" s="392">
        <v>0.75</v>
      </c>
      <c r="C55" s="386">
        <v>36</v>
      </c>
      <c r="D55" s="387">
        <v>2.25</v>
      </c>
      <c r="E55" s="402">
        <v>5.75</v>
      </c>
      <c r="G55" s="384"/>
      <c r="H55" s="388">
        <f t="shared" si="0"/>
        <v>19.049999999999997</v>
      </c>
      <c r="I55" s="389">
        <f t="shared" si="1"/>
        <v>914.4</v>
      </c>
      <c r="J55" s="389">
        <f t="shared" si="2"/>
        <v>57.15</v>
      </c>
      <c r="K55" s="397">
        <f t="shared" si="3"/>
        <v>146.04999999999998</v>
      </c>
    </row>
    <row r="56" spans="1:11" ht="14.25" thickTop="1" thickBot="1" x14ac:dyDescent="0.25">
      <c r="A56" s="368" t="s">
        <v>120</v>
      </c>
      <c r="B56" s="368" t="s">
        <v>121</v>
      </c>
      <c r="C56" s="368" t="s">
        <v>122</v>
      </c>
      <c r="D56" s="368" t="s">
        <v>123</v>
      </c>
      <c r="E56" s="368" t="s">
        <v>124</v>
      </c>
      <c r="F56" s="369" t="s">
        <v>125</v>
      </c>
      <c r="G56" s="368" t="s">
        <v>120</v>
      </c>
      <c r="H56" s="368" t="s">
        <v>160</v>
      </c>
      <c r="I56" s="368" t="s">
        <v>161</v>
      </c>
      <c r="J56" s="368" t="s">
        <v>162</v>
      </c>
      <c r="K56" s="368" t="s">
        <v>163</v>
      </c>
    </row>
    <row r="57" spans="1:11" ht="13.5" thickTop="1" x14ac:dyDescent="0.2">
      <c r="A57" s="370"/>
      <c r="B57" s="371">
        <v>0.38</v>
      </c>
      <c r="C57" s="372">
        <v>36</v>
      </c>
      <c r="D57" s="373">
        <v>2.38</v>
      </c>
      <c r="E57" s="400">
        <v>6.5</v>
      </c>
      <c r="G57" s="370"/>
      <c r="H57" s="374">
        <f t="shared" ref="H57:H80" si="4">B57*25.4</f>
        <v>9.6519999999999992</v>
      </c>
      <c r="I57" s="375">
        <f t="shared" ref="I57:I80" si="5">C57*25.4</f>
        <v>914.4</v>
      </c>
      <c r="J57" s="375">
        <f t="shared" ref="J57:J80" si="6">D57*25.4</f>
        <v>60.451999999999991</v>
      </c>
      <c r="K57" s="395">
        <f t="shared" ref="K57:K80" si="7">E57*25.4</f>
        <v>165.1</v>
      </c>
    </row>
    <row r="58" spans="1:11" x14ac:dyDescent="0.2">
      <c r="A58" s="376"/>
      <c r="B58" s="377">
        <v>0.5</v>
      </c>
      <c r="C58" s="378">
        <v>36</v>
      </c>
      <c r="D58" s="379">
        <v>2.38</v>
      </c>
      <c r="E58" s="401">
        <v>6.44</v>
      </c>
      <c r="G58" s="380" t="s">
        <v>131</v>
      </c>
      <c r="H58" s="381">
        <f t="shared" si="4"/>
        <v>12.7</v>
      </c>
      <c r="I58" s="382">
        <f t="shared" si="5"/>
        <v>914.4</v>
      </c>
      <c r="J58" s="382">
        <f t="shared" si="6"/>
        <v>60.451999999999991</v>
      </c>
      <c r="K58" s="396">
        <f t="shared" si="7"/>
        <v>163.57599999999999</v>
      </c>
    </row>
    <row r="59" spans="1:11" x14ac:dyDescent="0.2">
      <c r="A59" s="376"/>
      <c r="B59" s="377">
        <v>0.63</v>
      </c>
      <c r="C59" s="378">
        <v>36</v>
      </c>
      <c r="D59" s="379">
        <v>2.38</v>
      </c>
      <c r="E59" s="401">
        <v>6.38</v>
      </c>
      <c r="G59" s="393">
        <f>38*25.4</f>
        <v>965.19999999999993</v>
      </c>
      <c r="H59" s="381">
        <f t="shared" si="4"/>
        <v>16.001999999999999</v>
      </c>
      <c r="I59" s="382">
        <f t="shared" si="5"/>
        <v>914.4</v>
      </c>
      <c r="J59" s="382">
        <f t="shared" si="6"/>
        <v>60.451999999999991</v>
      </c>
      <c r="K59" s="396">
        <f t="shared" si="7"/>
        <v>162.05199999999999</v>
      </c>
    </row>
    <row r="60" spans="1:11" ht="13.5" thickBot="1" x14ac:dyDescent="0.25">
      <c r="A60" s="384"/>
      <c r="B60" s="385">
        <v>0.75</v>
      </c>
      <c r="C60" s="386">
        <v>36</v>
      </c>
      <c r="D60" s="387">
        <v>2.38</v>
      </c>
      <c r="E60" s="402">
        <v>6.38</v>
      </c>
      <c r="G60" s="384"/>
      <c r="H60" s="388">
        <f t="shared" si="4"/>
        <v>19.049999999999997</v>
      </c>
      <c r="I60" s="389">
        <f t="shared" si="5"/>
        <v>914.4</v>
      </c>
      <c r="J60" s="389">
        <f t="shared" si="6"/>
        <v>60.451999999999991</v>
      </c>
      <c r="K60" s="397">
        <f t="shared" si="7"/>
        <v>162.05199999999999</v>
      </c>
    </row>
    <row r="61" spans="1:11" ht="13.5" thickTop="1" x14ac:dyDescent="0.2">
      <c r="A61" s="370"/>
      <c r="B61" s="390">
        <v>0.38</v>
      </c>
      <c r="C61" s="372">
        <v>40</v>
      </c>
      <c r="D61" s="373">
        <v>2.5</v>
      </c>
      <c r="E61" s="400">
        <v>6.63</v>
      </c>
      <c r="G61" s="370"/>
      <c r="H61" s="374">
        <f t="shared" si="4"/>
        <v>9.6519999999999992</v>
      </c>
      <c r="I61" s="375">
        <f t="shared" si="5"/>
        <v>1016</v>
      </c>
      <c r="J61" s="375">
        <f t="shared" si="6"/>
        <v>63.5</v>
      </c>
      <c r="K61" s="395">
        <f t="shared" si="7"/>
        <v>168.40199999999999</v>
      </c>
    </row>
    <row r="62" spans="1:11" x14ac:dyDescent="0.2">
      <c r="A62" s="376"/>
      <c r="B62" s="391">
        <v>0.5</v>
      </c>
      <c r="C62" s="378">
        <v>40</v>
      </c>
      <c r="D62" s="379">
        <v>2.5</v>
      </c>
      <c r="E62" s="401">
        <v>6.56</v>
      </c>
      <c r="G62" s="380" t="s">
        <v>132</v>
      </c>
      <c r="H62" s="381">
        <f t="shared" si="4"/>
        <v>12.7</v>
      </c>
      <c r="I62" s="382">
        <f t="shared" si="5"/>
        <v>1016</v>
      </c>
      <c r="J62" s="382">
        <f t="shared" si="6"/>
        <v>63.5</v>
      </c>
      <c r="K62" s="396">
        <f t="shared" si="7"/>
        <v>166.62399999999997</v>
      </c>
    </row>
    <row r="63" spans="1:11" x14ac:dyDescent="0.2">
      <c r="A63" s="376"/>
      <c r="B63" s="391">
        <v>0.63</v>
      </c>
      <c r="C63" s="378">
        <v>36</v>
      </c>
      <c r="D63" s="379">
        <v>2.5</v>
      </c>
      <c r="E63" s="401">
        <v>6.94</v>
      </c>
      <c r="G63" s="394">
        <f>40*25.4</f>
        <v>1016</v>
      </c>
      <c r="H63" s="381">
        <f t="shared" si="4"/>
        <v>16.001999999999999</v>
      </c>
      <c r="I63" s="382">
        <f t="shared" si="5"/>
        <v>914.4</v>
      </c>
      <c r="J63" s="382">
        <f t="shared" si="6"/>
        <v>63.5</v>
      </c>
      <c r="K63" s="396">
        <f t="shared" si="7"/>
        <v>176.27600000000001</v>
      </c>
    </row>
    <row r="64" spans="1:11" ht="13.5" thickBot="1" x14ac:dyDescent="0.25">
      <c r="A64" s="384"/>
      <c r="B64" s="392">
        <v>0.75</v>
      </c>
      <c r="C64" s="386">
        <v>36</v>
      </c>
      <c r="D64" s="387">
        <v>2.5</v>
      </c>
      <c r="E64" s="402">
        <v>7</v>
      </c>
      <c r="G64" s="384"/>
      <c r="H64" s="388">
        <f t="shared" si="4"/>
        <v>19.049999999999997</v>
      </c>
      <c r="I64" s="389">
        <f t="shared" si="5"/>
        <v>914.4</v>
      </c>
      <c r="J64" s="389">
        <f t="shared" si="6"/>
        <v>63.5</v>
      </c>
      <c r="K64" s="397">
        <f t="shared" si="7"/>
        <v>177.79999999999998</v>
      </c>
    </row>
    <row r="65" spans="1:11" ht="13.5" thickTop="1" x14ac:dyDescent="0.2">
      <c r="A65" s="370"/>
      <c r="B65" s="390">
        <v>0.38</v>
      </c>
      <c r="C65" s="372">
        <v>40</v>
      </c>
      <c r="D65" s="373">
        <v>2.63</v>
      </c>
      <c r="E65" s="400">
        <v>7.19</v>
      </c>
      <c r="G65" s="370"/>
      <c r="H65" s="374">
        <f t="shared" si="4"/>
        <v>9.6519999999999992</v>
      </c>
      <c r="I65" s="375">
        <f t="shared" si="5"/>
        <v>1016</v>
      </c>
      <c r="J65" s="375">
        <f t="shared" si="6"/>
        <v>66.801999999999992</v>
      </c>
      <c r="K65" s="395">
        <f t="shared" si="7"/>
        <v>182.626</v>
      </c>
    </row>
    <row r="66" spans="1:11" x14ac:dyDescent="0.2">
      <c r="A66" s="376"/>
      <c r="B66" s="391">
        <v>0.5</v>
      </c>
      <c r="C66" s="378">
        <v>40</v>
      </c>
      <c r="D66" s="379">
        <v>2.63</v>
      </c>
      <c r="E66" s="401">
        <v>7.13</v>
      </c>
      <c r="G66" s="380" t="s">
        <v>133</v>
      </c>
      <c r="H66" s="381">
        <f t="shared" si="4"/>
        <v>12.7</v>
      </c>
      <c r="I66" s="382">
        <f t="shared" si="5"/>
        <v>1016</v>
      </c>
      <c r="J66" s="382">
        <f t="shared" si="6"/>
        <v>66.801999999999992</v>
      </c>
      <c r="K66" s="396">
        <f t="shared" si="7"/>
        <v>181.10199999999998</v>
      </c>
    </row>
    <row r="67" spans="1:11" x14ac:dyDescent="0.2">
      <c r="A67" s="376"/>
      <c r="B67" s="391">
        <v>0.63</v>
      </c>
      <c r="C67" s="378">
        <v>40</v>
      </c>
      <c r="D67" s="379">
        <v>2.63</v>
      </c>
      <c r="E67" s="401">
        <v>7.06</v>
      </c>
      <c r="G67" s="394">
        <f>42*25.4</f>
        <v>1066.8</v>
      </c>
      <c r="H67" s="381">
        <f t="shared" si="4"/>
        <v>16.001999999999999</v>
      </c>
      <c r="I67" s="382">
        <f t="shared" si="5"/>
        <v>1016</v>
      </c>
      <c r="J67" s="382">
        <f t="shared" si="6"/>
        <v>66.801999999999992</v>
      </c>
      <c r="K67" s="396">
        <f t="shared" si="7"/>
        <v>179.32399999999998</v>
      </c>
    </row>
    <row r="68" spans="1:11" ht="13.5" thickBot="1" x14ac:dyDescent="0.25">
      <c r="A68" s="384"/>
      <c r="B68" s="392">
        <v>0.75</v>
      </c>
      <c r="C68" s="386">
        <v>40</v>
      </c>
      <c r="D68" s="387">
        <v>2.63</v>
      </c>
      <c r="E68" s="402">
        <v>7</v>
      </c>
      <c r="G68" s="384"/>
      <c r="H68" s="388">
        <f t="shared" si="4"/>
        <v>19.049999999999997</v>
      </c>
      <c r="I68" s="389">
        <f t="shared" si="5"/>
        <v>1016</v>
      </c>
      <c r="J68" s="389">
        <f t="shared" si="6"/>
        <v>66.801999999999992</v>
      </c>
      <c r="K68" s="397">
        <f t="shared" si="7"/>
        <v>177.79999999999998</v>
      </c>
    </row>
    <row r="69" spans="1:11" ht="13.5" thickTop="1" x14ac:dyDescent="0.2">
      <c r="A69" s="370"/>
      <c r="B69" s="390">
        <v>0.38</v>
      </c>
      <c r="C69" s="372">
        <v>42</v>
      </c>
      <c r="D69" s="373">
        <v>3</v>
      </c>
      <c r="E69" s="400">
        <v>8</v>
      </c>
      <c r="G69" s="370"/>
      <c r="H69" s="374">
        <f t="shared" si="4"/>
        <v>9.6519999999999992</v>
      </c>
      <c r="I69" s="375">
        <f t="shared" si="5"/>
        <v>1066.8</v>
      </c>
      <c r="J69" s="375">
        <f t="shared" si="6"/>
        <v>76.199999999999989</v>
      </c>
      <c r="K69" s="395">
        <f t="shared" si="7"/>
        <v>203.2</v>
      </c>
    </row>
    <row r="70" spans="1:11" x14ac:dyDescent="0.2">
      <c r="A70" s="376"/>
      <c r="B70" s="391">
        <v>0.5</v>
      </c>
      <c r="C70" s="378">
        <v>42</v>
      </c>
      <c r="D70" s="379">
        <v>3</v>
      </c>
      <c r="E70" s="401">
        <v>8.75</v>
      </c>
      <c r="G70" s="380" t="s">
        <v>133</v>
      </c>
      <c r="H70" s="381">
        <f t="shared" si="4"/>
        <v>12.7</v>
      </c>
      <c r="I70" s="382">
        <f t="shared" si="5"/>
        <v>1066.8</v>
      </c>
      <c r="J70" s="382">
        <f t="shared" si="6"/>
        <v>76.199999999999989</v>
      </c>
      <c r="K70" s="396">
        <f t="shared" si="7"/>
        <v>222.25</v>
      </c>
    </row>
    <row r="71" spans="1:11" x14ac:dyDescent="0.2">
      <c r="A71" s="376"/>
      <c r="B71" s="391">
        <v>0.63</v>
      </c>
      <c r="C71" s="378">
        <v>42</v>
      </c>
      <c r="D71" s="379">
        <v>3</v>
      </c>
      <c r="E71" s="401">
        <v>8.69</v>
      </c>
      <c r="G71" s="394">
        <f>48*25.4</f>
        <v>1219.1999999999998</v>
      </c>
      <c r="H71" s="381">
        <f t="shared" si="4"/>
        <v>16.001999999999999</v>
      </c>
      <c r="I71" s="382">
        <f t="shared" si="5"/>
        <v>1066.8</v>
      </c>
      <c r="J71" s="382">
        <f t="shared" si="6"/>
        <v>76.199999999999989</v>
      </c>
      <c r="K71" s="396">
        <f t="shared" si="7"/>
        <v>220.72599999999997</v>
      </c>
    </row>
    <row r="72" spans="1:11" ht="13.5" thickBot="1" x14ac:dyDescent="0.25">
      <c r="A72" s="384"/>
      <c r="B72" s="392">
        <v>0.75</v>
      </c>
      <c r="C72" s="386">
        <v>42</v>
      </c>
      <c r="D72" s="387">
        <v>3</v>
      </c>
      <c r="E72" s="402">
        <v>8.6300000000000008</v>
      </c>
      <c r="G72" s="384"/>
      <c r="H72" s="388">
        <f t="shared" si="4"/>
        <v>19.049999999999997</v>
      </c>
      <c r="I72" s="389">
        <f t="shared" si="5"/>
        <v>1066.8</v>
      </c>
      <c r="J72" s="389">
        <f t="shared" si="6"/>
        <v>76.199999999999989</v>
      </c>
      <c r="K72" s="397">
        <f t="shared" si="7"/>
        <v>219.202</v>
      </c>
    </row>
    <row r="73" spans="1:11" ht="13.5" thickTop="1" x14ac:dyDescent="0.2">
      <c r="A73" s="370"/>
      <c r="B73" s="390">
        <v>0.38</v>
      </c>
      <c r="C73" s="372">
        <v>54</v>
      </c>
      <c r="D73" s="373">
        <v>3.25</v>
      </c>
      <c r="E73" s="400">
        <v>8.94</v>
      </c>
      <c r="G73" s="370"/>
      <c r="H73" s="374">
        <f t="shared" si="4"/>
        <v>9.6519999999999992</v>
      </c>
      <c r="I73" s="375">
        <f t="shared" si="5"/>
        <v>1371.6</v>
      </c>
      <c r="J73" s="375">
        <f t="shared" si="6"/>
        <v>82.55</v>
      </c>
      <c r="K73" s="395">
        <f t="shared" si="7"/>
        <v>227.07599999999996</v>
      </c>
    </row>
    <row r="74" spans="1:11" x14ac:dyDescent="0.2">
      <c r="A74" s="376"/>
      <c r="B74" s="391">
        <v>0.5</v>
      </c>
      <c r="C74" s="378">
        <v>48</v>
      </c>
      <c r="D74" s="379">
        <v>3.25</v>
      </c>
      <c r="E74" s="401">
        <v>9.75</v>
      </c>
      <c r="G74" s="380" t="s">
        <v>134</v>
      </c>
      <c r="H74" s="381">
        <f t="shared" si="4"/>
        <v>12.7</v>
      </c>
      <c r="I74" s="382">
        <f t="shared" si="5"/>
        <v>1219.1999999999998</v>
      </c>
      <c r="J74" s="382">
        <f t="shared" si="6"/>
        <v>82.55</v>
      </c>
      <c r="K74" s="396">
        <f t="shared" si="7"/>
        <v>247.64999999999998</v>
      </c>
    </row>
    <row r="75" spans="1:11" x14ac:dyDescent="0.2">
      <c r="A75" s="376"/>
      <c r="B75" s="391">
        <v>0.63</v>
      </c>
      <c r="C75" s="378">
        <v>48</v>
      </c>
      <c r="D75" s="379">
        <v>3.25</v>
      </c>
      <c r="E75" s="401">
        <v>9.75</v>
      </c>
      <c r="G75" s="394">
        <f>54*25.4</f>
        <v>1371.6</v>
      </c>
      <c r="H75" s="381">
        <f t="shared" si="4"/>
        <v>16.001999999999999</v>
      </c>
      <c r="I75" s="382">
        <f t="shared" si="5"/>
        <v>1219.1999999999998</v>
      </c>
      <c r="J75" s="382">
        <f t="shared" si="6"/>
        <v>82.55</v>
      </c>
      <c r="K75" s="396">
        <f t="shared" si="7"/>
        <v>247.64999999999998</v>
      </c>
    </row>
    <row r="76" spans="1:11" ht="13.5" thickBot="1" x14ac:dyDescent="0.25">
      <c r="A76" s="384"/>
      <c r="B76" s="392">
        <v>0.75</v>
      </c>
      <c r="C76" s="386">
        <v>48</v>
      </c>
      <c r="D76" s="387">
        <v>3.25</v>
      </c>
      <c r="E76" s="402">
        <v>9.6300000000000008</v>
      </c>
      <c r="G76" s="384"/>
      <c r="H76" s="388">
        <f t="shared" si="4"/>
        <v>19.049999999999997</v>
      </c>
      <c r="I76" s="389">
        <f t="shared" si="5"/>
        <v>1219.1999999999998</v>
      </c>
      <c r="J76" s="389">
        <f t="shared" si="6"/>
        <v>82.55</v>
      </c>
      <c r="K76" s="397">
        <f t="shared" si="7"/>
        <v>244.602</v>
      </c>
    </row>
    <row r="77" spans="1:11" ht="13.5" thickTop="1" x14ac:dyDescent="0.2">
      <c r="A77" s="370"/>
      <c r="B77" s="390">
        <v>0.38</v>
      </c>
      <c r="C77" s="372">
        <v>60</v>
      </c>
      <c r="D77" s="373">
        <v>3.63</v>
      </c>
      <c r="E77" s="400">
        <v>10</v>
      </c>
      <c r="G77" s="370"/>
      <c r="H77" s="374">
        <f t="shared" si="4"/>
        <v>9.6519999999999992</v>
      </c>
      <c r="I77" s="375">
        <f t="shared" si="5"/>
        <v>1524</v>
      </c>
      <c r="J77" s="375">
        <f t="shared" si="6"/>
        <v>92.201999999999998</v>
      </c>
      <c r="K77" s="395">
        <f t="shared" si="7"/>
        <v>254</v>
      </c>
    </row>
    <row r="78" spans="1:11" x14ac:dyDescent="0.2">
      <c r="A78" s="376"/>
      <c r="B78" s="391">
        <v>0.5</v>
      </c>
      <c r="C78" s="378">
        <v>60</v>
      </c>
      <c r="D78" s="379">
        <v>3.63</v>
      </c>
      <c r="E78" s="401">
        <v>9.8800000000000008</v>
      </c>
      <c r="G78" s="380" t="s">
        <v>135</v>
      </c>
      <c r="H78" s="381">
        <f t="shared" si="4"/>
        <v>12.7</v>
      </c>
      <c r="I78" s="382">
        <f t="shared" si="5"/>
        <v>1524</v>
      </c>
      <c r="J78" s="382">
        <f t="shared" si="6"/>
        <v>92.201999999999998</v>
      </c>
      <c r="K78" s="396">
        <f t="shared" si="7"/>
        <v>250.952</v>
      </c>
    </row>
    <row r="79" spans="1:11" x14ac:dyDescent="0.2">
      <c r="A79" s="376"/>
      <c r="B79" s="391">
        <v>0.63</v>
      </c>
      <c r="C79" s="378">
        <v>54</v>
      </c>
      <c r="D79" s="379">
        <v>3.63</v>
      </c>
      <c r="E79" s="401">
        <v>10.69</v>
      </c>
      <c r="G79" s="394">
        <f>60*25.4</f>
        <v>1524</v>
      </c>
      <c r="H79" s="381">
        <f t="shared" si="4"/>
        <v>16.001999999999999</v>
      </c>
      <c r="I79" s="382">
        <f t="shared" si="5"/>
        <v>1371.6</v>
      </c>
      <c r="J79" s="382">
        <f t="shared" si="6"/>
        <v>92.201999999999998</v>
      </c>
      <c r="K79" s="396">
        <f t="shared" si="7"/>
        <v>271.52599999999995</v>
      </c>
    </row>
    <row r="80" spans="1:11" ht="13.5" thickBot="1" x14ac:dyDescent="0.25">
      <c r="A80" s="384"/>
      <c r="B80" s="392">
        <v>0.75</v>
      </c>
      <c r="C80" s="386">
        <v>54</v>
      </c>
      <c r="D80" s="387">
        <v>3.63</v>
      </c>
      <c r="E80" s="402">
        <v>10.63</v>
      </c>
      <c r="G80" s="384"/>
      <c r="H80" s="388">
        <f t="shared" si="4"/>
        <v>19.049999999999997</v>
      </c>
      <c r="I80" s="389">
        <f t="shared" si="5"/>
        <v>1371.6</v>
      </c>
      <c r="J80" s="389">
        <f t="shared" si="6"/>
        <v>92.201999999999998</v>
      </c>
      <c r="K80" s="397">
        <f t="shared" si="7"/>
        <v>270.00200000000001</v>
      </c>
    </row>
    <row r="81" spans="1:11" ht="14.25" thickTop="1" thickBot="1" x14ac:dyDescent="0.25">
      <c r="A81" s="368" t="s">
        <v>120</v>
      </c>
      <c r="B81" s="368" t="s">
        <v>121</v>
      </c>
      <c r="C81" s="368" t="s">
        <v>122</v>
      </c>
      <c r="D81" s="368" t="s">
        <v>123</v>
      </c>
      <c r="E81" s="368" t="s">
        <v>124</v>
      </c>
      <c r="F81" s="369" t="s">
        <v>125</v>
      </c>
      <c r="G81" s="368" t="s">
        <v>120</v>
      </c>
      <c r="H81" s="368" t="s">
        <v>160</v>
      </c>
      <c r="I81" s="368" t="s">
        <v>161</v>
      </c>
      <c r="J81" s="368" t="s">
        <v>162</v>
      </c>
      <c r="K81" s="368" t="s">
        <v>163</v>
      </c>
    </row>
    <row r="82" spans="1:11" ht="13.5" thickTop="1" x14ac:dyDescent="0.2">
      <c r="A82" s="370"/>
      <c r="B82" s="371">
        <v>0.38</v>
      </c>
      <c r="C82" s="372">
        <v>66</v>
      </c>
      <c r="D82" s="373">
        <v>4</v>
      </c>
      <c r="E82" s="400">
        <v>11</v>
      </c>
      <c r="G82" s="370"/>
      <c r="H82" s="374">
        <f t="shared" ref="H82:H105" si="8">B82*25.4</f>
        <v>9.6519999999999992</v>
      </c>
      <c r="I82" s="375">
        <f t="shared" ref="I82:I105" si="9">C82*25.4</f>
        <v>1676.3999999999999</v>
      </c>
      <c r="J82" s="375">
        <f t="shared" ref="J82:J105" si="10">D82*25.4</f>
        <v>101.6</v>
      </c>
      <c r="K82" s="395">
        <f t="shared" ref="K82:K105" si="11">E82*25.4</f>
        <v>279.39999999999998</v>
      </c>
    </row>
    <row r="83" spans="1:11" x14ac:dyDescent="0.2">
      <c r="A83" s="376"/>
      <c r="B83" s="377">
        <v>0.5</v>
      </c>
      <c r="C83" s="378">
        <v>60</v>
      </c>
      <c r="D83" s="379">
        <v>4</v>
      </c>
      <c r="E83" s="401">
        <v>10.94</v>
      </c>
      <c r="G83" s="380" t="s">
        <v>136</v>
      </c>
      <c r="H83" s="381">
        <f t="shared" si="8"/>
        <v>12.7</v>
      </c>
      <c r="I83" s="382">
        <f t="shared" si="9"/>
        <v>1524</v>
      </c>
      <c r="J83" s="382">
        <f t="shared" si="10"/>
        <v>101.6</v>
      </c>
      <c r="K83" s="396">
        <f t="shared" si="11"/>
        <v>277.87599999999998</v>
      </c>
    </row>
    <row r="84" spans="1:11" x14ac:dyDescent="0.2">
      <c r="A84" s="376"/>
      <c r="B84" s="377">
        <v>0.63</v>
      </c>
      <c r="C84" s="378">
        <v>60</v>
      </c>
      <c r="D84" s="379">
        <v>4</v>
      </c>
      <c r="E84" s="401">
        <v>11.75</v>
      </c>
      <c r="G84" s="394">
        <f>66*25.4</f>
        <v>1676.3999999999999</v>
      </c>
      <c r="H84" s="381">
        <f t="shared" si="8"/>
        <v>16.001999999999999</v>
      </c>
      <c r="I84" s="382">
        <f t="shared" si="9"/>
        <v>1524</v>
      </c>
      <c r="J84" s="382">
        <f t="shared" si="10"/>
        <v>101.6</v>
      </c>
      <c r="K84" s="396">
        <f t="shared" si="11"/>
        <v>298.45</v>
      </c>
    </row>
    <row r="85" spans="1:11" ht="13.5" thickBot="1" x14ac:dyDescent="0.25">
      <c r="A85" s="384"/>
      <c r="B85" s="385">
        <v>0.75</v>
      </c>
      <c r="C85" s="386">
        <v>60</v>
      </c>
      <c r="D85" s="387">
        <v>4</v>
      </c>
      <c r="E85" s="402">
        <v>11.63</v>
      </c>
      <c r="G85" s="384"/>
      <c r="H85" s="388">
        <f t="shared" si="8"/>
        <v>19.049999999999997</v>
      </c>
      <c r="I85" s="389">
        <f t="shared" si="9"/>
        <v>1524</v>
      </c>
      <c r="J85" s="389">
        <f t="shared" si="10"/>
        <v>101.6</v>
      </c>
      <c r="K85" s="397">
        <f t="shared" si="11"/>
        <v>295.40199999999999</v>
      </c>
    </row>
    <row r="86" spans="1:11" ht="13.5" thickTop="1" x14ac:dyDescent="0.2">
      <c r="A86" s="370"/>
      <c r="B86" s="390">
        <v>0.38</v>
      </c>
      <c r="C86" s="372">
        <v>72</v>
      </c>
      <c r="D86" s="373">
        <v>4.38</v>
      </c>
      <c r="E86" s="400">
        <v>12</v>
      </c>
      <c r="G86" s="370"/>
      <c r="H86" s="374">
        <f t="shared" si="8"/>
        <v>9.6519999999999992</v>
      </c>
      <c r="I86" s="375">
        <f t="shared" si="9"/>
        <v>1828.8</v>
      </c>
      <c r="J86" s="375">
        <f t="shared" si="10"/>
        <v>111.252</v>
      </c>
      <c r="K86" s="395">
        <f t="shared" si="11"/>
        <v>304.79999999999995</v>
      </c>
    </row>
    <row r="87" spans="1:11" x14ac:dyDescent="0.2">
      <c r="A87" s="376"/>
      <c r="B87" s="391">
        <v>0.63</v>
      </c>
      <c r="C87" s="378">
        <v>72</v>
      </c>
      <c r="D87" s="379">
        <v>4.38</v>
      </c>
      <c r="E87" s="401">
        <v>11.88</v>
      </c>
      <c r="G87" s="380" t="s">
        <v>137</v>
      </c>
      <c r="H87" s="381">
        <f t="shared" si="8"/>
        <v>16.001999999999999</v>
      </c>
      <c r="I87" s="382">
        <f t="shared" si="9"/>
        <v>1828.8</v>
      </c>
      <c r="J87" s="382">
        <f t="shared" si="10"/>
        <v>111.252</v>
      </c>
      <c r="K87" s="396">
        <f t="shared" si="11"/>
        <v>301.75200000000001</v>
      </c>
    </row>
    <row r="88" spans="1:11" x14ac:dyDescent="0.2">
      <c r="A88" s="376"/>
      <c r="B88" s="391">
        <v>0.75</v>
      </c>
      <c r="C88" s="378">
        <v>72</v>
      </c>
      <c r="D88" s="379">
        <v>4.38</v>
      </c>
      <c r="E88" s="401">
        <v>11.88</v>
      </c>
      <c r="G88" s="394">
        <f>72*25.4</f>
        <v>1828.8</v>
      </c>
      <c r="H88" s="381">
        <f t="shared" si="8"/>
        <v>19.049999999999997</v>
      </c>
      <c r="I88" s="382">
        <f t="shared" si="9"/>
        <v>1828.8</v>
      </c>
      <c r="J88" s="382">
        <f t="shared" si="10"/>
        <v>111.252</v>
      </c>
      <c r="K88" s="396">
        <f t="shared" si="11"/>
        <v>301.75200000000001</v>
      </c>
    </row>
    <row r="89" spans="1:11" ht="13.5" thickBot="1" x14ac:dyDescent="0.25">
      <c r="A89" s="384"/>
      <c r="B89" s="392">
        <v>0.88</v>
      </c>
      <c r="C89" s="386">
        <v>66</v>
      </c>
      <c r="D89" s="387">
        <v>4.38</v>
      </c>
      <c r="E89" s="402">
        <v>12.63</v>
      </c>
      <c r="G89" s="384"/>
      <c r="H89" s="388">
        <f t="shared" si="8"/>
        <v>22.352</v>
      </c>
      <c r="I89" s="389">
        <f t="shared" si="9"/>
        <v>1676.3999999999999</v>
      </c>
      <c r="J89" s="389">
        <f t="shared" si="10"/>
        <v>111.252</v>
      </c>
      <c r="K89" s="397">
        <f t="shared" si="11"/>
        <v>320.80200000000002</v>
      </c>
    </row>
    <row r="90" spans="1:11" ht="13.5" thickTop="1" x14ac:dyDescent="0.2">
      <c r="A90" s="370"/>
      <c r="B90" s="390">
        <v>0.38</v>
      </c>
      <c r="C90" s="372">
        <v>78</v>
      </c>
      <c r="D90" s="373">
        <v>4.75</v>
      </c>
      <c r="E90" s="400">
        <v>13</v>
      </c>
      <c r="G90" s="370"/>
      <c r="H90" s="374">
        <f t="shared" si="8"/>
        <v>9.6519999999999992</v>
      </c>
      <c r="I90" s="375">
        <f t="shared" si="9"/>
        <v>1981.1999999999998</v>
      </c>
      <c r="J90" s="375">
        <f t="shared" si="10"/>
        <v>120.64999999999999</v>
      </c>
      <c r="K90" s="395">
        <f t="shared" si="11"/>
        <v>330.2</v>
      </c>
    </row>
    <row r="91" spans="1:11" x14ac:dyDescent="0.2">
      <c r="A91" s="376"/>
      <c r="B91" s="391">
        <v>0.5</v>
      </c>
      <c r="C91" s="378">
        <v>72</v>
      </c>
      <c r="D91" s="379">
        <v>4.75</v>
      </c>
      <c r="E91" s="401">
        <v>13.81</v>
      </c>
      <c r="G91" s="380" t="s">
        <v>138</v>
      </c>
      <c r="H91" s="381">
        <f t="shared" si="8"/>
        <v>12.7</v>
      </c>
      <c r="I91" s="382">
        <f t="shared" si="9"/>
        <v>1828.8</v>
      </c>
      <c r="J91" s="382">
        <f t="shared" si="10"/>
        <v>120.64999999999999</v>
      </c>
      <c r="K91" s="396">
        <f t="shared" si="11"/>
        <v>350.774</v>
      </c>
    </row>
    <row r="92" spans="1:11" x14ac:dyDescent="0.2">
      <c r="A92" s="376"/>
      <c r="B92" s="391">
        <v>0.75</v>
      </c>
      <c r="C92" s="378">
        <v>72</v>
      </c>
      <c r="D92" s="379">
        <v>4.75</v>
      </c>
      <c r="E92" s="401">
        <v>13.69</v>
      </c>
      <c r="G92" s="394">
        <f>78*25.4</f>
        <v>1981.1999999999998</v>
      </c>
      <c r="H92" s="381">
        <f t="shared" si="8"/>
        <v>19.049999999999997</v>
      </c>
      <c r="I92" s="382">
        <f t="shared" si="9"/>
        <v>1828.8</v>
      </c>
      <c r="J92" s="382">
        <f t="shared" si="10"/>
        <v>120.64999999999999</v>
      </c>
      <c r="K92" s="396">
        <f t="shared" si="11"/>
        <v>347.72599999999994</v>
      </c>
    </row>
    <row r="93" spans="1:11" ht="13.5" thickBot="1" x14ac:dyDescent="0.25">
      <c r="A93" s="384"/>
      <c r="B93" s="392">
        <v>1</v>
      </c>
      <c r="C93" s="386">
        <v>72</v>
      </c>
      <c r="D93" s="387">
        <v>4.75</v>
      </c>
      <c r="E93" s="402">
        <v>13.5</v>
      </c>
      <c r="G93" s="384"/>
      <c r="H93" s="388">
        <f t="shared" si="8"/>
        <v>25.4</v>
      </c>
      <c r="I93" s="389">
        <f t="shared" si="9"/>
        <v>1828.8</v>
      </c>
      <c r="J93" s="389">
        <f t="shared" si="10"/>
        <v>120.64999999999999</v>
      </c>
      <c r="K93" s="397">
        <f t="shared" si="11"/>
        <v>342.9</v>
      </c>
    </row>
    <row r="94" spans="1:11" ht="13.5" thickTop="1" x14ac:dyDescent="0.2">
      <c r="A94" s="370"/>
      <c r="B94" s="390">
        <v>0.38</v>
      </c>
      <c r="C94" s="372">
        <v>84</v>
      </c>
      <c r="D94" s="373">
        <v>5.13</v>
      </c>
      <c r="E94" s="400">
        <v>14</v>
      </c>
      <c r="G94" s="370"/>
      <c r="H94" s="374">
        <f t="shared" si="8"/>
        <v>9.6519999999999992</v>
      </c>
      <c r="I94" s="375">
        <f t="shared" si="9"/>
        <v>2133.6</v>
      </c>
      <c r="J94" s="375">
        <f t="shared" si="10"/>
        <v>130.30199999999999</v>
      </c>
      <c r="K94" s="395">
        <f t="shared" si="11"/>
        <v>355.59999999999997</v>
      </c>
    </row>
    <row r="95" spans="1:11" x14ac:dyDescent="0.2">
      <c r="A95" s="376"/>
      <c r="B95" s="391">
        <v>0.63</v>
      </c>
      <c r="C95" s="378">
        <v>84</v>
      </c>
      <c r="D95" s="379">
        <v>5.13</v>
      </c>
      <c r="E95" s="401">
        <v>13.88</v>
      </c>
      <c r="G95" s="380" t="s">
        <v>139</v>
      </c>
      <c r="H95" s="381">
        <f t="shared" si="8"/>
        <v>16.001999999999999</v>
      </c>
      <c r="I95" s="382">
        <f t="shared" si="9"/>
        <v>2133.6</v>
      </c>
      <c r="J95" s="382">
        <f t="shared" si="10"/>
        <v>130.30199999999999</v>
      </c>
      <c r="K95" s="396">
        <f t="shared" si="11"/>
        <v>352.55200000000002</v>
      </c>
    </row>
    <row r="96" spans="1:11" x14ac:dyDescent="0.2">
      <c r="A96" s="376"/>
      <c r="B96" s="391">
        <v>0.88</v>
      </c>
      <c r="C96" s="378">
        <v>84</v>
      </c>
      <c r="D96" s="379">
        <v>5.13</v>
      </c>
      <c r="E96" s="401">
        <v>13.75</v>
      </c>
      <c r="G96" s="394">
        <f>84*25.4</f>
        <v>2133.6</v>
      </c>
      <c r="H96" s="381">
        <f t="shared" si="8"/>
        <v>22.352</v>
      </c>
      <c r="I96" s="382">
        <f t="shared" si="9"/>
        <v>2133.6</v>
      </c>
      <c r="J96" s="382">
        <f t="shared" si="10"/>
        <v>130.30199999999999</v>
      </c>
      <c r="K96" s="396">
        <f t="shared" si="11"/>
        <v>349.25</v>
      </c>
    </row>
    <row r="97" spans="1:11" ht="13.5" thickBot="1" x14ac:dyDescent="0.25">
      <c r="A97" s="384"/>
      <c r="B97" s="392">
        <v>1</v>
      </c>
      <c r="C97" s="386">
        <v>84</v>
      </c>
      <c r="D97" s="387">
        <v>5.13</v>
      </c>
      <c r="E97" s="402">
        <v>13.69</v>
      </c>
      <c r="G97" s="384"/>
      <c r="H97" s="388">
        <f t="shared" si="8"/>
        <v>25.4</v>
      </c>
      <c r="I97" s="389">
        <f t="shared" si="9"/>
        <v>2133.6</v>
      </c>
      <c r="J97" s="389">
        <f t="shared" si="10"/>
        <v>130.30199999999999</v>
      </c>
      <c r="K97" s="397">
        <f t="shared" si="11"/>
        <v>347.72599999999994</v>
      </c>
    </row>
    <row r="98" spans="1:11" ht="13.5" thickTop="1" x14ac:dyDescent="0.2">
      <c r="A98" s="370"/>
      <c r="B98" s="390">
        <v>0.38</v>
      </c>
      <c r="C98" s="372">
        <v>90</v>
      </c>
      <c r="D98" s="373">
        <v>5.5</v>
      </c>
      <c r="E98" s="400">
        <v>15.13</v>
      </c>
      <c r="G98" s="370"/>
      <c r="H98" s="374">
        <f t="shared" si="8"/>
        <v>9.6519999999999992</v>
      </c>
      <c r="I98" s="375">
        <f t="shared" si="9"/>
        <v>2286</v>
      </c>
      <c r="J98" s="375">
        <f t="shared" si="10"/>
        <v>139.69999999999999</v>
      </c>
      <c r="K98" s="395">
        <f t="shared" si="11"/>
        <v>384.30200000000002</v>
      </c>
    </row>
    <row r="99" spans="1:11" x14ac:dyDescent="0.2">
      <c r="A99" s="376"/>
      <c r="B99" s="391">
        <v>0.5</v>
      </c>
      <c r="C99" s="378">
        <v>84</v>
      </c>
      <c r="D99" s="379">
        <v>5.5</v>
      </c>
      <c r="E99" s="401">
        <v>15.81</v>
      </c>
      <c r="G99" s="380" t="s">
        <v>140</v>
      </c>
      <c r="H99" s="381">
        <f t="shared" si="8"/>
        <v>12.7</v>
      </c>
      <c r="I99" s="382">
        <f t="shared" si="9"/>
        <v>2133.6</v>
      </c>
      <c r="J99" s="382">
        <f t="shared" si="10"/>
        <v>139.69999999999999</v>
      </c>
      <c r="K99" s="396">
        <f t="shared" si="11"/>
        <v>401.57400000000001</v>
      </c>
    </row>
    <row r="100" spans="1:11" x14ac:dyDescent="0.2">
      <c r="A100" s="376"/>
      <c r="B100" s="391">
        <v>0.75</v>
      </c>
      <c r="C100" s="378">
        <v>84</v>
      </c>
      <c r="D100" s="379">
        <v>5.5</v>
      </c>
      <c r="E100" s="401">
        <v>15.69</v>
      </c>
      <c r="G100" s="394">
        <f>90*25.4</f>
        <v>2286</v>
      </c>
      <c r="H100" s="381">
        <f t="shared" si="8"/>
        <v>19.049999999999997</v>
      </c>
      <c r="I100" s="382">
        <f t="shared" si="9"/>
        <v>2133.6</v>
      </c>
      <c r="J100" s="382">
        <f t="shared" si="10"/>
        <v>139.69999999999999</v>
      </c>
      <c r="K100" s="396">
        <f t="shared" si="11"/>
        <v>398.52599999999995</v>
      </c>
    </row>
    <row r="101" spans="1:11" ht="13.5" thickBot="1" x14ac:dyDescent="0.25">
      <c r="A101" s="384"/>
      <c r="B101" s="392">
        <v>1</v>
      </c>
      <c r="C101" s="386">
        <v>84</v>
      </c>
      <c r="D101" s="387">
        <v>5.5</v>
      </c>
      <c r="E101" s="402">
        <v>15.56</v>
      </c>
      <c r="G101" s="384"/>
      <c r="H101" s="388">
        <f t="shared" si="8"/>
        <v>25.4</v>
      </c>
      <c r="I101" s="389">
        <f t="shared" si="9"/>
        <v>2133.6</v>
      </c>
      <c r="J101" s="389">
        <f t="shared" si="10"/>
        <v>139.69999999999999</v>
      </c>
      <c r="K101" s="397">
        <f t="shared" si="11"/>
        <v>395.22399999999999</v>
      </c>
    </row>
    <row r="102" spans="1:11" ht="13.5" thickTop="1" x14ac:dyDescent="0.2">
      <c r="A102" s="370"/>
      <c r="B102" s="390">
        <v>0.38</v>
      </c>
      <c r="C102" s="372">
        <v>96</v>
      </c>
      <c r="D102" s="373">
        <v>5.88</v>
      </c>
      <c r="E102" s="400">
        <v>16.13</v>
      </c>
      <c r="G102" s="370"/>
      <c r="H102" s="374">
        <f t="shared" si="8"/>
        <v>9.6519999999999992</v>
      </c>
      <c r="I102" s="375">
        <f t="shared" si="9"/>
        <v>2438.3999999999996</v>
      </c>
      <c r="J102" s="375">
        <f t="shared" si="10"/>
        <v>149.35199999999998</v>
      </c>
      <c r="K102" s="395">
        <f t="shared" si="11"/>
        <v>409.70199999999994</v>
      </c>
    </row>
    <row r="103" spans="1:11" x14ac:dyDescent="0.2">
      <c r="A103" s="376"/>
      <c r="B103" s="391">
        <v>0.5</v>
      </c>
      <c r="C103" s="378">
        <v>90</v>
      </c>
      <c r="D103" s="379">
        <v>5.88</v>
      </c>
      <c r="E103" s="401">
        <v>16.88</v>
      </c>
      <c r="G103" s="380" t="s">
        <v>141</v>
      </c>
      <c r="H103" s="381">
        <f t="shared" si="8"/>
        <v>12.7</v>
      </c>
      <c r="I103" s="382">
        <f t="shared" si="9"/>
        <v>2286</v>
      </c>
      <c r="J103" s="382">
        <f t="shared" si="10"/>
        <v>149.35199999999998</v>
      </c>
      <c r="K103" s="396">
        <f t="shared" si="11"/>
        <v>428.75199999999995</v>
      </c>
    </row>
    <row r="104" spans="1:11" x14ac:dyDescent="0.2">
      <c r="A104" s="376"/>
      <c r="B104" s="391">
        <v>0.88</v>
      </c>
      <c r="C104" s="378">
        <v>90</v>
      </c>
      <c r="D104" s="379">
        <v>5.88</v>
      </c>
      <c r="E104" s="401">
        <v>16.63</v>
      </c>
      <c r="G104" s="394">
        <f>96*25.4</f>
        <v>2438.3999999999996</v>
      </c>
      <c r="H104" s="381">
        <f t="shared" si="8"/>
        <v>22.352</v>
      </c>
      <c r="I104" s="382">
        <f t="shared" si="9"/>
        <v>2286</v>
      </c>
      <c r="J104" s="382">
        <f t="shared" si="10"/>
        <v>149.35199999999998</v>
      </c>
      <c r="K104" s="396">
        <f t="shared" si="11"/>
        <v>422.40199999999993</v>
      </c>
    </row>
    <row r="105" spans="1:11" ht="13.5" thickBot="1" x14ac:dyDescent="0.25">
      <c r="A105" s="384"/>
      <c r="B105" s="392">
        <v>1.25</v>
      </c>
      <c r="C105" s="386">
        <v>90</v>
      </c>
      <c r="D105" s="387">
        <v>5.88</v>
      </c>
      <c r="E105" s="402">
        <v>16.440000000000001</v>
      </c>
      <c r="G105" s="384"/>
      <c r="H105" s="388">
        <f t="shared" si="8"/>
        <v>31.75</v>
      </c>
      <c r="I105" s="389">
        <f t="shared" si="9"/>
        <v>2286</v>
      </c>
      <c r="J105" s="389">
        <f t="shared" si="10"/>
        <v>149.35199999999998</v>
      </c>
      <c r="K105" s="397">
        <f t="shared" si="11"/>
        <v>417.57600000000002</v>
      </c>
    </row>
    <row r="106" spans="1:11" ht="14.25" thickTop="1" thickBot="1" x14ac:dyDescent="0.25">
      <c r="A106" s="368" t="s">
        <v>120</v>
      </c>
      <c r="B106" s="368" t="s">
        <v>121</v>
      </c>
      <c r="C106" s="368" t="s">
        <v>122</v>
      </c>
      <c r="D106" s="368" t="s">
        <v>123</v>
      </c>
      <c r="E106" s="368" t="s">
        <v>124</v>
      </c>
      <c r="F106" s="369" t="s">
        <v>125</v>
      </c>
      <c r="G106" s="368" t="s">
        <v>120</v>
      </c>
      <c r="H106" s="368" t="s">
        <v>160</v>
      </c>
      <c r="I106" s="368" t="s">
        <v>161</v>
      </c>
      <c r="J106" s="368" t="s">
        <v>162</v>
      </c>
      <c r="K106" s="368" t="s">
        <v>163</v>
      </c>
    </row>
    <row r="107" spans="1:11" ht="13.5" thickTop="1" x14ac:dyDescent="0.2">
      <c r="A107" s="370"/>
      <c r="B107" s="371">
        <v>0.5</v>
      </c>
      <c r="C107" s="372">
        <v>96</v>
      </c>
      <c r="D107" s="373">
        <v>6.13</v>
      </c>
      <c r="E107" s="400">
        <v>17.88</v>
      </c>
      <c r="G107" s="370"/>
      <c r="H107" s="374">
        <f t="shared" ref="H107:H130" si="12">B107*25.4</f>
        <v>12.7</v>
      </c>
      <c r="I107" s="375">
        <f t="shared" ref="I107:I130" si="13">C107*25.4</f>
        <v>2438.3999999999996</v>
      </c>
      <c r="J107" s="375">
        <f t="shared" ref="J107:J130" si="14">D107*25.4</f>
        <v>155.702</v>
      </c>
      <c r="K107" s="395">
        <f t="shared" ref="K107:K130" si="15">E107*25.4</f>
        <v>454.15199999999993</v>
      </c>
    </row>
    <row r="108" spans="1:11" x14ac:dyDescent="0.2">
      <c r="A108" s="376"/>
      <c r="B108" s="377">
        <v>0.75</v>
      </c>
      <c r="C108" s="378">
        <v>96</v>
      </c>
      <c r="D108" s="379">
        <v>6.13</v>
      </c>
      <c r="E108" s="401">
        <v>17.690000000000001</v>
      </c>
      <c r="G108" s="380" t="s">
        <v>142</v>
      </c>
      <c r="H108" s="381">
        <f t="shared" si="12"/>
        <v>19.049999999999997</v>
      </c>
      <c r="I108" s="382">
        <f t="shared" si="13"/>
        <v>2438.3999999999996</v>
      </c>
      <c r="J108" s="382">
        <f t="shared" si="14"/>
        <v>155.702</v>
      </c>
      <c r="K108" s="396">
        <f t="shared" si="15"/>
        <v>449.32600000000002</v>
      </c>
    </row>
    <row r="109" spans="1:11" x14ac:dyDescent="0.2">
      <c r="A109" s="376"/>
      <c r="B109" s="377">
        <v>1</v>
      </c>
      <c r="C109" s="378">
        <v>96</v>
      </c>
      <c r="D109" s="379">
        <v>6.13</v>
      </c>
      <c r="E109" s="401">
        <v>17.559999999999999</v>
      </c>
      <c r="G109" s="394">
        <f>102*25.4</f>
        <v>2590.7999999999997</v>
      </c>
      <c r="H109" s="381">
        <f t="shared" si="12"/>
        <v>25.4</v>
      </c>
      <c r="I109" s="382">
        <f t="shared" si="13"/>
        <v>2438.3999999999996</v>
      </c>
      <c r="J109" s="382">
        <f t="shared" si="14"/>
        <v>155.702</v>
      </c>
      <c r="K109" s="396">
        <f t="shared" si="15"/>
        <v>446.02399999999994</v>
      </c>
    </row>
    <row r="110" spans="1:11" ht="13.5" thickBot="1" x14ac:dyDescent="0.25">
      <c r="A110" s="384"/>
      <c r="B110" s="385">
        <v>1.1299999999999999</v>
      </c>
      <c r="C110" s="386">
        <v>90</v>
      </c>
      <c r="D110" s="387">
        <v>6.13</v>
      </c>
      <c r="E110" s="402">
        <v>18.5</v>
      </c>
      <c r="G110" s="384"/>
      <c r="H110" s="388">
        <f t="shared" si="12"/>
        <v>28.701999999999995</v>
      </c>
      <c r="I110" s="389">
        <f t="shared" si="13"/>
        <v>2286</v>
      </c>
      <c r="J110" s="389">
        <f t="shared" si="14"/>
        <v>155.702</v>
      </c>
      <c r="K110" s="397">
        <f t="shared" si="15"/>
        <v>469.9</v>
      </c>
    </row>
    <row r="111" spans="1:11" ht="13.5" thickTop="1" x14ac:dyDescent="0.2">
      <c r="A111" s="370"/>
      <c r="B111" s="390">
        <v>0.5</v>
      </c>
      <c r="C111" s="372">
        <v>102</v>
      </c>
      <c r="D111" s="373">
        <v>6.5</v>
      </c>
      <c r="E111" s="400">
        <v>18.88</v>
      </c>
      <c r="G111" s="370"/>
      <c r="H111" s="374">
        <f t="shared" si="12"/>
        <v>12.7</v>
      </c>
      <c r="I111" s="375">
        <f t="shared" si="13"/>
        <v>2590.7999999999997</v>
      </c>
      <c r="J111" s="375">
        <f t="shared" si="14"/>
        <v>165.1</v>
      </c>
      <c r="K111" s="395">
        <f t="shared" si="15"/>
        <v>479.55199999999996</v>
      </c>
    </row>
    <row r="112" spans="1:11" x14ac:dyDescent="0.2">
      <c r="A112" s="376"/>
      <c r="B112" s="391">
        <v>0.75</v>
      </c>
      <c r="C112" s="378">
        <v>102</v>
      </c>
      <c r="D112" s="379">
        <v>6.5</v>
      </c>
      <c r="E112" s="401">
        <v>18.75</v>
      </c>
      <c r="G112" s="380" t="s">
        <v>143</v>
      </c>
      <c r="H112" s="381">
        <f t="shared" si="12"/>
        <v>19.049999999999997</v>
      </c>
      <c r="I112" s="382">
        <f t="shared" si="13"/>
        <v>2590.7999999999997</v>
      </c>
      <c r="J112" s="382">
        <f t="shared" si="14"/>
        <v>165.1</v>
      </c>
      <c r="K112" s="396">
        <f t="shared" si="15"/>
        <v>476.25</v>
      </c>
    </row>
    <row r="113" spans="1:11" x14ac:dyDescent="0.2">
      <c r="A113" s="376"/>
      <c r="B113" s="391">
        <v>1</v>
      </c>
      <c r="C113" s="378">
        <v>102</v>
      </c>
      <c r="D113" s="379">
        <v>6.5</v>
      </c>
      <c r="E113" s="401">
        <v>18.559999999999999</v>
      </c>
      <c r="G113" s="394">
        <f>108*25.4</f>
        <v>2743.2</v>
      </c>
      <c r="H113" s="381">
        <f t="shared" si="12"/>
        <v>25.4</v>
      </c>
      <c r="I113" s="382">
        <f t="shared" si="13"/>
        <v>2590.7999999999997</v>
      </c>
      <c r="J113" s="382">
        <f t="shared" si="14"/>
        <v>165.1</v>
      </c>
      <c r="K113" s="396">
        <f t="shared" si="15"/>
        <v>471.42399999999992</v>
      </c>
    </row>
    <row r="114" spans="1:11" ht="13.5" thickBot="1" x14ac:dyDescent="0.25">
      <c r="A114" s="384"/>
      <c r="B114" s="392">
        <v>1.1299999999999999</v>
      </c>
      <c r="C114" s="386">
        <v>96</v>
      </c>
      <c r="D114" s="387">
        <v>6.5</v>
      </c>
      <c r="E114" s="402">
        <v>19.440000000000001</v>
      </c>
      <c r="G114" s="384"/>
      <c r="H114" s="388">
        <f t="shared" si="12"/>
        <v>28.701999999999995</v>
      </c>
      <c r="I114" s="389">
        <f t="shared" si="13"/>
        <v>2438.3999999999996</v>
      </c>
      <c r="J114" s="389">
        <f t="shared" si="14"/>
        <v>165.1</v>
      </c>
      <c r="K114" s="397">
        <f t="shared" si="15"/>
        <v>493.77600000000001</v>
      </c>
    </row>
    <row r="115" spans="1:11" ht="13.5" thickTop="1" x14ac:dyDescent="0.2">
      <c r="A115" s="370"/>
      <c r="B115" s="390">
        <v>0.5</v>
      </c>
      <c r="C115" s="372">
        <v>108</v>
      </c>
      <c r="D115" s="373">
        <v>6.88</v>
      </c>
      <c r="E115" s="400">
        <v>19.88</v>
      </c>
      <c r="G115" s="370"/>
      <c r="H115" s="374">
        <f t="shared" si="12"/>
        <v>12.7</v>
      </c>
      <c r="I115" s="375">
        <f t="shared" si="13"/>
        <v>2743.2</v>
      </c>
      <c r="J115" s="375">
        <f t="shared" si="14"/>
        <v>174.75199999999998</v>
      </c>
      <c r="K115" s="395">
        <f t="shared" si="15"/>
        <v>504.95199999999994</v>
      </c>
    </row>
    <row r="116" spans="1:11" x14ac:dyDescent="0.2">
      <c r="A116" s="376"/>
      <c r="B116" s="391">
        <v>0.75</v>
      </c>
      <c r="C116" s="378">
        <v>108</v>
      </c>
      <c r="D116" s="379">
        <v>6.88</v>
      </c>
      <c r="E116" s="401">
        <v>19.75</v>
      </c>
      <c r="G116" s="380" t="s">
        <v>144</v>
      </c>
      <c r="H116" s="381">
        <f t="shared" si="12"/>
        <v>19.049999999999997</v>
      </c>
      <c r="I116" s="382">
        <f t="shared" si="13"/>
        <v>2743.2</v>
      </c>
      <c r="J116" s="382">
        <f t="shared" si="14"/>
        <v>174.75199999999998</v>
      </c>
      <c r="K116" s="396">
        <f t="shared" si="15"/>
        <v>501.65</v>
      </c>
    </row>
    <row r="117" spans="1:11" x14ac:dyDescent="0.2">
      <c r="A117" s="376"/>
      <c r="B117" s="391">
        <v>1</v>
      </c>
      <c r="C117" s="378">
        <v>108</v>
      </c>
      <c r="D117" s="379">
        <v>6.88</v>
      </c>
      <c r="E117" s="401">
        <v>19.63</v>
      </c>
      <c r="G117" s="394">
        <f>114*25.4</f>
        <v>2895.6</v>
      </c>
      <c r="H117" s="381">
        <f t="shared" si="12"/>
        <v>25.4</v>
      </c>
      <c r="I117" s="382">
        <f t="shared" si="13"/>
        <v>2743.2</v>
      </c>
      <c r="J117" s="382">
        <f t="shared" si="14"/>
        <v>174.75199999999998</v>
      </c>
      <c r="K117" s="396">
        <f t="shared" si="15"/>
        <v>498.60199999999992</v>
      </c>
    </row>
    <row r="118" spans="1:11" ht="13.5" thickBot="1" x14ac:dyDescent="0.25">
      <c r="A118" s="384"/>
      <c r="B118" s="392">
        <v>1.25</v>
      </c>
      <c r="C118" s="386">
        <v>108</v>
      </c>
      <c r="D118" s="387">
        <v>6.88</v>
      </c>
      <c r="E118" s="402">
        <v>19.5</v>
      </c>
      <c r="G118" s="384"/>
      <c r="H118" s="388">
        <f t="shared" si="12"/>
        <v>31.75</v>
      </c>
      <c r="I118" s="389">
        <f t="shared" si="13"/>
        <v>2743.2</v>
      </c>
      <c r="J118" s="389">
        <f t="shared" si="14"/>
        <v>174.75199999999998</v>
      </c>
      <c r="K118" s="397">
        <f t="shared" si="15"/>
        <v>495.29999999999995</v>
      </c>
    </row>
    <row r="119" spans="1:11" ht="13.5" thickTop="1" x14ac:dyDescent="0.2">
      <c r="A119" s="370"/>
      <c r="B119" s="390">
        <v>0.5</v>
      </c>
      <c r="C119" s="372">
        <v>114</v>
      </c>
      <c r="D119" s="373">
        <v>7.25</v>
      </c>
      <c r="E119" s="400">
        <v>20.88</v>
      </c>
      <c r="G119" s="370"/>
      <c r="H119" s="374">
        <f t="shared" si="12"/>
        <v>12.7</v>
      </c>
      <c r="I119" s="375">
        <f t="shared" si="13"/>
        <v>2895.6</v>
      </c>
      <c r="J119" s="375">
        <f t="shared" si="14"/>
        <v>184.14999999999998</v>
      </c>
      <c r="K119" s="395">
        <f t="shared" si="15"/>
        <v>530.35199999999998</v>
      </c>
    </row>
    <row r="120" spans="1:11" x14ac:dyDescent="0.2">
      <c r="A120" s="376"/>
      <c r="B120" s="391">
        <v>0.88</v>
      </c>
      <c r="C120" s="378">
        <v>114</v>
      </c>
      <c r="D120" s="379">
        <v>7.25</v>
      </c>
      <c r="E120" s="401">
        <v>20.69</v>
      </c>
      <c r="G120" s="380" t="s">
        <v>145</v>
      </c>
      <c r="H120" s="381">
        <f t="shared" si="12"/>
        <v>22.352</v>
      </c>
      <c r="I120" s="382">
        <f t="shared" si="13"/>
        <v>2895.6</v>
      </c>
      <c r="J120" s="382">
        <f t="shared" si="14"/>
        <v>184.14999999999998</v>
      </c>
      <c r="K120" s="396">
        <f t="shared" si="15"/>
        <v>525.52599999999995</v>
      </c>
    </row>
    <row r="121" spans="1:11" x14ac:dyDescent="0.2">
      <c r="A121" s="376"/>
      <c r="B121" s="391">
        <v>1.25</v>
      </c>
      <c r="C121" s="378">
        <v>108</v>
      </c>
      <c r="D121" s="379">
        <v>7.25</v>
      </c>
      <c r="E121" s="401">
        <v>21.44</v>
      </c>
      <c r="G121" s="394">
        <f>120*25.4</f>
        <v>3048</v>
      </c>
      <c r="H121" s="381">
        <f t="shared" si="12"/>
        <v>31.75</v>
      </c>
      <c r="I121" s="382">
        <f t="shared" si="13"/>
        <v>2743.2</v>
      </c>
      <c r="J121" s="382">
        <f t="shared" si="14"/>
        <v>184.14999999999998</v>
      </c>
      <c r="K121" s="396">
        <f t="shared" si="15"/>
        <v>544.57600000000002</v>
      </c>
    </row>
    <row r="122" spans="1:11" ht="13.5" thickBot="1" x14ac:dyDescent="0.25">
      <c r="A122" s="384"/>
      <c r="B122" s="392">
        <v>1.63</v>
      </c>
      <c r="C122" s="386">
        <v>108</v>
      </c>
      <c r="D122" s="387">
        <v>7.25</v>
      </c>
      <c r="E122" s="402">
        <v>21.25</v>
      </c>
      <c r="G122" s="384"/>
      <c r="H122" s="388">
        <f t="shared" si="12"/>
        <v>41.401999999999994</v>
      </c>
      <c r="I122" s="389">
        <f t="shared" si="13"/>
        <v>2743.2</v>
      </c>
      <c r="J122" s="389">
        <f t="shared" si="14"/>
        <v>184.14999999999998</v>
      </c>
      <c r="K122" s="397">
        <f t="shared" si="15"/>
        <v>539.75</v>
      </c>
    </row>
    <row r="123" spans="1:11" ht="13.5" thickTop="1" x14ac:dyDescent="0.2">
      <c r="A123" s="370"/>
      <c r="B123" s="390">
        <v>0.5</v>
      </c>
      <c r="C123" s="372">
        <v>120</v>
      </c>
      <c r="D123" s="373">
        <v>7.63</v>
      </c>
      <c r="E123" s="400">
        <v>21.88</v>
      </c>
      <c r="G123" s="370"/>
      <c r="H123" s="374">
        <f t="shared" si="12"/>
        <v>12.7</v>
      </c>
      <c r="I123" s="375">
        <f t="shared" si="13"/>
        <v>3048</v>
      </c>
      <c r="J123" s="375">
        <f t="shared" si="14"/>
        <v>193.80199999999999</v>
      </c>
      <c r="K123" s="395">
        <f t="shared" si="15"/>
        <v>555.75199999999995</v>
      </c>
    </row>
    <row r="124" spans="1:11" x14ac:dyDescent="0.2">
      <c r="A124" s="376"/>
      <c r="B124" s="391">
        <v>0.88</v>
      </c>
      <c r="C124" s="378">
        <v>120</v>
      </c>
      <c r="D124" s="379">
        <v>7.63</v>
      </c>
      <c r="E124" s="401">
        <v>21.69</v>
      </c>
      <c r="G124" s="380" t="s">
        <v>146</v>
      </c>
      <c r="H124" s="381">
        <f t="shared" si="12"/>
        <v>22.352</v>
      </c>
      <c r="I124" s="382">
        <f t="shared" si="13"/>
        <v>3048</v>
      </c>
      <c r="J124" s="382">
        <f t="shared" si="14"/>
        <v>193.80199999999999</v>
      </c>
      <c r="K124" s="396">
        <f t="shared" si="15"/>
        <v>550.92600000000004</v>
      </c>
    </row>
    <row r="125" spans="1:11" x14ac:dyDescent="0.2">
      <c r="A125" s="376"/>
      <c r="B125" s="391">
        <v>1.25</v>
      </c>
      <c r="C125" s="378">
        <v>120</v>
      </c>
      <c r="D125" s="379">
        <v>7.63</v>
      </c>
      <c r="E125" s="401">
        <v>21.5</v>
      </c>
      <c r="G125" s="394">
        <f>126*25.4</f>
        <v>3200.3999999999996</v>
      </c>
      <c r="H125" s="381">
        <f t="shared" si="12"/>
        <v>31.75</v>
      </c>
      <c r="I125" s="382">
        <f t="shared" si="13"/>
        <v>3048</v>
      </c>
      <c r="J125" s="382">
        <f t="shared" si="14"/>
        <v>193.80199999999999</v>
      </c>
      <c r="K125" s="396">
        <f t="shared" si="15"/>
        <v>546.1</v>
      </c>
    </row>
    <row r="126" spans="1:11" ht="13.5" thickBot="1" x14ac:dyDescent="0.25">
      <c r="A126" s="384"/>
      <c r="B126" s="392">
        <v>1.38</v>
      </c>
      <c r="C126" s="386">
        <v>114</v>
      </c>
      <c r="D126" s="387">
        <v>7.63</v>
      </c>
      <c r="E126" s="402">
        <v>22.31</v>
      </c>
      <c r="G126" s="384"/>
      <c r="H126" s="388">
        <f t="shared" si="12"/>
        <v>35.051999999999992</v>
      </c>
      <c r="I126" s="389">
        <f t="shared" si="13"/>
        <v>2895.6</v>
      </c>
      <c r="J126" s="389">
        <f t="shared" si="14"/>
        <v>193.80199999999999</v>
      </c>
      <c r="K126" s="397">
        <f t="shared" si="15"/>
        <v>566.67399999999998</v>
      </c>
    </row>
    <row r="127" spans="1:11" ht="13.5" thickTop="1" x14ac:dyDescent="0.2">
      <c r="A127" s="370"/>
      <c r="B127" s="390">
        <v>0.75</v>
      </c>
      <c r="C127" s="372">
        <v>126</v>
      </c>
      <c r="D127" s="373">
        <v>8</v>
      </c>
      <c r="E127" s="400">
        <v>22.81</v>
      </c>
      <c r="G127" s="370"/>
      <c r="H127" s="374">
        <f t="shared" si="12"/>
        <v>19.049999999999997</v>
      </c>
      <c r="I127" s="375">
        <f t="shared" si="13"/>
        <v>3200.3999999999996</v>
      </c>
      <c r="J127" s="375">
        <f t="shared" si="14"/>
        <v>203.2</v>
      </c>
      <c r="K127" s="395">
        <f t="shared" si="15"/>
        <v>579.37399999999991</v>
      </c>
    </row>
    <row r="128" spans="1:11" x14ac:dyDescent="0.2">
      <c r="A128" s="376"/>
      <c r="B128" s="391">
        <v>0.88</v>
      </c>
      <c r="C128" s="378">
        <v>120</v>
      </c>
      <c r="D128" s="379">
        <v>8</v>
      </c>
      <c r="E128" s="401">
        <v>23.69</v>
      </c>
      <c r="G128" s="380" t="s">
        <v>147</v>
      </c>
      <c r="H128" s="381">
        <f t="shared" si="12"/>
        <v>22.352</v>
      </c>
      <c r="I128" s="382">
        <f t="shared" si="13"/>
        <v>3048</v>
      </c>
      <c r="J128" s="382">
        <f t="shared" si="14"/>
        <v>203.2</v>
      </c>
      <c r="K128" s="396">
        <f t="shared" si="15"/>
        <v>601.726</v>
      </c>
    </row>
    <row r="129" spans="1:11" x14ac:dyDescent="0.2">
      <c r="A129" s="376"/>
      <c r="B129" s="391">
        <v>1.25</v>
      </c>
      <c r="C129" s="378">
        <v>120</v>
      </c>
      <c r="D129" s="379">
        <v>8</v>
      </c>
      <c r="E129" s="401">
        <v>23.44</v>
      </c>
      <c r="G129" s="394">
        <f>132*25.4</f>
        <v>3352.7999999999997</v>
      </c>
      <c r="H129" s="381">
        <f t="shared" si="12"/>
        <v>31.75</v>
      </c>
      <c r="I129" s="382">
        <f t="shared" si="13"/>
        <v>3048</v>
      </c>
      <c r="J129" s="382">
        <f t="shared" si="14"/>
        <v>203.2</v>
      </c>
      <c r="K129" s="396">
        <f t="shared" si="15"/>
        <v>595.37599999999998</v>
      </c>
    </row>
    <row r="130" spans="1:11" ht="13.5" thickBot="1" x14ac:dyDescent="0.25">
      <c r="A130" s="384"/>
      <c r="B130" s="392">
        <v>1.63</v>
      </c>
      <c r="C130" s="386">
        <v>120</v>
      </c>
      <c r="D130" s="387">
        <v>8</v>
      </c>
      <c r="E130" s="402">
        <v>23.25</v>
      </c>
      <c r="G130" s="384"/>
      <c r="H130" s="388">
        <f t="shared" si="12"/>
        <v>41.401999999999994</v>
      </c>
      <c r="I130" s="389">
        <f t="shared" si="13"/>
        <v>3048</v>
      </c>
      <c r="J130" s="389">
        <f t="shared" si="14"/>
        <v>203.2</v>
      </c>
      <c r="K130" s="397">
        <f t="shared" si="15"/>
        <v>590.54999999999995</v>
      </c>
    </row>
    <row r="131" spans="1:11" ht="14.25" thickTop="1" thickBot="1" x14ac:dyDescent="0.25">
      <c r="A131" s="368" t="s">
        <v>120</v>
      </c>
      <c r="B131" s="368" t="s">
        <v>121</v>
      </c>
      <c r="C131" s="368" t="s">
        <v>122</v>
      </c>
      <c r="D131" s="368" t="s">
        <v>123</v>
      </c>
      <c r="E131" s="368" t="s">
        <v>124</v>
      </c>
      <c r="F131" s="369" t="s">
        <v>125</v>
      </c>
      <c r="G131" s="368" t="s">
        <v>120</v>
      </c>
      <c r="H131" s="368" t="s">
        <v>160</v>
      </c>
      <c r="I131" s="368" t="s">
        <v>161</v>
      </c>
      <c r="J131" s="368" t="s">
        <v>162</v>
      </c>
      <c r="K131" s="368" t="s">
        <v>163</v>
      </c>
    </row>
    <row r="132" spans="1:11" ht="13.5" thickTop="1" x14ac:dyDescent="0.2">
      <c r="A132" s="370"/>
      <c r="B132" s="371">
        <v>0.63</v>
      </c>
      <c r="C132" s="372">
        <v>132</v>
      </c>
      <c r="D132" s="373">
        <v>8.3800000000000008</v>
      </c>
      <c r="E132" s="400">
        <v>23.94</v>
      </c>
      <c r="G132" s="370"/>
      <c r="H132" s="374">
        <f t="shared" ref="H132:H155" si="16">B132*25.4</f>
        <v>16.001999999999999</v>
      </c>
      <c r="I132" s="375">
        <f t="shared" ref="I132:I155" si="17">C132*25.4</f>
        <v>3352.7999999999997</v>
      </c>
      <c r="J132" s="375">
        <f t="shared" ref="J132:J155" si="18">D132*25.4</f>
        <v>212.852</v>
      </c>
      <c r="K132" s="395">
        <f t="shared" ref="K132:K155" si="19">E132*25.4</f>
        <v>608.07600000000002</v>
      </c>
    </row>
    <row r="133" spans="1:11" x14ac:dyDescent="0.2">
      <c r="A133" s="376"/>
      <c r="B133" s="377">
        <v>1</v>
      </c>
      <c r="C133" s="378">
        <v>132</v>
      </c>
      <c r="D133" s="379">
        <v>8.3800000000000008</v>
      </c>
      <c r="E133" s="401">
        <v>23.75</v>
      </c>
      <c r="G133" s="380" t="s">
        <v>148</v>
      </c>
      <c r="H133" s="381">
        <f t="shared" si="16"/>
        <v>25.4</v>
      </c>
      <c r="I133" s="382">
        <f t="shared" si="17"/>
        <v>3352.7999999999997</v>
      </c>
      <c r="J133" s="382">
        <f t="shared" si="18"/>
        <v>212.852</v>
      </c>
      <c r="K133" s="396">
        <f t="shared" si="19"/>
        <v>603.25</v>
      </c>
    </row>
    <row r="134" spans="1:11" x14ac:dyDescent="0.2">
      <c r="A134" s="376"/>
      <c r="B134" s="377">
        <v>1.38</v>
      </c>
      <c r="C134" s="378">
        <v>132</v>
      </c>
      <c r="D134" s="379">
        <v>8.3800000000000008</v>
      </c>
      <c r="E134" s="401">
        <v>23.56</v>
      </c>
      <c r="G134" s="394">
        <f>138*25.4</f>
        <v>3505.2</v>
      </c>
      <c r="H134" s="381">
        <f t="shared" si="16"/>
        <v>35.051999999999992</v>
      </c>
      <c r="I134" s="382">
        <f t="shared" si="17"/>
        <v>3352.7999999999997</v>
      </c>
      <c r="J134" s="382">
        <f t="shared" si="18"/>
        <v>212.852</v>
      </c>
      <c r="K134" s="396">
        <f t="shared" si="19"/>
        <v>598.42399999999998</v>
      </c>
    </row>
    <row r="135" spans="1:11" ht="13.5" thickBot="1" x14ac:dyDescent="0.25">
      <c r="A135" s="384"/>
      <c r="B135" s="385">
        <v>1.75</v>
      </c>
      <c r="C135" s="386">
        <v>132</v>
      </c>
      <c r="D135" s="387">
        <v>8.3800000000000008</v>
      </c>
      <c r="E135" s="402">
        <v>23.38</v>
      </c>
      <c r="G135" s="384"/>
      <c r="H135" s="388">
        <f t="shared" si="16"/>
        <v>44.449999999999996</v>
      </c>
      <c r="I135" s="389">
        <f t="shared" si="17"/>
        <v>3352.7999999999997</v>
      </c>
      <c r="J135" s="389">
        <f t="shared" si="18"/>
        <v>212.852</v>
      </c>
      <c r="K135" s="397">
        <f t="shared" si="19"/>
        <v>593.85199999999998</v>
      </c>
    </row>
    <row r="136" spans="1:11" ht="13.5" thickTop="1" x14ac:dyDescent="0.2">
      <c r="A136" s="370"/>
      <c r="B136" s="390">
        <v>0.63</v>
      </c>
      <c r="C136" s="372">
        <v>132</v>
      </c>
      <c r="D136" s="373">
        <v>8.75</v>
      </c>
      <c r="E136" s="400">
        <v>25.88</v>
      </c>
      <c r="G136" s="370"/>
      <c r="H136" s="374">
        <f t="shared" si="16"/>
        <v>16.001999999999999</v>
      </c>
      <c r="I136" s="375">
        <f t="shared" si="17"/>
        <v>3352.7999999999997</v>
      </c>
      <c r="J136" s="375">
        <f t="shared" si="18"/>
        <v>222.25</v>
      </c>
      <c r="K136" s="395">
        <f t="shared" si="19"/>
        <v>657.35199999999998</v>
      </c>
    </row>
    <row r="137" spans="1:11" x14ac:dyDescent="0.2">
      <c r="A137" s="376"/>
      <c r="B137" s="391">
        <v>1</v>
      </c>
      <c r="C137" s="378">
        <v>132</v>
      </c>
      <c r="D137" s="379">
        <v>8.75</v>
      </c>
      <c r="E137" s="401">
        <v>25.63</v>
      </c>
      <c r="G137" s="380" t="s">
        <v>149</v>
      </c>
      <c r="H137" s="381">
        <f t="shared" si="16"/>
        <v>25.4</v>
      </c>
      <c r="I137" s="382">
        <f t="shared" si="17"/>
        <v>3352.7999999999997</v>
      </c>
      <c r="J137" s="382">
        <f t="shared" si="18"/>
        <v>222.25</v>
      </c>
      <c r="K137" s="396">
        <f t="shared" si="19"/>
        <v>651.00199999999995</v>
      </c>
    </row>
    <row r="138" spans="1:11" x14ac:dyDescent="0.2">
      <c r="A138" s="376"/>
      <c r="B138" s="391">
        <v>1.38</v>
      </c>
      <c r="C138" s="378">
        <v>132</v>
      </c>
      <c r="D138" s="379">
        <v>8.75</v>
      </c>
      <c r="E138" s="401">
        <v>25.44</v>
      </c>
      <c r="G138" s="394">
        <f>144*25.4</f>
        <v>3657.6</v>
      </c>
      <c r="H138" s="381">
        <f t="shared" si="16"/>
        <v>35.051999999999992</v>
      </c>
      <c r="I138" s="382">
        <f t="shared" si="17"/>
        <v>3352.7999999999997</v>
      </c>
      <c r="J138" s="382">
        <f t="shared" si="18"/>
        <v>222.25</v>
      </c>
      <c r="K138" s="396">
        <f t="shared" si="19"/>
        <v>646.17600000000004</v>
      </c>
    </row>
    <row r="139" spans="1:11" ht="13.5" thickBot="1" x14ac:dyDescent="0.25">
      <c r="A139" s="384"/>
      <c r="B139" s="392">
        <v>1.75</v>
      </c>
      <c r="C139" s="386">
        <v>132</v>
      </c>
      <c r="D139" s="387">
        <v>8.75</v>
      </c>
      <c r="E139" s="402">
        <v>25.19</v>
      </c>
      <c r="G139" s="384"/>
      <c r="H139" s="388">
        <f t="shared" si="16"/>
        <v>44.449999999999996</v>
      </c>
      <c r="I139" s="389">
        <f t="shared" si="17"/>
        <v>3352.7999999999997</v>
      </c>
      <c r="J139" s="389">
        <f t="shared" si="18"/>
        <v>222.25</v>
      </c>
      <c r="K139" s="397">
        <f t="shared" si="19"/>
        <v>639.82600000000002</v>
      </c>
    </row>
    <row r="140" spans="1:11" ht="13.5" thickTop="1" x14ac:dyDescent="0.2">
      <c r="A140" s="370"/>
      <c r="B140" s="390">
        <v>0.75</v>
      </c>
      <c r="C140" s="372">
        <v>144</v>
      </c>
      <c r="D140" s="373">
        <v>9.3800000000000008</v>
      </c>
      <c r="E140" s="400">
        <v>27.75</v>
      </c>
      <c r="G140" s="370"/>
      <c r="H140" s="374">
        <f t="shared" si="16"/>
        <v>19.049999999999997</v>
      </c>
      <c r="I140" s="375">
        <f t="shared" si="17"/>
        <v>3657.6</v>
      </c>
      <c r="J140" s="375">
        <f t="shared" si="18"/>
        <v>238.25200000000001</v>
      </c>
      <c r="K140" s="395">
        <f t="shared" si="19"/>
        <v>704.84999999999991</v>
      </c>
    </row>
    <row r="141" spans="1:11" x14ac:dyDescent="0.2">
      <c r="A141" s="376"/>
      <c r="B141" s="391">
        <v>1.1299999999999999</v>
      </c>
      <c r="C141" s="378">
        <v>144</v>
      </c>
      <c r="D141" s="379">
        <v>9.3800000000000008</v>
      </c>
      <c r="E141" s="401">
        <v>27.5</v>
      </c>
      <c r="G141" s="380" t="s">
        <v>150</v>
      </c>
      <c r="H141" s="381">
        <f t="shared" si="16"/>
        <v>28.701999999999995</v>
      </c>
      <c r="I141" s="382">
        <f t="shared" si="17"/>
        <v>3657.6</v>
      </c>
      <c r="J141" s="382">
        <f t="shared" si="18"/>
        <v>238.25200000000001</v>
      </c>
      <c r="K141" s="396">
        <f t="shared" si="19"/>
        <v>698.5</v>
      </c>
    </row>
    <row r="142" spans="1:11" x14ac:dyDescent="0.2">
      <c r="A142" s="376"/>
      <c r="B142" s="391">
        <v>1.5</v>
      </c>
      <c r="C142" s="378">
        <v>144</v>
      </c>
      <c r="D142" s="379">
        <v>9.3800000000000008</v>
      </c>
      <c r="E142" s="401">
        <v>27.31</v>
      </c>
      <c r="G142" s="394">
        <f>156*25.4</f>
        <v>3962.3999999999996</v>
      </c>
      <c r="H142" s="381">
        <f t="shared" si="16"/>
        <v>38.099999999999994</v>
      </c>
      <c r="I142" s="382">
        <f t="shared" si="17"/>
        <v>3657.6</v>
      </c>
      <c r="J142" s="382">
        <f t="shared" si="18"/>
        <v>238.25200000000001</v>
      </c>
      <c r="K142" s="396">
        <f t="shared" si="19"/>
        <v>693.67399999999998</v>
      </c>
    </row>
    <row r="143" spans="1:11" ht="13.5" thickBot="1" x14ac:dyDescent="0.25">
      <c r="A143" s="384"/>
      <c r="B143" s="392">
        <v>1.88</v>
      </c>
      <c r="C143" s="386">
        <v>144</v>
      </c>
      <c r="D143" s="387">
        <v>9.3800000000000008</v>
      </c>
      <c r="E143" s="402">
        <v>27.06</v>
      </c>
      <c r="G143" s="384"/>
      <c r="H143" s="388">
        <f t="shared" si="16"/>
        <v>47.751999999999995</v>
      </c>
      <c r="I143" s="389">
        <f t="shared" si="17"/>
        <v>3657.6</v>
      </c>
      <c r="J143" s="389">
        <f t="shared" si="18"/>
        <v>238.25200000000001</v>
      </c>
      <c r="K143" s="397">
        <f t="shared" si="19"/>
        <v>687.32399999999996</v>
      </c>
    </row>
    <row r="144" spans="1:11" ht="13.5" thickTop="1" x14ac:dyDescent="0.2">
      <c r="A144" s="370"/>
      <c r="B144" s="390">
        <v>0.75</v>
      </c>
      <c r="C144" s="372">
        <v>144</v>
      </c>
      <c r="D144" s="373">
        <v>10.130000000000001</v>
      </c>
      <c r="E144" s="400">
        <v>31.81</v>
      </c>
      <c r="G144" s="370"/>
      <c r="H144" s="374">
        <f t="shared" si="16"/>
        <v>19.049999999999997</v>
      </c>
      <c r="I144" s="375">
        <f t="shared" si="17"/>
        <v>3657.6</v>
      </c>
      <c r="J144" s="375">
        <f t="shared" si="18"/>
        <v>257.30200000000002</v>
      </c>
      <c r="K144" s="395">
        <f t="shared" si="19"/>
        <v>807.97399999999993</v>
      </c>
    </row>
    <row r="145" spans="1:11" x14ac:dyDescent="0.2">
      <c r="A145" s="376"/>
      <c r="B145" s="391">
        <v>1.1299999999999999</v>
      </c>
      <c r="C145" s="378">
        <v>144</v>
      </c>
      <c r="D145" s="379">
        <v>10.130000000000001</v>
      </c>
      <c r="E145" s="401">
        <v>31.5</v>
      </c>
      <c r="G145" s="380" t="s">
        <v>151</v>
      </c>
      <c r="H145" s="381">
        <f t="shared" si="16"/>
        <v>28.701999999999995</v>
      </c>
      <c r="I145" s="382">
        <f t="shared" si="17"/>
        <v>3657.6</v>
      </c>
      <c r="J145" s="382">
        <f t="shared" si="18"/>
        <v>257.30200000000002</v>
      </c>
      <c r="K145" s="396">
        <f t="shared" si="19"/>
        <v>800.09999999999991</v>
      </c>
    </row>
    <row r="146" spans="1:11" x14ac:dyDescent="0.2">
      <c r="A146" s="376"/>
      <c r="B146" s="391">
        <v>1.5</v>
      </c>
      <c r="C146" s="378">
        <v>144</v>
      </c>
      <c r="D146" s="379">
        <v>10.130000000000001</v>
      </c>
      <c r="E146" s="401">
        <v>31.31</v>
      </c>
      <c r="G146" s="394">
        <f>168*25.4</f>
        <v>4267.2</v>
      </c>
      <c r="H146" s="381">
        <f t="shared" si="16"/>
        <v>38.099999999999994</v>
      </c>
      <c r="I146" s="382">
        <f t="shared" si="17"/>
        <v>3657.6</v>
      </c>
      <c r="J146" s="382">
        <f t="shared" si="18"/>
        <v>257.30200000000002</v>
      </c>
      <c r="K146" s="396">
        <f t="shared" si="19"/>
        <v>795.27399999999989</v>
      </c>
    </row>
    <row r="147" spans="1:11" ht="13.5" thickBot="1" x14ac:dyDescent="0.25">
      <c r="A147" s="384"/>
      <c r="B147" s="392">
        <v>1.88</v>
      </c>
      <c r="C147" s="386">
        <v>144</v>
      </c>
      <c r="D147" s="387">
        <v>10.130000000000001</v>
      </c>
      <c r="E147" s="402">
        <v>31.13</v>
      </c>
      <c r="G147" s="384"/>
      <c r="H147" s="388">
        <f t="shared" si="16"/>
        <v>47.751999999999995</v>
      </c>
      <c r="I147" s="389">
        <f t="shared" si="17"/>
        <v>3657.6</v>
      </c>
      <c r="J147" s="389">
        <f t="shared" si="18"/>
        <v>257.30200000000002</v>
      </c>
      <c r="K147" s="397">
        <f t="shared" si="19"/>
        <v>790.70199999999988</v>
      </c>
    </row>
    <row r="148" spans="1:11" ht="13.5" thickTop="1" x14ac:dyDescent="0.2">
      <c r="A148" s="370"/>
      <c r="B148" s="390">
        <v>0.88</v>
      </c>
      <c r="C148" s="372">
        <v>170</v>
      </c>
      <c r="D148" s="373">
        <v>10.88</v>
      </c>
      <c r="E148" s="400">
        <v>31.44</v>
      </c>
      <c r="G148" s="370"/>
      <c r="H148" s="374">
        <f t="shared" si="16"/>
        <v>22.352</v>
      </c>
      <c r="I148" s="375">
        <f t="shared" si="17"/>
        <v>4318</v>
      </c>
      <c r="J148" s="375">
        <f t="shared" si="18"/>
        <v>276.35200000000003</v>
      </c>
      <c r="K148" s="395">
        <f t="shared" si="19"/>
        <v>798.57600000000002</v>
      </c>
    </row>
    <row r="149" spans="1:11" x14ac:dyDescent="0.2">
      <c r="A149" s="376"/>
      <c r="B149" s="391">
        <v>1.25</v>
      </c>
      <c r="C149" s="378">
        <v>170</v>
      </c>
      <c r="D149" s="379">
        <v>10.88</v>
      </c>
      <c r="E149" s="401">
        <v>31.25</v>
      </c>
      <c r="G149" s="380">
        <v>180</v>
      </c>
      <c r="H149" s="381">
        <f t="shared" si="16"/>
        <v>31.75</v>
      </c>
      <c r="I149" s="382">
        <f t="shared" si="17"/>
        <v>4318</v>
      </c>
      <c r="J149" s="382">
        <f t="shared" si="18"/>
        <v>276.35200000000003</v>
      </c>
      <c r="K149" s="396">
        <f t="shared" si="19"/>
        <v>793.75</v>
      </c>
    </row>
    <row r="150" spans="1:11" x14ac:dyDescent="0.2">
      <c r="A150" s="376"/>
      <c r="B150" s="391">
        <v>1.63</v>
      </c>
      <c r="C150" s="378">
        <v>170</v>
      </c>
      <c r="D150" s="379">
        <v>10.88</v>
      </c>
      <c r="E150" s="401">
        <v>31</v>
      </c>
      <c r="G150" s="394">
        <f>180*25.4</f>
        <v>4572</v>
      </c>
      <c r="H150" s="381">
        <f t="shared" si="16"/>
        <v>41.401999999999994</v>
      </c>
      <c r="I150" s="382">
        <f t="shared" si="17"/>
        <v>4318</v>
      </c>
      <c r="J150" s="382">
        <f t="shared" si="18"/>
        <v>276.35200000000003</v>
      </c>
      <c r="K150" s="396">
        <f t="shared" si="19"/>
        <v>787.4</v>
      </c>
    </row>
    <row r="151" spans="1:11" ht="13.5" thickBot="1" x14ac:dyDescent="0.25">
      <c r="A151" s="384"/>
      <c r="B151" s="392">
        <v>2</v>
      </c>
      <c r="C151" s="386">
        <v>170</v>
      </c>
      <c r="D151" s="387">
        <v>10.88</v>
      </c>
      <c r="E151" s="402">
        <v>30.81</v>
      </c>
      <c r="G151" s="384"/>
      <c r="H151" s="388">
        <f t="shared" si="16"/>
        <v>50.8</v>
      </c>
      <c r="I151" s="389">
        <f t="shared" si="17"/>
        <v>4318</v>
      </c>
      <c r="J151" s="389">
        <f t="shared" si="18"/>
        <v>276.35200000000003</v>
      </c>
      <c r="K151" s="397">
        <f t="shared" si="19"/>
        <v>782.57399999999996</v>
      </c>
    </row>
    <row r="152" spans="1:11" ht="13.5" thickTop="1" x14ac:dyDescent="0.2">
      <c r="A152" s="370"/>
      <c r="B152" s="390">
        <v>0.88</v>
      </c>
      <c r="C152" s="372">
        <v>170</v>
      </c>
      <c r="D152" s="373">
        <v>11.63</v>
      </c>
      <c r="E152" s="400">
        <v>35.44</v>
      </c>
      <c r="G152" s="370"/>
      <c r="H152" s="374">
        <f t="shared" si="16"/>
        <v>22.352</v>
      </c>
      <c r="I152" s="375">
        <f t="shared" si="17"/>
        <v>4318</v>
      </c>
      <c r="J152" s="375">
        <f t="shared" si="18"/>
        <v>295.40199999999999</v>
      </c>
      <c r="K152" s="395">
        <f t="shared" si="19"/>
        <v>900.17599999999993</v>
      </c>
    </row>
    <row r="153" spans="1:11" x14ac:dyDescent="0.2">
      <c r="A153" s="376"/>
      <c r="B153" s="391">
        <v>1.25</v>
      </c>
      <c r="C153" s="378">
        <v>170</v>
      </c>
      <c r="D153" s="379">
        <v>11.63</v>
      </c>
      <c r="E153" s="401">
        <v>35.19</v>
      </c>
      <c r="G153" s="380" t="s">
        <v>152</v>
      </c>
      <c r="H153" s="381">
        <f t="shared" si="16"/>
        <v>31.75</v>
      </c>
      <c r="I153" s="382">
        <f t="shared" si="17"/>
        <v>4318</v>
      </c>
      <c r="J153" s="382">
        <f t="shared" si="18"/>
        <v>295.40199999999999</v>
      </c>
      <c r="K153" s="396">
        <f t="shared" si="19"/>
        <v>893.82599999999991</v>
      </c>
    </row>
    <row r="154" spans="1:11" x14ac:dyDescent="0.2">
      <c r="A154" s="376"/>
      <c r="B154" s="391">
        <v>1.63</v>
      </c>
      <c r="C154" s="378">
        <v>170</v>
      </c>
      <c r="D154" s="379">
        <v>11.63</v>
      </c>
      <c r="E154" s="401">
        <v>34.94</v>
      </c>
      <c r="G154" s="394">
        <f>192*25.4</f>
        <v>4876.7999999999993</v>
      </c>
      <c r="H154" s="381">
        <f t="shared" si="16"/>
        <v>41.401999999999994</v>
      </c>
      <c r="I154" s="382">
        <f t="shared" si="17"/>
        <v>4318</v>
      </c>
      <c r="J154" s="382">
        <f t="shared" si="18"/>
        <v>295.40199999999999</v>
      </c>
      <c r="K154" s="396">
        <f t="shared" si="19"/>
        <v>887.47599999999989</v>
      </c>
    </row>
    <row r="155" spans="1:11" ht="13.5" thickBot="1" x14ac:dyDescent="0.25">
      <c r="A155" s="384"/>
      <c r="B155" s="392">
        <v>2</v>
      </c>
      <c r="C155" s="386">
        <v>170</v>
      </c>
      <c r="D155" s="387">
        <v>11.63</v>
      </c>
      <c r="E155" s="402">
        <v>34.75</v>
      </c>
      <c r="G155" s="384"/>
      <c r="H155" s="388">
        <f t="shared" si="16"/>
        <v>50.8</v>
      </c>
      <c r="I155" s="389">
        <f t="shared" si="17"/>
        <v>4318</v>
      </c>
      <c r="J155" s="389">
        <f t="shared" si="18"/>
        <v>295.40199999999999</v>
      </c>
      <c r="K155" s="397">
        <f t="shared" si="19"/>
        <v>882.65</v>
      </c>
    </row>
    <row r="156" spans="1:11" ht="14.25" thickTop="1" thickBot="1" x14ac:dyDescent="0.25">
      <c r="A156" s="368" t="s">
        <v>120</v>
      </c>
      <c r="B156" s="368" t="s">
        <v>121</v>
      </c>
      <c r="C156" s="368" t="s">
        <v>122</v>
      </c>
      <c r="D156" s="368" t="s">
        <v>123</v>
      </c>
      <c r="E156" s="368" t="s">
        <v>124</v>
      </c>
      <c r="F156" s="369" t="s">
        <v>125</v>
      </c>
      <c r="G156" s="368" t="s">
        <v>120</v>
      </c>
      <c r="H156" s="368" t="s">
        <v>160</v>
      </c>
      <c r="I156" s="368" t="s">
        <v>161</v>
      </c>
      <c r="J156" s="368" t="s">
        <v>162</v>
      </c>
      <c r="K156" s="368" t="s">
        <v>163</v>
      </c>
    </row>
    <row r="157" spans="1:11" ht="13.5" thickTop="1" x14ac:dyDescent="0.2">
      <c r="A157" s="370"/>
      <c r="B157" s="371">
        <v>0.88</v>
      </c>
      <c r="C157" s="372">
        <v>170</v>
      </c>
      <c r="D157" s="373">
        <v>12.25</v>
      </c>
      <c r="E157" s="400">
        <v>39.56</v>
      </c>
      <c r="G157" s="370"/>
      <c r="H157" s="374">
        <f t="shared" ref="H157:H172" si="20">B157*25.4</f>
        <v>22.352</v>
      </c>
      <c r="I157" s="375">
        <f t="shared" ref="I157:I172" si="21">C157*25.4</f>
        <v>4318</v>
      </c>
      <c r="J157" s="375">
        <f t="shared" ref="J157:J172" si="22">D157*25.4</f>
        <v>311.14999999999998</v>
      </c>
      <c r="K157" s="395">
        <f t="shared" ref="K157:K172" si="23">E157*25.4</f>
        <v>1004.824</v>
      </c>
    </row>
    <row r="158" spans="1:11" x14ac:dyDescent="0.2">
      <c r="A158" s="376"/>
      <c r="B158" s="377">
        <v>1.25</v>
      </c>
      <c r="C158" s="378">
        <v>170</v>
      </c>
      <c r="D158" s="379">
        <v>12.25</v>
      </c>
      <c r="E158" s="401">
        <v>39.380000000000003</v>
      </c>
      <c r="G158" s="380" t="s">
        <v>153</v>
      </c>
      <c r="H158" s="381">
        <f t="shared" si="20"/>
        <v>31.75</v>
      </c>
      <c r="I158" s="382">
        <f t="shared" si="21"/>
        <v>4318</v>
      </c>
      <c r="J158" s="382">
        <f t="shared" si="22"/>
        <v>311.14999999999998</v>
      </c>
      <c r="K158" s="396">
        <f t="shared" si="23"/>
        <v>1000.252</v>
      </c>
    </row>
    <row r="159" spans="1:11" x14ac:dyDescent="0.2">
      <c r="A159" s="376"/>
      <c r="B159" s="377">
        <v>1.63</v>
      </c>
      <c r="C159" s="378">
        <v>170</v>
      </c>
      <c r="D159" s="379">
        <v>12.25</v>
      </c>
      <c r="E159" s="401">
        <v>39.19</v>
      </c>
      <c r="G159" s="394">
        <f>204*25.4</f>
        <v>5181.5999999999995</v>
      </c>
      <c r="H159" s="381">
        <f t="shared" si="20"/>
        <v>41.401999999999994</v>
      </c>
      <c r="I159" s="382">
        <f t="shared" si="21"/>
        <v>4318</v>
      </c>
      <c r="J159" s="382">
        <f t="shared" si="22"/>
        <v>311.14999999999998</v>
      </c>
      <c r="K159" s="396">
        <f t="shared" si="23"/>
        <v>995.42599999999993</v>
      </c>
    </row>
    <row r="160" spans="1:11" ht="13.5" thickBot="1" x14ac:dyDescent="0.25">
      <c r="A160" s="384"/>
      <c r="B160" s="385">
        <v>2</v>
      </c>
      <c r="C160" s="386">
        <v>170</v>
      </c>
      <c r="D160" s="387">
        <v>12.25</v>
      </c>
      <c r="E160" s="402">
        <v>38.94</v>
      </c>
      <c r="G160" s="384"/>
      <c r="H160" s="388">
        <f t="shared" si="20"/>
        <v>50.8</v>
      </c>
      <c r="I160" s="389">
        <f t="shared" si="21"/>
        <v>4318</v>
      </c>
      <c r="J160" s="389">
        <f t="shared" si="22"/>
        <v>311.14999999999998</v>
      </c>
      <c r="K160" s="397">
        <f t="shared" si="23"/>
        <v>989.07599999999991</v>
      </c>
    </row>
    <row r="161" spans="1:11" ht="13.5" thickTop="1" x14ac:dyDescent="0.2">
      <c r="A161" s="370"/>
      <c r="B161" s="371">
        <v>1</v>
      </c>
      <c r="C161" s="372">
        <v>170</v>
      </c>
      <c r="D161" s="373">
        <v>12.63</v>
      </c>
      <c r="E161" s="400">
        <v>41.81</v>
      </c>
      <c r="G161" s="370"/>
      <c r="H161" s="374">
        <f t="shared" si="20"/>
        <v>25.4</v>
      </c>
      <c r="I161" s="375">
        <f t="shared" si="21"/>
        <v>4318</v>
      </c>
      <c r="J161" s="375">
        <f t="shared" si="22"/>
        <v>320.80200000000002</v>
      </c>
      <c r="K161" s="395">
        <f t="shared" si="23"/>
        <v>1061.9739999999999</v>
      </c>
    </row>
    <row r="162" spans="1:11" x14ac:dyDescent="0.2">
      <c r="A162" s="376"/>
      <c r="B162" s="377">
        <v>1.38</v>
      </c>
      <c r="C162" s="378">
        <v>170</v>
      </c>
      <c r="D162" s="379">
        <v>12.63</v>
      </c>
      <c r="E162" s="401">
        <v>41.63</v>
      </c>
      <c r="G162" s="380" t="s">
        <v>154</v>
      </c>
      <c r="H162" s="381">
        <f t="shared" si="20"/>
        <v>35.051999999999992</v>
      </c>
      <c r="I162" s="382">
        <f t="shared" si="21"/>
        <v>4318</v>
      </c>
      <c r="J162" s="382">
        <f t="shared" si="22"/>
        <v>320.80200000000002</v>
      </c>
      <c r="K162" s="396">
        <f t="shared" si="23"/>
        <v>1057.402</v>
      </c>
    </row>
    <row r="163" spans="1:11" x14ac:dyDescent="0.2">
      <c r="A163" s="376"/>
      <c r="B163" s="377">
        <v>1.75</v>
      </c>
      <c r="C163" s="378">
        <v>170</v>
      </c>
      <c r="D163" s="379">
        <v>12.63</v>
      </c>
      <c r="E163" s="401">
        <v>41.31</v>
      </c>
      <c r="G163" s="394">
        <f>210*25.4</f>
        <v>5334</v>
      </c>
      <c r="H163" s="381">
        <f t="shared" si="20"/>
        <v>44.449999999999996</v>
      </c>
      <c r="I163" s="382">
        <f t="shared" si="21"/>
        <v>4318</v>
      </c>
      <c r="J163" s="382">
        <f t="shared" si="22"/>
        <v>320.80200000000002</v>
      </c>
      <c r="K163" s="396">
        <f t="shared" si="23"/>
        <v>1049.2739999999999</v>
      </c>
    </row>
    <row r="164" spans="1:11" ht="13.5" thickBot="1" x14ac:dyDescent="0.25">
      <c r="A164" s="384"/>
      <c r="B164" s="385">
        <v>2.25</v>
      </c>
      <c r="C164" s="386">
        <v>170</v>
      </c>
      <c r="D164" s="387">
        <v>12.63</v>
      </c>
      <c r="E164" s="402">
        <v>41</v>
      </c>
      <c r="G164" s="384"/>
      <c r="H164" s="388">
        <f t="shared" si="20"/>
        <v>57.15</v>
      </c>
      <c r="I164" s="389">
        <f t="shared" si="21"/>
        <v>4318</v>
      </c>
      <c r="J164" s="389">
        <f t="shared" si="22"/>
        <v>320.80200000000002</v>
      </c>
      <c r="K164" s="397">
        <f t="shared" si="23"/>
        <v>1041.3999999999999</v>
      </c>
    </row>
    <row r="165" spans="1:11" ht="13.5" thickTop="1" x14ac:dyDescent="0.2">
      <c r="A165" s="370"/>
      <c r="B165" s="371">
        <v>1</v>
      </c>
      <c r="C165" s="372">
        <v>170</v>
      </c>
      <c r="D165" s="373">
        <v>13</v>
      </c>
      <c r="E165" s="400">
        <v>44.25</v>
      </c>
      <c r="G165" s="370"/>
      <c r="H165" s="374">
        <f t="shared" si="20"/>
        <v>25.4</v>
      </c>
      <c r="I165" s="375">
        <f t="shared" si="21"/>
        <v>4318</v>
      </c>
      <c r="J165" s="375">
        <f t="shared" si="22"/>
        <v>330.2</v>
      </c>
      <c r="K165" s="395">
        <f t="shared" si="23"/>
        <v>1123.95</v>
      </c>
    </row>
    <row r="166" spans="1:11" x14ac:dyDescent="0.2">
      <c r="A166" s="376"/>
      <c r="B166" s="377">
        <v>1.38</v>
      </c>
      <c r="C166" s="378">
        <v>170</v>
      </c>
      <c r="D166" s="379">
        <v>13</v>
      </c>
      <c r="E166" s="401">
        <v>44</v>
      </c>
      <c r="G166" s="380" t="s">
        <v>155</v>
      </c>
      <c r="H166" s="381">
        <f t="shared" si="20"/>
        <v>35.051999999999992</v>
      </c>
      <c r="I166" s="382">
        <f t="shared" si="21"/>
        <v>4318</v>
      </c>
      <c r="J166" s="382">
        <f t="shared" si="22"/>
        <v>330.2</v>
      </c>
      <c r="K166" s="396">
        <f t="shared" si="23"/>
        <v>1117.5999999999999</v>
      </c>
    </row>
    <row r="167" spans="1:11" x14ac:dyDescent="0.2">
      <c r="A167" s="376"/>
      <c r="B167" s="377">
        <v>1.75</v>
      </c>
      <c r="C167" s="378">
        <v>170</v>
      </c>
      <c r="D167" s="379">
        <v>13</v>
      </c>
      <c r="E167" s="401">
        <v>43.69</v>
      </c>
      <c r="G167" s="394">
        <f>216*25.4</f>
        <v>5486.4</v>
      </c>
      <c r="H167" s="381">
        <f t="shared" si="20"/>
        <v>44.449999999999996</v>
      </c>
      <c r="I167" s="382">
        <f t="shared" si="21"/>
        <v>4318</v>
      </c>
      <c r="J167" s="382">
        <f t="shared" si="22"/>
        <v>330.2</v>
      </c>
      <c r="K167" s="396">
        <f t="shared" si="23"/>
        <v>1109.7259999999999</v>
      </c>
    </row>
    <row r="168" spans="1:11" ht="13.5" thickBot="1" x14ac:dyDescent="0.25">
      <c r="A168" s="384"/>
      <c r="B168" s="385">
        <v>2</v>
      </c>
      <c r="C168" s="386">
        <v>170</v>
      </c>
      <c r="D168" s="387">
        <v>13</v>
      </c>
      <c r="E168" s="402">
        <v>43.5</v>
      </c>
      <c r="G168" s="384"/>
      <c r="H168" s="388">
        <f t="shared" si="20"/>
        <v>50.8</v>
      </c>
      <c r="I168" s="389">
        <f t="shared" si="21"/>
        <v>4318</v>
      </c>
      <c r="J168" s="389">
        <f t="shared" si="22"/>
        <v>330.2</v>
      </c>
      <c r="K168" s="397">
        <f t="shared" si="23"/>
        <v>1104.8999999999999</v>
      </c>
    </row>
    <row r="169" spans="1:11" ht="13.5" thickTop="1" x14ac:dyDescent="0.2">
      <c r="A169" s="370"/>
      <c r="B169" s="371">
        <v>1</v>
      </c>
      <c r="C169" s="372">
        <v>180</v>
      </c>
      <c r="D169" s="373">
        <v>13.75</v>
      </c>
      <c r="E169" s="400">
        <v>46.56</v>
      </c>
      <c r="G169" s="370"/>
      <c r="H169" s="374">
        <f t="shared" si="20"/>
        <v>25.4</v>
      </c>
      <c r="I169" s="375">
        <f t="shared" si="21"/>
        <v>4572</v>
      </c>
      <c r="J169" s="375">
        <f t="shared" si="22"/>
        <v>349.25</v>
      </c>
      <c r="K169" s="395">
        <f t="shared" si="23"/>
        <v>1182.624</v>
      </c>
    </row>
    <row r="170" spans="1:11" x14ac:dyDescent="0.2">
      <c r="A170" s="376"/>
      <c r="B170" s="377">
        <v>1.38</v>
      </c>
      <c r="C170" s="378">
        <v>180</v>
      </c>
      <c r="D170" s="379">
        <v>13.75</v>
      </c>
      <c r="E170" s="401">
        <v>46.31</v>
      </c>
      <c r="G170" s="380" t="s">
        <v>156</v>
      </c>
      <c r="H170" s="381">
        <f t="shared" si="20"/>
        <v>35.051999999999992</v>
      </c>
      <c r="I170" s="382">
        <f t="shared" si="21"/>
        <v>4572</v>
      </c>
      <c r="J170" s="382">
        <f t="shared" si="22"/>
        <v>349.25</v>
      </c>
      <c r="K170" s="396">
        <f t="shared" si="23"/>
        <v>1176.2739999999999</v>
      </c>
    </row>
    <row r="171" spans="1:11" x14ac:dyDescent="0.2">
      <c r="A171" s="376"/>
      <c r="B171" s="377">
        <v>1.75</v>
      </c>
      <c r="C171" s="378">
        <v>180</v>
      </c>
      <c r="D171" s="379">
        <v>13.75</v>
      </c>
      <c r="E171" s="401">
        <v>46.06</v>
      </c>
      <c r="G171" s="394">
        <f>228*25.4</f>
        <v>5791.2</v>
      </c>
      <c r="H171" s="381">
        <f t="shared" si="20"/>
        <v>44.449999999999996</v>
      </c>
      <c r="I171" s="382">
        <f t="shared" si="21"/>
        <v>4572</v>
      </c>
      <c r="J171" s="382">
        <f t="shared" si="22"/>
        <v>349.25</v>
      </c>
      <c r="K171" s="396">
        <f t="shared" si="23"/>
        <v>1169.924</v>
      </c>
    </row>
    <row r="172" spans="1:11" ht="13.5" thickBot="1" x14ac:dyDescent="0.25">
      <c r="A172" s="384"/>
      <c r="B172" s="385">
        <v>2</v>
      </c>
      <c r="C172" s="386">
        <v>180</v>
      </c>
      <c r="D172" s="387">
        <v>13.75</v>
      </c>
      <c r="E172" s="402">
        <v>45.69</v>
      </c>
      <c r="G172" s="384"/>
      <c r="H172" s="398">
        <f t="shared" si="20"/>
        <v>50.8</v>
      </c>
      <c r="I172" s="389">
        <f t="shared" si="21"/>
        <v>4572</v>
      </c>
      <c r="J172" s="389">
        <f t="shared" si="22"/>
        <v>349.25</v>
      </c>
      <c r="K172" s="399">
        <f t="shared" si="23"/>
        <v>1160.5259999999998</v>
      </c>
    </row>
    <row r="173" spans="1:11" ht="13.5" thickTop="1" x14ac:dyDescent="0.2"/>
  </sheetData>
  <sheetProtection password="8881" sheet="1" objects="1" scenarios="1"/>
  <phoneticPr fontId="7" type="noConversion"/>
  <pageMargins left="0.75" right="0.16" top="0.44" bottom="0.47" header="0.16" footer="0.16"/>
  <pageSetup scale="80" orientation="portrait" verticalDpi="0" r:id="rId1"/>
  <headerFooter alignWithMargins="0">
    <oddHeader>&amp;LArt Montemayor&amp;CASME Flanged and Dished Heads&amp;RMay21, 2003
Rev: 0</oddHeader>
    <oddFooter>&amp;CPage &amp;P of &amp;N&amp;RFileName: &amp;F
Worksheet: &amp;A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Q11" sqref="Q11"/>
    </sheetView>
  </sheetViews>
  <sheetFormatPr defaultRowHeight="12.75" x14ac:dyDescent="0.2"/>
  <cols>
    <col min="1" max="1" width="11.42578125" customWidth="1"/>
    <col min="2" max="2" width="14" customWidth="1"/>
    <col min="6" max="6" width="6" customWidth="1"/>
    <col min="7" max="7" width="2.42578125" customWidth="1"/>
  </cols>
  <sheetData>
    <row r="1" spans="1:2" x14ac:dyDescent="0.2">
      <c r="A1" s="445" t="s">
        <v>42</v>
      </c>
      <c r="B1" s="445" t="s">
        <v>43</v>
      </c>
    </row>
    <row r="2" spans="1:2" x14ac:dyDescent="0.2">
      <c r="A2" s="445"/>
      <c r="B2" s="445"/>
    </row>
    <row r="3" spans="1:2" x14ac:dyDescent="0.2">
      <c r="A3" s="10">
        <v>1</v>
      </c>
      <c r="B3">
        <v>0.26200000000000001</v>
      </c>
    </row>
    <row r="4" spans="1:2" x14ac:dyDescent="0.2">
      <c r="A4" s="10">
        <v>1.5</v>
      </c>
      <c r="B4">
        <v>0.88400000000000001</v>
      </c>
    </row>
    <row r="5" spans="1:2" x14ac:dyDescent="0.2">
      <c r="A5" s="10">
        <v>2</v>
      </c>
      <c r="B5">
        <v>2.0950000000000002</v>
      </c>
    </row>
    <row r="6" spans="1:2" x14ac:dyDescent="0.2">
      <c r="A6" s="10">
        <v>2.5</v>
      </c>
      <c r="B6">
        <v>4.0910000000000002</v>
      </c>
    </row>
    <row r="7" spans="1:2" x14ac:dyDescent="0.2">
      <c r="A7" s="10">
        <v>3</v>
      </c>
      <c r="B7">
        <v>7.069</v>
      </c>
    </row>
    <row r="8" spans="1:2" x14ac:dyDescent="0.2">
      <c r="A8" s="10">
        <v>3.5</v>
      </c>
      <c r="B8">
        <v>11.225</v>
      </c>
    </row>
    <row r="9" spans="1:2" x14ac:dyDescent="0.2">
      <c r="A9" s="10">
        <v>4</v>
      </c>
      <c r="B9">
        <v>16.756</v>
      </c>
    </row>
    <row r="10" spans="1:2" x14ac:dyDescent="0.2">
      <c r="A10" s="10">
        <v>4.5</v>
      </c>
      <c r="B10">
        <v>23.856999999999999</v>
      </c>
    </row>
    <row r="11" spans="1:2" x14ac:dyDescent="0.2">
      <c r="A11" s="10">
        <v>5</v>
      </c>
      <c r="B11">
        <v>32.725000000000001</v>
      </c>
    </row>
    <row r="12" spans="1:2" x14ac:dyDescent="0.2">
      <c r="A12" s="10">
        <v>5.5</v>
      </c>
      <c r="B12">
        <v>43.557000000000002</v>
      </c>
    </row>
    <row r="13" spans="1:2" x14ac:dyDescent="0.2">
      <c r="A13" s="10">
        <v>6</v>
      </c>
      <c r="B13">
        <v>56.548000000000002</v>
      </c>
    </row>
    <row r="14" spans="1:2" x14ac:dyDescent="0.2">
      <c r="A14" s="10">
        <v>6.5</v>
      </c>
      <c r="B14">
        <v>71.896000000000001</v>
      </c>
    </row>
    <row r="15" spans="1:2" x14ac:dyDescent="0.2">
      <c r="A15" s="10">
        <v>7</v>
      </c>
      <c r="B15">
        <v>89.796999999999997</v>
      </c>
    </row>
    <row r="16" spans="1:2" x14ac:dyDescent="0.2">
      <c r="A16" s="10">
        <v>7.5</v>
      </c>
      <c r="B16">
        <v>110.447</v>
      </c>
    </row>
    <row r="17" spans="1:6" x14ac:dyDescent="0.2">
      <c r="A17" s="10">
        <v>8</v>
      </c>
      <c r="B17">
        <v>134.041</v>
      </c>
    </row>
    <row r="18" spans="1:6" x14ac:dyDescent="0.2">
      <c r="A18" s="10">
        <v>8.5</v>
      </c>
      <c r="B18">
        <v>160.77799999999999</v>
      </c>
    </row>
    <row r="19" spans="1:6" x14ac:dyDescent="0.2">
      <c r="A19" s="10">
        <v>9</v>
      </c>
      <c r="B19">
        <v>190.852</v>
      </c>
    </row>
    <row r="20" spans="1:6" x14ac:dyDescent="0.2">
      <c r="A20" s="10">
        <v>9.5</v>
      </c>
      <c r="B20">
        <v>224.46</v>
      </c>
    </row>
    <row r="21" spans="1:6" x14ac:dyDescent="0.2">
      <c r="A21" s="10">
        <v>10</v>
      </c>
      <c r="B21">
        <v>261.79899999999998</v>
      </c>
    </row>
    <row r="32" spans="1:6" x14ac:dyDescent="0.2">
      <c r="A32" s="428" t="s">
        <v>553</v>
      </c>
      <c r="B32" s="428"/>
      <c r="C32" s="428"/>
      <c r="D32" s="428"/>
      <c r="E32" s="89">
        <f>10*12</f>
        <v>120</v>
      </c>
      <c r="F32" t="s">
        <v>356</v>
      </c>
    </row>
    <row r="33" spans="1:9" ht="13.5" thickBot="1" x14ac:dyDescent="0.25"/>
    <row r="34" spans="1:9" ht="15.75" thickTop="1" thickBot="1" x14ac:dyDescent="0.25">
      <c r="A34" s="428" t="s">
        <v>554</v>
      </c>
      <c r="B34" s="428"/>
      <c r="C34" s="428"/>
      <c r="D34" s="428"/>
      <c r="E34" s="284">
        <f>0.2619*(E32/12)^3</f>
        <v>261.90000000000003</v>
      </c>
      <c r="F34" t="s">
        <v>552</v>
      </c>
      <c r="G34" s="88" t="s">
        <v>357</v>
      </c>
      <c r="H34" s="283">
        <f>E34*7.4805</f>
        <v>1959.1429500000004</v>
      </c>
      <c r="I34" t="s">
        <v>551</v>
      </c>
    </row>
    <row r="35" spans="1:9" ht="13.5" thickTop="1" x14ac:dyDescent="0.2"/>
  </sheetData>
  <sheetProtection password="8881" sheet="1" objects="1" scenarios="1"/>
  <mergeCells count="4">
    <mergeCell ref="A34:D34"/>
    <mergeCell ref="A32:D32"/>
    <mergeCell ref="A1:A2"/>
    <mergeCell ref="B1:B2"/>
  </mergeCells>
  <phoneticPr fontId="7" type="noConversion"/>
  <printOptions gridLines="1" gridLinesSet="0"/>
  <pageMargins left="0.75" right="0.27" top="1.21" bottom="0.51" header="0.88" footer="0.16"/>
  <pageSetup orientation="landscape" horizontalDpi="4294967292" r:id="rId1"/>
  <headerFooter alignWithMargins="0">
    <oddHeader>&amp;LArt Montemayor &amp;C&amp;A&amp;RSeptember 12, 1997
Rev 0</oddHeader>
    <oddFooter>&amp;CPage &amp;P of &amp;N&amp;RElectronic FileName: &amp;F 
WorkSheet: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C2" sqref="C2"/>
    </sheetView>
  </sheetViews>
  <sheetFormatPr defaultRowHeight="12.75" x14ac:dyDescent="0.2"/>
  <cols>
    <col min="1" max="1" width="10.85546875" customWidth="1"/>
    <col min="2" max="2" width="10.5703125" customWidth="1"/>
    <col min="3" max="3" width="5.5703125" customWidth="1"/>
    <col min="6" max="6" width="6" customWidth="1"/>
    <col min="7" max="7" width="2.28515625" customWidth="1"/>
  </cols>
  <sheetData>
    <row r="1" spans="1:2" ht="12.75" customHeight="1" x14ac:dyDescent="0.2">
      <c r="A1" s="446" t="s">
        <v>42</v>
      </c>
      <c r="B1" s="446" t="s">
        <v>44</v>
      </c>
    </row>
    <row r="2" spans="1:2" x14ac:dyDescent="0.2">
      <c r="A2" s="446"/>
      <c r="B2" s="446"/>
    </row>
    <row r="3" spans="1:2" x14ac:dyDescent="0.2">
      <c r="A3" s="10">
        <v>1</v>
      </c>
      <c r="B3" s="11">
        <v>5.2999999999999999E-2</v>
      </c>
    </row>
    <row r="4" spans="1:2" x14ac:dyDescent="0.2">
      <c r="A4" s="10">
        <v>1.5</v>
      </c>
      <c r="B4" s="11">
        <v>0.182</v>
      </c>
    </row>
    <row r="5" spans="1:2" x14ac:dyDescent="0.2">
      <c r="A5" s="10">
        <v>2</v>
      </c>
      <c r="B5" s="11">
        <v>0.43</v>
      </c>
    </row>
    <row r="6" spans="1:2" x14ac:dyDescent="0.2">
      <c r="A6" s="10">
        <v>2.5</v>
      </c>
      <c r="B6" s="11">
        <v>0.84199999999999997</v>
      </c>
    </row>
    <row r="7" spans="1:2" x14ac:dyDescent="0.2">
      <c r="A7" s="10">
        <v>3</v>
      </c>
      <c r="B7" s="11">
        <v>1.454</v>
      </c>
    </row>
    <row r="8" spans="1:2" x14ac:dyDescent="0.2">
      <c r="A8" s="10">
        <v>3.5</v>
      </c>
      <c r="B8" s="11">
        <v>2.31</v>
      </c>
    </row>
    <row r="9" spans="1:2" x14ac:dyDescent="0.2">
      <c r="A9" s="10">
        <v>4</v>
      </c>
      <c r="B9" s="11">
        <v>3.448</v>
      </c>
    </row>
    <row r="10" spans="1:2" x14ac:dyDescent="0.2">
      <c r="A10" s="10">
        <v>4.5</v>
      </c>
      <c r="B10" s="11">
        <v>4.9089999999999998</v>
      </c>
    </row>
    <row r="11" spans="1:2" x14ac:dyDescent="0.2">
      <c r="A11" s="10">
        <v>5</v>
      </c>
      <c r="B11" s="11">
        <v>6.7329999999999997</v>
      </c>
    </row>
    <row r="12" spans="1:2" x14ac:dyDescent="0.2">
      <c r="A12" s="10">
        <v>5.5</v>
      </c>
      <c r="B12" s="11">
        <v>8.9629999999999992</v>
      </c>
    </row>
    <row r="13" spans="1:2" x14ac:dyDescent="0.2">
      <c r="A13" s="10">
        <v>6</v>
      </c>
      <c r="B13" s="11">
        <v>11.635999999999999</v>
      </c>
    </row>
    <row r="14" spans="1:2" x14ac:dyDescent="0.2">
      <c r="A14" s="10">
        <v>6.5</v>
      </c>
      <c r="B14" s="11">
        <v>14.794</v>
      </c>
    </row>
    <row r="15" spans="1:2" x14ac:dyDescent="0.2">
      <c r="A15" s="10">
        <v>7</v>
      </c>
      <c r="B15" s="11">
        <v>18.477</v>
      </c>
    </row>
    <row r="16" spans="1:2" x14ac:dyDescent="0.2">
      <c r="A16" s="10">
        <v>7.5</v>
      </c>
      <c r="B16" s="11">
        <v>22.727</v>
      </c>
    </row>
    <row r="17" spans="1:6" x14ac:dyDescent="0.2">
      <c r="A17" s="10">
        <v>8</v>
      </c>
      <c r="B17" s="11">
        <v>27.582000000000001</v>
      </c>
    </row>
    <row r="18" spans="1:6" x14ac:dyDescent="0.2">
      <c r="A18" s="10">
        <v>8.5</v>
      </c>
      <c r="B18" s="11">
        <v>33.082999999999998</v>
      </c>
    </row>
    <row r="19" spans="1:6" x14ac:dyDescent="0.2">
      <c r="A19" s="10">
        <v>9</v>
      </c>
      <c r="B19" s="11">
        <v>39.271000000000001</v>
      </c>
    </row>
    <row r="20" spans="1:6" x14ac:dyDescent="0.2">
      <c r="A20" s="10">
        <v>9.5</v>
      </c>
      <c r="B20" s="11">
        <v>46.188000000000002</v>
      </c>
    </row>
    <row r="21" spans="1:6" x14ac:dyDescent="0.2">
      <c r="A21" s="10">
        <v>10</v>
      </c>
      <c r="B21" s="11">
        <v>53.871000000000002</v>
      </c>
    </row>
    <row r="32" spans="1:6" x14ac:dyDescent="0.2">
      <c r="A32" s="428" t="s">
        <v>557</v>
      </c>
      <c r="B32" s="428"/>
      <c r="C32" s="428"/>
      <c r="D32" s="428"/>
      <c r="E32" s="89">
        <f>10*12</f>
        <v>120</v>
      </c>
      <c r="F32" t="s">
        <v>356</v>
      </c>
    </row>
    <row r="33" spans="1:9" ht="13.5" thickBot="1" x14ac:dyDescent="0.25"/>
    <row r="34" spans="1:9" ht="15.75" thickTop="1" thickBot="1" x14ac:dyDescent="0.25">
      <c r="A34" s="428" t="s">
        <v>558</v>
      </c>
      <c r="B34" s="428"/>
      <c r="C34" s="428"/>
      <c r="D34" s="428"/>
      <c r="E34" s="190">
        <f>0.0536*(E32/12)^3</f>
        <v>53.6</v>
      </c>
      <c r="F34" t="s">
        <v>552</v>
      </c>
      <c r="G34" s="88" t="s">
        <v>357</v>
      </c>
      <c r="H34" s="283">
        <f>E34*7.48052</f>
        <v>400.955872</v>
      </c>
      <c r="I34" t="s">
        <v>551</v>
      </c>
    </row>
    <row r="35" spans="1:9" ht="13.5" thickTop="1" x14ac:dyDescent="0.2"/>
  </sheetData>
  <sheetProtection password="8881" sheet="1" objects="1" scenarios="1"/>
  <mergeCells count="4">
    <mergeCell ref="A34:D34"/>
    <mergeCell ref="A1:A2"/>
    <mergeCell ref="B1:B2"/>
    <mergeCell ref="A32:D32"/>
  </mergeCells>
  <phoneticPr fontId="7" type="noConversion"/>
  <printOptions gridLines="1" gridLinesSet="0"/>
  <pageMargins left="0.74" right="0.23" top="1.19" bottom="0.52" header="0.85" footer="0.16"/>
  <pageSetup orientation="landscape" horizontalDpi="4294967292" r:id="rId1"/>
  <headerFooter alignWithMargins="0">
    <oddHeader>&amp;LArt Montemayor &amp;C&amp;A&amp;RSeptember 12, 1997
Rev 0</oddHeader>
    <oddFooter>&amp;CPage &amp;P of &amp;N&amp;RElectronic FileName: &amp;F
WorkSheet: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K171"/>
  <sheetViews>
    <sheetView showGridLines="0" topLeftCell="A13" workbookViewId="0">
      <selection activeCell="O24" sqref="O24"/>
    </sheetView>
  </sheetViews>
  <sheetFormatPr defaultRowHeight="12.75" x14ac:dyDescent="0.2"/>
  <sheetData>
    <row r="13" spans="1:1" x14ac:dyDescent="0.2">
      <c r="A13" s="360" t="s">
        <v>116</v>
      </c>
    </row>
    <row r="14" spans="1:1" x14ac:dyDescent="0.2">
      <c r="A14" s="360" t="s">
        <v>157</v>
      </c>
    </row>
    <row r="15" spans="1:1" x14ac:dyDescent="0.2">
      <c r="A15" s="363" t="s">
        <v>111</v>
      </c>
    </row>
    <row r="16" spans="1:1" x14ac:dyDescent="0.2">
      <c r="A16" s="363" t="s">
        <v>112</v>
      </c>
    </row>
    <row r="23" spans="1:11" ht="13.5" customHeight="1" x14ac:dyDescent="0.2">
      <c r="A23" s="366" t="s">
        <v>113</v>
      </c>
    </row>
    <row r="24" spans="1:11" ht="13.5" customHeight="1" x14ac:dyDescent="0.2">
      <c r="B24" s="223" t="s">
        <v>164</v>
      </c>
    </row>
    <row r="25" spans="1:11" ht="13.5" customHeight="1" x14ac:dyDescent="0.2">
      <c r="A25" s="353"/>
      <c r="B25" s="223" t="s">
        <v>118</v>
      </c>
    </row>
    <row r="26" spans="1:11" ht="12" customHeight="1" x14ac:dyDescent="0.2"/>
    <row r="27" spans="1:11" x14ac:dyDescent="0.2">
      <c r="A27" t="s">
        <v>119</v>
      </c>
    </row>
    <row r="28" spans="1:11" ht="13.5" thickBot="1" x14ac:dyDescent="0.25">
      <c r="A28" s="367" t="s">
        <v>166</v>
      </c>
      <c r="G28" s="360" t="s">
        <v>167</v>
      </c>
    </row>
    <row r="29" spans="1:11" ht="14.25" thickTop="1" thickBot="1" x14ac:dyDescent="0.25">
      <c r="A29" s="368" t="s">
        <v>120</v>
      </c>
      <c r="B29" s="368" t="s">
        <v>121</v>
      </c>
      <c r="C29" s="368" t="s">
        <v>122</v>
      </c>
      <c r="D29" s="368" t="s">
        <v>123</v>
      </c>
      <c r="E29" s="368" t="s">
        <v>124</v>
      </c>
      <c r="G29" s="368" t="s">
        <v>120</v>
      </c>
      <c r="H29" s="368" t="s">
        <v>160</v>
      </c>
      <c r="I29" s="368" t="s">
        <v>161</v>
      </c>
      <c r="J29" s="368" t="s">
        <v>162</v>
      </c>
      <c r="K29" s="368" t="s">
        <v>163</v>
      </c>
    </row>
    <row r="30" spans="1:11" ht="13.5" thickTop="1" x14ac:dyDescent="0.2">
      <c r="A30" s="370"/>
      <c r="B30" s="371">
        <v>0.38</v>
      </c>
      <c r="C30" s="372">
        <v>24</v>
      </c>
      <c r="D30" s="373">
        <v>1.1299999999999999</v>
      </c>
      <c r="E30" s="400">
        <v>4.25</v>
      </c>
      <c r="G30" s="370"/>
      <c r="H30" s="374">
        <f t="shared" ref="H30:H53" si="0">B30*25.4</f>
        <v>9.6519999999999992</v>
      </c>
      <c r="I30" s="375">
        <f t="shared" ref="I30:I53" si="1">C30*25.4</f>
        <v>609.59999999999991</v>
      </c>
      <c r="J30" s="375">
        <f t="shared" ref="J30:J53" si="2">D30*25.4</f>
        <v>28.701999999999995</v>
      </c>
      <c r="K30" s="395">
        <f t="shared" ref="K30:K53" si="3">E30*25.4</f>
        <v>107.94999999999999</v>
      </c>
    </row>
    <row r="31" spans="1:11" x14ac:dyDescent="0.2">
      <c r="A31" s="376"/>
      <c r="B31" s="377">
        <v>0.5</v>
      </c>
      <c r="C31" s="378">
        <v>24</v>
      </c>
      <c r="D31" s="379">
        <v>1.5</v>
      </c>
      <c r="E31" s="401">
        <v>4.38</v>
      </c>
      <c r="G31" s="380" t="s">
        <v>126</v>
      </c>
      <c r="H31" s="381">
        <f t="shared" si="0"/>
        <v>12.7</v>
      </c>
      <c r="I31" s="382">
        <f t="shared" si="1"/>
        <v>609.59999999999991</v>
      </c>
      <c r="J31" s="382">
        <f t="shared" si="2"/>
        <v>38.099999999999994</v>
      </c>
      <c r="K31" s="396">
        <f t="shared" si="3"/>
        <v>111.252</v>
      </c>
    </row>
    <row r="32" spans="1:11" x14ac:dyDescent="0.2">
      <c r="A32" s="376"/>
      <c r="B32" s="377">
        <v>0.63</v>
      </c>
      <c r="C32" s="378">
        <v>24</v>
      </c>
      <c r="D32" s="379">
        <v>1.88</v>
      </c>
      <c r="E32" s="401">
        <v>4.5</v>
      </c>
      <c r="G32" s="383">
        <v>660</v>
      </c>
      <c r="H32" s="381">
        <f t="shared" si="0"/>
        <v>16.001999999999999</v>
      </c>
      <c r="I32" s="382">
        <f t="shared" si="1"/>
        <v>609.59999999999991</v>
      </c>
      <c r="J32" s="382">
        <f t="shared" si="2"/>
        <v>47.751999999999995</v>
      </c>
      <c r="K32" s="396">
        <f t="shared" si="3"/>
        <v>114.3</v>
      </c>
    </row>
    <row r="33" spans="1:11" ht="13.5" thickBot="1" x14ac:dyDescent="0.25">
      <c r="A33" s="384"/>
      <c r="B33" s="385">
        <v>0.75</v>
      </c>
      <c r="C33" s="386">
        <v>24</v>
      </c>
      <c r="D33" s="387">
        <v>2.25</v>
      </c>
      <c r="E33" s="402">
        <v>4.6900000000000004</v>
      </c>
      <c r="G33" s="384"/>
      <c r="H33" s="388">
        <f t="shared" si="0"/>
        <v>19.049999999999997</v>
      </c>
      <c r="I33" s="389">
        <f t="shared" si="1"/>
        <v>609.59999999999991</v>
      </c>
      <c r="J33" s="389">
        <f t="shared" si="2"/>
        <v>57.15</v>
      </c>
      <c r="K33" s="397">
        <f t="shared" si="3"/>
        <v>119.126</v>
      </c>
    </row>
    <row r="34" spans="1:11" ht="13.5" thickTop="1" x14ac:dyDescent="0.2">
      <c r="A34" s="370"/>
      <c r="B34" s="390">
        <v>0.38</v>
      </c>
      <c r="C34" s="372">
        <v>26</v>
      </c>
      <c r="D34" s="373">
        <v>4.5</v>
      </c>
      <c r="E34" s="400">
        <v>4.5</v>
      </c>
      <c r="G34" s="370"/>
      <c r="H34" s="374">
        <f t="shared" si="0"/>
        <v>9.6519999999999992</v>
      </c>
      <c r="I34" s="375">
        <f t="shared" si="1"/>
        <v>660.4</v>
      </c>
      <c r="J34" s="375">
        <f t="shared" si="2"/>
        <v>114.3</v>
      </c>
      <c r="K34" s="395">
        <f t="shared" si="3"/>
        <v>114.3</v>
      </c>
    </row>
    <row r="35" spans="1:11" x14ac:dyDescent="0.2">
      <c r="A35" s="376"/>
      <c r="B35" s="391">
        <v>0.5</v>
      </c>
      <c r="C35" s="378">
        <v>26</v>
      </c>
      <c r="D35" s="379">
        <v>4.63</v>
      </c>
      <c r="E35" s="401">
        <v>4.63</v>
      </c>
      <c r="G35" s="380" t="s">
        <v>127</v>
      </c>
      <c r="H35" s="381">
        <f t="shared" si="0"/>
        <v>12.7</v>
      </c>
      <c r="I35" s="382">
        <f t="shared" si="1"/>
        <v>660.4</v>
      </c>
      <c r="J35" s="382">
        <f t="shared" si="2"/>
        <v>117.60199999999999</v>
      </c>
      <c r="K35" s="396">
        <f t="shared" si="3"/>
        <v>117.60199999999999</v>
      </c>
    </row>
    <row r="36" spans="1:11" x14ac:dyDescent="0.2">
      <c r="A36" s="376"/>
      <c r="B36" s="391">
        <v>0.63</v>
      </c>
      <c r="C36" s="378">
        <v>26</v>
      </c>
      <c r="D36" s="379">
        <v>4.75</v>
      </c>
      <c r="E36" s="401">
        <v>4.75</v>
      </c>
      <c r="G36" s="383">
        <v>711</v>
      </c>
      <c r="H36" s="381">
        <f t="shared" si="0"/>
        <v>16.001999999999999</v>
      </c>
      <c r="I36" s="382">
        <f t="shared" si="1"/>
        <v>660.4</v>
      </c>
      <c r="J36" s="382">
        <f t="shared" si="2"/>
        <v>120.64999999999999</v>
      </c>
      <c r="K36" s="396">
        <f t="shared" si="3"/>
        <v>120.64999999999999</v>
      </c>
    </row>
    <row r="37" spans="1:11" ht="13.5" thickBot="1" x14ac:dyDescent="0.25">
      <c r="A37" s="384"/>
      <c r="B37" s="392">
        <v>0.75</v>
      </c>
      <c r="C37" s="386">
        <v>26</v>
      </c>
      <c r="D37" s="387">
        <v>4.9400000000000004</v>
      </c>
      <c r="E37" s="402">
        <v>4.9400000000000004</v>
      </c>
      <c r="G37" s="384"/>
      <c r="H37" s="388">
        <f t="shared" si="0"/>
        <v>19.049999999999997</v>
      </c>
      <c r="I37" s="389">
        <f t="shared" si="1"/>
        <v>660.4</v>
      </c>
      <c r="J37" s="389">
        <f t="shared" si="2"/>
        <v>125.476</v>
      </c>
      <c r="K37" s="397">
        <f t="shared" si="3"/>
        <v>125.476</v>
      </c>
    </row>
    <row r="38" spans="1:11" ht="13.5" thickTop="1" x14ac:dyDescent="0.2">
      <c r="A38" s="370"/>
      <c r="B38" s="390">
        <v>0.38</v>
      </c>
      <c r="C38" s="372">
        <v>30</v>
      </c>
      <c r="D38" s="373">
        <v>4.5</v>
      </c>
      <c r="E38" s="400">
        <v>4.5</v>
      </c>
      <c r="G38" s="370"/>
      <c r="H38" s="374">
        <f t="shared" si="0"/>
        <v>9.6519999999999992</v>
      </c>
      <c r="I38" s="375">
        <f t="shared" si="1"/>
        <v>762</v>
      </c>
      <c r="J38" s="375">
        <f t="shared" si="2"/>
        <v>114.3</v>
      </c>
      <c r="K38" s="395">
        <f t="shared" si="3"/>
        <v>114.3</v>
      </c>
    </row>
    <row r="39" spans="1:11" x14ac:dyDescent="0.2">
      <c r="A39" s="376"/>
      <c r="B39" s="391">
        <v>0.5</v>
      </c>
      <c r="C39" s="378">
        <v>30</v>
      </c>
      <c r="D39" s="379">
        <v>4.63</v>
      </c>
      <c r="E39" s="401">
        <v>4.63</v>
      </c>
      <c r="G39" s="380" t="s">
        <v>128</v>
      </c>
      <c r="H39" s="381">
        <f t="shared" si="0"/>
        <v>12.7</v>
      </c>
      <c r="I39" s="382">
        <f t="shared" si="1"/>
        <v>762</v>
      </c>
      <c r="J39" s="382">
        <f t="shared" si="2"/>
        <v>117.60199999999999</v>
      </c>
      <c r="K39" s="396">
        <f t="shared" si="3"/>
        <v>117.60199999999999</v>
      </c>
    </row>
    <row r="40" spans="1:11" x14ac:dyDescent="0.2">
      <c r="A40" s="376"/>
      <c r="B40" s="391">
        <v>0.63</v>
      </c>
      <c r="C40" s="378">
        <v>30</v>
      </c>
      <c r="D40" s="379">
        <v>4.8099999999999996</v>
      </c>
      <c r="E40" s="401">
        <v>4.8099999999999996</v>
      </c>
      <c r="G40" s="383">
        <f>30*25.4</f>
        <v>762</v>
      </c>
      <c r="H40" s="381">
        <f t="shared" si="0"/>
        <v>16.001999999999999</v>
      </c>
      <c r="I40" s="382">
        <f t="shared" si="1"/>
        <v>762</v>
      </c>
      <c r="J40" s="382">
        <f t="shared" si="2"/>
        <v>122.17399999999998</v>
      </c>
      <c r="K40" s="396">
        <f t="shared" si="3"/>
        <v>122.17399999999998</v>
      </c>
    </row>
    <row r="41" spans="1:11" ht="13.5" thickBot="1" x14ac:dyDescent="0.25">
      <c r="A41" s="384"/>
      <c r="B41" s="392">
        <v>0.75</v>
      </c>
      <c r="C41" s="386">
        <v>30</v>
      </c>
      <c r="D41" s="387">
        <v>5</v>
      </c>
      <c r="E41" s="402">
        <v>5</v>
      </c>
      <c r="G41" s="384"/>
      <c r="H41" s="388">
        <f t="shared" si="0"/>
        <v>19.049999999999997</v>
      </c>
      <c r="I41" s="389">
        <f t="shared" si="1"/>
        <v>762</v>
      </c>
      <c r="J41" s="389">
        <f t="shared" si="2"/>
        <v>127</v>
      </c>
      <c r="K41" s="397">
        <f t="shared" si="3"/>
        <v>127</v>
      </c>
    </row>
    <row r="42" spans="1:11" ht="13.5" thickTop="1" x14ac:dyDescent="0.2">
      <c r="A42" s="370"/>
      <c r="B42" s="390">
        <v>0.38</v>
      </c>
      <c r="C42" s="372">
        <v>30</v>
      </c>
      <c r="D42" s="373">
        <v>5</v>
      </c>
      <c r="E42" s="400">
        <v>5</v>
      </c>
      <c r="G42" s="370"/>
      <c r="H42" s="374">
        <f t="shared" si="0"/>
        <v>9.6519999999999992</v>
      </c>
      <c r="I42" s="375">
        <f t="shared" si="1"/>
        <v>762</v>
      </c>
      <c r="J42" s="375">
        <f t="shared" si="2"/>
        <v>127</v>
      </c>
      <c r="K42" s="395">
        <f t="shared" si="3"/>
        <v>127</v>
      </c>
    </row>
    <row r="43" spans="1:11" x14ac:dyDescent="0.2">
      <c r="A43" s="376"/>
      <c r="B43" s="391">
        <v>0.5</v>
      </c>
      <c r="C43" s="378">
        <v>30</v>
      </c>
      <c r="D43" s="379">
        <v>5.19</v>
      </c>
      <c r="E43" s="401">
        <v>5.19</v>
      </c>
      <c r="G43" s="380" t="s">
        <v>129</v>
      </c>
      <c r="H43" s="381">
        <f t="shared" si="0"/>
        <v>12.7</v>
      </c>
      <c r="I43" s="382">
        <f t="shared" si="1"/>
        <v>762</v>
      </c>
      <c r="J43" s="382">
        <f t="shared" si="2"/>
        <v>131.82599999999999</v>
      </c>
      <c r="K43" s="396">
        <f t="shared" si="3"/>
        <v>131.82599999999999</v>
      </c>
    </row>
    <row r="44" spans="1:11" x14ac:dyDescent="0.2">
      <c r="A44" s="376"/>
      <c r="B44" s="391">
        <v>0.63</v>
      </c>
      <c r="C44" s="378">
        <v>30</v>
      </c>
      <c r="D44" s="379">
        <v>5.31</v>
      </c>
      <c r="E44" s="401">
        <v>5.31</v>
      </c>
      <c r="G44" s="393">
        <f>32*25.4</f>
        <v>812.8</v>
      </c>
      <c r="H44" s="381">
        <f t="shared" si="0"/>
        <v>16.001999999999999</v>
      </c>
      <c r="I44" s="382">
        <f t="shared" si="1"/>
        <v>762</v>
      </c>
      <c r="J44" s="382">
        <f t="shared" si="2"/>
        <v>134.874</v>
      </c>
      <c r="K44" s="396">
        <f t="shared" si="3"/>
        <v>134.874</v>
      </c>
    </row>
    <row r="45" spans="1:11" ht="13.5" thickBot="1" x14ac:dyDescent="0.25">
      <c r="A45" s="384"/>
      <c r="B45" s="392">
        <v>0.75</v>
      </c>
      <c r="C45" s="386">
        <v>30</v>
      </c>
      <c r="D45" s="387">
        <v>5.5</v>
      </c>
      <c r="E45" s="402">
        <v>5.5</v>
      </c>
      <c r="G45" s="384"/>
      <c r="H45" s="388">
        <f t="shared" si="0"/>
        <v>19.049999999999997</v>
      </c>
      <c r="I45" s="389">
        <f t="shared" si="1"/>
        <v>762</v>
      </c>
      <c r="J45" s="389">
        <f t="shared" si="2"/>
        <v>139.69999999999999</v>
      </c>
      <c r="K45" s="397">
        <f t="shared" si="3"/>
        <v>139.69999999999999</v>
      </c>
    </row>
    <row r="46" spans="1:11" ht="13.5" thickTop="1" x14ac:dyDescent="0.2">
      <c r="A46" s="370"/>
      <c r="B46" s="390">
        <v>0.38</v>
      </c>
      <c r="C46" s="372">
        <v>34</v>
      </c>
      <c r="D46" s="373">
        <v>5</v>
      </c>
      <c r="E46" s="400">
        <v>5</v>
      </c>
      <c r="G46" s="370"/>
      <c r="H46" s="374">
        <f t="shared" si="0"/>
        <v>9.6519999999999992</v>
      </c>
      <c r="I46" s="375">
        <f t="shared" si="1"/>
        <v>863.59999999999991</v>
      </c>
      <c r="J46" s="375">
        <f t="shared" si="2"/>
        <v>127</v>
      </c>
      <c r="K46" s="395">
        <f t="shared" si="3"/>
        <v>127</v>
      </c>
    </row>
    <row r="47" spans="1:11" x14ac:dyDescent="0.2">
      <c r="A47" s="376"/>
      <c r="B47" s="391">
        <v>0.5</v>
      </c>
      <c r="C47" s="378">
        <v>34</v>
      </c>
      <c r="D47" s="379">
        <v>5.19</v>
      </c>
      <c r="E47" s="401">
        <v>5.19</v>
      </c>
      <c r="G47" s="380">
        <v>34</v>
      </c>
      <c r="H47" s="381">
        <f t="shared" si="0"/>
        <v>12.7</v>
      </c>
      <c r="I47" s="382">
        <f t="shared" si="1"/>
        <v>863.59999999999991</v>
      </c>
      <c r="J47" s="382">
        <f t="shared" si="2"/>
        <v>131.82599999999999</v>
      </c>
      <c r="K47" s="396">
        <f t="shared" si="3"/>
        <v>131.82599999999999</v>
      </c>
    </row>
    <row r="48" spans="1:11" x14ac:dyDescent="0.2">
      <c r="A48" s="376"/>
      <c r="B48" s="391">
        <v>0.63</v>
      </c>
      <c r="C48" s="378">
        <v>33</v>
      </c>
      <c r="D48" s="379">
        <v>5.44</v>
      </c>
      <c r="E48" s="401">
        <v>5.44</v>
      </c>
      <c r="G48" s="383">
        <v>864</v>
      </c>
      <c r="H48" s="381">
        <f t="shared" si="0"/>
        <v>16.001999999999999</v>
      </c>
      <c r="I48" s="382">
        <f t="shared" si="1"/>
        <v>838.19999999999993</v>
      </c>
      <c r="J48" s="382">
        <f t="shared" si="2"/>
        <v>138.17600000000002</v>
      </c>
      <c r="K48" s="396">
        <f t="shared" si="3"/>
        <v>138.17600000000002</v>
      </c>
    </row>
    <row r="49" spans="1:11" ht="13.5" thickBot="1" x14ac:dyDescent="0.25">
      <c r="A49" s="384"/>
      <c r="B49" s="392">
        <v>0.75</v>
      </c>
      <c r="C49" s="386">
        <v>30</v>
      </c>
      <c r="D49" s="387">
        <v>6.06</v>
      </c>
      <c r="E49" s="402">
        <v>6.06</v>
      </c>
      <c r="G49" s="384"/>
      <c r="H49" s="388">
        <f t="shared" si="0"/>
        <v>19.049999999999997</v>
      </c>
      <c r="I49" s="389">
        <f t="shared" si="1"/>
        <v>762</v>
      </c>
      <c r="J49" s="389">
        <f t="shared" si="2"/>
        <v>153.92399999999998</v>
      </c>
      <c r="K49" s="397">
        <f t="shared" si="3"/>
        <v>153.92399999999998</v>
      </c>
    </row>
    <row r="50" spans="1:11" ht="13.5" thickTop="1" x14ac:dyDescent="0.2">
      <c r="A50" s="370"/>
      <c r="B50" s="390">
        <v>0.38</v>
      </c>
      <c r="C50" s="372">
        <v>36</v>
      </c>
      <c r="D50" s="373">
        <v>5.25</v>
      </c>
      <c r="E50" s="400">
        <v>5.25</v>
      </c>
      <c r="G50" s="370"/>
      <c r="H50" s="374">
        <f t="shared" si="0"/>
        <v>9.6519999999999992</v>
      </c>
      <c r="I50" s="375">
        <f t="shared" si="1"/>
        <v>914.4</v>
      </c>
      <c r="J50" s="375">
        <f t="shared" si="2"/>
        <v>133.35</v>
      </c>
      <c r="K50" s="395">
        <f t="shared" si="3"/>
        <v>133.35</v>
      </c>
    </row>
    <row r="51" spans="1:11" x14ac:dyDescent="0.2">
      <c r="A51" s="376"/>
      <c r="B51" s="391">
        <v>0.5</v>
      </c>
      <c r="C51" s="378">
        <v>36</v>
      </c>
      <c r="D51" s="379">
        <v>5.44</v>
      </c>
      <c r="E51" s="401">
        <v>5.44</v>
      </c>
      <c r="G51" s="380" t="s">
        <v>130</v>
      </c>
      <c r="H51" s="381">
        <f t="shared" si="0"/>
        <v>12.7</v>
      </c>
      <c r="I51" s="382">
        <f t="shared" si="1"/>
        <v>914.4</v>
      </c>
      <c r="J51" s="382">
        <f t="shared" si="2"/>
        <v>138.17600000000002</v>
      </c>
      <c r="K51" s="396">
        <f t="shared" si="3"/>
        <v>138.17600000000002</v>
      </c>
    </row>
    <row r="52" spans="1:11" x14ac:dyDescent="0.2">
      <c r="A52" s="376"/>
      <c r="B52" s="391">
        <v>0.63</v>
      </c>
      <c r="C52" s="378">
        <v>36</v>
      </c>
      <c r="D52" s="379">
        <v>5.63</v>
      </c>
      <c r="E52" s="401">
        <v>5.63</v>
      </c>
      <c r="G52" s="393">
        <f>36*25.4</f>
        <v>914.4</v>
      </c>
      <c r="H52" s="381">
        <f t="shared" si="0"/>
        <v>16.001999999999999</v>
      </c>
      <c r="I52" s="382">
        <f t="shared" si="1"/>
        <v>914.4</v>
      </c>
      <c r="J52" s="382">
        <f t="shared" si="2"/>
        <v>143.00199999999998</v>
      </c>
      <c r="K52" s="396">
        <f t="shared" si="3"/>
        <v>143.00199999999998</v>
      </c>
    </row>
    <row r="53" spans="1:11" ht="13.5" thickBot="1" x14ac:dyDescent="0.25">
      <c r="A53" s="384"/>
      <c r="B53" s="392">
        <v>0.75</v>
      </c>
      <c r="C53" s="386">
        <v>36</v>
      </c>
      <c r="D53" s="387">
        <v>5.75</v>
      </c>
      <c r="E53" s="402">
        <v>5.75</v>
      </c>
      <c r="G53" s="384"/>
      <c r="H53" s="388">
        <f t="shared" si="0"/>
        <v>19.049999999999997</v>
      </c>
      <c r="I53" s="389">
        <f t="shared" si="1"/>
        <v>914.4</v>
      </c>
      <c r="J53" s="389">
        <f t="shared" si="2"/>
        <v>146.04999999999998</v>
      </c>
      <c r="K53" s="397">
        <f t="shared" si="3"/>
        <v>146.04999999999998</v>
      </c>
    </row>
    <row r="54" spans="1:11" ht="14.25" thickTop="1" thickBot="1" x14ac:dyDescent="0.25">
      <c r="A54" s="368" t="s">
        <v>120</v>
      </c>
      <c r="B54" s="368" t="s">
        <v>121</v>
      </c>
      <c r="C54" s="368" t="s">
        <v>122</v>
      </c>
      <c r="D54" s="368" t="s">
        <v>123</v>
      </c>
      <c r="E54" s="368" t="s">
        <v>124</v>
      </c>
      <c r="G54" s="368" t="s">
        <v>120</v>
      </c>
      <c r="H54" s="368" t="s">
        <v>160</v>
      </c>
      <c r="I54" s="368" t="s">
        <v>161</v>
      </c>
      <c r="J54" s="368" t="s">
        <v>162</v>
      </c>
      <c r="K54" s="368" t="s">
        <v>163</v>
      </c>
    </row>
    <row r="55" spans="1:11" ht="13.5" thickTop="1" x14ac:dyDescent="0.2">
      <c r="A55" s="370"/>
      <c r="B55" s="371">
        <v>0.38</v>
      </c>
      <c r="C55" s="372">
        <v>36</v>
      </c>
      <c r="D55" s="373">
        <v>1.1299999999999999</v>
      </c>
      <c r="E55" s="400">
        <v>5.81</v>
      </c>
      <c r="G55" s="370"/>
      <c r="H55" s="374">
        <f t="shared" ref="H55:H78" si="4">B55*25.4</f>
        <v>9.6519999999999992</v>
      </c>
      <c r="I55" s="375">
        <f t="shared" ref="I55:I78" si="5">C55*25.4</f>
        <v>914.4</v>
      </c>
      <c r="J55" s="375">
        <f t="shared" ref="J55:J78" si="6">D55*25.4</f>
        <v>28.701999999999995</v>
      </c>
      <c r="K55" s="395">
        <f t="shared" ref="K55:K78" si="7">E55*25.4</f>
        <v>147.57399999999998</v>
      </c>
    </row>
    <row r="56" spans="1:11" x14ac:dyDescent="0.2">
      <c r="A56" s="376"/>
      <c r="B56" s="377">
        <v>0.5</v>
      </c>
      <c r="C56" s="378">
        <v>36</v>
      </c>
      <c r="D56" s="379">
        <v>1.5</v>
      </c>
      <c r="E56" s="401">
        <v>6</v>
      </c>
      <c r="G56" s="380" t="s">
        <v>131</v>
      </c>
      <c r="H56" s="381">
        <f t="shared" si="4"/>
        <v>12.7</v>
      </c>
      <c r="I56" s="382">
        <f t="shared" si="5"/>
        <v>914.4</v>
      </c>
      <c r="J56" s="382">
        <f t="shared" si="6"/>
        <v>38.099999999999994</v>
      </c>
      <c r="K56" s="396">
        <f t="shared" si="7"/>
        <v>152.39999999999998</v>
      </c>
    </row>
    <row r="57" spans="1:11" x14ac:dyDescent="0.2">
      <c r="A57" s="376"/>
      <c r="B57" s="377">
        <v>0.63</v>
      </c>
      <c r="C57" s="378">
        <v>36</v>
      </c>
      <c r="D57" s="379">
        <v>1.88</v>
      </c>
      <c r="E57" s="401">
        <v>6.13</v>
      </c>
      <c r="G57" s="393">
        <f>38*25.4</f>
        <v>965.19999999999993</v>
      </c>
      <c r="H57" s="381">
        <f t="shared" si="4"/>
        <v>16.001999999999999</v>
      </c>
      <c r="I57" s="382">
        <f t="shared" si="5"/>
        <v>914.4</v>
      </c>
      <c r="J57" s="382">
        <f t="shared" si="6"/>
        <v>47.751999999999995</v>
      </c>
      <c r="K57" s="396">
        <f t="shared" si="7"/>
        <v>155.702</v>
      </c>
    </row>
    <row r="58" spans="1:11" ht="13.5" thickBot="1" x14ac:dyDescent="0.25">
      <c r="A58" s="384"/>
      <c r="B58" s="385">
        <v>0.75</v>
      </c>
      <c r="C58" s="386">
        <v>36</v>
      </c>
      <c r="D58" s="387">
        <v>2.25</v>
      </c>
      <c r="E58" s="402">
        <v>6.31</v>
      </c>
      <c r="G58" s="384"/>
      <c r="H58" s="388">
        <f t="shared" si="4"/>
        <v>19.049999999999997</v>
      </c>
      <c r="I58" s="389">
        <f t="shared" si="5"/>
        <v>914.4</v>
      </c>
      <c r="J58" s="389">
        <f t="shared" si="6"/>
        <v>57.15</v>
      </c>
      <c r="K58" s="397">
        <f t="shared" si="7"/>
        <v>160.27399999999997</v>
      </c>
    </row>
    <row r="59" spans="1:11" ht="13.5" thickTop="1" x14ac:dyDescent="0.2">
      <c r="A59" s="370"/>
      <c r="B59" s="390">
        <v>0.38</v>
      </c>
      <c r="C59" s="372">
        <v>40</v>
      </c>
      <c r="D59" s="373">
        <v>1.1299999999999999</v>
      </c>
      <c r="E59" s="400">
        <v>5.81</v>
      </c>
      <c r="G59" s="370"/>
      <c r="H59" s="374">
        <f t="shared" si="4"/>
        <v>9.6519999999999992</v>
      </c>
      <c r="I59" s="375">
        <f t="shared" si="5"/>
        <v>1016</v>
      </c>
      <c r="J59" s="375">
        <f t="shared" si="6"/>
        <v>28.701999999999995</v>
      </c>
      <c r="K59" s="395">
        <f t="shared" si="7"/>
        <v>147.57399999999998</v>
      </c>
    </row>
    <row r="60" spans="1:11" x14ac:dyDescent="0.2">
      <c r="A60" s="376"/>
      <c r="B60" s="391">
        <v>0.5</v>
      </c>
      <c r="C60" s="378">
        <v>40</v>
      </c>
      <c r="D60" s="379">
        <v>1.5</v>
      </c>
      <c r="E60" s="401">
        <v>5.94</v>
      </c>
      <c r="G60" s="380" t="s">
        <v>132</v>
      </c>
      <c r="H60" s="381">
        <f t="shared" si="4"/>
        <v>12.7</v>
      </c>
      <c r="I60" s="382">
        <f t="shared" si="5"/>
        <v>1016</v>
      </c>
      <c r="J60" s="382">
        <f t="shared" si="6"/>
        <v>38.099999999999994</v>
      </c>
      <c r="K60" s="396">
        <f t="shared" si="7"/>
        <v>150.876</v>
      </c>
    </row>
    <row r="61" spans="1:11" x14ac:dyDescent="0.2">
      <c r="A61" s="376"/>
      <c r="B61" s="391">
        <v>0.63</v>
      </c>
      <c r="C61" s="378">
        <v>36</v>
      </c>
      <c r="D61" s="379">
        <v>1.88</v>
      </c>
      <c r="E61" s="401">
        <v>6.69</v>
      </c>
      <c r="G61" s="394">
        <f>40*25.4</f>
        <v>1016</v>
      </c>
      <c r="H61" s="381">
        <f t="shared" si="4"/>
        <v>16.001999999999999</v>
      </c>
      <c r="I61" s="382">
        <f t="shared" si="5"/>
        <v>914.4</v>
      </c>
      <c r="J61" s="382">
        <f t="shared" si="6"/>
        <v>47.751999999999995</v>
      </c>
      <c r="K61" s="396">
        <f t="shared" si="7"/>
        <v>169.92599999999999</v>
      </c>
    </row>
    <row r="62" spans="1:11" ht="13.5" thickBot="1" x14ac:dyDescent="0.25">
      <c r="A62" s="384"/>
      <c r="B62" s="392">
        <v>0.75</v>
      </c>
      <c r="C62" s="386">
        <v>36</v>
      </c>
      <c r="D62" s="387">
        <v>2.25</v>
      </c>
      <c r="E62" s="402">
        <v>6.88</v>
      </c>
      <c r="G62" s="384"/>
      <c r="H62" s="388">
        <f t="shared" si="4"/>
        <v>19.049999999999997</v>
      </c>
      <c r="I62" s="389">
        <f t="shared" si="5"/>
        <v>914.4</v>
      </c>
      <c r="J62" s="389">
        <f t="shared" si="6"/>
        <v>57.15</v>
      </c>
      <c r="K62" s="397">
        <f t="shared" si="7"/>
        <v>174.75199999999998</v>
      </c>
    </row>
    <row r="63" spans="1:11" ht="13.5" thickTop="1" x14ac:dyDescent="0.2">
      <c r="A63" s="370"/>
      <c r="B63" s="390">
        <v>0.38</v>
      </c>
      <c r="C63" s="372">
        <v>42</v>
      </c>
      <c r="D63" s="373">
        <v>1.1299999999999999</v>
      </c>
      <c r="E63" s="400">
        <v>6.06</v>
      </c>
      <c r="G63" s="370"/>
      <c r="H63" s="374">
        <f t="shared" si="4"/>
        <v>9.6519999999999992</v>
      </c>
      <c r="I63" s="375">
        <f t="shared" si="5"/>
        <v>1066.8</v>
      </c>
      <c r="J63" s="375">
        <f t="shared" si="6"/>
        <v>28.701999999999995</v>
      </c>
      <c r="K63" s="395">
        <f t="shared" si="7"/>
        <v>153.92399999999998</v>
      </c>
    </row>
    <row r="64" spans="1:11" x14ac:dyDescent="0.2">
      <c r="A64" s="376"/>
      <c r="B64" s="391">
        <v>0.5</v>
      </c>
      <c r="C64" s="378">
        <v>42</v>
      </c>
      <c r="D64" s="379">
        <v>1.5</v>
      </c>
      <c r="E64" s="401">
        <v>6.25</v>
      </c>
      <c r="G64" s="380" t="s">
        <v>133</v>
      </c>
      <c r="H64" s="381">
        <f t="shared" si="4"/>
        <v>12.7</v>
      </c>
      <c r="I64" s="382">
        <f t="shared" si="5"/>
        <v>1066.8</v>
      </c>
      <c r="J64" s="382">
        <f t="shared" si="6"/>
        <v>38.099999999999994</v>
      </c>
      <c r="K64" s="396">
        <f t="shared" si="7"/>
        <v>158.75</v>
      </c>
    </row>
    <row r="65" spans="1:11" x14ac:dyDescent="0.2">
      <c r="A65" s="376"/>
      <c r="B65" s="391">
        <v>0.63</v>
      </c>
      <c r="C65" s="378">
        <v>42</v>
      </c>
      <c r="D65" s="379">
        <v>1.88</v>
      </c>
      <c r="E65" s="401">
        <v>6.38</v>
      </c>
      <c r="G65" s="394">
        <f>42*25.4</f>
        <v>1066.8</v>
      </c>
      <c r="H65" s="381">
        <f t="shared" si="4"/>
        <v>16.001999999999999</v>
      </c>
      <c r="I65" s="382">
        <f t="shared" si="5"/>
        <v>1066.8</v>
      </c>
      <c r="J65" s="382">
        <f t="shared" si="6"/>
        <v>47.751999999999995</v>
      </c>
      <c r="K65" s="396">
        <f t="shared" si="7"/>
        <v>162.05199999999999</v>
      </c>
    </row>
    <row r="66" spans="1:11" ht="13.5" thickBot="1" x14ac:dyDescent="0.25">
      <c r="A66" s="384"/>
      <c r="B66" s="392">
        <v>0.75</v>
      </c>
      <c r="C66" s="386">
        <v>40</v>
      </c>
      <c r="D66" s="387">
        <v>2.25</v>
      </c>
      <c r="E66" s="402">
        <v>6.81</v>
      </c>
      <c r="G66" s="384"/>
      <c r="H66" s="388">
        <f t="shared" si="4"/>
        <v>19.049999999999997</v>
      </c>
      <c r="I66" s="389">
        <f t="shared" si="5"/>
        <v>1016</v>
      </c>
      <c r="J66" s="389">
        <f t="shared" si="6"/>
        <v>57.15</v>
      </c>
      <c r="K66" s="397">
        <f t="shared" si="7"/>
        <v>172.97399999999999</v>
      </c>
    </row>
    <row r="67" spans="1:11" ht="13.5" thickTop="1" x14ac:dyDescent="0.2">
      <c r="A67" s="370"/>
      <c r="B67" s="390">
        <v>0.38</v>
      </c>
      <c r="C67" s="372">
        <v>48</v>
      </c>
      <c r="D67" s="373">
        <v>1.1299999999999999</v>
      </c>
      <c r="E67" s="400">
        <v>6.88</v>
      </c>
      <c r="G67" s="370"/>
      <c r="H67" s="374">
        <f t="shared" si="4"/>
        <v>9.6519999999999992</v>
      </c>
      <c r="I67" s="375">
        <f t="shared" si="5"/>
        <v>1219.1999999999998</v>
      </c>
      <c r="J67" s="375">
        <f t="shared" si="6"/>
        <v>28.701999999999995</v>
      </c>
      <c r="K67" s="395">
        <f t="shared" si="7"/>
        <v>174.75199999999998</v>
      </c>
    </row>
    <row r="68" spans="1:11" x14ac:dyDescent="0.2">
      <c r="A68" s="376"/>
      <c r="B68" s="391">
        <v>0.5</v>
      </c>
      <c r="C68" s="378">
        <v>48</v>
      </c>
      <c r="D68" s="379">
        <v>1.5</v>
      </c>
      <c r="E68" s="401">
        <v>7</v>
      </c>
      <c r="G68" s="380" t="s">
        <v>133</v>
      </c>
      <c r="H68" s="381">
        <f t="shared" si="4"/>
        <v>12.7</v>
      </c>
      <c r="I68" s="382">
        <f t="shared" si="5"/>
        <v>1219.1999999999998</v>
      </c>
      <c r="J68" s="382">
        <f t="shared" si="6"/>
        <v>38.099999999999994</v>
      </c>
      <c r="K68" s="396">
        <f t="shared" si="7"/>
        <v>177.79999999999998</v>
      </c>
    </row>
    <row r="69" spans="1:11" x14ac:dyDescent="0.2">
      <c r="A69" s="376"/>
      <c r="B69" s="391">
        <v>0.63</v>
      </c>
      <c r="C69" s="378">
        <v>48</v>
      </c>
      <c r="D69" s="379">
        <v>1.88</v>
      </c>
      <c r="E69" s="401">
        <v>7.19</v>
      </c>
      <c r="G69" s="394">
        <f>48*25.4</f>
        <v>1219.1999999999998</v>
      </c>
      <c r="H69" s="381">
        <f t="shared" si="4"/>
        <v>16.001999999999999</v>
      </c>
      <c r="I69" s="382">
        <f t="shared" si="5"/>
        <v>1219.1999999999998</v>
      </c>
      <c r="J69" s="382">
        <f t="shared" si="6"/>
        <v>47.751999999999995</v>
      </c>
      <c r="K69" s="396">
        <f t="shared" si="7"/>
        <v>182.626</v>
      </c>
    </row>
    <row r="70" spans="1:11" ht="13.5" thickBot="1" x14ac:dyDescent="0.25">
      <c r="A70" s="384"/>
      <c r="B70" s="392">
        <v>0.75</v>
      </c>
      <c r="C70" s="386">
        <v>48</v>
      </c>
      <c r="D70" s="387">
        <v>2.25</v>
      </c>
      <c r="E70" s="402">
        <v>7.38</v>
      </c>
      <c r="G70" s="384"/>
      <c r="H70" s="388">
        <f t="shared" si="4"/>
        <v>19.049999999999997</v>
      </c>
      <c r="I70" s="389">
        <f t="shared" si="5"/>
        <v>1219.1999999999998</v>
      </c>
      <c r="J70" s="389">
        <f t="shared" si="6"/>
        <v>57.15</v>
      </c>
      <c r="K70" s="397">
        <f t="shared" si="7"/>
        <v>187.452</v>
      </c>
    </row>
    <row r="71" spans="1:11" ht="13.5" thickTop="1" x14ac:dyDescent="0.2">
      <c r="A71" s="370"/>
      <c r="B71" s="390">
        <v>0.38</v>
      </c>
      <c r="C71" s="372">
        <v>54</v>
      </c>
      <c r="D71" s="373">
        <v>1.1299999999999999</v>
      </c>
      <c r="E71" s="400">
        <v>7.69</v>
      </c>
      <c r="G71" s="370"/>
      <c r="H71" s="374">
        <f t="shared" si="4"/>
        <v>9.6519999999999992</v>
      </c>
      <c r="I71" s="375">
        <f t="shared" si="5"/>
        <v>1371.6</v>
      </c>
      <c r="J71" s="375">
        <f t="shared" si="6"/>
        <v>28.701999999999995</v>
      </c>
      <c r="K71" s="395">
        <f t="shared" si="7"/>
        <v>195.32599999999999</v>
      </c>
    </row>
    <row r="72" spans="1:11" x14ac:dyDescent="0.2">
      <c r="A72" s="376"/>
      <c r="B72" s="391">
        <v>0.5</v>
      </c>
      <c r="C72" s="378">
        <v>54</v>
      </c>
      <c r="D72" s="379">
        <v>1.5</v>
      </c>
      <c r="E72" s="401">
        <v>7.81</v>
      </c>
      <c r="G72" s="380" t="s">
        <v>134</v>
      </c>
      <c r="H72" s="381">
        <f t="shared" si="4"/>
        <v>12.7</v>
      </c>
      <c r="I72" s="382">
        <f t="shared" si="5"/>
        <v>1371.6</v>
      </c>
      <c r="J72" s="382">
        <f t="shared" si="6"/>
        <v>38.099999999999994</v>
      </c>
      <c r="K72" s="396">
        <f t="shared" si="7"/>
        <v>198.37399999999997</v>
      </c>
    </row>
    <row r="73" spans="1:11" x14ac:dyDescent="0.2">
      <c r="A73" s="376"/>
      <c r="B73" s="391">
        <v>0.63</v>
      </c>
      <c r="C73" s="378">
        <v>54</v>
      </c>
      <c r="D73" s="379">
        <v>1.88</v>
      </c>
      <c r="E73" s="401">
        <v>8</v>
      </c>
      <c r="G73" s="394">
        <f>54*25.4</f>
        <v>1371.6</v>
      </c>
      <c r="H73" s="381">
        <f t="shared" si="4"/>
        <v>16.001999999999999</v>
      </c>
      <c r="I73" s="382">
        <f t="shared" si="5"/>
        <v>1371.6</v>
      </c>
      <c r="J73" s="382">
        <f t="shared" si="6"/>
        <v>47.751999999999995</v>
      </c>
      <c r="K73" s="396">
        <f t="shared" si="7"/>
        <v>203.2</v>
      </c>
    </row>
    <row r="74" spans="1:11" ht="13.5" thickBot="1" x14ac:dyDescent="0.25">
      <c r="A74" s="384"/>
      <c r="B74" s="392">
        <v>0.75</v>
      </c>
      <c r="C74" s="386">
        <v>54</v>
      </c>
      <c r="D74" s="387">
        <v>2.25</v>
      </c>
      <c r="E74" s="402">
        <v>8.19</v>
      </c>
      <c r="G74" s="384"/>
      <c r="H74" s="388">
        <f t="shared" si="4"/>
        <v>19.049999999999997</v>
      </c>
      <c r="I74" s="389">
        <f t="shared" si="5"/>
        <v>1371.6</v>
      </c>
      <c r="J74" s="389">
        <f t="shared" si="6"/>
        <v>57.15</v>
      </c>
      <c r="K74" s="397">
        <f t="shared" si="7"/>
        <v>208.02599999999998</v>
      </c>
    </row>
    <row r="75" spans="1:11" ht="13.5" thickTop="1" x14ac:dyDescent="0.2">
      <c r="A75" s="370"/>
      <c r="B75" s="390">
        <v>0.38</v>
      </c>
      <c r="C75" s="372">
        <v>60</v>
      </c>
      <c r="D75" s="373">
        <v>1.1299999999999999</v>
      </c>
      <c r="E75" s="400">
        <v>8.5</v>
      </c>
      <c r="G75" s="370"/>
      <c r="H75" s="374">
        <f t="shared" si="4"/>
        <v>9.6519999999999992</v>
      </c>
      <c r="I75" s="375">
        <f t="shared" si="5"/>
        <v>1524</v>
      </c>
      <c r="J75" s="375">
        <f t="shared" si="6"/>
        <v>28.701999999999995</v>
      </c>
      <c r="K75" s="395">
        <f t="shared" si="7"/>
        <v>215.89999999999998</v>
      </c>
    </row>
    <row r="76" spans="1:11" x14ac:dyDescent="0.2">
      <c r="A76" s="376"/>
      <c r="B76" s="391">
        <v>0.5</v>
      </c>
      <c r="C76" s="378">
        <v>60</v>
      </c>
      <c r="D76" s="379">
        <v>1.5</v>
      </c>
      <c r="E76" s="401">
        <v>8.6300000000000008</v>
      </c>
      <c r="G76" s="380" t="s">
        <v>135</v>
      </c>
      <c r="H76" s="381">
        <f t="shared" si="4"/>
        <v>12.7</v>
      </c>
      <c r="I76" s="382">
        <f t="shared" si="5"/>
        <v>1524</v>
      </c>
      <c r="J76" s="382">
        <f t="shared" si="6"/>
        <v>38.099999999999994</v>
      </c>
      <c r="K76" s="396">
        <f t="shared" si="7"/>
        <v>219.202</v>
      </c>
    </row>
    <row r="77" spans="1:11" x14ac:dyDescent="0.2">
      <c r="A77" s="376"/>
      <c r="B77" s="391">
        <v>0.63</v>
      </c>
      <c r="C77" s="378">
        <v>60</v>
      </c>
      <c r="D77" s="379">
        <v>1.88</v>
      </c>
      <c r="E77" s="401">
        <v>8.81</v>
      </c>
      <c r="G77" s="394">
        <f>60*25.4</f>
        <v>1524</v>
      </c>
      <c r="H77" s="381">
        <f t="shared" si="4"/>
        <v>16.001999999999999</v>
      </c>
      <c r="I77" s="382">
        <f t="shared" si="5"/>
        <v>1524</v>
      </c>
      <c r="J77" s="382">
        <f t="shared" si="6"/>
        <v>47.751999999999995</v>
      </c>
      <c r="K77" s="396">
        <f t="shared" si="7"/>
        <v>223.774</v>
      </c>
    </row>
    <row r="78" spans="1:11" ht="13.5" thickBot="1" x14ac:dyDescent="0.25">
      <c r="A78" s="384"/>
      <c r="B78" s="392">
        <v>0.75</v>
      </c>
      <c r="C78" s="386">
        <v>60</v>
      </c>
      <c r="D78" s="387">
        <v>2.25</v>
      </c>
      <c r="E78" s="402">
        <v>8.94</v>
      </c>
      <c r="G78" s="384"/>
      <c r="H78" s="388">
        <f t="shared" si="4"/>
        <v>19.049999999999997</v>
      </c>
      <c r="I78" s="389">
        <f t="shared" si="5"/>
        <v>1524</v>
      </c>
      <c r="J78" s="389">
        <f t="shared" si="6"/>
        <v>57.15</v>
      </c>
      <c r="K78" s="397">
        <f t="shared" si="7"/>
        <v>227.07599999999996</v>
      </c>
    </row>
    <row r="79" spans="1:11" ht="14.25" thickTop="1" thickBot="1" x14ac:dyDescent="0.25">
      <c r="A79" s="368" t="s">
        <v>120</v>
      </c>
      <c r="B79" s="368" t="s">
        <v>121</v>
      </c>
      <c r="C79" s="368" t="s">
        <v>122</v>
      </c>
      <c r="D79" s="368" t="s">
        <v>123</v>
      </c>
      <c r="E79" s="368" t="s">
        <v>124</v>
      </c>
      <c r="G79" s="368" t="s">
        <v>120</v>
      </c>
      <c r="H79" s="368" t="s">
        <v>160</v>
      </c>
      <c r="I79" s="368" t="s">
        <v>161</v>
      </c>
      <c r="J79" s="368" t="s">
        <v>162</v>
      </c>
      <c r="K79" s="368" t="s">
        <v>163</v>
      </c>
    </row>
    <row r="80" spans="1:11" ht="13.5" thickTop="1" x14ac:dyDescent="0.2">
      <c r="A80" s="370"/>
      <c r="B80" s="371">
        <v>0.38</v>
      </c>
      <c r="C80" s="372">
        <v>66</v>
      </c>
      <c r="D80" s="373">
        <v>1.1299999999999999</v>
      </c>
      <c r="E80" s="400">
        <v>9.31</v>
      </c>
      <c r="G80" s="370"/>
      <c r="H80" s="374">
        <f t="shared" ref="H80:H103" si="8">B80*25.4</f>
        <v>9.6519999999999992</v>
      </c>
      <c r="I80" s="375">
        <f t="shared" ref="I80:I103" si="9">C80*25.4</f>
        <v>1676.3999999999999</v>
      </c>
      <c r="J80" s="375">
        <f t="shared" ref="J80:J103" si="10">D80*25.4</f>
        <v>28.701999999999995</v>
      </c>
      <c r="K80" s="395">
        <f t="shared" ref="K80:K103" si="11">E80*25.4</f>
        <v>236.47399999999999</v>
      </c>
    </row>
    <row r="81" spans="1:11" x14ac:dyDescent="0.2">
      <c r="A81" s="376"/>
      <c r="B81" s="377">
        <v>0.5</v>
      </c>
      <c r="C81" s="378">
        <v>66</v>
      </c>
      <c r="D81" s="379">
        <v>1.5</v>
      </c>
      <c r="E81" s="401">
        <v>9.44</v>
      </c>
      <c r="G81" s="380" t="s">
        <v>136</v>
      </c>
      <c r="H81" s="381">
        <f t="shared" si="8"/>
        <v>12.7</v>
      </c>
      <c r="I81" s="382">
        <f t="shared" si="9"/>
        <v>1676.3999999999999</v>
      </c>
      <c r="J81" s="382">
        <f t="shared" si="10"/>
        <v>38.099999999999994</v>
      </c>
      <c r="K81" s="396">
        <f t="shared" si="11"/>
        <v>239.77599999999998</v>
      </c>
    </row>
    <row r="82" spans="1:11" x14ac:dyDescent="0.2">
      <c r="A82" s="376"/>
      <c r="B82" s="377">
        <v>0.63</v>
      </c>
      <c r="C82" s="378">
        <v>66</v>
      </c>
      <c r="D82" s="379">
        <v>1.88</v>
      </c>
      <c r="E82" s="401">
        <v>9.6300000000000008</v>
      </c>
      <c r="G82" s="394">
        <f>66*25.4</f>
        <v>1676.3999999999999</v>
      </c>
      <c r="H82" s="381">
        <f t="shared" si="8"/>
        <v>16.001999999999999</v>
      </c>
      <c r="I82" s="382">
        <f t="shared" si="9"/>
        <v>1676.3999999999999</v>
      </c>
      <c r="J82" s="382">
        <f t="shared" si="10"/>
        <v>47.751999999999995</v>
      </c>
      <c r="K82" s="396">
        <f t="shared" si="11"/>
        <v>244.602</v>
      </c>
    </row>
    <row r="83" spans="1:11" ht="13.5" thickBot="1" x14ac:dyDescent="0.25">
      <c r="A83" s="384"/>
      <c r="B83" s="385">
        <v>0.75</v>
      </c>
      <c r="C83" s="386">
        <v>66</v>
      </c>
      <c r="D83" s="387">
        <v>2.25</v>
      </c>
      <c r="E83" s="402">
        <v>9.75</v>
      </c>
      <c r="G83" s="384"/>
      <c r="H83" s="388">
        <f t="shared" si="8"/>
        <v>19.049999999999997</v>
      </c>
      <c r="I83" s="389">
        <f t="shared" si="9"/>
        <v>1676.3999999999999</v>
      </c>
      <c r="J83" s="389">
        <f t="shared" si="10"/>
        <v>57.15</v>
      </c>
      <c r="K83" s="397">
        <f t="shared" si="11"/>
        <v>247.64999999999998</v>
      </c>
    </row>
    <row r="84" spans="1:11" ht="13.5" thickTop="1" x14ac:dyDescent="0.2">
      <c r="A84" s="370"/>
      <c r="B84" s="390">
        <v>0.38</v>
      </c>
      <c r="C84" s="372">
        <v>72</v>
      </c>
      <c r="D84" s="373">
        <v>1.1299999999999999</v>
      </c>
      <c r="E84" s="400">
        <v>10.06</v>
      </c>
      <c r="G84" s="370"/>
      <c r="H84" s="374">
        <f t="shared" si="8"/>
        <v>9.6519999999999992</v>
      </c>
      <c r="I84" s="375">
        <f t="shared" si="9"/>
        <v>1828.8</v>
      </c>
      <c r="J84" s="375">
        <f t="shared" si="10"/>
        <v>28.701999999999995</v>
      </c>
      <c r="K84" s="395">
        <f t="shared" si="11"/>
        <v>255.524</v>
      </c>
    </row>
    <row r="85" spans="1:11" x14ac:dyDescent="0.2">
      <c r="A85" s="376"/>
      <c r="B85" s="391">
        <v>0.63</v>
      </c>
      <c r="C85" s="378">
        <v>72</v>
      </c>
      <c r="D85" s="379">
        <v>1.88</v>
      </c>
      <c r="E85" s="401">
        <v>10.38</v>
      </c>
      <c r="G85" s="380" t="s">
        <v>137</v>
      </c>
      <c r="H85" s="381">
        <f t="shared" si="8"/>
        <v>16.001999999999999</v>
      </c>
      <c r="I85" s="382">
        <f t="shared" si="9"/>
        <v>1828.8</v>
      </c>
      <c r="J85" s="382">
        <f t="shared" si="10"/>
        <v>47.751999999999995</v>
      </c>
      <c r="K85" s="396">
        <f t="shared" si="11"/>
        <v>263.65199999999999</v>
      </c>
    </row>
    <row r="86" spans="1:11" x14ac:dyDescent="0.2">
      <c r="A86" s="376"/>
      <c r="B86" s="391">
        <v>0.88</v>
      </c>
      <c r="C86" s="378">
        <v>72</v>
      </c>
      <c r="D86" s="379">
        <v>2.63</v>
      </c>
      <c r="E86" s="401">
        <v>10.69</v>
      </c>
      <c r="G86" s="394">
        <f>72*25.4</f>
        <v>1828.8</v>
      </c>
      <c r="H86" s="381">
        <f t="shared" si="8"/>
        <v>22.352</v>
      </c>
      <c r="I86" s="382">
        <f t="shared" si="9"/>
        <v>1828.8</v>
      </c>
      <c r="J86" s="382">
        <f t="shared" si="10"/>
        <v>66.801999999999992</v>
      </c>
      <c r="K86" s="396">
        <f t="shared" si="11"/>
        <v>271.52599999999995</v>
      </c>
    </row>
    <row r="87" spans="1:11" ht="13.5" thickBot="1" x14ac:dyDescent="0.25">
      <c r="A87" s="384"/>
      <c r="B87" s="392">
        <v>1.1299999999999999</v>
      </c>
      <c r="C87" s="386">
        <v>72</v>
      </c>
      <c r="D87" s="387">
        <v>3.38</v>
      </c>
      <c r="E87" s="402">
        <v>11</v>
      </c>
      <c r="G87" s="384"/>
      <c r="H87" s="388">
        <f t="shared" si="8"/>
        <v>28.701999999999995</v>
      </c>
      <c r="I87" s="389">
        <f t="shared" si="9"/>
        <v>1828.8</v>
      </c>
      <c r="J87" s="389">
        <f t="shared" si="10"/>
        <v>85.85199999999999</v>
      </c>
      <c r="K87" s="397">
        <f t="shared" si="11"/>
        <v>279.39999999999998</v>
      </c>
    </row>
    <row r="88" spans="1:11" ht="13.5" thickTop="1" x14ac:dyDescent="0.2">
      <c r="A88" s="370"/>
      <c r="B88" s="390">
        <v>0.38</v>
      </c>
      <c r="C88" s="372">
        <v>78</v>
      </c>
      <c r="D88" s="373">
        <v>1.1299999999999999</v>
      </c>
      <c r="E88" s="400">
        <v>10.88</v>
      </c>
      <c r="G88" s="370"/>
      <c r="H88" s="374">
        <f t="shared" si="8"/>
        <v>9.6519999999999992</v>
      </c>
      <c r="I88" s="375">
        <f t="shared" si="9"/>
        <v>1981.1999999999998</v>
      </c>
      <c r="J88" s="375">
        <f t="shared" si="10"/>
        <v>28.701999999999995</v>
      </c>
      <c r="K88" s="395">
        <f t="shared" si="11"/>
        <v>276.35200000000003</v>
      </c>
    </row>
    <row r="89" spans="1:11" x14ac:dyDescent="0.2">
      <c r="A89" s="376"/>
      <c r="B89" s="391">
        <v>0.63</v>
      </c>
      <c r="C89" s="378">
        <v>78</v>
      </c>
      <c r="D89" s="379">
        <v>1.88</v>
      </c>
      <c r="E89" s="401">
        <v>11.19</v>
      </c>
      <c r="G89" s="380" t="s">
        <v>138</v>
      </c>
      <c r="H89" s="381">
        <f t="shared" si="8"/>
        <v>16.001999999999999</v>
      </c>
      <c r="I89" s="382">
        <f t="shared" si="9"/>
        <v>1981.1999999999998</v>
      </c>
      <c r="J89" s="382">
        <f t="shared" si="10"/>
        <v>47.751999999999995</v>
      </c>
      <c r="K89" s="396">
        <f t="shared" si="11"/>
        <v>284.226</v>
      </c>
    </row>
    <row r="90" spans="1:11" x14ac:dyDescent="0.2">
      <c r="A90" s="376"/>
      <c r="B90" s="391">
        <v>0.88</v>
      </c>
      <c r="C90" s="378">
        <v>78</v>
      </c>
      <c r="D90" s="379">
        <v>2.63</v>
      </c>
      <c r="E90" s="401">
        <v>11.5</v>
      </c>
      <c r="G90" s="394">
        <f>78*25.4</f>
        <v>1981.1999999999998</v>
      </c>
      <c r="H90" s="381">
        <f t="shared" si="8"/>
        <v>22.352</v>
      </c>
      <c r="I90" s="382">
        <f t="shared" si="9"/>
        <v>1981.1999999999998</v>
      </c>
      <c r="J90" s="382">
        <f t="shared" si="10"/>
        <v>66.801999999999992</v>
      </c>
      <c r="K90" s="396">
        <f t="shared" si="11"/>
        <v>292.09999999999997</v>
      </c>
    </row>
    <row r="91" spans="1:11" ht="13.5" thickBot="1" x14ac:dyDescent="0.25">
      <c r="A91" s="384"/>
      <c r="B91" s="392">
        <v>1.1299999999999999</v>
      </c>
      <c r="C91" s="386">
        <v>78</v>
      </c>
      <c r="D91" s="387">
        <v>3.38</v>
      </c>
      <c r="E91" s="402">
        <v>11.81</v>
      </c>
      <c r="G91" s="384"/>
      <c r="H91" s="388">
        <f t="shared" si="8"/>
        <v>28.701999999999995</v>
      </c>
      <c r="I91" s="389">
        <f t="shared" si="9"/>
        <v>1981.1999999999998</v>
      </c>
      <c r="J91" s="389">
        <f t="shared" si="10"/>
        <v>85.85199999999999</v>
      </c>
      <c r="K91" s="397">
        <f t="shared" si="11"/>
        <v>299.97399999999999</v>
      </c>
    </row>
    <row r="92" spans="1:11" ht="13.5" thickTop="1" x14ac:dyDescent="0.2">
      <c r="A92" s="370"/>
      <c r="B92" s="390">
        <v>0.38</v>
      </c>
      <c r="C92" s="372">
        <v>84</v>
      </c>
      <c r="D92" s="373">
        <v>1.1299999999999999</v>
      </c>
      <c r="E92" s="400">
        <v>11.69</v>
      </c>
      <c r="G92" s="370"/>
      <c r="H92" s="374">
        <f t="shared" si="8"/>
        <v>9.6519999999999992</v>
      </c>
      <c r="I92" s="375">
        <f t="shared" si="9"/>
        <v>2133.6</v>
      </c>
      <c r="J92" s="375">
        <f t="shared" si="10"/>
        <v>28.701999999999995</v>
      </c>
      <c r="K92" s="395">
        <f t="shared" si="11"/>
        <v>296.92599999999999</v>
      </c>
    </row>
    <row r="93" spans="1:11" x14ac:dyDescent="0.2">
      <c r="A93" s="376"/>
      <c r="B93" s="391">
        <v>0.63</v>
      </c>
      <c r="C93" s="378">
        <v>84</v>
      </c>
      <c r="D93" s="379">
        <v>1.88</v>
      </c>
      <c r="E93" s="401">
        <v>11.88</v>
      </c>
      <c r="G93" s="380" t="s">
        <v>139</v>
      </c>
      <c r="H93" s="381">
        <f t="shared" si="8"/>
        <v>16.001999999999999</v>
      </c>
      <c r="I93" s="382">
        <f t="shared" si="9"/>
        <v>2133.6</v>
      </c>
      <c r="J93" s="382">
        <f t="shared" si="10"/>
        <v>47.751999999999995</v>
      </c>
      <c r="K93" s="396">
        <f t="shared" si="11"/>
        <v>301.75200000000001</v>
      </c>
    </row>
    <row r="94" spans="1:11" x14ac:dyDescent="0.2">
      <c r="A94" s="376"/>
      <c r="B94" s="391">
        <v>0.88</v>
      </c>
      <c r="C94" s="378">
        <v>84</v>
      </c>
      <c r="D94" s="379">
        <v>2.63</v>
      </c>
      <c r="E94" s="401">
        <v>12.31</v>
      </c>
      <c r="G94" s="394">
        <f>84*25.4</f>
        <v>2133.6</v>
      </c>
      <c r="H94" s="381">
        <f t="shared" si="8"/>
        <v>22.352</v>
      </c>
      <c r="I94" s="382">
        <f t="shared" si="9"/>
        <v>2133.6</v>
      </c>
      <c r="J94" s="382">
        <f t="shared" si="10"/>
        <v>66.801999999999992</v>
      </c>
      <c r="K94" s="396">
        <f t="shared" si="11"/>
        <v>312.67399999999998</v>
      </c>
    </row>
    <row r="95" spans="1:11" ht="13.5" thickBot="1" x14ac:dyDescent="0.25">
      <c r="A95" s="384"/>
      <c r="B95" s="392">
        <v>1.1299999999999999</v>
      </c>
      <c r="C95" s="386">
        <v>84</v>
      </c>
      <c r="D95" s="387">
        <v>3.38</v>
      </c>
      <c r="E95" s="402">
        <v>12.63</v>
      </c>
      <c r="G95" s="384"/>
      <c r="H95" s="388">
        <f t="shared" si="8"/>
        <v>28.701999999999995</v>
      </c>
      <c r="I95" s="389">
        <f t="shared" si="9"/>
        <v>2133.6</v>
      </c>
      <c r="J95" s="389">
        <f t="shared" si="10"/>
        <v>85.85199999999999</v>
      </c>
      <c r="K95" s="397">
        <f t="shared" si="11"/>
        <v>320.80200000000002</v>
      </c>
    </row>
    <row r="96" spans="1:11" ht="13.5" thickTop="1" x14ac:dyDescent="0.2">
      <c r="A96" s="370"/>
      <c r="B96" s="390">
        <v>0.38</v>
      </c>
      <c r="C96" s="372">
        <v>90</v>
      </c>
      <c r="D96" s="373">
        <v>1.1299999999999999</v>
      </c>
      <c r="E96" s="400">
        <v>12.5</v>
      </c>
      <c r="G96" s="370"/>
      <c r="H96" s="374">
        <f t="shared" si="8"/>
        <v>9.6519999999999992</v>
      </c>
      <c r="I96" s="375">
        <f t="shared" si="9"/>
        <v>2286</v>
      </c>
      <c r="J96" s="375">
        <f t="shared" si="10"/>
        <v>28.701999999999995</v>
      </c>
      <c r="K96" s="395">
        <f t="shared" si="11"/>
        <v>317.5</v>
      </c>
    </row>
    <row r="97" spans="1:11" x14ac:dyDescent="0.2">
      <c r="A97" s="376"/>
      <c r="B97" s="391">
        <v>0.63</v>
      </c>
      <c r="C97" s="378">
        <v>84</v>
      </c>
      <c r="D97" s="379">
        <v>1.88</v>
      </c>
      <c r="E97" s="401">
        <v>13.75</v>
      </c>
      <c r="G97" s="380" t="s">
        <v>140</v>
      </c>
      <c r="H97" s="381">
        <f t="shared" si="8"/>
        <v>16.001999999999999</v>
      </c>
      <c r="I97" s="382">
        <f t="shared" si="9"/>
        <v>2133.6</v>
      </c>
      <c r="J97" s="382">
        <f t="shared" si="10"/>
        <v>47.751999999999995</v>
      </c>
      <c r="K97" s="396">
        <f t="shared" si="11"/>
        <v>349.25</v>
      </c>
    </row>
    <row r="98" spans="1:11" x14ac:dyDescent="0.2">
      <c r="A98" s="376"/>
      <c r="B98" s="391">
        <v>0.88</v>
      </c>
      <c r="C98" s="378">
        <v>84</v>
      </c>
      <c r="D98" s="379">
        <v>2.63</v>
      </c>
      <c r="E98" s="401">
        <v>14</v>
      </c>
      <c r="G98" s="394">
        <f>90*25.4</f>
        <v>2286</v>
      </c>
      <c r="H98" s="381">
        <f t="shared" si="8"/>
        <v>22.352</v>
      </c>
      <c r="I98" s="382">
        <f t="shared" si="9"/>
        <v>2133.6</v>
      </c>
      <c r="J98" s="382">
        <f t="shared" si="10"/>
        <v>66.801999999999992</v>
      </c>
      <c r="K98" s="396">
        <f t="shared" si="11"/>
        <v>355.59999999999997</v>
      </c>
    </row>
    <row r="99" spans="1:11" ht="13.5" thickBot="1" x14ac:dyDescent="0.25">
      <c r="A99" s="384"/>
      <c r="B99" s="392">
        <v>1.1299999999999999</v>
      </c>
      <c r="C99" s="386">
        <v>84</v>
      </c>
      <c r="D99" s="387">
        <v>3.38</v>
      </c>
      <c r="E99" s="402">
        <v>14.31</v>
      </c>
      <c r="G99" s="384"/>
      <c r="H99" s="388">
        <f t="shared" si="8"/>
        <v>28.701999999999995</v>
      </c>
      <c r="I99" s="389">
        <f t="shared" si="9"/>
        <v>2133.6</v>
      </c>
      <c r="J99" s="389">
        <f t="shared" si="10"/>
        <v>85.85199999999999</v>
      </c>
      <c r="K99" s="397">
        <f t="shared" si="11"/>
        <v>363.47399999999999</v>
      </c>
    </row>
    <row r="100" spans="1:11" ht="13.5" thickTop="1" x14ac:dyDescent="0.2">
      <c r="A100" s="370"/>
      <c r="B100" s="390">
        <v>0.5</v>
      </c>
      <c r="C100" s="372">
        <v>96</v>
      </c>
      <c r="D100" s="373">
        <v>1.5</v>
      </c>
      <c r="E100" s="400">
        <v>13.44</v>
      </c>
      <c r="G100" s="370"/>
      <c r="H100" s="374">
        <f t="shared" si="8"/>
        <v>12.7</v>
      </c>
      <c r="I100" s="375">
        <f t="shared" si="9"/>
        <v>2438.3999999999996</v>
      </c>
      <c r="J100" s="375">
        <f t="shared" si="10"/>
        <v>38.099999999999994</v>
      </c>
      <c r="K100" s="395">
        <f t="shared" si="11"/>
        <v>341.37599999999998</v>
      </c>
    </row>
    <row r="101" spans="1:11" x14ac:dyDescent="0.2">
      <c r="A101" s="376"/>
      <c r="B101" s="391">
        <v>0.75</v>
      </c>
      <c r="C101" s="378">
        <v>96</v>
      </c>
      <c r="D101" s="379">
        <v>2.25</v>
      </c>
      <c r="E101" s="401">
        <v>13.75</v>
      </c>
      <c r="G101" s="380" t="s">
        <v>141</v>
      </c>
      <c r="H101" s="381">
        <f t="shared" si="8"/>
        <v>19.049999999999997</v>
      </c>
      <c r="I101" s="382">
        <f t="shared" si="9"/>
        <v>2438.3999999999996</v>
      </c>
      <c r="J101" s="382">
        <f t="shared" si="10"/>
        <v>57.15</v>
      </c>
      <c r="K101" s="396">
        <f t="shared" si="11"/>
        <v>349.25</v>
      </c>
    </row>
    <row r="102" spans="1:11" x14ac:dyDescent="0.2">
      <c r="A102" s="376"/>
      <c r="B102" s="391">
        <v>1</v>
      </c>
      <c r="C102" s="378">
        <v>96</v>
      </c>
      <c r="D102" s="379">
        <v>3</v>
      </c>
      <c r="E102" s="401">
        <v>14.06</v>
      </c>
      <c r="G102" s="394">
        <f>96*25.4</f>
        <v>2438.3999999999996</v>
      </c>
      <c r="H102" s="381">
        <f t="shared" si="8"/>
        <v>25.4</v>
      </c>
      <c r="I102" s="382">
        <f t="shared" si="9"/>
        <v>2438.3999999999996</v>
      </c>
      <c r="J102" s="382">
        <f t="shared" si="10"/>
        <v>76.199999999999989</v>
      </c>
      <c r="K102" s="396">
        <f t="shared" si="11"/>
        <v>357.12399999999997</v>
      </c>
    </row>
    <row r="103" spans="1:11" ht="13.5" thickBot="1" x14ac:dyDescent="0.25">
      <c r="A103" s="384"/>
      <c r="B103" s="392">
        <v>1.25</v>
      </c>
      <c r="C103" s="386">
        <v>96</v>
      </c>
      <c r="D103" s="387">
        <v>3.75</v>
      </c>
      <c r="E103" s="402">
        <v>14.38</v>
      </c>
      <c r="G103" s="384"/>
      <c r="H103" s="388">
        <f t="shared" si="8"/>
        <v>31.75</v>
      </c>
      <c r="I103" s="389">
        <f t="shared" si="9"/>
        <v>2438.3999999999996</v>
      </c>
      <c r="J103" s="389">
        <f t="shared" si="10"/>
        <v>95.25</v>
      </c>
      <c r="K103" s="397">
        <f t="shared" si="11"/>
        <v>365.25200000000001</v>
      </c>
    </row>
    <row r="104" spans="1:11" ht="14.25" thickTop="1" thickBot="1" x14ac:dyDescent="0.25">
      <c r="A104" s="368" t="s">
        <v>120</v>
      </c>
      <c r="B104" s="368" t="s">
        <v>121</v>
      </c>
      <c r="C104" s="368" t="s">
        <v>122</v>
      </c>
      <c r="D104" s="368" t="s">
        <v>123</v>
      </c>
      <c r="E104" s="368" t="s">
        <v>124</v>
      </c>
      <c r="G104" s="368" t="s">
        <v>120</v>
      </c>
      <c r="H104" s="368" t="s">
        <v>160</v>
      </c>
      <c r="I104" s="368" t="s">
        <v>161</v>
      </c>
      <c r="J104" s="368" t="s">
        <v>162</v>
      </c>
      <c r="K104" s="368" t="s">
        <v>163</v>
      </c>
    </row>
    <row r="105" spans="1:11" ht="13.5" thickTop="1" x14ac:dyDescent="0.2">
      <c r="A105" s="370"/>
      <c r="B105" s="371">
        <v>0.5</v>
      </c>
      <c r="C105" s="372">
        <v>102</v>
      </c>
      <c r="D105" s="373">
        <v>1.5</v>
      </c>
      <c r="E105" s="400">
        <v>14.25</v>
      </c>
      <c r="G105" s="370"/>
      <c r="H105" s="374">
        <f t="shared" ref="H105:H128" si="12">B105*25.4</f>
        <v>12.7</v>
      </c>
      <c r="I105" s="375">
        <f t="shared" ref="I105:I128" si="13">C105*25.4</f>
        <v>2590.7999999999997</v>
      </c>
      <c r="J105" s="375">
        <f t="shared" ref="J105:J128" si="14">D105*25.4</f>
        <v>38.099999999999994</v>
      </c>
      <c r="K105" s="395">
        <f t="shared" ref="K105:K128" si="15">E105*25.4</f>
        <v>361.95</v>
      </c>
    </row>
    <row r="106" spans="1:11" x14ac:dyDescent="0.2">
      <c r="A106" s="376"/>
      <c r="B106" s="377">
        <v>0.75</v>
      </c>
      <c r="C106" s="378">
        <v>96</v>
      </c>
      <c r="D106" s="379">
        <v>2.25</v>
      </c>
      <c r="E106" s="401">
        <v>15.5</v>
      </c>
      <c r="G106" s="380" t="s">
        <v>142</v>
      </c>
      <c r="H106" s="381">
        <f t="shared" si="12"/>
        <v>19.049999999999997</v>
      </c>
      <c r="I106" s="382">
        <f t="shared" si="13"/>
        <v>2438.3999999999996</v>
      </c>
      <c r="J106" s="382">
        <f t="shared" si="14"/>
        <v>57.15</v>
      </c>
      <c r="K106" s="396">
        <f t="shared" si="15"/>
        <v>393.7</v>
      </c>
    </row>
    <row r="107" spans="1:11" x14ac:dyDescent="0.2">
      <c r="A107" s="376"/>
      <c r="B107" s="377">
        <v>1</v>
      </c>
      <c r="C107" s="378">
        <v>96</v>
      </c>
      <c r="D107" s="379">
        <v>3</v>
      </c>
      <c r="E107" s="401">
        <v>15.75</v>
      </c>
      <c r="G107" s="394">
        <f>102*25.4</f>
        <v>2590.7999999999997</v>
      </c>
      <c r="H107" s="381">
        <f t="shared" si="12"/>
        <v>25.4</v>
      </c>
      <c r="I107" s="382">
        <f t="shared" si="13"/>
        <v>2438.3999999999996</v>
      </c>
      <c r="J107" s="382">
        <f t="shared" si="14"/>
        <v>76.199999999999989</v>
      </c>
      <c r="K107" s="396">
        <f t="shared" si="15"/>
        <v>400.04999999999995</v>
      </c>
    </row>
    <row r="108" spans="1:11" ht="13.5" thickBot="1" x14ac:dyDescent="0.25">
      <c r="A108" s="384"/>
      <c r="B108" s="385">
        <v>1.25</v>
      </c>
      <c r="C108" s="386">
        <v>96</v>
      </c>
      <c r="D108" s="387">
        <v>3.75</v>
      </c>
      <c r="E108" s="402">
        <v>16.059999999999999</v>
      </c>
      <c r="G108" s="384"/>
      <c r="H108" s="388">
        <f t="shared" si="12"/>
        <v>31.75</v>
      </c>
      <c r="I108" s="389">
        <f t="shared" si="13"/>
        <v>2438.3999999999996</v>
      </c>
      <c r="J108" s="389">
        <f t="shared" si="14"/>
        <v>95.25</v>
      </c>
      <c r="K108" s="397">
        <f t="shared" si="15"/>
        <v>407.92399999999992</v>
      </c>
    </row>
    <row r="109" spans="1:11" ht="13.5" thickTop="1" x14ac:dyDescent="0.2">
      <c r="A109" s="370"/>
      <c r="B109" s="390">
        <v>0.5</v>
      </c>
      <c r="C109" s="372">
        <v>108</v>
      </c>
      <c r="D109" s="373">
        <v>1.5</v>
      </c>
      <c r="E109" s="400">
        <v>15.06</v>
      </c>
      <c r="G109" s="370"/>
      <c r="H109" s="374">
        <f t="shared" si="12"/>
        <v>12.7</v>
      </c>
      <c r="I109" s="375">
        <f t="shared" si="13"/>
        <v>2743.2</v>
      </c>
      <c r="J109" s="375">
        <f t="shared" si="14"/>
        <v>38.099999999999994</v>
      </c>
      <c r="K109" s="395">
        <f t="shared" si="15"/>
        <v>382.524</v>
      </c>
    </row>
    <row r="110" spans="1:11" x14ac:dyDescent="0.2">
      <c r="A110" s="376"/>
      <c r="B110" s="391">
        <v>0.75</v>
      </c>
      <c r="C110" s="378">
        <v>108</v>
      </c>
      <c r="D110" s="379">
        <v>2.25</v>
      </c>
      <c r="E110" s="401">
        <v>15.38</v>
      </c>
      <c r="G110" s="380" t="s">
        <v>143</v>
      </c>
      <c r="H110" s="381">
        <f t="shared" si="12"/>
        <v>19.049999999999997</v>
      </c>
      <c r="I110" s="382">
        <f t="shared" si="13"/>
        <v>2743.2</v>
      </c>
      <c r="J110" s="382">
        <f t="shared" si="14"/>
        <v>57.15</v>
      </c>
      <c r="K110" s="396">
        <f t="shared" si="15"/>
        <v>390.65199999999999</v>
      </c>
    </row>
    <row r="111" spans="1:11" x14ac:dyDescent="0.2">
      <c r="A111" s="376"/>
      <c r="B111" s="391">
        <v>1</v>
      </c>
      <c r="C111" s="378">
        <v>102</v>
      </c>
      <c r="D111" s="379">
        <v>3</v>
      </c>
      <c r="E111" s="401">
        <v>16.559999999999999</v>
      </c>
      <c r="G111" s="394">
        <f>108*25.4</f>
        <v>2743.2</v>
      </c>
      <c r="H111" s="381">
        <f t="shared" si="12"/>
        <v>25.4</v>
      </c>
      <c r="I111" s="382">
        <f t="shared" si="13"/>
        <v>2590.7999999999997</v>
      </c>
      <c r="J111" s="382">
        <f t="shared" si="14"/>
        <v>76.199999999999989</v>
      </c>
      <c r="K111" s="396">
        <f t="shared" si="15"/>
        <v>420.62399999999997</v>
      </c>
    </row>
    <row r="112" spans="1:11" ht="13.5" thickBot="1" x14ac:dyDescent="0.25">
      <c r="A112" s="384"/>
      <c r="B112" s="392">
        <v>1.25</v>
      </c>
      <c r="C112" s="386">
        <v>102</v>
      </c>
      <c r="D112" s="387">
        <v>3.75</v>
      </c>
      <c r="E112" s="402">
        <v>16.809999999999999</v>
      </c>
      <c r="G112" s="384"/>
      <c r="H112" s="388">
        <f t="shared" si="12"/>
        <v>31.75</v>
      </c>
      <c r="I112" s="389">
        <f t="shared" si="13"/>
        <v>2590.7999999999997</v>
      </c>
      <c r="J112" s="389">
        <f t="shared" si="14"/>
        <v>95.25</v>
      </c>
      <c r="K112" s="397">
        <f t="shared" si="15"/>
        <v>426.97399999999993</v>
      </c>
    </row>
    <row r="113" spans="1:11" ht="13.5" thickTop="1" x14ac:dyDescent="0.2">
      <c r="A113" s="370"/>
      <c r="B113" s="390">
        <v>0.5</v>
      </c>
      <c r="C113" s="372">
        <v>114</v>
      </c>
      <c r="D113" s="373">
        <v>1.5</v>
      </c>
      <c r="E113" s="400">
        <v>15.88</v>
      </c>
      <c r="G113" s="370"/>
      <c r="H113" s="374">
        <f t="shared" si="12"/>
        <v>12.7</v>
      </c>
      <c r="I113" s="375">
        <f t="shared" si="13"/>
        <v>2895.6</v>
      </c>
      <c r="J113" s="375">
        <f t="shared" si="14"/>
        <v>38.099999999999994</v>
      </c>
      <c r="K113" s="395">
        <f t="shared" si="15"/>
        <v>403.35199999999998</v>
      </c>
    </row>
    <row r="114" spans="1:11" x14ac:dyDescent="0.2">
      <c r="A114" s="376"/>
      <c r="B114" s="391">
        <v>0.75</v>
      </c>
      <c r="C114" s="378">
        <v>114</v>
      </c>
      <c r="D114" s="379">
        <v>2.25</v>
      </c>
      <c r="E114" s="401">
        <v>16.190000000000001</v>
      </c>
      <c r="G114" s="380" t="s">
        <v>144</v>
      </c>
      <c r="H114" s="381">
        <f t="shared" si="12"/>
        <v>19.049999999999997</v>
      </c>
      <c r="I114" s="382">
        <f t="shared" si="13"/>
        <v>2895.6</v>
      </c>
      <c r="J114" s="382">
        <f t="shared" si="14"/>
        <v>57.15</v>
      </c>
      <c r="K114" s="396">
        <f t="shared" si="15"/>
        <v>411.226</v>
      </c>
    </row>
    <row r="115" spans="1:11" x14ac:dyDescent="0.2">
      <c r="A115" s="376"/>
      <c r="B115" s="391">
        <v>1</v>
      </c>
      <c r="C115" s="378">
        <v>108</v>
      </c>
      <c r="D115" s="379">
        <v>3</v>
      </c>
      <c r="E115" s="401">
        <v>17.38</v>
      </c>
      <c r="G115" s="394">
        <f>114*25.4</f>
        <v>2895.6</v>
      </c>
      <c r="H115" s="381">
        <f t="shared" si="12"/>
        <v>25.4</v>
      </c>
      <c r="I115" s="382">
        <f t="shared" si="13"/>
        <v>2743.2</v>
      </c>
      <c r="J115" s="382">
        <f t="shared" si="14"/>
        <v>76.199999999999989</v>
      </c>
      <c r="K115" s="396">
        <f t="shared" si="15"/>
        <v>441.45199999999994</v>
      </c>
    </row>
    <row r="116" spans="1:11" ht="13.5" thickBot="1" x14ac:dyDescent="0.25">
      <c r="A116" s="384"/>
      <c r="B116" s="392">
        <v>1.25</v>
      </c>
      <c r="C116" s="386">
        <v>108</v>
      </c>
      <c r="D116" s="387">
        <v>3.75</v>
      </c>
      <c r="E116" s="402">
        <v>17.63</v>
      </c>
      <c r="G116" s="384"/>
      <c r="H116" s="388">
        <f t="shared" si="12"/>
        <v>31.75</v>
      </c>
      <c r="I116" s="389">
        <f t="shared" si="13"/>
        <v>2743.2</v>
      </c>
      <c r="J116" s="389">
        <f t="shared" si="14"/>
        <v>95.25</v>
      </c>
      <c r="K116" s="397">
        <f t="shared" si="15"/>
        <v>447.80199999999996</v>
      </c>
    </row>
    <row r="117" spans="1:11" ht="13.5" thickTop="1" x14ac:dyDescent="0.2">
      <c r="A117" s="370"/>
      <c r="B117" s="390">
        <v>0.5</v>
      </c>
      <c r="C117" s="372">
        <v>120</v>
      </c>
      <c r="D117" s="373">
        <v>1.5</v>
      </c>
      <c r="E117" s="400">
        <v>16.690000000000001</v>
      </c>
      <c r="G117" s="370"/>
      <c r="H117" s="374">
        <f t="shared" si="12"/>
        <v>12.7</v>
      </c>
      <c r="I117" s="375">
        <f t="shared" si="13"/>
        <v>3048</v>
      </c>
      <c r="J117" s="375">
        <f t="shared" si="14"/>
        <v>38.099999999999994</v>
      </c>
      <c r="K117" s="395">
        <f t="shared" si="15"/>
        <v>423.92599999999999</v>
      </c>
    </row>
    <row r="118" spans="1:11" x14ac:dyDescent="0.2">
      <c r="A118" s="376"/>
      <c r="B118" s="391">
        <v>0.88</v>
      </c>
      <c r="C118" s="378">
        <v>120</v>
      </c>
      <c r="D118" s="379">
        <v>2.63</v>
      </c>
      <c r="E118" s="401">
        <v>17.13</v>
      </c>
      <c r="G118" s="380" t="s">
        <v>145</v>
      </c>
      <c r="H118" s="381">
        <f t="shared" si="12"/>
        <v>22.352</v>
      </c>
      <c r="I118" s="382">
        <f t="shared" si="13"/>
        <v>3048</v>
      </c>
      <c r="J118" s="382">
        <f t="shared" si="14"/>
        <v>66.801999999999992</v>
      </c>
      <c r="K118" s="396">
        <f t="shared" si="15"/>
        <v>435.10199999999998</v>
      </c>
    </row>
    <row r="119" spans="1:11" x14ac:dyDescent="0.2">
      <c r="A119" s="376"/>
      <c r="B119" s="391">
        <v>1.25</v>
      </c>
      <c r="C119" s="378">
        <v>120</v>
      </c>
      <c r="D119" s="379">
        <v>3.75</v>
      </c>
      <c r="E119" s="401">
        <v>17.59</v>
      </c>
      <c r="G119" s="394">
        <f>120*25.4</f>
        <v>3048</v>
      </c>
      <c r="H119" s="381">
        <f t="shared" si="12"/>
        <v>31.75</v>
      </c>
      <c r="I119" s="382">
        <f t="shared" si="13"/>
        <v>3048</v>
      </c>
      <c r="J119" s="382">
        <f t="shared" si="14"/>
        <v>95.25</v>
      </c>
      <c r="K119" s="396">
        <f t="shared" si="15"/>
        <v>446.78599999999994</v>
      </c>
    </row>
    <row r="120" spans="1:11" ht="13.5" thickBot="1" x14ac:dyDescent="0.25">
      <c r="A120" s="384"/>
      <c r="B120" s="392">
        <v>1.63</v>
      </c>
      <c r="C120" s="386">
        <v>120</v>
      </c>
      <c r="D120" s="387">
        <v>4.88</v>
      </c>
      <c r="E120" s="402">
        <v>18.059999999999999</v>
      </c>
      <c r="G120" s="384"/>
      <c r="H120" s="388">
        <f t="shared" si="12"/>
        <v>41.401999999999994</v>
      </c>
      <c r="I120" s="389">
        <f t="shared" si="13"/>
        <v>3048</v>
      </c>
      <c r="J120" s="389">
        <f t="shared" si="14"/>
        <v>123.95199999999998</v>
      </c>
      <c r="K120" s="397">
        <f t="shared" si="15"/>
        <v>458.72399999999993</v>
      </c>
    </row>
    <row r="121" spans="1:11" ht="13.5" thickTop="1" x14ac:dyDescent="0.2">
      <c r="A121" s="370"/>
      <c r="B121" s="390">
        <v>0.5</v>
      </c>
      <c r="C121" s="372">
        <v>126</v>
      </c>
      <c r="D121" s="373">
        <v>1.5</v>
      </c>
      <c r="E121" s="400">
        <v>17.5</v>
      </c>
      <c r="G121" s="370"/>
      <c r="H121" s="374">
        <f t="shared" si="12"/>
        <v>12.7</v>
      </c>
      <c r="I121" s="375">
        <f t="shared" si="13"/>
        <v>3200.3999999999996</v>
      </c>
      <c r="J121" s="375">
        <f t="shared" si="14"/>
        <v>38.099999999999994</v>
      </c>
      <c r="K121" s="395">
        <f t="shared" si="15"/>
        <v>444.5</v>
      </c>
    </row>
    <row r="122" spans="1:11" x14ac:dyDescent="0.2">
      <c r="A122" s="376"/>
      <c r="B122" s="391">
        <v>0.88</v>
      </c>
      <c r="C122" s="378">
        <v>120</v>
      </c>
      <c r="D122" s="379">
        <v>2.63</v>
      </c>
      <c r="E122" s="401">
        <v>18.809999999999999</v>
      </c>
      <c r="G122" s="380" t="s">
        <v>146</v>
      </c>
      <c r="H122" s="381">
        <f t="shared" si="12"/>
        <v>22.352</v>
      </c>
      <c r="I122" s="382">
        <f t="shared" si="13"/>
        <v>3048</v>
      </c>
      <c r="J122" s="382">
        <f t="shared" si="14"/>
        <v>66.801999999999992</v>
      </c>
      <c r="K122" s="396">
        <f t="shared" si="15"/>
        <v>477.77399999999994</v>
      </c>
    </row>
    <row r="123" spans="1:11" x14ac:dyDescent="0.2">
      <c r="A123" s="376"/>
      <c r="B123" s="391">
        <v>1.25</v>
      </c>
      <c r="C123" s="378">
        <v>120</v>
      </c>
      <c r="D123" s="379">
        <v>3.75</v>
      </c>
      <c r="E123" s="401">
        <v>19.25</v>
      </c>
      <c r="G123" s="394">
        <f>126*25.4</f>
        <v>3200.3999999999996</v>
      </c>
      <c r="H123" s="381">
        <f t="shared" si="12"/>
        <v>31.75</v>
      </c>
      <c r="I123" s="382">
        <f t="shared" si="13"/>
        <v>3048</v>
      </c>
      <c r="J123" s="382">
        <f t="shared" si="14"/>
        <v>95.25</v>
      </c>
      <c r="K123" s="396">
        <f t="shared" si="15"/>
        <v>488.95</v>
      </c>
    </row>
    <row r="124" spans="1:11" ht="13.5" thickBot="1" x14ac:dyDescent="0.25">
      <c r="A124" s="384"/>
      <c r="B124" s="392">
        <v>1.63</v>
      </c>
      <c r="C124" s="386">
        <v>120</v>
      </c>
      <c r="D124" s="387">
        <v>4.88</v>
      </c>
      <c r="E124" s="402">
        <v>19.690000000000001</v>
      </c>
      <c r="G124" s="384"/>
      <c r="H124" s="388">
        <f t="shared" si="12"/>
        <v>41.401999999999994</v>
      </c>
      <c r="I124" s="389">
        <f t="shared" si="13"/>
        <v>3048</v>
      </c>
      <c r="J124" s="389">
        <f t="shared" si="14"/>
        <v>123.95199999999998</v>
      </c>
      <c r="K124" s="397">
        <f t="shared" si="15"/>
        <v>500.12599999999998</v>
      </c>
    </row>
    <row r="125" spans="1:11" ht="13.5" thickTop="1" x14ac:dyDescent="0.2">
      <c r="A125" s="370"/>
      <c r="B125" s="390">
        <v>0.63</v>
      </c>
      <c r="C125" s="372">
        <v>132</v>
      </c>
      <c r="D125" s="373">
        <v>1.88</v>
      </c>
      <c r="E125" s="400">
        <v>18.440000000000001</v>
      </c>
      <c r="G125" s="370"/>
      <c r="H125" s="374">
        <f t="shared" si="12"/>
        <v>16.001999999999999</v>
      </c>
      <c r="I125" s="375">
        <f t="shared" si="13"/>
        <v>3352.7999999999997</v>
      </c>
      <c r="J125" s="375">
        <f t="shared" si="14"/>
        <v>47.751999999999995</v>
      </c>
      <c r="K125" s="395">
        <f t="shared" si="15"/>
        <v>468.37600000000003</v>
      </c>
    </row>
    <row r="126" spans="1:11" x14ac:dyDescent="0.2">
      <c r="A126" s="376"/>
      <c r="B126" s="391">
        <v>0.88</v>
      </c>
      <c r="C126" s="378">
        <v>132</v>
      </c>
      <c r="D126" s="379">
        <v>2.63</v>
      </c>
      <c r="E126" s="401">
        <v>18.75</v>
      </c>
      <c r="G126" s="380" t="s">
        <v>147</v>
      </c>
      <c r="H126" s="381">
        <f t="shared" si="12"/>
        <v>22.352</v>
      </c>
      <c r="I126" s="382">
        <f t="shared" si="13"/>
        <v>3352.7999999999997</v>
      </c>
      <c r="J126" s="382">
        <f t="shared" si="14"/>
        <v>66.801999999999992</v>
      </c>
      <c r="K126" s="396">
        <f t="shared" si="15"/>
        <v>476.25</v>
      </c>
    </row>
    <row r="127" spans="1:11" x14ac:dyDescent="0.2">
      <c r="A127" s="376"/>
      <c r="B127" s="391">
        <v>1.1299999999999999</v>
      </c>
      <c r="C127" s="378">
        <v>132</v>
      </c>
      <c r="D127" s="379">
        <v>3.38</v>
      </c>
      <c r="E127" s="401">
        <v>19</v>
      </c>
      <c r="G127" s="394">
        <f>132*25.4</f>
        <v>3352.7999999999997</v>
      </c>
      <c r="H127" s="381">
        <f t="shared" si="12"/>
        <v>28.701999999999995</v>
      </c>
      <c r="I127" s="382">
        <f t="shared" si="13"/>
        <v>3352.7999999999997</v>
      </c>
      <c r="J127" s="382">
        <f t="shared" si="14"/>
        <v>85.85199999999999</v>
      </c>
      <c r="K127" s="396">
        <f t="shared" si="15"/>
        <v>482.59999999999997</v>
      </c>
    </row>
    <row r="128" spans="1:11" ht="13.5" thickBot="1" x14ac:dyDescent="0.25">
      <c r="A128" s="384"/>
      <c r="B128" s="392">
        <v>1.5</v>
      </c>
      <c r="C128" s="386">
        <v>132</v>
      </c>
      <c r="D128" s="387">
        <v>4.5</v>
      </c>
      <c r="E128" s="402">
        <v>19.5</v>
      </c>
      <c r="G128" s="384"/>
      <c r="H128" s="388">
        <f t="shared" si="12"/>
        <v>38.099999999999994</v>
      </c>
      <c r="I128" s="389">
        <f t="shared" si="13"/>
        <v>3352.7999999999997</v>
      </c>
      <c r="J128" s="389">
        <f t="shared" si="14"/>
        <v>114.3</v>
      </c>
      <c r="K128" s="397">
        <f t="shared" si="15"/>
        <v>495.29999999999995</v>
      </c>
    </row>
    <row r="129" spans="1:11" ht="14.25" thickTop="1" thickBot="1" x14ac:dyDescent="0.25">
      <c r="A129" s="368" t="s">
        <v>120</v>
      </c>
      <c r="B129" s="368" t="s">
        <v>121</v>
      </c>
      <c r="C129" s="368" t="s">
        <v>122</v>
      </c>
      <c r="D129" s="368" t="s">
        <v>123</v>
      </c>
      <c r="E129" s="368" t="s">
        <v>124</v>
      </c>
      <c r="G129" s="368" t="s">
        <v>120</v>
      </c>
      <c r="H129" s="368" t="s">
        <v>160</v>
      </c>
      <c r="I129" s="368" t="s">
        <v>161</v>
      </c>
      <c r="J129" s="368" t="s">
        <v>162</v>
      </c>
      <c r="K129" s="368" t="s">
        <v>163</v>
      </c>
    </row>
    <row r="130" spans="1:11" ht="13.5" thickTop="1" x14ac:dyDescent="0.2">
      <c r="A130" s="370"/>
      <c r="B130" s="371">
        <v>0.63</v>
      </c>
      <c r="C130" s="372">
        <v>132</v>
      </c>
      <c r="D130" s="373">
        <v>1.88</v>
      </c>
      <c r="E130" s="400">
        <v>20.13</v>
      </c>
      <c r="G130" s="370"/>
      <c r="H130" s="374">
        <f t="shared" ref="H130:H153" si="16">B130*25.4</f>
        <v>16.001999999999999</v>
      </c>
      <c r="I130" s="375">
        <f t="shared" ref="I130:I153" si="17">C130*25.4</f>
        <v>3352.7999999999997</v>
      </c>
      <c r="J130" s="375">
        <f t="shared" ref="J130:J153" si="18">D130*25.4</f>
        <v>47.751999999999995</v>
      </c>
      <c r="K130" s="395">
        <f t="shared" ref="K130:K153" si="19">E130*25.4</f>
        <v>511.30199999999996</v>
      </c>
    </row>
    <row r="131" spans="1:11" x14ac:dyDescent="0.2">
      <c r="A131" s="376"/>
      <c r="B131" s="377">
        <v>0.88</v>
      </c>
      <c r="C131" s="378">
        <v>132</v>
      </c>
      <c r="D131" s="379">
        <v>2.63</v>
      </c>
      <c r="E131" s="401">
        <v>20.440000000000001</v>
      </c>
      <c r="G131" s="380" t="s">
        <v>148</v>
      </c>
      <c r="H131" s="381">
        <f t="shared" si="16"/>
        <v>22.352</v>
      </c>
      <c r="I131" s="382">
        <f t="shared" si="17"/>
        <v>3352.7999999999997</v>
      </c>
      <c r="J131" s="382">
        <f t="shared" si="18"/>
        <v>66.801999999999992</v>
      </c>
      <c r="K131" s="396">
        <f t="shared" si="19"/>
        <v>519.17600000000004</v>
      </c>
    </row>
    <row r="132" spans="1:11" x14ac:dyDescent="0.2">
      <c r="A132" s="376"/>
      <c r="B132" s="377">
        <v>1.1299999999999999</v>
      </c>
      <c r="C132" s="378">
        <v>132</v>
      </c>
      <c r="D132" s="379">
        <v>3.38</v>
      </c>
      <c r="E132" s="401">
        <v>20.69</v>
      </c>
      <c r="G132" s="394">
        <f>138*25.4</f>
        <v>3505.2</v>
      </c>
      <c r="H132" s="381">
        <f t="shared" si="16"/>
        <v>28.701999999999995</v>
      </c>
      <c r="I132" s="382">
        <f t="shared" si="17"/>
        <v>3352.7999999999997</v>
      </c>
      <c r="J132" s="382">
        <f t="shared" si="18"/>
        <v>85.85199999999999</v>
      </c>
      <c r="K132" s="396">
        <f t="shared" si="19"/>
        <v>525.52599999999995</v>
      </c>
    </row>
    <row r="133" spans="1:11" ht="13.5" thickBot="1" x14ac:dyDescent="0.25">
      <c r="A133" s="384"/>
      <c r="B133" s="385">
        <v>1.5</v>
      </c>
      <c r="C133" s="386">
        <v>132</v>
      </c>
      <c r="D133" s="387">
        <v>4.5</v>
      </c>
      <c r="E133" s="402">
        <v>21.13</v>
      </c>
      <c r="G133" s="384"/>
      <c r="H133" s="388">
        <f t="shared" si="16"/>
        <v>38.099999999999994</v>
      </c>
      <c r="I133" s="389">
        <f t="shared" si="17"/>
        <v>3352.7999999999997</v>
      </c>
      <c r="J133" s="389">
        <f t="shared" si="18"/>
        <v>114.3</v>
      </c>
      <c r="K133" s="397">
        <f t="shared" si="19"/>
        <v>536.702</v>
      </c>
    </row>
    <row r="134" spans="1:11" ht="13.5" thickTop="1" x14ac:dyDescent="0.2">
      <c r="A134" s="370"/>
      <c r="B134" s="390">
        <v>0.63</v>
      </c>
      <c r="C134" s="372">
        <v>144</v>
      </c>
      <c r="D134" s="373">
        <v>1.88</v>
      </c>
      <c r="E134" s="400">
        <v>20</v>
      </c>
      <c r="G134" s="370"/>
      <c r="H134" s="374">
        <f t="shared" si="16"/>
        <v>16.001999999999999</v>
      </c>
      <c r="I134" s="375">
        <f t="shared" si="17"/>
        <v>3657.6</v>
      </c>
      <c r="J134" s="375">
        <f t="shared" si="18"/>
        <v>47.751999999999995</v>
      </c>
      <c r="K134" s="395">
        <f t="shared" si="19"/>
        <v>508</v>
      </c>
    </row>
    <row r="135" spans="1:11" x14ac:dyDescent="0.2">
      <c r="A135" s="376"/>
      <c r="B135" s="391">
        <v>0.88</v>
      </c>
      <c r="C135" s="378">
        <v>144</v>
      </c>
      <c r="D135" s="379">
        <v>2.63</v>
      </c>
      <c r="E135" s="401">
        <v>20.309999999999999</v>
      </c>
      <c r="G135" s="380" t="s">
        <v>149</v>
      </c>
      <c r="H135" s="381">
        <f t="shared" si="16"/>
        <v>22.352</v>
      </c>
      <c r="I135" s="382">
        <f t="shared" si="17"/>
        <v>3657.6</v>
      </c>
      <c r="J135" s="382">
        <f t="shared" si="18"/>
        <v>66.801999999999992</v>
      </c>
      <c r="K135" s="396">
        <f t="shared" si="19"/>
        <v>515.87399999999991</v>
      </c>
    </row>
    <row r="136" spans="1:11" x14ac:dyDescent="0.2">
      <c r="A136" s="376"/>
      <c r="B136" s="391">
        <v>1.1299999999999999</v>
      </c>
      <c r="C136" s="378">
        <v>144</v>
      </c>
      <c r="D136" s="379">
        <v>3.38</v>
      </c>
      <c r="E136" s="401">
        <v>20.63</v>
      </c>
      <c r="G136" s="394">
        <f>144*25.4</f>
        <v>3657.6</v>
      </c>
      <c r="H136" s="381">
        <f t="shared" si="16"/>
        <v>28.701999999999995</v>
      </c>
      <c r="I136" s="382">
        <f t="shared" si="17"/>
        <v>3657.6</v>
      </c>
      <c r="J136" s="382">
        <f t="shared" si="18"/>
        <v>85.85199999999999</v>
      </c>
      <c r="K136" s="396">
        <f t="shared" si="19"/>
        <v>524.00199999999995</v>
      </c>
    </row>
    <row r="137" spans="1:11" ht="13.5" thickBot="1" x14ac:dyDescent="0.25">
      <c r="A137" s="384"/>
      <c r="B137" s="392">
        <v>1.5</v>
      </c>
      <c r="C137" s="386">
        <v>144</v>
      </c>
      <c r="D137" s="387">
        <v>4.5</v>
      </c>
      <c r="E137" s="402">
        <v>21.13</v>
      </c>
      <c r="G137" s="384"/>
      <c r="H137" s="388">
        <f t="shared" si="16"/>
        <v>38.099999999999994</v>
      </c>
      <c r="I137" s="389">
        <f t="shared" si="17"/>
        <v>3657.6</v>
      </c>
      <c r="J137" s="389">
        <f t="shared" si="18"/>
        <v>114.3</v>
      </c>
      <c r="K137" s="397">
        <f t="shared" si="19"/>
        <v>536.702</v>
      </c>
    </row>
    <row r="138" spans="1:11" ht="13.5" thickTop="1" x14ac:dyDescent="0.2">
      <c r="A138" s="370"/>
      <c r="B138" s="390">
        <v>0.75</v>
      </c>
      <c r="C138" s="372">
        <v>144</v>
      </c>
      <c r="D138" s="373">
        <v>2.25</v>
      </c>
      <c r="E138" s="400">
        <v>23.69</v>
      </c>
      <c r="G138" s="370"/>
      <c r="H138" s="374">
        <f t="shared" si="16"/>
        <v>19.049999999999997</v>
      </c>
      <c r="I138" s="375">
        <f t="shared" si="17"/>
        <v>3657.6</v>
      </c>
      <c r="J138" s="375">
        <f t="shared" si="18"/>
        <v>57.15</v>
      </c>
      <c r="K138" s="395">
        <f t="shared" si="19"/>
        <v>601.726</v>
      </c>
    </row>
    <row r="139" spans="1:11" x14ac:dyDescent="0.2">
      <c r="A139" s="376"/>
      <c r="B139" s="391">
        <v>1.1299999999999999</v>
      </c>
      <c r="C139" s="378">
        <v>144</v>
      </c>
      <c r="D139" s="379">
        <v>3.38</v>
      </c>
      <c r="E139" s="401">
        <v>24.13</v>
      </c>
      <c r="G139" s="380" t="s">
        <v>150</v>
      </c>
      <c r="H139" s="381">
        <f t="shared" si="16"/>
        <v>28.701999999999995</v>
      </c>
      <c r="I139" s="382">
        <f t="shared" si="17"/>
        <v>3657.6</v>
      </c>
      <c r="J139" s="382">
        <f t="shared" si="18"/>
        <v>85.85199999999999</v>
      </c>
      <c r="K139" s="396">
        <f t="shared" si="19"/>
        <v>612.90199999999993</v>
      </c>
    </row>
    <row r="140" spans="1:11" x14ac:dyDescent="0.2">
      <c r="A140" s="376"/>
      <c r="B140" s="391">
        <v>1.5</v>
      </c>
      <c r="C140" s="378">
        <v>144</v>
      </c>
      <c r="D140" s="379">
        <v>4.5</v>
      </c>
      <c r="E140" s="401">
        <v>24.5</v>
      </c>
      <c r="G140" s="394">
        <f>156*25.4</f>
        <v>3962.3999999999996</v>
      </c>
      <c r="H140" s="381">
        <f t="shared" si="16"/>
        <v>38.099999999999994</v>
      </c>
      <c r="I140" s="382">
        <f t="shared" si="17"/>
        <v>3657.6</v>
      </c>
      <c r="J140" s="382">
        <f t="shared" si="18"/>
        <v>114.3</v>
      </c>
      <c r="K140" s="396">
        <f t="shared" si="19"/>
        <v>622.29999999999995</v>
      </c>
    </row>
    <row r="141" spans="1:11" ht="13.5" thickBot="1" x14ac:dyDescent="0.25">
      <c r="A141" s="384"/>
      <c r="B141" s="392">
        <v>1.88</v>
      </c>
      <c r="C141" s="386">
        <v>144</v>
      </c>
      <c r="D141" s="387">
        <v>5.63</v>
      </c>
      <c r="E141" s="402">
        <v>24.94</v>
      </c>
      <c r="G141" s="384"/>
      <c r="H141" s="388">
        <f t="shared" si="16"/>
        <v>47.751999999999995</v>
      </c>
      <c r="I141" s="389">
        <f t="shared" si="17"/>
        <v>3657.6</v>
      </c>
      <c r="J141" s="389">
        <f t="shared" si="18"/>
        <v>143.00199999999998</v>
      </c>
      <c r="K141" s="397">
        <f t="shared" si="19"/>
        <v>633.476</v>
      </c>
    </row>
    <row r="142" spans="1:11" ht="13.5" thickTop="1" x14ac:dyDescent="0.2">
      <c r="A142" s="370"/>
      <c r="B142" s="390">
        <v>0.75</v>
      </c>
      <c r="C142" s="372">
        <v>170</v>
      </c>
      <c r="D142" s="373">
        <v>2.25</v>
      </c>
      <c r="E142" s="400">
        <v>23.13</v>
      </c>
      <c r="G142" s="370"/>
      <c r="H142" s="374">
        <f t="shared" si="16"/>
        <v>19.049999999999997</v>
      </c>
      <c r="I142" s="375">
        <f t="shared" si="17"/>
        <v>4318</v>
      </c>
      <c r="J142" s="375">
        <f t="shared" si="18"/>
        <v>57.15</v>
      </c>
      <c r="K142" s="395">
        <f t="shared" si="19"/>
        <v>587.50199999999995</v>
      </c>
    </row>
    <row r="143" spans="1:11" x14ac:dyDescent="0.2">
      <c r="A143" s="376"/>
      <c r="B143" s="391">
        <v>1.1299999999999999</v>
      </c>
      <c r="C143" s="378">
        <v>170</v>
      </c>
      <c r="D143" s="379">
        <v>3.38</v>
      </c>
      <c r="E143" s="401">
        <v>23.56</v>
      </c>
      <c r="G143" s="380" t="s">
        <v>151</v>
      </c>
      <c r="H143" s="381">
        <f t="shared" si="16"/>
        <v>28.701999999999995</v>
      </c>
      <c r="I143" s="382">
        <f t="shared" si="17"/>
        <v>4318</v>
      </c>
      <c r="J143" s="382">
        <f t="shared" si="18"/>
        <v>85.85199999999999</v>
      </c>
      <c r="K143" s="396">
        <f t="shared" si="19"/>
        <v>598.42399999999998</v>
      </c>
    </row>
    <row r="144" spans="1:11" x14ac:dyDescent="0.2">
      <c r="A144" s="376"/>
      <c r="B144" s="391">
        <v>1.5</v>
      </c>
      <c r="C144" s="378">
        <v>170</v>
      </c>
      <c r="D144" s="379">
        <v>4.5</v>
      </c>
      <c r="E144" s="401">
        <v>24.06</v>
      </c>
      <c r="G144" s="394">
        <f>168*25.4</f>
        <v>4267.2</v>
      </c>
      <c r="H144" s="381">
        <f t="shared" si="16"/>
        <v>38.099999999999994</v>
      </c>
      <c r="I144" s="382">
        <f t="shared" si="17"/>
        <v>4318</v>
      </c>
      <c r="J144" s="382">
        <f t="shared" si="18"/>
        <v>114.3</v>
      </c>
      <c r="K144" s="396">
        <f t="shared" si="19"/>
        <v>611.12399999999991</v>
      </c>
    </row>
    <row r="145" spans="1:11" ht="13.5" thickBot="1" x14ac:dyDescent="0.25">
      <c r="A145" s="384"/>
      <c r="B145" s="392">
        <v>1.88</v>
      </c>
      <c r="C145" s="386">
        <v>170</v>
      </c>
      <c r="D145" s="387">
        <v>5.63</v>
      </c>
      <c r="E145" s="402">
        <v>24.19</v>
      </c>
      <c r="G145" s="384"/>
      <c r="H145" s="388">
        <f t="shared" si="16"/>
        <v>47.751999999999995</v>
      </c>
      <c r="I145" s="389">
        <f t="shared" si="17"/>
        <v>4318</v>
      </c>
      <c r="J145" s="389">
        <f t="shared" si="18"/>
        <v>143.00199999999998</v>
      </c>
      <c r="K145" s="397">
        <f t="shared" si="19"/>
        <v>614.42600000000004</v>
      </c>
    </row>
    <row r="146" spans="1:11" ht="13.5" thickTop="1" x14ac:dyDescent="0.2">
      <c r="A146" s="370"/>
      <c r="B146" s="390">
        <v>0.88</v>
      </c>
      <c r="C146" s="372">
        <v>170</v>
      </c>
      <c r="D146" s="373">
        <v>2.63</v>
      </c>
      <c r="E146" s="400">
        <v>26.69</v>
      </c>
      <c r="G146" s="370"/>
      <c r="H146" s="374">
        <f t="shared" si="16"/>
        <v>22.352</v>
      </c>
      <c r="I146" s="375">
        <f t="shared" si="17"/>
        <v>4318</v>
      </c>
      <c r="J146" s="375">
        <f t="shared" si="18"/>
        <v>66.801999999999992</v>
      </c>
      <c r="K146" s="395">
        <f t="shared" si="19"/>
        <v>677.92600000000004</v>
      </c>
    </row>
    <row r="147" spans="1:11" x14ac:dyDescent="0.2">
      <c r="A147" s="376"/>
      <c r="B147" s="391">
        <v>1.25</v>
      </c>
      <c r="C147" s="378">
        <v>170</v>
      </c>
      <c r="D147" s="379">
        <v>3.75</v>
      </c>
      <c r="E147" s="401">
        <v>27.13</v>
      </c>
      <c r="G147" s="380">
        <v>180</v>
      </c>
      <c r="H147" s="381">
        <f t="shared" si="16"/>
        <v>31.75</v>
      </c>
      <c r="I147" s="382">
        <f t="shared" si="17"/>
        <v>4318</v>
      </c>
      <c r="J147" s="382">
        <f t="shared" si="18"/>
        <v>95.25</v>
      </c>
      <c r="K147" s="396">
        <f t="shared" si="19"/>
        <v>689.10199999999998</v>
      </c>
    </row>
    <row r="148" spans="1:11" x14ac:dyDescent="0.2">
      <c r="A148" s="376"/>
      <c r="B148" s="391">
        <v>1.63</v>
      </c>
      <c r="C148" s="378">
        <v>170</v>
      </c>
      <c r="D148" s="379">
        <v>4.88</v>
      </c>
      <c r="E148" s="401">
        <v>27.56</v>
      </c>
      <c r="G148" s="394">
        <f>180*25.4</f>
        <v>4572</v>
      </c>
      <c r="H148" s="381">
        <f t="shared" si="16"/>
        <v>41.401999999999994</v>
      </c>
      <c r="I148" s="382">
        <f t="shared" si="17"/>
        <v>4318</v>
      </c>
      <c r="J148" s="382">
        <f t="shared" si="18"/>
        <v>123.95199999999998</v>
      </c>
      <c r="K148" s="396">
        <f t="shared" si="19"/>
        <v>700.02399999999989</v>
      </c>
    </row>
    <row r="149" spans="1:11" ht="13.5" thickBot="1" x14ac:dyDescent="0.25">
      <c r="A149" s="384"/>
      <c r="B149" s="392">
        <v>2</v>
      </c>
      <c r="C149" s="386">
        <v>170</v>
      </c>
      <c r="D149" s="387">
        <v>6</v>
      </c>
      <c r="E149" s="402">
        <v>28</v>
      </c>
      <c r="G149" s="384"/>
      <c r="H149" s="388">
        <f t="shared" si="16"/>
        <v>50.8</v>
      </c>
      <c r="I149" s="389">
        <f t="shared" si="17"/>
        <v>4318</v>
      </c>
      <c r="J149" s="389">
        <f t="shared" si="18"/>
        <v>152.39999999999998</v>
      </c>
      <c r="K149" s="397">
        <f t="shared" si="19"/>
        <v>711.19999999999993</v>
      </c>
    </row>
    <row r="150" spans="1:11" ht="13.5" thickTop="1" x14ac:dyDescent="0.2">
      <c r="A150" s="370"/>
      <c r="B150" s="390">
        <v>0.88</v>
      </c>
      <c r="C150" s="372">
        <v>170</v>
      </c>
      <c r="D150" s="373">
        <v>2.63</v>
      </c>
      <c r="E150" s="400">
        <v>30.5</v>
      </c>
      <c r="G150" s="370"/>
      <c r="H150" s="374">
        <f t="shared" si="16"/>
        <v>22.352</v>
      </c>
      <c r="I150" s="375">
        <f t="shared" si="17"/>
        <v>4318</v>
      </c>
      <c r="J150" s="375">
        <f t="shared" si="18"/>
        <v>66.801999999999992</v>
      </c>
      <c r="K150" s="395">
        <f t="shared" si="19"/>
        <v>774.69999999999993</v>
      </c>
    </row>
    <row r="151" spans="1:11" x14ac:dyDescent="0.2">
      <c r="A151" s="376"/>
      <c r="B151" s="391">
        <v>1.25</v>
      </c>
      <c r="C151" s="378">
        <v>170</v>
      </c>
      <c r="D151" s="379">
        <v>3.75</v>
      </c>
      <c r="E151" s="401">
        <v>30.88</v>
      </c>
      <c r="G151" s="380" t="s">
        <v>152</v>
      </c>
      <c r="H151" s="381">
        <f t="shared" si="16"/>
        <v>31.75</v>
      </c>
      <c r="I151" s="382">
        <f t="shared" si="17"/>
        <v>4318</v>
      </c>
      <c r="J151" s="382">
        <f t="shared" si="18"/>
        <v>95.25</v>
      </c>
      <c r="K151" s="396">
        <f t="shared" si="19"/>
        <v>784.35199999999998</v>
      </c>
    </row>
    <row r="152" spans="1:11" x14ac:dyDescent="0.2">
      <c r="A152" s="376"/>
      <c r="B152" s="391">
        <v>1.63</v>
      </c>
      <c r="C152" s="378">
        <v>170</v>
      </c>
      <c r="D152" s="379">
        <v>4.88</v>
      </c>
      <c r="E152" s="401">
        <v>31.25</v>
      </c>
      <c r="G152" s="394">
        <f>192*25.4</f>
        <v>4876.7999999999993</v>
      </c>
      <c r="H152" s="381">
        <f t="shared" si="16"/>
        <v>41.401999999999994</v>
      </c>
      <c r="I152" s="382">
        <f t="shared" si="17"/>
        <v>4318</v>
      </c>
      <c r="J152" s="382">
        <f t="shared" si="18"/>
        <v>123.95199999999998</v>
      </c>
      <c r="K152" s="396">
        <f t="shared" si="19"/>
        <v>793.75</v>
      </c>
    </row>
    <row r="153" spans="1:11" ht="13.5" thickBot="1" x14ac:dyDescent="0.25">
      <c r="A153" s="384"/>
      <c r="B153" s="392">
        <v>2</v>
      </c>
      <c r="C153" s="386">
        <v>170</v>
      </c>
      <c r="D153" s="387">
        <v>6</v>
      </c>
      <c r="E153" s="402">
        <v>31.63</v>
      </c>
      <c r="G153" s="384"/>
      <c r="H153" s="388">
        <f t="shared" si="16"/>
        <v>50.8</v>
      </c>
      <c r="I153" s="389">
        <f t="shared" si="17"/>
        <v>4318</v>
      </c>
      <c r="J153" s="389">
        <f t="shared" si="18"/>
        <v>152.39999999999998</v>
      </c>
      <c r="K153" s="397">
        <f t="shared" si="19"/>
        <v>803.40199999999993</v>
      </c>
    </row>
    <row r="154" spans="1:11" ht="14.25" thickTop="1" thickBot="1" x14ac:dyDescent="0.25">
      <c r="A154" s="368" t="s">
        <v>120</v>
      </c>
      <c r="B154" s="368" t="s">
        <v>121</v>
      </c>
      <c r="C154" s="368" t="s">
        <v>122</v>
      </c>
      <c r="D154" s="368" t="s">
        <v>123</v>
      </c>
      <c r="E154" s="368" t="s">
        <v>124</v>
      </c>
      <c r="G154" s="368" t="s">
        <v>120</v>
      </c>
      <c r="H154" s="368" t="s">
        <v>160</v>
      </c>
      <c r="I154" s="368" t="s">
        <v>161</v>
      </c>
      <c r="J154" s="368" t="s">
        <v>162</v>
      </c>
      <c r="K154" s="368" t="s">
        <v>163</v>
      </c>
    </row>
    <row r="155" spans="1:11" ht="13.5" thickTop="1" x14ac:dyDescent="0.2">
      <c r="A155" s="370"/>
      <c r="B155" s="371">
        <v>0.88</v>
      </c>
      <c r="C155" s="372">
        <v>170</v>
      </c>
      <c r="D155" s="373">
        <v>2.63</v>
      </c>
      <c r="E155" s="400">
        <v>34.630000000000003</v>
      </c>
      <c r="G155" s="370"/>
      <c r="H155" s="374">
        <f t="shared" ref="H155:H170" si="20">B155*25.4</f>
        <v>22.352</v>
      </c>
      <c r="I155" s="375">
        <f t="shared" ref="I155:I170" si="21">C155*25.4</f>
        <v>4318</v>
      </c>
      <c r="J155" s="375">
        <f t="shared" ref="J155:J170" si="22">D155*25.4</f>
        <v>66.801999999999992</v>
      </c>
      <c r="K155" s="395">
        <f t="shared" ref="K155:K170" si="23">E155*25.4</f>
        <v>879.60199999999998</v>
      </c>
    </row>
    <row r="156" spans="1:11" x14ac:dyDescent="0.2">
      <c r="A156" s="376"/>
      <c r="B156" s="377">
        <v>1.25</v>
      </c>
      <c r="C156" s="378">
        <v>170</v>
      </c>
      <c r="D156" s="379">
        <v>3.75</v>
      </c>
      <c r="E156" s="401">
        <v>35</v>
      </c>
      <c r="G156" s="380" t="s">
        <v>153</v>
      </c>
      <c r="H156" s="381">
        <f t="shared" si="20"/>
        <v>31.75</v>
      </c>
      <c r="I156" s="382">
        <f t="shared" si="21"/>
        <v>4318</v>
      </c>
      <c r="J156" s="382">
        <f t="shared" si="22"/>
        <v>95.25</v>
      </c>
      <c r="K156" s="396">
        <f t="shared" si="23"/>
        <v>889</v>
      </c>
    </row>
    <row r="157" spans="1:11" x14ac:dyDescent="0.2">
      <c r="A157" s="376"/>
      <c r="B157" s="377">
        <v>1.63</v>
      </c>
      <c r="C157" s="378">
        <v>170</v>
      </c>
      <c r="D157" s="379">
        <v>4.88</v>
      </c>
      <c r="E157" s="401">
        <v>35.31</v>
      </c>
      <c r="G157" s="394">
        <f>204*25.4</f>
        <v>5181.5999999999995</v>
      </c>
      <c r="H157" s="381">
        <f t="shared" si="20"/>
        <v>41.401999999999994</v>
      </c>
      <c r="I157" s="382">
        <f t="shared" si="21"/>
        <v>4318</v>
      </c>
      <c r="J157" s="382">
        <f t="shared" si="22"/>
        <v>123.95199999999998</v>
      </c>
      <c r="K157" s="396">
        <f t="shared" si="23"/>
        <v>896.87400000000002</v>
      </c>
    </row>
    <row r="158" spans="1:11" ht="13.5" thickBot="1" x14ac:dyDescent="0.25">
      <c r="A158" s="384"/>
      <c r="B158" s="385">
        <v>2</v>
      </c>
      <c r="C158" s="386">
        <v>170</v>
      </c>
      <c r="D158" s="387">
        <v>6</v>
      </c>
      <c r="E158" s="402">
        <v>35.630000000000003</v>
      </c>
      <c r="G158" s="384"/>
      <c r="H158" s="388">
        <f t="shared" si="20"/>
        <v>50.8</v>
      </c>
      <c r="I158" s="389">
        <f t="shared" si="21"/>
        <v>4318</v>
      </c>
      <c r="J158" s="389">
        <f t="shared" si="22"/>
        <v>152.39999999999998</v>
      </c>
      <c r="K158" s="397">
        <f t="shared" si="23"/>
        <v>905.00200000000007</v>
      </c>
    </row>
    <row r="159" spans="1:11" ht="13.5" thickTop="1" x14ac:dyDescent="0.2">
      <c r="A159" s="370"/>
      <c r="B159" s="390">
        <v>0.88</v>
      </c>
      <c r="C159" s="372">
        <v>170</v>
      </c>
      <c r="D159" s="373">
        <v>2.63</v>
      </c>
      <c r="E159" s="400">
        <v>39.06</v>
      </c>
      <c r="G159" s="370"/>
      <c r="H159" s="374">
        <f t="shared" si="20"/>
        <v>22.352</v>
      </c>
      <c r="I159" s="375">
        <f t="shared" si="21"/>
        <v>4318</v>
      </c>
      <c r="J159" s="375">
        <f t="shared" si="22"/>
        <v>66.801999999999992</v>
      </c>
      <c r="K159" s="395">
        <f t="shared" si="23"/>
        <v>992.12400000000002</v>
      </c>
    </row>
    <row r="160" spans="1:11" x14ac:dyDescent="0.2">
      <c r="A160" s="376"/>
      <c r="B160" s="391">
        <v>1.25</v>
      </c>
      <c r="C160" s="378">
        <v>170</v>
      </c>
      <c r="D160" s="379">
        <v>3.75</v>
      </c>
      <c r="E160" s="401">
        <v>39.5</v>
      </c>
      <c r="G160" s="380" t="s">
        <v>155</v>
      </c>
      <c r="H160" s="381">
        <f t="shared" si="20"/>
        <v>31.75</v>
      </c>
      <c r="I160" s="382">
        <f t="shared" si="21"/>
        <v>4318</v>
      </c>
      <c r="J160" s="382">
        <f t="shared" si="22"/>
        <v>95.25</v>
      </c>
      <c r="K160" s="396">
        <f t="shared" si="23"/>
        <v>1003.3</v>
      </c>
    </row>
    <row r="161" spans="1:11" x14ac:dyDescent="0.2">
      <c r="A161" s="376"/>
      <c r="B161" s="391">
        <v>1.63</v>
      </c>
      <c r="C161" s="378">
        <v>170</v>
      </c>
      <c r="D161" s="379">
        <v>4.88</v>
      </c>
      <c r="E161" s="401">
        <v>39.75</v>
      </c>
      <c r="G161" s="394">
        <f>216*25.4</f>
        <v>5486.4</v>
      </c>
      <c r="H161" s="381">
        <f t="shared" si="20"/>
        <v>41.401999999999994</v>
      </c>
      <c r="I161" s="382">
        <f t="shared" si="21"/>
        <v>4318</v>
      </c>
      <c r="J161" s="382">
        <f t="shared" si="22"/>
        <v>123.95199999999998</v>
      </c>
      <c r="K161" s="396">
        <f t="shared" si="23"/>
        <v>1009.65</v>
      </c>
    </row>
    <row r="162" spans="1:11" ht="13.5" thickBot="1" x14ac:dyDescent="0.25">
      <c r="A162" s="384"/>
      <c r="B162" s="392">
        <v>2</v>
      </c>
      <c r="C162" s="386">
        <v>170</v>
      </c>
      <c r="D162" s="387">
        <v>6</v>
      </c>
      <c r="E162" s="402">
        <v>40</v>
      </c>
      <c r="G162" s="384"/>
      <c r="H162" s="388">
        <f t="shared" si="20"/>
        <v>50.8</v>
      </c>
      <c r="I162" s="389">
        <f t="shared" si="21"/>
        <v>4318</v>
      </c>
      <c r="J162" s="389">
        <f t="shared" si="22"/>
        <v>152.39999999999998</v>
      </c>
      <c r="K162" s="397">
        <f t="shared" si="23"/>
        <v>1016</v>
      </c>
    </row>
    <row r="163" spans="1:11" ht="13.5" thickTop="1" x14ac:dyDescent="0.2">
      <c r="A163" s="370"/>
      <c r="B163" s="390">
        <v>0.88</v>
      </c>
      <c r="C163" s="372">
        <v>180</v>
      </c>
      <c r="D163" s="373">
        <v>2.63</v>
      </c>
      <c r="E163" s="400">
        <v>41.25</v>
      </c>
      <c r="G163" s="370"/>
      <c r="H163" s="374">
        <f t="shared" si="20"/>
        <v>22.352</v>
      </c>
      <c r="I163" s="375">
        <f t="shared" si="21"/>
        <v>4572</v>
      </c>
      <c r="J163" s="375">
        <f t="shared" si="22"/>
        <v>66.801999999999992</v>
      </c>
      <c r="K163" s="395">
        <f t="shared" si="23"/>
        <v>1047.75</v>
      </c>
    </row>
    <row r="164" spans="1:11" x14ac:dyDescent="0.2">
      <c r="A164" s="376"/>
      <c r="B164" s="391">
        <v>1.25</v>
      </c>
      <c r="C164" s="378">
        <v>180</v>
      </c>
      <c r="D164" s="379">
        <v>3.75</v>
      </c>
      <c r="E164" s="401">
        <v>41.5</v>
      </c>
      <c r="G164" s="380" t="s">
        <v>156</v>
      </c>
      <c r="H164" s="381">
        <f t="shared" si="20"/>
        <v>31.75</v>
      </c>
      <c r="I164" s="382">
        <f t="shared" si="21"/>
        <v>4572</v>
      </c>
      <c r="J164" s="382">
        <f t="shared" si="22"/>
        <v>95.25</v>
      </c>
      <c r="K164" s="396">
        <f t="shared" si="23"/>
        <v>1054.0999999999999</v>
      </c>
    </row>
    <row r="165" spans="1:11" x14ac:dyDescent="0.2">
      <c r="A165" s="376"/>
      <c r="B165" s="391">
        <v>1.63</v>
      </c>
      <c r="C165" s="378">
        <v>180</v>
      </c>
      <c r="D165" s="379">
        <v>4.88</v>
      </c>
      <c r="E165" s="401">
        <v>41.75</v>
      </c>
      <c r="G165" s="394">
        <f>228*25.4</f>
        <v>5791.2</v>
      </c>
      <c r="H165" s="381">
        <f t="shared" si="20"/>
        <v>41.401999999999994</v>
      </c>
      <c r="I165" s="382">
        <f t="shared" si="21"/>
        <v>4572</v>
      </c>
      <c r="J165" s="382">
        <f t="shared" si="22"/>
        <v>123.95199999999998</v>
      </c>
      <c r="K165" s="396">
        <f t="shared" si="23"/>
        <v>1060.45</v>
      </c>
    </row>
    <row r="166" spans="1:11" ht="13.5" thickBot="1" x14ac:dyDescent="0.25">
      <c r="A166" s="384"/>
      <c r="B166" s="392">
        <v>2</v>
      </c>
      <c r="C166" s="386">
        <v>180</v>
      </c>
      <c r="D166" s="387">
        <v>6</v>
      </c>
      <c r="E166" s="402">
        <v>42</v>
      </c>
      <c r="G166" s="384"/>
      <c r="H166" s="388">
        <f t="shared" si="20"/>
        <v>50.8</v>
      </c>
      <c r="I166" s="389">
        <f t="shared" si="21"/>
        <v>4572</v>
      </c>
      <c r="J166" s="389">
        <f t="shared" si="22"/>
        <v>152.39999999999998</v>
      </c>
      <c r="K166" s="397">
        <f t="shared" si="23"/>
        <v>1066.8</v>
      </c>
    </row>
    <row r="167" spans="1:11" ht="13.5" thickTop="1" x14ac:dyDescent="0.2">
      <c r="A167" s="370"/>
      <c r="B167" s="390">
        <v>0.88</v>
      </c>
      <c r="C167" s="372">
        <v>180</v>
      </c>
      <c r="D167" s="373">
        <v>2.63</v>
      </c>
      <c r="E167" s="400">
        <v>46.25</v>
      </c>
      <c r="G167" s="370"/>
      <c r="H167" s="374">
        <f t="shared" si="20"/>
        <v>22.352</v>
      </c>
      <c r="I167" s="375">
        <f t="shared" si="21"/>
        <v>4572</v>
      </c>
      <c r="J167" s="375">
        <f t="shared" si="22"/>
        <v>66.801999999999992</v>
      </c>
      <c r="K167" s="395">
        <f t="shared" si="23"/>
        <v>1174.75</v>
      </c>
    </row>
    <row r="168" spans="1:11" x14ac:dyDescent="0.2">
      <c r="A168" s="376"/>
      <c r="B168" s="391">
        <v>1.25</v>
      </c>
      <c r="C168" s="378">
        <v>180</v>
      </c>
      <c r="D168" s="379">
        <v>3.75</v>
      </c>
      <c r="E168" s="401">
        <v>46.44</v>
      </c>
      <c r="G168" s="380" t="s">
        <v>165</v>
      </c>
      <c r="H168" s="381">
        <f t="shared" si="20"/>
        <v>31.75</v>
      </c>
      <c r="I168" s="382">
        <f t="shared" si="21"/>
        <v>4572</v>
      </c>
      <c r="J168" s="382">
        <f t="shared" si="22"/>
        <v>95.25</v>
      </c>
      <c r="K168" s="396">
        <f t="shared" si="23"/>
        <v>1179.5759999999998</v>
      </c>
    </row>
    <row r="169" spans="1:11" x14ac:dyDescent="0.2">
      <c r="A169" s="376"/>
      <c r="B169" s="391">
        <v>1.63</v>
      </c>
      <c r="C169" s="378">
        <v>180</v>
      </c>
      <c r="D169" s="379">
        <v>4.88</v>
      </c>
      <c r="E169" s="401">
        <v>46.63</v>
      </c>
      <c r="G169" s="394">
        <f>240*25.4</f>
        <v>6096</v>
      </c>
      <c r="H169" s="381">
        <f t="shared" si="20"/>
        <v>41.401999999999994</v>
      </c>
      <c r="I169" s="382">
        <f t="shared" si="21"/>
        <v>4572</v>
      </c>
      <c r="J169" s="382">
        <f t="shared" si="22"/>
        <v>123.95199999999998</v>
      </c>
      <c r="K169" s="396">
        <f t="shared" si="23"/>
        <v>1184.402</v>
      </c>
    </row>
    <row r="170" spans="1:11" ht="13.5" thickBot="1" x14ac:dyDescent="0.25">
      <c r="A170" s="384"/>
      <c r="B170" s="392">
        <v>2</v>
      </c>
      <c r="C170" s="386">
        <v>180</v>
      </c>
      <c r="D170" s="387">
        <v>6</v>
      </c>
      <c r="E170" s="402">
        <v>46.81</v>
      </c>
      <c r="G170" s="384"/>
      <c r="H170" s="398">
        <f t="shared" si="20"/>
        <v>50.8</v>
      </c>
      <c r="I170" s="389">
        <f t="shared" si="21"/>
        <v>4572</v>
      </c>
      <c r="J170" s="389">
        <f t="shared" si="22"/>
        <v>152.39999999999998</v>
      </c>
      <c r="K170" s="399">
        <f t="shared" si="23"/>
        <v>1188.9739999999999</v>
      </c>
    </row>
    <row r="171" spans="1:11" ht="13.5" thickTop="1" x14ac:dyDescent="0.2"/>
  </sheetData>
  <sheetProtection password="8881" sheet="1" objects="1" scenarios="1"/>
  <phoneticPr fontId="7" type="noConversion"/>
  <pageMargins left="0.75" right="0.16" top="0.47" bottom="0.47" header="0.16" footer="0.16"/>
  <pageSetup scale="80" orientation="portrait" verticalDpi="0" r:id="rId1"/>
  <headerFooter alignWithMargins="0">
    <oddHeader>&amp;LArt Montemayor&amp;CFlanged and Dished Heads&amp;RMay 21, 2003
Rev: 0</oddHeader>
    <oddFooter>&amp;CPage &amp;P of &amp;N&amp;RFileName: &amp;F
Worksheet: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workbookViewId="0">
      <selection activeCell="G52" sqref="G52"/>
    </sheetView>
  </sheetViews>
  <sheetFormatPr defaultRowHeight="12.75" x14ac:dyDescent="0.2"/>
  <sheetData>
    <row r="1" spans="1:9" ht="13.5" thickTop="1" x14ac:dyDescent="0.2">
      <c r="A1" s="63"/>
      <c r="B1" s="64"/>
      <c r="C1" s="64"/>
      <c r="D1" s="64"/>
      <c r="E1" s="64"/>
      <c r="F1" s="64"/>
      <c r="G1" s="64"/>
      <c r="H1" s="64"/>
      <c r="I1" s="65"/>
    </row>
    <row r="2" spans="1:9" x14ac:dyDescent="0.2">
      <c r="A2" s="66"/>
      <c r="B2" s="55"/>
      <c r="C2" s="55"/>
      <c r="D2" s="55"/>
      <c r="E2" s="55"/>
      <c r="F2" s="55"/>
      <c r="G2" s="55"/>
      <c r="H2" s="55"/>
      <c r="I2" s="67"/>
    </row>
    <row r="3" spans="1:9" x14ac:dyDescent="0.2">
      <c r="A3" s="66"/>
      <c r="B3" s="55"/>
      <c r="C3" s="55"/>
      <c r="D3" s="55"/>
      <c r="E3" s="55"/>
      <c r="F3" s="55"/>
      <c r="G3" s="55"/>
      <c r="H3" s="55"/>
      <c r="I3" s="67"/>
    </row>
    <row r="4" spans="1:9" x14ac:dyDescent="0.2">
      <c r="A4" s="66"/>
      <c r="B4" s="55"/>
      <c r="C4" s="55"/>
      <c r="D4" s="55"/>
      <c r="E4" s="55"/>
      <c r="F4" s="55"/>
      <c r="G4" s="55"/>
      <c r="H4" s="55"/>
      <c r="I4" s="67"/>
    </row>
    <row r="5" spans="1:9" x14ac:dyDescent="0.2">
      <c r="A5" s="66"/>
      <c r="B5" s="55"/>
      <c r="C5" s="55"/>
      <c r="D5" s="55"/>
      <c r="E5" s="55"/>
      <c r="F5" s="55"/>
      <c r="G5" s="55"/>
      <c r="H5" s="55"/>
      <c r="I5" s="67"/>
    </row>
    <row r="6" spans="1:9" x14ac:dyDescent="0.2">
      <c r="A6" s="66"/>
      <c r="B6" s="55"/>
      <c r="C6" s="55"/>
      <c r="D6" s="55"/>
      <c r="E6" s="55"/>
      <c r="F6" s="55"/>
      <c r="G6" s="55"/>
      <c r="H6" s="55"/>
      <c r="I6" s="67"/>
    </row>
    <row r="7" spans="1:9" x14ac:dyDescent="0.2">
      <c r="A7" s="66"/>
      <c r="B7" s="55"/>
      <c r="C7" s="55"/>
      <c r="D7" s="55"/>
      <c r="E7" s="55"/>
      <c r="F7" s="55"/>
      <c r="G7" s="55"/>
      <c r="H7" s="55"/>
      <c r="I7" s="67"/>
    </row>
    <row r="8" spans="1:9" x14ac:dyDescent="0.2">
      <c r="A8" s="66"/>
      <c r="B8" s="55"/>
      <c r="C8" s="55"/>
      <c r="D8" s="55"/>
      <c r="E8" s="55"/>
      <c r="F8" s="55"/>
      <c r="G8" s="55"/>
      <c r="H8" s="55"/>
      <c r="I8" s="67"/>
    </row>
    <row r="9" spans="1:9" x14ac:dyDescent="0.2">
      <c r="A9" s="66"/>
      <c r="B9" s="55"/>
      <c r="C9" s="55"/>
      <c r="D9" s="55"/>
      <c r="E9" s="55"/>
      <c r="F9" s="55"/>
      <c r="G9" s="55"/>
      <c r="H9" s="55"/>
      <c r="I9" s="67"/>
    </row>
    <row r="10" spans="1:9" x14ac:dyDescent="0.2">
      <c r="A10" s="66"/>
      <c r="B10" s="55"/>
      <c r="C10" s="55"/>
      <c r="D10" s="55"/>
      <c r="E10" s="55"/>
      <c r="F10" s="55"/>
      <c r="G10" s="55"/>
      <c r="H10" s="55"/>
      <c r="I10" s="67"/>
    </row>
    <row r="11" spans="1:9" x14ac:dyDescent="0.2">
      <c r="A11" s="66"/>
      <c r="B11" s="55"/>
      <c r="C11" s="55"/>
      <c r="D11" s="55"/>
      <c r="E11" s="55"/>
      <c r="F11" s="55"/>
      <c r="G11" s="55"/>
      <c r="H11" s="55"/>
      <c r="I11" s="67"/>
    </row>
    <row r="12" spans="1:9" x14ac:dyDescent="0.2">
      <c r="A12" s="66"/>
      <c r="B12" s="55"/>
      <c r="C12" s="55"/>
      <c r="D12" s="55"/>
      <c r="E12" s="55"/>
      <c r="F12" s="55"/>
      <c r="G12" s="55"/>
      <c r="H12" s="55"/>
      <c r="I12" s="67"/>
    </row>
    <row r="13" spans="1:9" x14ac:dyDescent="0.2">
      <c r="A13" s="66"/>
      <c r="B13" s="55"/>
      <c r="C13" s="55"/>
      <c r="D13" s="55"/>
      <c r="E13" s="55"/>
      <c r="F13" s="55"/>
      <c r="G13" s="55"/>
      <c r="H13" s="55"/>
      <c r="I13" s="67"/>
    </row>
    <row r="14" spans="1:9" x14ac:dyDescent="0.2">
      <c r="A14" s="66"/>
      <c r="B14" s="55"/>
      <c r="C14" s="55"/>
      <c r="D14" s="55"/>
      <c r="E14" s="55"/>
      <c r="F14" s="55"/>
      <c r="G14" s="55"/>
      <c r="H14" s="55"/>
      <c r="I14" s="67"/>
    </row>
    <row r="15" spans="1:9" x14ac:dyDescent="0.2">
      <c r="A15" s="66"/>
      <c r="B15" s="55"/>
      <c r="C15" s="55"/>
      <c r="D15" s="55"/>
      <c r="E15" s="55"/>
      <c r="F15" s="55"/>
      <c r="G15" s="55"/>
      <c r="H15" s="55"/>
      <c r="I15" s="67"/>
    </row>
    <row r="16" spans="1:9" x14ac:dyDescent="0.2">
      <c r="A16" s="68" t="s">
        <v>305</v>
      </c>
      <c r="B16" s="56" t="s">
        <v>306</v>
      </c>
      <c r="C16" s="56" t="s">
        <v>305</v>
      </c>
      <c r="D16" s="56" t="s">
        <v>306</v>
      </c>
      <c r="E16" s="56" t="s">
        <v>305</v>
      </c>
      <c r="F16" s="56" t="s">
        <v>306</v>
      </c>
      <c r="G16" s="56" t="s">
        <v>305</v>
      </c>
      <c r="H16" s="56" t="s">
        <v>306</v>
      </c>
      <c r="I16" s="67"/>
    </row>
    <row r="17" spans="1:9" x14ac:dyDescent="0.2">
      <c r="A17" s="69">
        <v>15</v>
      </c>
      <c r="B17" s="57">
        <f>(((PI()*A17^2)/4)/1728)*7.4805</f>
        <v>0.76499621891856928</v>
      </c>
      <c r="C17" s="58">
        <v>28</v>
      </c>
      <c r="D17" s="57">
        <f>(((PI()*C17^2)/4)/1728)*7.4805</f>
        <v>2.6655868250318147</v>
      </c>
      <c r="E17" s="59">
        <v>52</v>
      </c>
      <c r="F17" s="57">
        <f>(((PI()*E17^2)/4)/1728)*7.4805</f>
        <v>9.1935545598036068</v>
      </c>
      <c r="G17" s="55">
        <v>96</v>
      </c>
      <c r="H17" s="57">
        <f>(((PI()*G17^2)/4)/1728)*7.4805</f>
        <v>31.334245126904595</v>
      </c>
      <c r="I17" s="67"/>
    </row>
    <row r="18" spans="1:9" x14ac:dyDescent="0.2">
      <c r="A18" s="69">
        <v>15.5</v>
      </c>
      <c r="B18" s="57">
        <f t="shared" ref="B18:B47" si="0">(((PI()*A18^2)/4)/1728)*7.4805</f>
        <v>0.81684596264527232</v>
      </c>
      <c r="C18" s="58">
        <v>28.5</v>
      </c>
      <c r="D18" s="57">
        <f t="shared" ref="D18:D47" si="1">(((PI()*C18^2)/4)/1728)*7.4805</f>
        <v>2.761636350296035</v>
      </c>
      <c r="E18" s="59">
        <v>53</v>
      </c>
      <c r="F18" s="57">
        <f t="shared" ref="F18:F47" si="2">(((PI()*E18^2)/4)/1728)*7.4805</f>
        <v>9.5505527952989375</v>
      </c>
      <c r="G18" s="55">
        <v>98</v>
      </c>
      <c r="H18" s="57">
        <f t="shared" ref="H18:H48" si="3">(((PI()*G18^2)/4)/1728)*7.4805</f>
        <v>32.653438606639725</v>
      </c>
      <c r="I18" s="67"/>
    </row>
    <row r="19" spans="1:9" x14ac:dyDescent="0.2">
      <c r="A19" s="69">
        <v>16</v>
      </c>
      <c r="B19" s="57">
        <f t="shared" si="0"/>
        <v>0.87039569796957217</v>
      </c>
      <c r="C19" s="58">
        <v>29</v>
      </c>
      <c r="D19" s="57">
        <f t="shared" si="1"/>
        <v>2.8593858671578523</v>
      </c>
      <c r="E19" s="59">
        <v>54</v>
      </c>
      <c r="F19" s="57">
        <f t="shared" si="2"/>
        <v>9.9143509971846573</v>
      </c>
      <c r="G19" s="55">
        <v>100</v>
      </c>
      <c r="H19" s="57">
        <f t="shared" si="3"/>
        <v>33.999831951936414</v>
      </c>
      <c r="I19" s="67"/>
    </row>
    <row r="20" spans="1:9" x14ac:dyDescent="0.2">
      <c r="A20" s="69">
        <v>16.5</v>
      </c>
      <c r="B20" s="57">
        <f t="shared" si="0"/>
        <v>0.92564542489146884</v>
      </c>
      <c r="C20" s="58">
        <v>29.5</v>
      </c>
      <c r="D20" s="57">
        <f t="shared" si="1"/>
        <v>2.9588353756172663</v>
      </c>
      <c r="E20" s="59">
        <v>55</v>
      </c>
      <c r="F20" s="57">
        <f t="shared" si="2"/>
        <v>10.284949165460764</v>
      </c>
      <c r="G20" s="55">
        <v>102</v>
      </c>
      <c r="H20" s="57">
        <f t="shared" si="3"/>
        <v>35.373425162794639</v>
      </c>
      <c r="I20" s="67"/>
    </row>
    <row r="21" spans="1:9" x14ac:dyDescent="0.2">
      <c r="A21" s="69">
        <v>17</v>
      </c>
      <c r="B21" s="57">
        <f t="shared" si="0"/>
        <v>0.98259514341096232</v>
      </c>
      <c r="C21" s="61">
        <v>30</v>
      </c>
      <c r="D21" s="57">
        <f t="shared" si="1"/>
        <v>3.0599848756742771</v>
      </c>
      <c r="E21" s="59">
        <v>56</v>
      </c>
      <c r="F21" s="57">
        <f t="shared" si="2"/>
        <v>10.662347300127259</v>
      </c>
      <c r="G21" s="55">
        <v>104</v>
      </c>
      <c r="H21" s="57">
        <f t="shared" si="3"/>
        <v>36.774218239214427</v>
      </c>
      <c r="I21" s="67"/>
    </row>
    <row r="22" spans="1:9" x14ac:dyDescent="0.2">
      <c r="A22" s="69"/>
      <c r="B22" s="57"/>
      <c r="C22" s="61"/>
      <c r="D22" s="57"/>
      <c r="E22" s="59"/>
      <c r="F22" s="57"/>
      <c r="G22" s="55"/>
      <c r="H22" s="57"/>
      <c r="I22" s="67"/>
    </row>
    <row r="23" spans="1:9" x14ac:dyDescent="0.2">
      <c r="A23" s="69">
        <v>17.5</v>
      </c>
      <c r="B23" s="57">
        <f t="shared" si="0"/>
        <v>1.0412448535280525</v>
      </c>
      <c r="C23" s="61">
        <v>31</v>
      </c>
      <c r="D23" s="57">
        <f t="shared" si="1"/>
        <v>3.2673838505810893</v>
      </c>
      <c r="E23" s="59">
        <v>57</v>
      </c>
      <c r="F23" s="57">
        <f t="shared" si="2"/>
        <v>11.04654540118414</v>
      </c>
      <c r="G23" s="55">
        <v>106</v>
      </c>
      <c r="H23" s="57">
        <f t="shared" si="3"/>
        <v>38.20221118119575</v>
      </c>
      <c r="I23" s="67"/>
    </row>
    <row r="24" spans="1:9" x14ac:dyDescent="0.2">
      <c r="A24" s="69">
        <v>18</v>
      </c>
      <c r="B24" s="57">
        <f t="shared" si="0"/>
        <v>1.1015945552427397</v>
      </c>
      <c r="C24" s="61">
        <v>32</v>
      </c>
      <c r="D24" s="57">
        <f t="shared" si="1"/>
        <v>3.4815827918782887</v>
      </c>
      <c r="E24" s="59">
        <v>58</v>
      </c>
      <c r="F24" s="57">
        <f t="shared" si="2"/>
        <v>11.437543468631409</v>
      </c>
      <c r="G24" s="55">
        <v>108</v>
      </c>
      <c r="H24" s="57">
        <f t="shared" si="3"/>
        <v>39.657403988738629</v>
      </c>
      <c r="I24" s="67"/>
    </row>
    <row r="25" spans="1:9" x14ac:dyDescent="0.2">
      <c r="A25" s="69">
        <v>18.5</v>
      </c>
      <c r="B25" s="57">
        <f t="shared" si="0"/>
        <v>1.1636442485550238</v>
      </c>
      <c r="C25" s="61">
        <v>33</v>
      </c>
      <c r="D25" s="57">
        <f t="shared" si="1"/>
        <v>3.7025816995658754</v>
      </c>
      <c r="E25" s="59">
        <v>59</v>
      </c>
      <c r="F25" s="57">
        <f t="shared" si="2"/>
        <v>11.835341502469065</v>
      </c>
      <c r="G25" s="55">
        <v>110</v>
      </c>
      <c r="H25" s="57">
        <f t="shared" si="3"/>
        <v>41.139796661843057</v>
      </c>
      <c r="I25" s="67"/>
    </row>
    <row r="26" spans="1:9" x14ac:dyDescent="0.2">
      <c r="A26" s="69">
        <v>19</v>
      </c>
      <c r="B26" s="57">
        <f t="shared" si="0"/>
        <v>1.2273939334649044</v>
      </c>
      <c r="C26" s="61">
        <v>34</v>
      </c>
      <c r="D26" s="57">
        <f t="shared" si="1"/>
        <v>3.9303805736438493</v>
      </c>
      <c r="E26" s="59">
        <v>60</v>
      </c>
      <c r="F26" s="57">
        <f t="shared" si="2"/>
        <v>12.239939502697109</v>
      </c>
      <c r="G26" s="55">
        <v>112</v>
      </c>
      <c r="H26" s="57">
        <f t="shared" si="3"/>
        <v>42.649389200509034</v>
      </c>
      <c r="I26" s="67"/>
    </row>
    <row r="27" spans="1:9" x14ac:dyDescent="0.2">
      <c r="A27" s="69">
        <v>19.5</v>
      </c>
      <c r="B27" s="57">
        <f t="shared" si="0"/>
        <v>1.2928436099723819</v>
      </c>
      <c r="C27" s="61">
        <v>35</v>
      </c>
      <c r="D27" s="57">
        <f t="shared" si="1"/>
        <v>4.1649794141122101</v>
      </c>
      <c r="E27" s="59">
        <v>62</v>
      </c>
      <c r="F27" s="57">
        <f t="shared" si="2"/>
        <v>13.069535402324357</v>
      </c>
      <c r="G27" s="55">
        <v>114</v>
      </c>
      <c r="H27" s="57">
        <f t="shared" si="3"/>
        <v>44.186181604736561</v>
      </c>
      <c r="I27" s="67"/>
    </row>
    <row r="28" spans="1:9" x14ac:dyDescent="0.2">
      <c r="A28" s="69"/>
      <c r="B28" s="57"/>
      <c r="C28" s="61"/>
      <c r="D28" s="57"/>
      <c r="E28" s="59"/>
      <c r="F28" s="57"/>
      <c r="G28" s="55"/>
      <c r="H28" s="57"/>
      <c r="I28" s="67"/>
    </row>
    <row r="29" spans="1:9" x14ac:dyDescent="0.2">
      <c r="A29" s="69">
        <v>20</v>
      </c>
      <c r="B29" s="57">
        <f t="shared" si="0"/>
        <v>1.3599932780774564</v>
      </c>
      <c r="C29" s="61">
        <v>36</v>
      </c>
      <c r="D29" s="57">
        <f t="shared" si="1"/>
        <v>4.406378220970959</v>
      </c>
      <c r="E29" s="59">
        <v>64</v>
      </c>
      <c r="F29" s="57">
        <f t="shared" si="2"/>
        <v>13.926331167513155</v>
      </c>
      <c r="G29" s="55">
        <v>116</v>
      </c>
      <c r="H29" s="57">
        <f t="shared" si="3"/>
        <v>45.750173874525636</v>
      </c>
      <c r="I29" s="67"/>
    </row>
    <row r="30" spans="1:9" x14ac:dyDescent="0.2">
      <c r="A30" s="69">
        <v>20.5</v>
      </c>
      <c r="B30" s="57">
        <f t="shared" si="0"/>
        <v>1.4288429377801277</v>
      </c>
      <c r="C30" s="61">
        <v>37</v>
      </c>
      <c r="D30" s="57">
        <f t="shared" si="1"/>
        <v>4.6545769942200952</v>
      </c>
      <c r="E30" s="59">
        <v>66</v>
      </c>
      <c r="F30" s="57">
        <f t="shared" si="2"/>
        <v>14.810326798263501</v>
      </c>
      <c r="G30" s="55">
        <v>118</v>
      </c>
      <c r="H30" s="57">
        <f t="shared" si="3"/>
        <v>47.341366009876261</v>
      </c>
      <c r="I30" s="67"/>
    </row>
    <row r="31" spans="1:9" x14ac:dyDescent="0.2">
      <c r="A31" s="69">
        <v>21</v>
      </c>
      <c r="B31" s="57">
        <f t="shared" si="0"/>
        <v>1.4993925890803956</v>
      </c>
      <c r="C31" s="61">
        <v>38</v>
      </c>
      <c r="D31" s="57">
        <f t="shared" si="1"/>
        <v>4.9095757338596178</v>
      </c>
      <c r="E31" s="59">
        <v>68</v>
      </c>
      <c r="F31" s="57">
        <f t="shared" si="2"/>
        <v>15.721522294575397</v>
      </c>
      <c r="G31" s="55">
        <v>120</v>
      </c>
      <c r="H31" s="57">
        <f t="shared" si="3"/>
        <v>48.959758010788434</v>
      </c>
      <c r="I31" s="67"/>
    </row>
    <row r="32" spans="1:9" x14ac:dyDescent="0.2">
      <c r="A32" s="69">
        <v>21.5</v>
      </c>
      <c r="B32" s="57">
        <f t="shared" si="0"/>
        <v>1.5716422319782606</v>
      </c>
      <c r="C32" s="61">
        <v>39</v>
      </c>
      <c r="D32" s="57">
        <f t="shared" si="1"/>
        <v>5.1713744398895276</v>
      </c>
      <c r="E32" s="59">
        <v>70</v>
      </c>
      <c r="F32" s="57">
        <f t="shared" si="2"/>
        <v>16.65991765644884</v>
      </c>
      <c r="G32" s="55">
        <v>122</v>
      </c>
      <c r="H32" s="57">
        <f t="shared" si="3"/>
        <v>50.605349877262157</v>
      </c>
      <c r="I32" s="67"/>
    </row>
    <row r="33" spans="1:9" x14ac:dyDescent="0.2">
      <c r="A33" s="69">
        <v>22</v>
      </c>
      <c r="B33" s="57">
        <f t="shared" si="0"/>
        <v>1.6455918664737224</v>
      </c>
      <c r="C33" s="61">
        <v>40</v>
      </c>
      <c r="D33" s="57">
        <f t="shared" si="1"/>
        <v>5.4399731123098256</v>
      </c>
      <c r="E33" s="59">
        <v>72</v>
      </c>
      <c r="F33" s="57">
        <f t="shared" si="2"/>
        <v>17.625512883883836</v>
      </c>
      <c r="G33" s="55">
        <v>124</v>
      </c>
      <c r="H33" s="57">
        <f t="shared" si="3"/>
        <v>52.278141609297428</v>
      </c>
      <c r="I33" s="67"/>
    </row>
    <row r="34" spans="1:9" x14ac:dyDescent="0.2">
      <c r="A34" s="69"/>
      <c r="B34" s="57"/>
      <c r="C34" s="61"/>
      <c r="D34" s="57"/>
      <c r="E34" s="59"/>
      <c r="F34" s="57"/>
      <c r="G34" s="55"/>
      <c r="H34" s="57"/>
      <c r="I34" s="67"/>
    </row>
    <row r="35" spans="1:9" x14ac:dyDescent="0.2">
      <c r="A35" s="69">
        <v>22.5</v>
      </c>
      <c r="B35" s="57">
        <f t="shared" si="0"/>
        <v>1.7212414925667807</v>
      </c>
      <c r="C35" s="61">
        <v>41</v>
      </c>
      <c r="D35" s="57">
        <f t="shared" si="1"/>
        <v>5.7153717511205109</v>
      </c>
      <c r="E35" s="59">
        <v>74</v>
      </c>
      <c r="F35" s="57">
        <f t="shared" si="2"/>
        <v>18.618307976880381</v>
      </c>
      <c r="G35" s="55">
        <v>126</v>
      </c>
      <c r="H35" s="57">
        <f t="shared" si="3"/>
        <v>53.978133206894242</v>
      </c>
      <c r="I35" s="67"/>
    </row>
    <row r="36" spans="1:9" x14ac:dyDescent="0.2">
      <c r="A36" s="69">
        <v>23</v>
      </c>
      <c r="B36" s="57">
        <f t="shared" si="0"/>
        <v>1.7985911102574361</v>
      </c>
      <c r="C36" s="61">
        <v>42</v>
      </c>
      <c r="D36" s="57">
        <f t="shared" si="1"/>
        <v>5.9975703563215825</v>
      </c>
      <c r="E36" s="59">
        <v>76</v>
      </c>
      <c r="F36" s="57">
        <f t="shared" si="2"/>
        <v>19.638302935438471</v>
      </c>
      <c r="G36" s="55">
        <v>128</v>
      </c>
      <c r="H36" s="57">
        <f t="shared" si="3"/>
        <v>55.705324670052619</v>
      </c>
      <c r="I36" s="67"/>
    </row>
    <row r="37" spans="1:9" x14ac:dyDescent="0.2">
      <c r="A37" s="69">
        <v>23.5</v>
      </c>
      <c r="B37" s="57">
        <f t="shared" si="0"/>
        <v>1.8776407195456883</v>
      </c>
      <c r="C37" s="61">
        <v>43</v>
      </c>
      <c r="D37" s="57">
        <f t="shared" si="1"/>
        <v>6.2865689279130423</v>
      </c>
      <c r="E37" s="59">
        <v>78</v>
      </c>
      <c r="F37" s="57">
        <f t="shared" si="2"/>
        <v>20.68549775955811</v>
      </c>
      <c r="G37" s="55">
        <v>130</v>
      </c>
      <c r="H37" s="57">
        <f t="shared" si="3"/>
        <v>57.459715998772538</v>
      </c>
      <c r="I37" s="67"/>
    </row>
    <row r="38" spans="1:9" x14ac:dyDescent="0.2">
      <c r="A38" s="69">
        <v>24</v>
      </c>
      <c r="B38" s="57">
        <f t="shared" si="0"/>
        <v>1.9583903204315372</v>
      </c>
      <c r="C38" s="61">
        <v>44</v>
      </c>
      <c r="D38" s="57">
        <f t="shared" si="1"/>
        <v>6.5823674658948894</v>
      </c>
      <c r="E38" s="59">
        <v>80</v>
      </c>
      <c r="F38" s="57">
        <f t="shared" si="2"/>
        <v>21.759892449239302</v>
      </c>
      <c r="G38" s="55">
        <v>132</v>
      </c>
      <c r="H38" s="57">
        <f t="shared" si="3"/>
        <v>59.241307193054006</v>
      </c>
      <c r="I38" s="67"/>
    </row>
    <row r="39" spans="1:9" x14ac:dyDescent="0.2">
      <c r="A39" s="69">
        <v>24.5</v>
      </c>
      <c r="B39" s="57">
        <f t="shared" si="0"/>
        <v>2.0408399129149828</v>
      </c>
      <c r="C39" s="61">
        <v>45</v>
      </c>
      <c r="D39" s="57">
        <f t="shared" si="1"/>
        <v>6.8849659702671229</v>
      </c>
      <c r="E39" s="59">
        <v>82</v>
      </c>
      <c r="F39" s="57">
        <f t="shared" si="2"/>
        <v>22.861487004482044</v>
      </c>
      <c r="G39" s="55">
        <v>134</v>
      </c>
      <c r="H39" s="57">
        <f t="shared" si="3"/>
        <v>61.05009825289703</v>
      </c>
      <c r="I39" s="67"/>
    </row>
    <row r="40" spans="1:9" x14ac:dyDescent="0.2">
      <c r="A40" s="69"/>
      <c r="B40" s="57"/>
      <c r="C40" s="61"/>
      <c r="D40" s="57"/>
      <c r="E40" s="59"/>
      <c r="F40" s="57"/>
      <c r="G40" s="55"/>
      <c r="H40" s="57"/>
      <c r="I40" s="67"/>
    </row>
    <row r="41" spans="1:9" x14ac:dyDescent="0.2">
      <c r="A41" s="69">
        <v>25</v>
      </c>
      <c r="B41" s="57">
        <f t="shared" si="0"/>
        <v>2.1249894969960259</v>
      </c>
      <c r="C41" s="61">
        <v>46</v>
      </c>
      <c r="D41" s="57">
        <f t="shared" si="1"/>
        <v>7.1943644410297445</v>
      </c>
      <c r="E41" s="59">
        <v>84</v>
      </c>
      <c r="F41" s="57">
        <f t="shared" si="2"/>
        <v>23.99028142528633</v>
      </c>
      <c r="G41" s="55">
        <v>136</v>
      </c>
      <c r="H41" s="57">
        <f t="shared" si="3"/>
        <v>62.886089178301589</v>
      </c>
      <c r="I41" s="67"/>
    </row>
    <row r="42" spans="1:9" x14ac:dyDescent="0.2">
      <c r="A42" s="69">
        <v>25.5</v>
      </c>
      <c r="B42" s="57">
        <f t="shared" si="0"/>
        <v>2.210839072674665</v>
      </c>
      <c r="C42" s="61">
        <v>47</v>
      </c>
      <c r="D42" s="57">
        <f t="shared" si="1"/>
        <v>7.5105628781827534</v>
      </c>
      <c r="E42" s="59">
        <v>86</v>
      </c>
      <c r="F42" s="57">
        <f t="shared" si="2"/>
        <v>25.146275711652169</v>
      </c>
      <c r="G42" s="55">
        <v>138</v>
      </c>
      <c r="H42" s="57">
        <f t="shared" si="3"/>
        <v>64.749279969267704</v>
      </c>
      <c r="I42" s="67"/>
    </row>
    <row r="43" spans="1:9" x14ac:dyDescent="0.2">
      <c r="A43" s="69">
        <v>26</v>
      </c>
      <c r="B43" s="57">
        <f t="shared" si="0"/>
        <v>2.2983886399509017</v>
      </c>
      <c r="C43" s="61">
        <v>48</v>
      </c>
      <c r="D43" s="57">
        <f t="shared" si="1"/>
        <v>7.8335612817261486</v>
      </c>
      <c r="E43" s="59">
        <v>88</v>
      </c>
      <c r="F43" s="57">
        <f t="shared" si="2"/>
        <v>26.329469863579558</v>
      </c>
      <c r="G43" s="55">
        <v>140</v>
      </c>
      <c r="H43" s="57">
        <f t="shared" si="3"/>
        <v>66.639670625795361</v>
      </c>
      <c r="I43" s="67"/>
    </row>
    <row r="44" spans="1:9" x14ac:dyDescent="0.2">
      <c r="A44" s="69"/>
      <c r="B44" s="57"/>
      <c r="C44" s="61"/>
      <c r="D44" s="57"/>
      <c r="E44" s="59"/>
      <c r="F44" s="57"/>
      <c r="G44" s="55"/>
      <c r="H44" s="57"/>
      <c r="I44" s="67"/>
    </row>
    <row r="45" spans="1:9" x14ac:dyDescent="0.2">
      <c r="A45" s="69">
        <v>26.5</v>
      </c>
      <c r="B45" s="57">
        <f t="shared" si="0"/>
        <v>2.3876381988247344</v>
      </c>
      <c r="C45" s="61">
        <v>49</v>
      </c>
      <c r="D45" s="57">
        <f t="shared" si="1"/>
        <v>8.1633596516599312</v>
      </c>
      <c r="E45" s="59">
        <v>90</v>
      </c>
      <c r="F45" s="57">
        <f t="shared" si="2"/>
        <v>27.539863881068491</v>
      </c>
      <c r="G45" s="55">
        <v>142</v>
      </c>
      <c r="H45" s="57">
        <f t="shared" si="3"/>
        <v>68.557261147884574</v>
      </c>
      <c r="I45" s="67"/>
    </row>
    <row r="46" spans="1:9" x14ac:dyDescent="0.2">
      <c r="A46" s="69">
        <v>27</v>
      </c>
      <c r="B46" s="57">
        <f t="shared" si="0"/>
        <v>2.4785877492961643</v>
      </c>
      <c r="C46" s="61">
        <v>50</v>
      </c>
      <c r="D46" s="57">
        <f t="shared" si="1"/>
        <v>8.4999579879841036</v>
      </c>
      <c r="E46" s="59">
        <v>92</v>
      </c>
      <c r="F46" s="57">
        <f t="shared" si="2"/>
        <v>28.777457764118978</v>
      </c>
      <c r="G46" s="55">
        <v>144</v>
      </c>
      <c r="H46" s="57">
        <f t="shared" si="3"/>
        <v>70.502051535535344</v>
      </c>
      <c r="I46" s="67"/>
    </row>
    <row r="47" spans="1:9" x14ac:dyDescent="0.2">
      <c r="A47" s="69">
        <v>27.5</v>
      </c>
      <c r="B47" s="57">
        <f t="shared" si="0"/>
        <v>2.5712372913651911</v>
      </c>
      <c r="C47" s="61">
        <v>51</v>
      </c>
      <c r="D47" s="57">
        <f t="shared" si="1"/>
        <v>8.8433562906986598</v>
      </c>
      <c r="E47" s="59">
        <v>94</v>
      </c>
      <c r="F47" s="57">
        <f t="shared" si="2"/>
        <v>30.042251512731013</v>
      </c>
      <c r="G47" s="55">
        <v>146</v>
      </c>
      <c r="H47" s="57">
        <f t="shared" si="3"/>
        <v>72.47404178874767</v>
      </c>
      <c r="I47" s="67"/>
    </row>
    <row r="48" spans="1:9" x14ac:dyDescent="0.2">
      <c r="A48" s="66"/>
      <c r="B48" s="55"/>
      <c r="C48" s="55"/>
      <c r="D48" s="55"/>
      <c r="E48" s="55"/>
      <c r="F48" s="55"/>
      <c r="G48" s="55">
        <v>148</v>
      </c>
      <c r="H48" s="57">
        <f t="shared" si="3"/>
        <v>74.473231907521523</v>
      </c>
      <c r="I48" s="67"/>
    </row>
    <row r="49" spans="1:9" ht="13.5" thickBot="1" x14ac:dyDescent="0.25">
      <c r="A49" s="70"/>
      <c r="B49" s="71"/>
      <c r="C49" s="71"/>
      <c r="D49" s="71"/>
      <c r="E49" s="71"/>
      <c r="F49" s="71"/>
      <c r="G49" s="71"/>
      <c r="H49" s="71"/>
      <c r="I49" s="72"/>
    </row>
    <row r="50" spans="1:9" ht="13.5" thickTop="1" x14ac:dyDescent="0.2"/>
    <row r="53" spans="1:9" x14ac:dyDescent="0.2">
      <c r="H53" s="12"/>
    </row>
    <row r="54" spans="1:9" x14ac:dyDescent="0.2">
      <c r="H54" s="12"/>
    </row>
  </sheetData>
  <sheetProtection password="8881" sheet="1" objects="1" scenarios="1"/>
  <phoneticPr fontId="7" type="noConversion"/>
  <printOptions gridLines="1" gridLinesSet="0"/>
  <pageMargins left="0.72" right="0.25" top="0.57999999999999996" bottom="0.6" header="0.25" footer="0.2"/>
  <pageSetup orientation="portrait" horizontalDpi="4294967292" r:id="rId1"/>
  <headerFooter alignWithMargins="0">
    <oddHeader xml:space="preserve">&amp;LArt Montemayor&amp;CCylindrical Vessel Volume Relationship&amp;RMay 27, 1998
Rev:1(06/06/01) </oddHeader>
    <oddFooter>&amp;CPage &amp;P of &amp;N&amp;RElectronic FileName: &amp;F
WorkSheet: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0"/>
  <sheetViews>
    <sheetView topLeftCell="L1" workbookViewId="0">
      <selection activeCell="R2" sqref="R2"/>
    </sheetView>
  </sheetViews>
  <sheetFormatPr defaultRowHeight="12.75" x14ac:dyDescent="0.2"/>
  <cols>
    <col min="2" max="2" width="8.85546875" customWidth="1"/>
    <col min="19" max="19" width="9.140625" style="55"/>
    <col min="23" max="23" width="9.28515625" bestFit="1" customWidth="1"/>
    <col min="24" max="24" width="11" customWidth="1"/>
    <col min="25" max="25" width="12.7109375" bestFit="1" customWidth="1"/>
    <col min="26" max="26" width="9.28515625" bestFit="1" customWidth="1"/>
  </cols>
  <sheetData>
    <row r="1" spans="1:27" x14ac:dyDescent="0.2">
      <c r="D1" s="470" t="s">
        <v>566</v>
      </c>
      <c r="E1" s="421"/>
      <c r="F1" s="421"/>
      <c r="G1" s="421"/>
      <c r="H1" s="421"/>
      <c r="I1" s="421"/>
    </row>
    <row r="2" spans="1:27" x14ac:dyDescent="0.2">
      <c r="E2" s="444" t="s">
        <v>481</v>
      </c>
      <c r="F2" s="444"/>
      <c r="G2" s="444"/>
      <c r="H2" s="444"/>
    </row>
    <row r="3" spans="1:27" x14ac:dyDescent="0.2">
      <c r="D3" s="444" t="s">
        <v>482</v>
      </c>
      <c r="E3" s="444"/>
      <c r="F3" s="444"/>
      <c r="G3" s="444"/>
      <c r="H3" s="444"/>
      <c r="I3" s="444"/>
      <c r="J3" s="444"/>
      <c r="K3" s="444"/>
    </row>
    <row r="4" spans="1:27" ht="13.5" thickBot="1" x14ac:dyDescent="0.25">
      <c r="Y4" s="55"/>
      <c r="Z4" s="55"/>
    </row>
    <row r="5" spans="1:27" ht="15" customHeight="1" thickTop="1" x14ac:dyDescent="0.2">
      <c r="A5" s="471" t="s">
        <v>483</v>
      </c>
      <c r="B5" s="432" t="s">
        <v>446</v>
      </c>
      <c r="C5" s="432"/>
      <c r="D5" s="432"/>
      <c r="E5" s="432"/>
      <c r="F5" s="436" t="s">
        <v>448</v>
      </c>
      <c r="G5" s="432"/>
      <c r="H5" s="432"/>
      <c r="I5" s="435"/>
      <c r="J5" s="432" t="s">
        <v>447</v>
      </c>
      <c r="K5" s="432"/>
      <c r="L5" s="436" t="s">
        <v>484</v>
      </c>
      <c r="M5" s="435"/>
      <c r="N5" s="432" t="s">
        <v>449</v>
      </c>
      <c r="O5" s="432"/>
      <c r="P5" s="436" t="s">
        <v>450</v>
      </c>
      <c r="Q5" s="435"/>
      <c r="R5" s="432" t="s">
        <v>485</v>
      </c>
      <c r="S5" s="432"/>
      <c r="T5" s="142"/>
      <c r="U5" s="461" t="s">
        <v>483</v>
      </c>
      <c r="V5" s="462"/>
      <c r="W5" s="432" t="s">
        <v>486</v>
      </c>
      <c r="X5" s="460"/>
      <c r="Y5" s="432" t="s">
        <v>484</v>
      </c>
      <c r="Z5" s="435"/>
    </row>
    <row r="6" spans="1:27" x14ac:dyDescent="0.2">
      <c r="A6" s="472"/>
      <c r="B6" s="466" t="s">
        <v>487</v>
      </c>
      <c r="C6" s="466"/>
      <c r="D6" s="466" t="s">
        <v>488</v>
      </c>
      <c r="E6" s="466"/>
      <c r="F6" s="449" t="s">
        <v>487</v>
      </c>
      <c r="G6" s="466"/>
      <c r="H6" s="466" t="s">
        <v>488</v>
      </c>
      <c r="I6" s="450"/>
      <c r="J6" s="466" t="s">
        <v>487</v>
      </c>
      <c r="K6" s="466"/>
      <c r="L6" s="449" t="s">
        <v>489</v>
      </c>
      <c r="M6" s="450"/>
      <c r="N6" s="449"/>
      <c r="O6" s="450"/>
      <c r="P6" s="449" t="s">
        <v>489</v>
      </c>
      <c r="Q6" s="450"/>
      <c r="R6" s="466" t="s">
        <v>490</v>
      </c>
      <c r="S6" s="466"/>
      <c r="T6" s="145"/>
      <c r="U6" s="463"/>
      <c r="V6" s="464"/>
      <c r="W6" s="466" t="s">
        <v>491</v>
      </c>
      <c r="X6" s="467"/>
      <c r="Y6" s="465" t="s">
        <v>492</v>
      </c>
      <c r="Z6" s="450"/>
    </row>
    <row r="7" spans="1:27" x14ac:dyDescent="0.2">
      <c r="A7" s="473"/>
      <c r="B7" s="110" t="s">
        <v>493</v>
      </c>
      <c r="C7" s="111" t="s">
        <v>494</v>
      </c>
      <c r="D7" s="111" t="s">
        <v>493</v>
      </c>
      <c r="E7" s="144" t="s">
        <v>494</v>
      </c>
      <c r="F7" s="109" t="s">
        <v>493</v>
      </c>
      <c r="G7" s="111" t="s">
        <v>494</v>
      </c>
      <c r="H7" s="111" t="s">
        <v>493</v>
      </c>
      <c r="I7" s="112" t="s">
        <v>494</v>
      </c>
      <c r="J7" s="110" t="s">
        <v>493</v>
      </c>
      <c r="K7" s="144" t="s">
        <v>494</v>
      </c>
      <c r="L7" s="109" t="s">
        <v>493</v>
      </c>
      <c r="M7" s="112" t="s">
        <v>494</v>
      </c>
      <c r="N7" s="110" t="s">
        <v>493</v>
      </c>
      <c r="O7" s="144" t="s">
        <v>494</v>
      </c>
      <c r="P7" s="109" t="s">
        <v>493</v>
      </c>
      <c r="Q7" s="112" t="s">
        <v>494</v>
      </c>
      <c r="R7" s="143" t="s">
        <v>493</v>
      </c>
      <c r="S7" s="143" t="s">
        <v>494</v>
      </c>
      <c r="T7" s="146"/>
      <c r="U7" s="147" t="s">
        <v>495</v>
      </c>
      <c r="V7" s="148" t="s">
        <v>496</v>
      </c>
      <c r="W7" s="110" t="s">
        <v>493</v>
      </c>
      <c r="X7" s="144" t="s">
        <v>494</v>
      </c>
      <c r="Y7" s="111" t="s">
        <v>493</v>
      </c>
      <c r="Z7" s="112" t="s">
        <v>494</v>
      </c>
    </row>
    <row r="8" spans="1:27" x14ac:dyDescent="0.2">
      <c r="A8" s="149"/>
      <c r="B8" s="55"/>
      <c r="C8" s="55"/>
      <c r="D8" s="55"/>
      <c r="E8" s="55"/>
      <c r="F8" s="66"/>
      <c r="G8" s="55"/>
      <c r="H8" s="55"/>
      <c r="I8" s="67"/>
      <c r="J8" s="55"/>
      <c r="K8" s="55"/>
      <c r="L8" s="66"/>
      <c r="M8" s="67"/>
      <c r="N8" s="55"/>
      <c r="O8" s="55"/>
      <c r="P8" s="66"/>
      <c r="Q8" s="67"/>
      <c r="R8" s="55"/>
      <c r="T8" s="146"/>
      <c r="U8" s="451">
        <v>1</v>
      </c>
      <c r="V8" s="150"/>
      <c r="W8" s="179"/>
      <c r="X8" s="179"/>
      <c r="Y8" s="227"/>
      <c r="Z8" s="180"/>
    </row>
    <row r="9" spans="1:27" x14ac:dyDescent="0.2">
      <c r="A9" s="151">
        <v>0.5</v>
      </c>
      <c r="B9" s="102">
        <v>0.7</v>
      </c>
      <c r="C9" s="102">
        <v>0.6</v>
      </c>
      <c r="D9" s="102"/>
      <c r="E9" s="102"/>
      <c r="F9" s="224">
        <v>1.4</v>
      </c>
      <c r="G9" s="102">
        <v>1.1000000000000001</v>
      </c>
      <c r="H9" s="102"/>
      <c r="I9" s="181"/>
      <c r="J9" s="102">
        <v>0.4</v>
      </c>
      <c r="K9" s="102">
        <v>0.2</v>
      </c>
      <c r="L9" s="224">
        <v>0.8</v>
      </c>
      <c r="M9" s="181">
        <v>0.6</v>
      </c>
      <c r="N9" s="102">
        <v>0.3</v>
      </c>
      <c r="O9" s="102">
        <v>0.2</v>
      </c>
      <c r="P9" s="224"/>
      <c r="Q9" s="181"/>
      <c r="R9" s="102">
        <v>0.9</v>
      </c>
      <c r="S9" s="102">
        <v>0.7</v>
      </c>
      <c r="T9" s="152"/>
      <c r="U9" s="452"/>
      <c r="V9" s="153" t="s">
        <v>497</v>
      </c>
      <c r="W9" s="102">
        <v>1.54</v>
      </c>
      <c r="X9" s="102">
        <v>1.25</v>
      </c>
      <c r="Y9" s="228">
        <v>2.7</v>
      </c>
      <c r="Z9" s="102">
        <v>2.2999999999999998</v>
      </c>
      <c r="AA9" s="66"/>
    </row>
    <row r="10" spans="1:27" x14ac:dyDescent="0.2">
      <c r="A10" s="154">
        <v>0.75</v>
      </c>
      <c r="B10" s="102">
        <v>0.9</v>
      </c>
      <c r="C10" s="102">
        <v>0.8</v>
      </c>
      <c r="D10" s="102"/>
      <c r="E10" s="102"/>
      <c r="F10" s="224">
        <v>1.9</v>
      </c>
      <c r="G10" s="102">
        <v>1.5</v>
      </c>
      <c r="H10" s="102"/>
      <c r="I10" s="181"/>
      <c r="J10" s="102">
        <v>0.5</v>
      </c>
      <c r="K10" s="102">
        <v>0.4</v>
      </c>
      <c r="L10" s="224">
        <v>1.6</v>
      </c>
      <c r="M10" s="181">
        <v>1.3</v>
      </c>
      <c r="N10" s="102">
        <v>0.6</v>
      </c>
      <c r="O10" s="102">
        <v>0.4</v>
      </c>
      <c r="P10" s="224"/>
      <c r="Q10" s="181"/>
      <c r="R10" s="102">
        <v>1.6</v>
      </c>
      <c r="S10" s="102">
        <v>1.3</v>
      </c>
      <c r="T10" s="146"/>
      <c r="U10" s="452"/>
      <c r="V10" s="153" t="s">
        <v>498</v>
      </c>
      <c r="W10" s="102">
        <v>1.76</v>
      </c>
      <c r="X10" s="102">
        <v>1.43</v>
      </c>
      <c r="Y10" s="228">
        <v>2.8</v>
      </c>
      <c r="Z10" s="181">
        <v>2.4</v>
      </c>
    </row>
    <row r="11" spans="1:27" x14ac:dyDescent="0.2">
      <c r="A11" s="155">
        <v>1</v>
      </c>
      <c r="B11" s="102">
        <v>2</v>
      </c>
      <c r="C11" s="102">
        <v>1.7</v>
      </c>
      <c r="D11" s="102">
        <v>1.4</v>
      </c>
      <c r="E11" s="102"/>
      <c r="F11" s="224">
        <v>4.0999999999999996</v>
      </c>
      <c r="G11" s="102">
        <v>3.4</v>
      </c>
      <c r="H11" s="102">
        <v>2.7</v>
      </c>
      <c r="I11" s="181"/>
      <c r="J11" s="102">
        <v>1</v>
      </c>
      <c r="K11" s="102">
        <v>0.8</v>
      </c>
      <c r="L11" s="224">
        <v>3.5</v>
      </c>
      <c r="M11" s="181">
        <v>2.9</v>
      </c>
      <c r="N11" s="102">
        <v>1.1000000000000001</v>
      </c>
      <c r="O11" s="102">
        <v>0.9</v>
      </c>
      <c r="P11" s="224"/>
      <c r="Q11" s="181"/>
      <c r="R11" s="102">
        <v>3.5</v>
      </c>
      <c r="S11" s="102">
        <v>2.9</v>
      </c>
      <c r="T11" s="152"/>
      <c r="U11" s="453"/>
      <c r="V11" s="156" t="s">
        <v>499</v>
      </c>
      <c r="W11" s="182">
        <v>2.14</v>
      </c>
      <c r="X11" s="182">
        <v>1.76</v>
      </c>
      <c r="Y11" s="229">
        <v>3</v>
      </c>
      <c r="Z11" s="182">
        <v>2.6</v>
      </c>
      <c r="AA11" s="66"/>
    </row>
    <row r="12" spans="1:27" x14ac:dyDescent="0.2">
      <c r="A12" s="157" t="s">
        <v>500</v>
      </c>
      <c r="B12" s="102">
        <v>4.4000000000000004</v>
      </c>
      <c r="C12" s="102">
        <v>3.7</v>
      </c>
      <c r="D12" s="102">
        <v>2.9</v>
      </c>
      <c r="E12" s="102"/>
      <c r="F12" s="224">
        <v>8.6999999999999993</v>
      </c>
      <c r="G12" s="102">
        <v>7.4</v>
      </c>
      <c r="H12" s="102">
        <v>5.9</v>
      </c>
      <c r="I12" s="181"/>
      <c r="J12" s="102">
        <v>2.2000000000000002</v>
      </c>
      <c r="K12" s="102">
        <v>1.8</v>
      </c>
      <c r="L12" s="224">
        <v>7.5</v>
      </c>
      <c r="M12" s="181">
        <v>6.5</v>
      </c>
      <c r="N12" s="102">
        <v>1.8</v>
      </c>
      <c r="O12" s="102">
        <v>1.5</v>
      </c>
      <c r="P12" s="224">
        <v>9.5</v>
      </c>
      <c r="Q12" s="181">
        <v>8.1999999999999993</v>
      </c>
      <c r="R12" s="102">
        <v>6</v>
      </c>
      <c r="S12" s="102">
        <v>5.0999999999999996</v>
      </c>
      <c r="T12" s="152"/>
      <c r="U12" s="448" t="s">
        <v>500</v>
      </c>
      <c r="V12" s="153" t="s">
        <v>498</v>
      </c>
      <c r="W12" s="102">
        <v>2.64</v>
      </c>
      <c r="X12" s="169">
        <v>2.2200000000000002</v>
      </c>
      <c r="Y12" s="228">
        <v>5.8</v>
      </c>
      <c r="Z12" s="181">
        <v>5.0999999999999996</v>
      </c>
    </row>
    <row r="13" spans="1:27" x14ac:dyDescent="0.2">
      <c r="A13" s="158" t="s">
        <v>501</v>
      </c>
      <c r="B13" s="102">
        <v>7.2</v>
      </c>
      <c r="C13" s="102">
        <v>6.2</v>
      </c>
      <c r="D13" s="102">
        <v>4.8</v>
      </c>
      <c r="E13" s="102">
        <v>4.2</v>
      </c>
      <c r="F13" s="224">
        <v>14.4</v>
      </c>
      <c r="G13" s="102">
        <v>12.5</v>
      </c>
      <c r="H13" s="102">
        <v>9.6</v>
      </c>
      <c r="I13" s="181">
        <v>8.3000000000000007</v>
      </c>
      <c r="J13" s="102">
        <v>3.6</v>
      </c>
      <c r="K13" s="102">
        <v>3.1</v>
      </c>
      <c r="L13" s="224">
        <v>12.4</v>
      </c>
      <c r="M13" s="181">
        <v>10.8</v>
      </c>
      <c r="N13" s="102">
        <v>2.5</v>
      </c>
      <c r="O13" s="102">
        <v>2</v>
      </c>
      <c r="P13" s="224">
        <v>15.5</v>
      </c>
      <c r="Q13" s="181">
        <v>13.7</v>
      </c>
      <c r="R13" s="102">
        <v>8.1</v>
      </c>
      <c r="S13" s="102">
        <v>7.1</v>
      </c>
      <c r="T13" s="152"/>
      <c r="U13" s="448"/>
      <c r="V13" s="153" t="s">
        <v>499</v>
      </c>
      <c r="W13" s="102">
        <v>3.06</v>
      </c>
      <c r="X13" s="169">
        <v>2.58</v>
      </c>
      <c r="Y13" s="228">
        <v>6</v>
      </c>
      <c r="Z13" s="181">
        <v>5.4</v>
      </c>
    </row>
    <row r="14" spans="1:27" x14ac:dyDescent="0.2">
      <c r="A14" s="155">
        <v>2</v>
      </c>
      <c r="B14" s="102">
        <v>15.8</v>
      </c>
      <c r="C14" s="102">
        <v>13.9</v>
      </c>
      <c r="D14" s="102">
        <v>10.5</v>
      </c>
      <c r="E14" s="102">
        <v>9.1999999999999993</v>
      </c>
      <c r="F14" s="224">
        <v>31.6</v>
      </c>
      <c r="G14" s="102">
        <v>27.8</v>
      </c>
      <c r="H14" s="102">
        <v>21.1</v>
      </c>
      <c r="I14" s="181">
        <v>18.3</v>
      </c>
      <c r="J14" s="102">
        <v>7.9</v>
      </c>
      <c r="K14" s="102">
        <v>7</v>
      </c>
      <c r="L14" s="224">
        <v>22.2</v>
      </c>
      <c r="M14" s="181">
        <v>19.7</v>
      </c>
      <c r="N14" s="102">
        <v>3.9</v>
      </c>
      <c r="O14" s="102">
        <v>3.2</v>
      </c>
      <c r="P14" s="224">
        <v>27.7</v>
      </c>
      <c r="Q14" s="181">
        <v>24.7</v>
      </c>
      <c r="R14" s="102">
        <v>20.100000000000001</v>
      </c>
      <c r="S14" s="102">
        <v>17.8</v>
      </c>
      <c r="T14" s="152"/>
      <c r="U14" s="448"/>
      <c r="V14" s="159">
        <v>1</v>
      </c>
      <c r="W14" s="102">
        <v>3.66</v>
      </c>
      <c r="X14" s="169">
        <v>3.1</v>
      </c>
      <c r="Y14" s="228">
        <v>6.3</v>
      </c>
      <c r="Z14" s="181">
        <v>5.7</v>
      </c>
    </row>
    <row r="15" spans="1:27" x14ac:dyDescent="0.2">
      <c r="A15" s="155">
        <v>3</v>
      </c>
      <c r="B15" s="102">
        <v>52.2</v>
      </c>
      <c r="C15" s="102">
        <v>46.7</v>
      </c>
      <c r="D15" s="102">
        <v>34.799999999999997</v>
      </c>
      <c r="E15" s="102">
        <v>31.1</v>
      </c>
      <c r="F15" s="224">
        <v>104.4</v>
      </c>
      <c r="G15" s="102">
        <v>93.3</v>
      </c>
      <c r="H15" s="102">
        <v>69.599999999999994</v>
      </c>
      <c r="I15" s="181">
        <v>62.2</v>
      </c>
      <c r="J15" s="102">
        <v>26.1</v>
      </c>
      <c r="K15" s="102">
        <v>23.3</v>
      </c>
      <c r="L15" s="224">
        <v>65.2</v>
      </c>
      <c r="M15" s="181">
        <v>58.7</v>
      </c>
      <c r="N15" s="102">
        <v>11.1</v>
      </c>
      <c r="O15" s="102">
        <v>9.4</v>
      </c>
      <c r="P15" s="224">
        <v>80.5</v>
      </c>
      <c r="Q15" s="181">
        <v>72.900000000000006</v>
      </c>
      <c r="R15" s="102">
        <v>44.4</v>
      </c>
      <c r="S15" s="102">
        <v>39.6</v>
      </c>
      <c r="T15" s="152"/>
      <c r="U15" s="455" t="s">
        <v>501</v>
      </c>
      <c r="V15" s="160" t="s">
        <v>498</v>
      </c>
      <c r="W15" s="179">
        <v>4.03</v>
      </c>
      <c r="X15" s="179">
        <v>3.43</v>
      </c>
      <c r="Y15" s="227">
        <v>9.4</v>
      </c>
      <c r="Z15" s="180">
        <v>8.3000000000000007</v>
      </c>
    </row>
    <row r="16" spans="1:27" x14ac:dyDescent="0.2">
      <c r="A16" s="155">
        <v>4</v>
      </c>
      <c r="B16" s="102">
        <v>119.8</v>
      </c>
      <c r="C16" s="102">
        <v>108.3</v>
      </c>
      <c r="D16" s="102">
        <v>79.900000000000006</v>
      </c>
      <c r="E16" s="102">
        <v>72</v>
      </c>
      <c r="F16" s="224">
        <v>239.7</v>
      </c>
      <c r="G16" s="102">
        <v>216.6</v>
      </c>
      <c r="H16" s="102">
        <v>159.9</v>
      </c>
      <c r="I16" s="181">
        <v>143.9</v>
      </c>
      <c r="J16" s="102">
        <v>59.9</v>
      </c>
      <c r="K16" s="102">
        <v>54.1</v>
      </c>
      <c r="L16" s="224">
        <v>135.80000000000001</v>
      </c>
      <c r="M16" s="181">
        <v>123.6</v>
      </c>
      <c r="N16" s="102">
        <v>24.2</v>
      </c>
      <c r="O16" s="102">
        <v>20.8</v>
      </c>
      <c r="P16" s="224">
        <v>166.5</v>
      </c>
      <c r="Q16" s="181">
        <v>152.4</v>
      </c>
      <c r="R16" s="102">
        <v>76.400000000000006</v>
      </c>
      <c r="S16" s="102">
        <v>69</v>
      </c>
      <c r="T16" s="152"/>
      <c r="U16" s="448"/>
      <c r="V16" s="153" t="s">
        <v>499</v>
      </c>
      <c r="W16" s="102">
        <v>4.55</v>
      </c>
      <c r="X16" s="102">
        <v>3.88</v>
      </c>
      <c r="Y16" s="228">
        <v>9.6</v>
      </c>
      <c r="Z16" s="181">
        <v>8.6</v>
      </c>
    </row>
    <row r="17" spans="1:26" x14ac:dyDescent="0.2">
      <c r="A17" s="155">
        <v>6</v>
      </c>
      <c r="B17" s="102">
        <v>408.1</v>
      </c>
      <c r="C17" s="102">
        <v>368.3</v>
      </c>
      <c r="D17" s="102">
        <v>272.10000000000002</v>
      </c>
      <c r="E17" s="102">
        <v>245.4</v>
      </c>
      <c r="F17" s="224">
        <v>816.1</v>
      </c>
      <c r="G17" s="102">
        <v>736.6</v>
      </c>
      <c r="H17" s="102">
        <v>544.29999999999995</v>
      </c>
      <c r="I17" s="181">
        <v>490.8</v>
      </c>
      <c r="J17" s="102">
        <v>204</v>
      </c>
      <c r="K17" s="102">
        <v>184.2</v>
      </c>
      <c r="L17" s="224">
        <v>413.2</v>
      </c>
      <c r="M17" s="181">
        <v>367.1</v>
      </c>
      <c r="N17" s="102">
        <v>77.3</v>
      </c>
      <c r="O17" s="102">
        <v>65.7</v>
      </c>
      <c r="P17" s="224">
        <v>501.3</v>
      </c>
      <c r="Q17" s="181">
        <v>441</v>
      </c>
      <c r="R17" s="102">
        <v>231.1</v>
      </c>
      <c r="S17" s="102">
        <v>208.5</v>
      </c>
      <c r="T17" s="152"/>
      <c r="U17" s="448"/>
      <c r="V17" s="159">
        <v>1</v>
      </c>
      <c r="W17" s="102">
        <v>5.28</v>
      </c>
      <c r="X17" s="102">
        <v>4.5199999999999996</v>
      </c>
      <c r="Y17" s="228">
        <v>9.9</v>
      </c>
      <c r="Z17" s="181">
        <v>9.1</v>
      </c>
    </row>
    <row r="18" spans="1:26" x14ac:dyDescent="0.2">
      <c r="A18" s="155">
        <v>8</v>
      </c>
      <c r="B18" s="102">
        <v>942.3</v>
      </c>
      <c r="C18" s="102">
        <v>860.3</v>
      </c>
      <c r="D18" s="102">
        <v>628.29999999999995</v>
      </c>
      <c r="E18" s="102">
        <v>572.70000000000005</v>
      </c>
      <c r="F18" s="224">
        <v>1884.7</v>
      </c>
      <c r="G18" s="102">
        <v>1720.6</v>
      </c>
      <c r="H18" s="102">
        <v>1256.7</v>
      </c>
      <c r="I18" s="181">
        <v>1145.5</v>
      </c>
      <c r="J18" s="102">
        <v>471.1</v>
      </c>
      <c r="K18" s="102">
        <v>430.1</v>
      </c>
      <c r="L18" s="224">
        <v>881.1</v>
      </c>
      <c r="M18" s="181">
        <v>811.2</v>
      </c>
      <c r="N18" s="102">
        <v>148.5</v>
      </c>
      <c r="O18" s="102">
        <v>122.3</v>
      </c>
      <c r="P18" s="224">
        <v>1061.9000000000001</v>
      </c>
      <c r="Q18" s="181">
        <v>983</v>
      </c>
      <c r="R18" s="102">
        <v>400.2</v>
      </c>
      <c r="S18" s="102">
        <v>365.3</v>
      </c>
      <c r="T18" s="152"/>
      <c r="U18" s="456"/>
      <c r="V18" s="156" t="s">
        <v>500</v>
      </c>
      <c r="W18" s="182">
        <v>6.51</v>
      </c>
      <c r="X18" s="182">
        <v>5.62</v>
      </c>
      <c r="Y18" s="229">
        <v>10.8</v>
      </c>
      <c r="Z18" s="183">
        <v>9.9</v>
      </c>
    </row>
    <row r="19" spans="1:26" x14ac:dyDescent="0.2">
      <c r="A19" s="155">
        <v>10</v>
      </c>
      <c r="B19" s="102">
        <v>1856.9</v>
      </c>
      <c r="C19" s="102">
        <v>1758.2</v>
      </c>
      <c r="D19" s="102">
        <v>1238</v>
      </c>
      <c r="E19" s="102">
        <v>1172.2</v>
      </c>
      <c r="F19" s="224">
        <v>3713.8</v>
      </c>
      <c r="G19" s="102">
        <v>3516.5</v>
      </c>
      <c r="H19" s="102">
        <v>2476</v>
      </c>
      <c r="I19" s="181">
        <v>2344.3000000000002</v>
      </c>
      <c r="J19" s="102">
        <v>928.5</v>
      </c>
      <c r="K19" s="102">
        <v>879.1</v>
      </c>
      <c r="L19" s="224">
        <v>1675.4</v>
      </c>
      <c r="M19" s="181">
        <v>1594.9</v>
      </c>
      <c r="N19" s="102">
        <v>295.60000000000002</v>
      </c>
      <c r="O19" s="102">
        <v>264.39999999999998</v>
      </c>
      <c r="P19" s="224">
        <v>2010.4</v>
      </c>
      <c r="Q19" s="181">
        <v>1920.6</v>
      </c>
      <c r="R19" s="102">
        <v>788.5</v>
      </c>
      <c r="S19" s="102">
        <v>746.6</v>
      </c>
      <c r="T19" s="152"/>
      <c r="U19" s="451">
        <v>2</v>
      </c>
      <c r="V19" s="153" t="s">
        <v>499</v>
      </c>
      <c r="W19" s="102">
        <v>7.59</v>
      </c>
      <c r="X19" s="169">
        <v>6.58</v>
      </c>
      <c r="Y19" s="228">
        <v>16.7</v>
      </c>
      <c r="Z19" s="181">
        <v>15.2</v>
      </c>
    </row>
    <row r="20" spans="1:26" x14ac:dyDescent="0.2">
      <c r="A20" s="155">
        <v>12</v>
      </c>
      <c r="B20" s="102">
        <v>3195.9</v>
      </c>
      <c r="C20" s="102">
        <v>3064.2</v>
      </c>
      <c r="D20" s="102">
        <v>2130.6999999999998</v>
      </c>
      <c r="E20" s="102">
        <v>2042.8</v>
      </c>
      <c r="F20" s="224">
        <v>6391.8</v>
      </c>
      <c r="G20" s="102">
        <v>6128.5</v>
      </c>
      <c r="H20" s="102">
        <v>4261.5</v>
      </c>
      <c r="I20" s="181">
        <v>4085.6</v>
      </c>
      <c r="J20" s="102">
        <v>1598</v>
      </c>
      <c r="K20" s="102">
        <v>1532.1</v>
      </c>
      <c r="L20" s="224">
        <v>2816.9</v>
      </c>
      <c r="M20" s="181">
        <v>2712.3</v>
      </c>
      <c r="N20" s="102">
        <v>517</v>
      </c>
      <c r="O20" s="102">
        <v>475</v>
      </c>
      <c r="P20" s="224">
        <v>3371.9</v>
      </c>
      <c r="Q20" s="181">
        <v>3255.9</v>
      </c>
      <c r="R20" s="102">
        <v>1131</v>
      </c>
      <c r="S20" s="102">
        <v>1084.3</v>
      </c>
      <c r="T20" s="152"/>
      <c r="U20" s="452"/>
      <c r="V20" s="159">
        <v>1</v>
      </c>
      <c r="W20" s="102">
        <v>8.51</v>
      </c>
      <c r="X20" s="169">
        <v>7.38</v>
      </c>
      <c r="Y20" s="228">
        <v>16.899999999999999</v>
      </c>
      <c r="Z20" s="181">
        <v>15.6</v>
      </c>
    </row>
    <row r="21" spans="1:26" x14ac:dyDescent="0.2">
      <c r="A21" s="155">
        <v>14</v>
      </c>
      <c r="B21" s="102">
        <v>4545.8999999999996</v>
      </c>
      <c r="C21" s="102">
        <v>4376.1000000000004</v>
      </c>
      <c r="D21" s="102">
        <v>3030.7</v>
      </c>
      <c r="E21" s="102">
        <v>2917.4</v>
      </c>
      <c r="F21" s="224">
        <v>9091.7999999999993</v>
      </c>
      <c r="G21" s="102">
        <v>8752.2000000000007</v>
      </c>
      <c r="H21" s="102">
        <v>6061.4</v>
      </c>
      <c r="I21" s="181">
        <v>5834.8</v>
      </c>
      <c r="J21" s="102">
        <v>2273</v>
      </c>
      <c r="K21" s="102">
        <v>2188.1</v>
      </c>
      <c r="L21" s="224">
        <v>3809.3</v>
      </c>
      <c r="M21" s="181">
        <v>3681</v>
      </c>
      <c r="N21" s="102">
        <v>684.6</v>
      </c>
      <c r="O21" s="102">
        <v>640</v>
      </c>
      <c r="P21" s="224">
        <v>4171.5</v>
      </c>
      <c r="Q21" s="181">
        <v>4043.7</v>
      </c>
      <c r="R21" s="102">
        <v>1654.6</v>
      </c>
      <c r="S21" s="102">
        <v>1592.8</v>
      </c>
      <c r="T21" s="152"/>
      <c r="U21" s="452"/>
      <c r="V21" s="153" t="s">
        <v>500</v>
      </c>
      <c r="W21" s="102">
        <v>10</v>
      </c>
      <c r="X21" s="169">
        <v>8.75</v>
      </c>
      <c r="Y21" s="228">
        <v>17.600000000000001</v>
      </c>
      <c r="Z21" s="181">
        <v>16.5</v>
      </c>
    </row>
    <row r="22" spans="1:26" x14ac:dyDescent="0.2">
      <c r="A22" s="155">
        <v>16</v>
      </c>
      <c r="B22" s="102">
        <v>6882.2</v>
      </c>
      <c r="C22" s="102">
        <v>6658.4</v>
      </c>
      <c r="D22" s="102">
        <v>4301.3999999999996</v>
      </c>
      <c r="E22" s="102">
        <v>4161.5</v>
      </c>
      <c r="F22" s="224">
        <v>13764.5</v>
      </c>
      <c r="G22" s="102">
        <v>13316.9</v>
      </c>
      <c r="H22" s="102">
        <v>8602.7999999999993</v>
      </c>
      <c r="I22" s="181">
        <v>8323</v>
      </c>
      <c r="J22" s="102">
        <v>3441.1</v>
      </c>
      <c r="K22" s="102">
        <v>3329.2</v>
      </c>
      <c r="L22" s="224">
        <v>5804.3</v>
      </c>
      <c r="M22" s="181">
        <v>5634.3</v>
      </c>
      <c r="N22" s="102">
        <v>967.6</v>
      </c>
      <c r="O22" s="102">
        <v>911</v>
      </c>
      <c r="P22" s="224">
        <v>6311.7</v>
      </c>
      <c r="Q22" s="181">
        <v>6144</v>
      </c>
      <c r="R22" s="102">
        <v>2191.8000000000002</v>
      </c>
      <c r="S22" s="102">
        <v>2120.6</v>
      </c>
      <c r="T22" s="152"/>
      <c r="U22" s="452"/>
      <c r="V22" s="153" t="s">
        <v>501</v>
      </c>
      <c r="W22" s="102">
        <v>11.4</v>
      </c>
      <c r="X22" s="169">
        <v>9.9600000000000009</v>
      </c>
      <c r="Y22" s="228">
        <v>18.399999999999999</v>
      </c>
      <c r="Z22" s="181">
        <v>17.399999999999999</v>
      </c>
    </row>
    <row r="23" spans="1:26" x14ac:dyDescent="0.2">
      <c r="A23" s="155">
        <v>18</v>
      </c>
      <c r="B23" s="102">
        <v>9906.5</v>
      </c>
      <c r="C23" s="102">
        <v>9621.7000000000007</v>
      </c>
      <c r="D23" s="102">
        <v>6054</v>
      </c>
      <c r="E23" s="102">
        <v>5879.9</v>
      </c>
      <c r="F23" s="224">
        <v>19813.099999999999</v>
      </c>
      <c r="G23" s="102">
        <v>19243.400000000001</v>
      </c>
      <c r="H23" s="102">
        <v>12108</v>
      </c>
      <c r="I23" s="181">
        <v>11759.8</v>
      </c>
      <c r="J23" s="102">
        <v>4953.3</v>
      </c>
      <c r="K23" s="102">
        <v>4810.8</v>
      </c>
      <c r="L23" s="224">
        <v>8396.5</v>
      </c>
      <c r="M23" s="181">
        <v>8179.2</v>
      </c>
      <c r="N23" s="102">
        <v>1432.6</v>
      </c>
      <c r="O23" s="102">
        <v>1363</v>
      </c>
      <c r="P23" s="224">
        <v>9081.2999999999993</v>
      </c>
      <c r="Q23" s="181">
        <v>8868.1</v>
      </c>
      <c r="R23" s="102">
        <v>2804.5</v>
      </c>
      <c r="S23" s="102">
        <v>2723.8</v>
      </c>
      <c r="T23" s="161"/>
      <c r="U23" s="451">
        <v>3</v>
      </c>
      <c r="V23" s="162">
        <v>1</v>
      </c>
      <c r="W23" s="179"/>
      <c r="X23" s="179"/>
      <c r="Y23" s="227">
        <v>50.9</v>
      </c>
      <c r="Z23" s="180">
        <v>45.5</v>
      </c>
    </row>
    <row r="24" spans="1:26" x14ac:dyDescent="0.2">
      <c r="A24" s="155">
        <v>20</v>
      </c>
      <c r="B24" s="102">
        <v>13707.5</v>
      </c>
      <c r="C24" s="102">
        <v>13353.8</v>
      </c>
      <c r="D24" s="102">
        <v>9366.7999999999993</v>
      </c>
      <c r="E24" s="102">
        <v>9125.1</v>
      </c>
      <c r="F24" s="224">
        <v>27415</v>
      </c>
      <c r="G24" s="102">
        <v>26707.599999999999</v>
      </c>
      <c r="H24" s="102">
        <v>18733.599999999999</v>
      </c>
      <c r="I24" s="181">
        <v>18250.2</v>
      </c>
      <c r="J24" s="102">
        <v>6853.8</v>
      </c>
      <c r="K24" s="102">
        <v>6676.9</v>
      </c>
      <c r="L24" s="224">
        <v>11701.3</v>
      </c>
      <c r="M24" s="181">
        <v>11429.4</v>
      </c>
      <c r="N24" s="102">
        <v>2026.4</v>
      </c>
      <c r="O24" s="102">
        <v>1938</v>
      </c>
      <c r="P24" s="224">
        <v>12634.1</v>
      </c>
      <c r="Q24" s="181">
        <v>12368.2</v>
      </c>
      <c r="R24" s="102">
        <v>3492.5</v>
      </c>
      <c r="S24" s="102">
        <v>3402.4</v>
      </c>
      <c r="T24" s="161"/>
      <c r="U24" s="452"/>
      <c r="V24" s="153" t="s">
        <v>500</v>
      </c>
      <c r="W24" s="102">
        <v>20.2</v>
      </c>
      <c r="X24" s="102">
        <v>17.899999999999999</v>
      </c>
      <c r="Y24" s="228">
        <v>51.8</v>
      </c>
      <c r="Z24" s="181">
        <v>46.4</v>
      </c>
    </row>
    <row r="25" spans="1:26" x14ac:dyDescent="0.2">
      <c r="A25" s="155">
        <v>22</v>
      </c>
      <c r="B25" s="102">
        <v>18365.2</v>
      </c>
      <c r="C25" s="102">
        <v>17935.8</v>
      </c>
      <c r="D25" s="102"/>
      <c r="E25" s="102"/>
      <c r="F25" s="224">
        <v>36730.9</v>
      </c>
      <c r="G25" s="102">
        <v>23914.5</v>
      </c>
      <c r="H25" s="102"/>
      <c r="I25" s="181"/>
      <c r="J25" s="102">
        <v>9182.7000000000007</v>
      </c>
      <c r="K25" s="102">
        <v>8967.9</v>
      </c>
      <c r="L25" s="224">
        <v>14348</v>
      </c>
      <c r="M25" s="181">
        <v>14049.2</v>
      </c>
      <c r="N25" s="102">
        <v>2784.1</v>
      </c>
      <c r="O25" s="102">
        <v>2682.9</v>
      </c>
      <c r="P25" s="224"/>
      <c r="Q25" s="181"/>
      <c r="R25" s="169"/>
      <c r="S25" s="102"/>
      <c r="T25" s="161"/>
      <c r="U25" s="452"/>
      <c r="V25" s="153" t="s">
        <v>501</v>
      </c>
      <c r="W25" s="102">
        <v>21.9</v>
      </c>
      <c r="X25" s="102">
        <v>19.399999999999999</v>
      </c>
      <c r="Y25" s="228">
        <v>52.9</v>
      </c>
      <c r="Z25" s="181">
        <v>47.3</v>
      </c>
    </row>
    <row r="26" spans="1:26" x14ac:dyDescent="0.2">
      <c r="A26" s="155">
        <v>24</v>
      </c>
      <c r="B26" s="102">
        <v>23995.599999999999</v>
      </c>
      <c r="C26" s="102">
        <v>23482.400000000001</v>
      </c>
      <c r="D26" s="102">
        <v>14664</v>
      </c>
      <c r="E26" s="102">
        <v>14350.3</v>
      </c>
      <c r="F26" s="224">
        <v>47991.1</v>
      </c>
      <c r="G26" s="102">
        <v>46964.7</v>
      </c>
      <c r="H26" s="102">
        <v>29327.9</v>
      </c>
      <c r="I26" s="181">
        <v>28700.7</v>
      </c>
      <c r="J26" s="102">
        <v>11997.8</v>
      </c>
      <c r="K26" s="102">
        <v>11471.2</v>
      </c>
      <c r="L26" s="224">
        <v>20647.2</v>
      </c>
      <c r="M26" s="181">
        <v>20249.7</v>
      </c>
      <c r="N26" s="102">
        <v>3451</v>
      </c>
      <c r="O26" s="102">
        <v>3313</v>
      </c>
      <c r="P26" s="224">
        <v>22189.4</v>
      </c>
      <c r="Q26" s="181">
        <v>21802.9</v>
      </c>
      <c r="R26" s="102">
        <v>5094.7</v>
      </c>
      <c r="S26" s="102">
        <v>4985.7</v>
      </c>
      <c r="T26" s="161"/>
      <c r="U26" s="452"/>
      <c r="V26" s="159">
        <v>2</v>
      </c>
      <c r="W26" s="102">
        <v>25.5</v>
      </c>
      <c r="X26" s="102">
        <v>22.7</v>
      </c>
      <c r="Y26" s="228">
        <v>55.1</v>
      </c>
      <c r="Z26" s="181">
        <v>49.5</v>
      </c>
    </row>
    <row r="27" spans="1:26" x14ac:dyDescent="0.2">
      <c r="A27" s="155">
        <v>26</v>
      </c>
      <c r="B27" s="102">
        <v>30644.799999999999</v>
      </c>
      <c r="C27" s="102">
        <v>30041</v>
      </c>
      <c r="D27" s="102"/>
      <c r="E27" s="102"/>
      <c r="F27" s="224">
        <v>61289.599999999999</v>
      </c>
      <c r="G27" s="102">
        <v>40054.6</v>
      </c>
      <c r="H27" s="102"/>
      <c r="I27" s="181"/>
      <c r="J27" s="102">
        <v>15322.4</v>
      </c>
      <c r="K27" s="102">
        <v>15020.5</v>
      </c>
      <c r="L27" s="224">
        <v>23912.3</v>
      </c>
      <c r="M27" s="181">
        <v>23493.200000000001</v>
      </c>
      <c r="N27" s="102">
        <v>4014.3</v>
      </c>
      <c r="O27" s="102">
        <v>3884.1</v>
      </c>
      <c r="P27" s="224"/>
      <c r="Q27" s="181"/>
      <c r="R27" s="102"/>
      <c r="S27" s="102"/>
      <c r="T27" s="161"/>
      <c r="U27" s="453"/>
      <c r="V27" s="156" t="s">
        <v>502</v>
      </c>
      <c r="W27" s="182">
        <v>29.5</v>
      </c>
      <c r="X27" s="182">
        <v>26.3</v>
      </c>
      <c r="Y27" s="229">
        <v>58.6</v>
      </c>
      <c r="Z27" s="183">
        <v>52.6</v>
      </c>
    </row>
    <row r="28" spans="1:26" x14ac:dyDescent="0.2">
      <c r="A28" s="155">
        <v>30</v>
      </c>
      <c r="B28" s="102">
        <v>47449.7</v>
      </c>
      <c r="C28" s="102">
        <v>46642.1</v>
      </c>
      <c r="D28" s="102">
        <v>31648.799999999999</v>
      </c>
      <c r="E28" s="102">
        <v>31110.5</v>
      </c>
      <c r="F28" s="224">
        <v>94899.4</v>
      </c>
      <c r="G28" s="102">
        <v>62189.4</v>
      </c>
      <c r="H28" s="102">
        <v>63297.7</v>
      </c>
      <c r="I28" s="181">
        <v>62221</v>
      </c>
      <c r="J28" s="102"/>
      <c r="K28" s="102"/>
      <c r="L28" s="224">
        <v>35985</v>
      </c>
      <c r="M28" s="181">
        <v>35442.5</v>
      </c>
      <c r="N28" s="102">
        <v>5163.1000000000004</v>
      </c>
      <c r="O28" s="102">
        <v>5006.3999999999996</v>
      </c>
      <c r="P28" s="224"/>
      <c r="Q28" s="181"/>
      <c r="R28" s="102"/>
      <c r="S28" s="102"/>
      <c r="T28" s="161"/>
      <c r="U28" s="451">
        <v>4</v>
      </c>
      <c r="V28" s="160" t="s">
        <v>501</v>
      </c>
      <c r="W28" s="179">
        <v>37.299999999999997</v>
      </c>
      <c r="X28" s="179">
        <v>33.4</v>
      </c>
      <c r="Y28" s="227">
        <v>108</v>
      </c>
      <c r="Z28" s="180">
        <v>97.7</v>
      </c>
    </row>
    <row r="29" spans="1:26" x14ac:dyDescent="0.2">
      <c r="A29" s="155">
        <v>34</v>
      </c>
      <c r="B29" s="102">
        <v>69490.100000000006</v>
      </c>
      <c r="C29" s="102">
        <v>68449</v>
      </c>
      <c r="D29" s="102"/>
      <c r="E29" s="102"/>
      <c r="F29" s="224">
        <v>110260.5</v>
      </c>
      <c r="G29" s="102"/>
      <c r="H29" s="102"/>
      <c r="I29" s="181"/>
      <c r="J29" s="102">
        <v>34745</v>
      </c>
      <c r="K29" s="102">
        <v>34224.5</v>
      </c>
      <c r="L29" s="224">
        <v>52836.7</v>
      </c>
      <c r="M29" s="181">
        <v>52135.9</v>
      </c>
      <c r="N29" s="102"/>
      <c r="O29" s="102"/>
      <c r="P29" s="224"/>
      <c r="Q29" s="181"/>
      <c r="R29" s="102"/>
      <c r="S29" s="102"/>
      <c r="T29" s="161"/>
      <c r="U29" s="452"/>
      <c r="V29" s="159">
        <v>2</v>
      </c>
      <c r="W29" s="102">
        <v>41.8</v>
      </c>
      <c r="X29" s="102">
        <v>37.5</v>
      </c>
      <c r="Y29" s="228">
        <v>110.4</v>
      </c>
      <c r="Z29" s="181">
        <v>99.9</v>
      </c>
    </row>
    <row r="30" spans="1:26" x14ac:dyDescent="0.2">
      <c r="A30" s="155">
        <v>36</v>
      </c>
      <c r="B30" s="102">
        <v>82695.399999999994</v>
      </c>
      <c r="C30" s="102">
        <v>81526.600000000006</v>
      </c>
      <c r="D30" s="102">
        <v>55130.3</v>
      </c>
      <c r="E30" s="102">
        <v>54351</v>
      </c>
      <c r="F30" s="224">
        <v>176155.6</v>
      </c>
      <c r="G30" s="102"/>
      <c r="H30" s="102">
        <v>110260.5</v>
      </c>
      <c r="I30" s="181">
        <v>108702.1</v>
      </c>
      <c r="J30" s="102">
        <v>41347.699999999997</v>
      </c>
      <c r="K30" s="102">
        <v>40763.300000000003</v>
      </c>
      <c r="L30" s="224">
        <v>62945.1</v>
      </c>
      <c r="M30" s="181">
        <v>62157.5</v>
      </c>
      <c r="N30" s="102">
        <v>7010.8</v>
      </c>
      <c r="O30" s="102">
        <v>6811.5</v>
      </c>
      <c r="P30" s="224"/>
      <c r="Q30" s="181"/>
      <c r="R30" s="102"/>
      <c r="S30" s="102"/>
      <c r="T30" s="161"/>
      <c r="U30" s="452"/>
      <c r="V30" s="153" t="s">
        <v>502</v>
      </c>
      <c r="W30" s="102">
        <v>46.6</v>
      </c>
      <c r="X30" s="102">
        <v>41.8</v>
      </c>
      <c r="Y30" s="228">
        <v>113.9</v>
      </c>
      <c r="Z30" s="181">
        <v>103.2</v>
      </c>
    </row>
    <row r="31" spans="1:26" x14ac:dyDescent="0.2">
      <c r="A31" s="155">
        <v>42</v>
      </c>
      <c r="B31" s="102">
        <v>132116.70000000001</v>
      </c>
      <c r="C31" s="102">
        <v>130520.2</v>
      </c>
      <c r="D31" s="102">
        <v>88077.8</v>
      </c>
      <c r="E31" s="102">
        <v>87013.4</v>
      </c>
      <c r="F31" s="224"/>
      <c r="G31" s="102"/>
      <c r="H31" s="102"/>
      <c r="I31" s="181"/>
      <c r="J31" s="102">
        <v>66054.8</v>
      </c>
      <c r="K31" s="102">
        <v>65260.1</v>
      </c>
      <c r="L31" s="224">
        <v>94207</v>
      </c>
      <c r="M31" s="181">
        <v>93209</v>
      </c>
      <c r="N31" s="102">
        <v>10936.3</v>
      </c>
      <c r="O31" s="102">
        <v>10666.7</v>
      </c>
      <c r="P31" s="224"/>
      <c r="Q31" s="181"/>
      <c r="R31" s="102"/>
      <c r="S31" s="102"/>
      <c r="T31" s="161"/>
      <c r="U31" s="452"/>
      <c r="V31" s="159">
        <v>3</v>
      </c>
      <c r="W31" s="102">
        <v>54.4</v>
      </c>
      <c r="X31" s="102">
        <v>48.9</v>
      </c>
      <c r="Y31" s="228">
        <v>119.7</v>
      </c>
      <c r="Z31" s="181">
        <v>108.6</v>
      </c>
    </row>
    <row r="32" spans="1:26" ht="13.5" thickBot="1" x14ac:dyDescent="0.25">
      <c r="A32" s="163">
        <v>48</v>
      </c>
      <c r="B32" s="170">
        <v>198322</v>
      </c>
      <c r="C32" s="170">
        <v>196203</v>
      </c>
      <c r="D32" s="170"/>
      <c r="E32" s="170"/>
      <c r="F32" s="225"/>
      <c r="G32" s="170"/>
      <c r="H32" s="170"/>
      <c r="I32" s="226"/>
      <c r="J32" s="170">
        <v>40971</v>
      </c>
      <c r="K32" s="170">
        <v>40538</v>
      </c>
      <c r="L32" s="225">
        <v>145443</v>
      </c>
      <c r="M32" s="226">
        <v>144092</v>
      </c>
      <c r="N32" s="170">
        <v>13480</v>
      </c>
      <c r="O32" s="170">
        <v>13157</v>
      </c>
      <c r="P32" s="225"/>
      <c r="Q32" s="226"/>
      <c r="R32" s="170"/>
      <c r="S32" s="170"/>
      <c r="T32" s="161"/>
      <c r="U32" s="453"/>
      <c r="V32" s="156" t="s">
        <v>503</v>
      </c>
      <c r="W32" s="182">
        <v>62.1</v>
      </c>
      <c r="X32" s="182">
        <v>55.9</v>
      </c>
      <c r="Y32" s="229">
        <v>125.9</v>
      </c>
      <c r="Z32" s="183">
        <v>114.5</v>
      </c>
    </row>
    <row r="33" spans="1:26" ht="13.5" thickTop="1" x14ac:dyDescent="0.2">
      <c r="U33" s="451">
        <v>6</v>
      </c>
      <c r="V33" s="160" t="s">
        <v>502</v>
      </c>
      <c r="W33" s="179">
        <v>11.9</v>
      </c>
      <c r="X33" s="179">
        <v>100.6</v>
      </c>
      <c r="Y33" s="227">
        <v>334.1</v>
      </c>
      <c r="Z33" s="180">
        <v>301.8</v>
      </c>
    </row>
    <row r="34" spans="1:26" x14ac:dyDescent="0.2">
      <c r="U34" s="452"/>
      <c r="V34" s="159">
        <v>3</v>
      </c>
      <c r="W34" s="102">
        <v>123.7</v>
      </c>
      <c r="X34" s="102">
        <v>111.3</v>
      </c>
      <c r="Y34" s="228">
        <v>340</v>
      </c>
      <c r="Z34" s="181">
        <v>307.39999999999998</v>
      </c>
    </row>
    <row r="35" spans="1:26" x14ac:dyDescent="0.2">
      <c r="U35" s="452"/>
      <c r="V35" s="153" t="s">
        <v>503</v>
      </c>
      <c r="W35" s="102">
        <v>134.80000000000001</v>
      </c>
      <c r="X35" s="102">
        <v>121.5</v>
      </c>
      <c r="Y35" s="228">
        <v>346.3</v>
      </c>
      <c r="Z35" s="181">
        <v>313.7</v>
      </c>
    </row>
    <row r="36" spans="1:26" x14ac:dyDescent="0.2">
      <c r="U36" s="452"/>
      <c r="V36" s="159">
        <v>4</v>
      </c>
      <c r="W36" s="102">
        <v>147.1</v>
      </c>
      <c r="X36" s="102">
        <v>132.80000000000001</v>
      </c>
      <c r="Y36" s="228">
        <v>354.1</v>
      </c>
      <c r="Z36" s="181">
        <v>321.2</v>
      </c>
    </row>
    <row r="37" spans="1:26" ht="14.25" x14ac:dyDescent="0.2">
      <c r="A37" s="430" t="s">
        <v>521</v>
      </c>
      <c r="B37" s="430"/>
      <c r="U37" s="453"/>
      <c r="V37" s="164">
        <v>5</v>
      </c>
      <c r="W37" s="182">
        <v>175.3</v>
      </c>
      <c r="X37" s="182">
        <v>158.69999999999999</v>
      </c>
      <c r="Y37" s="229">
        <v>375.7</v>
      </c>
      <c r="Z37" s="183">
        <v>361.8</v>
      </c>
    </row>
    <row r="38" spans="1:26" ht="14.25" x14ac:dyDescent="0.2">
      <c r="B38" s="454" t="s">
        <v>516</v>
      </c>
      <c r="C38" s="454"/>
      <c r="U38" s="451">
        <v>8</v>
      </c>
      <c r="V38" s="162">
        <v>3</v>
      </c>
      <c r="W38" s="179"/>
      <c r="X38" s="179"/>
      <c r="Y38" s="227">
        <v>716.9</v>
      </c>
      <c r="Z38" s="180">
        <v>655.5</v>
      </c>
    </row>
    <row r="39" spans="1:26" x14ac:dyDescent="0.2">
      <c r="U39" s="452"/>
      <c r="V39" s="153" t="s">
        <v>503</v>
      </c>
      <c r="W39" s="102">
        <v>221.7</v>
      </c>
      <c r="X39" s="102">
        <v>201.8</v>
      </c>
      <c r="Y39" s="228">
        <v>722.6</v>
      </c>
      <c r="Z39" s="181">
        <v>661</v>
      </c>
    </row>
    <row r="40" spans="1:26" x14ac:dyDescent="0.2">
      <c r="B40" t="s">
        <v>504</v>
      </c>
      <c r="U40" s="452"/>
      <c r="V40" s="159">
        <v>4</v>
      </c>
      <c r="W40" s="102">
        <v>235.6</v>
      </c>
      <c r="X40" s="102">
        <v>215</v>
      </c>
      <c r="Y40" s="228">
        <v>730.6</v>
      </c>
      <c r="Z40" s="181">
        <v>668.7</v>
      </c>
    </row>
    <row r="41" spans="1:26" x14ac:dyDescent="0.2">
      <c r="B41" t="s">
        <v>505</v>
      </c>
      <c r="U41" s="452"/>
      <c r="V41" s="159">
        <v>5</v>
      </c>
      <c r="W41" s="102">
        <v>269.60000000000002</v>
      </c>
      <c r="X41" s="102">
        <v>245.8</v>
      </c>
      <c r="Y41" s="228">
        <v>753</v>
      </c>
      <c r="Z41" s="181">
        <v>690.5</v>
      </c>
    </row>
    <row r="42" spans="1:26" x14ac:dyDescent="0.2">
      <c r="B42" t="s">
        <v>506</v>
      </c>
      <c r="U42" s="453"/>
      <c r="V42" s="164">
        <v>6</v>
      </c>
      <c r="W42" s="182">
        <v>309.2</v>
      </c>
      <c r="X42" s="182">
        <v>280.89999999999998</v>
      </c>
      <c r="Y42" s="229">
        <v>791.1</v>
      </c>
      <c r="Z42" s="183">
        <v>719.4</v>
      </c>
    </row>
    <row r="43" spans="1:26" x14ac:dyDescent="0.2">
      <c r="U43" s="455">
        <v>10</v>
      </c>
      <c r="V43" s="162">
        <v>4</v>
      </c>
      <c r="W43" s="179">
        <v>385.9</v>
      </c>
      <c r="X43" s="179">
        <v>362</v>
      </c>
      <c r="Y43" s="227">
        <v>1373</v>
      </c>
      <c r="Z43" s="180">
        <v>1300</v>
      </c>
    </row>
    <row r="44" spans="1:26" x14ac:dyDescent="0.2">
      <c r="U44" s="448"/>
      <c r="V44" s="159">
        <v>5</v>
      </c>
      <c r="W44" s="102">
        <v>428.3</v>
      </c>
      <c r="X44" s="102">
        <v>401.4</v>
      </c>
      <c r="Y44" s="228">
        <v>1396</v>
      </c>
      <c r="Z44" s="181">
        <v>1323</v>
      </c>
    </row>
    <row r="45" spans="1:26" x14ac:dyDescent="0.2">
      <c r="U45" s="448"/>
      <c r="V45" s="159">
        <v>6</v>
      </c>
      <c r="W45" s="102">
        <v>476.8</v>
      </c>
      <c r="X45" s="102">
        <v>444.8</v>
      </c>
      <c r="Y45" s="228">
        <v>1432</v>
      </c>
      <c r="Z45" s="181">
        <v>1350</v>
      </c>
    </row>
    <row r="46" spans="1:26" x14ac:dyDescent="0.2">
      <c r="U46" s="456"/>
      <c r="V46" s="164">
        <v>8</v>
      </c>
      <c r="W46" s="182">
        <v>586</v>
      </c>
      <c r="X46" s="182">
        <v>546.70000000000005</v>
      </c>
      <c r="Y46" s="229">
        <v>1506</v>
      </c>
      <c r="Z46" s="183">
        <v>1426</v>
      </c>
    </row>
    <row r="47" spans="1:26" ht="14.25" x14ac:dyDescent="0.2">
      <c r="A47" s="430" t="s">
        <v>522</v>
      </c>
      <c r="B47" s="430"/>
      <c r="U47" s="455">
        <v>12</v>
      </c>
      <c r="V47" s="162">
        <v>5</v>
      </c>
      <c r="W47" s="179">
        <v>639.4</v>
      </c>
      <c r="X47" s="179">
        <v>606.4</v>
      </c>
      <c r="Y47" s="227">
        <v>2318</v>
      </c>
      <c r="Z47" s="180">
        <v>2224</v>
      </c>
    </row>
    <row r="48" spans="1:26" ht="14.25" x14ac:dyDescent="0.2">
      <c r="B48" s="454" t="s">
        <v>517</v>
      </c>
      <c r="C48" s="454"/>
      <c r="U48" s="448"/>
      <c r="V48" s="159">
        <v>6</v>
      </c>
      <c r="W48" s="102">
        <v>697.7</v>
      </c>
      <c r="X48" s="102">
        <v>658.8</v>
      </c>
      <c r="Y48" s="228">
        <v>2348</v>
      </c>
      <c r="Z48" s="181">
        <v>2250</v>
      </c>
    </row>
    <row r="49" spans="1:26" x14ac:dyDescent="0.2">
      <c r="U49" s="448"/>
      <c r="V49" s="159">
        <v>8</v>
      </c>
      <c r="W49" s="102">
        <v>827</v>
      </c>
      <c r="X49" s="102">
        <v>779.8</v>
      </c>
      <c r="Y49" s="228">
        <v>2430</v>
      </c>
      <c r="Z49" s="181">
        <v>2329</v>
      </c>
    </row>
    <row r="50" spans="1:26" x14ac:dyDescent="0.2">
      <c r="B50" t="s">
        <v>504</v>
      </c>
      <c r="U50" s="456"/>
      <c r="V50" s="165">
        <v>10</v>
      </c>
      <c r="W50" s="182">
        <v>993.8</v>
      </c>
      <c r="X50" s="182">
        <v>947.7</v>
      </c>
      <c r="Y50" s="229">
        <v>2567</v>
      </c>
      <c r="Z50" s="183">
        <v>2468</v>
      </c>
    </row>
    <row r="51" spans="1:26" x14ac:dyDescent="0.2">
      <c r="B51" t="s">
        <v>505</v>
      </c>
      <c r="U51" s="448">
        <v>14</v>
      </c>
      <c r="V51" s="159">
        <v>6</v>
      </c>
      <c r="W51" s="171">
        <v>1496</v>
      </c>
      <c r="X51" s="171">
        <v>1419</v>
      </c>
      <c r="Y51" s="230">
        <v>1992</v>
      </c>
      <c r="Z51" s="172">
        <v>1915</v>
      </c>
    </row>
    <row r="52" spans="1:26" x14ac:dyDescent="0.2">
      <c r="B52" t="s">
        <v>507</v>
      </c>
      <c r="U52" s="448"/>
      <c r="V52" s="159">
        <v>8</v>
      </c>
      <c r="W52" s="171">
        <v>1738</v>
      </c>
      <c r="X52" s="171">
        <v>1646</v>
      </c>
      <c r="Y52" s="230">
        <v>2587</v>
      </c>
      <c r="Z52" s="172">
        <v>2488</v>
      </c>
    </row>
    <row r="53" spans="1:26" x14ac:dyDescent="0.2">
      <c r="U53" s="448"/>
      <c r="V53" s="166">
        <v>10</v>
      </c>
      <c r="W53" s="171">
        <v>2041</v>
      </c>
      <c r="X53" s="171">
        <v>1952</v>
      </c>
      <c r="Y53" s="230">
        <v>2922</v>
      </c>
      <c r="Z53" s="172">
        <v>2816</v>
      </c>
    </row>
    <row r="54" spans="1:26" x14ac:dyDescent="0.2">
      <c r="U54" s="448"/>
      <c r="V54" s="166">
        <v>12</v>
      </c>
      <c r="W54" s="171">
        <v>2382</v>
      </c>
      <c r="X54" s="171">
        <v>2288</v>
      </c>
      <c r="Y54" s="230">
        <v>2976</v>
      </c>
      <c r="Z54" s="172">
        <v>3022</v>
      </c>
    </row>
    <row r="55" spans="1:26" x14ac:dyDescent="0.2">
      <c r="U55" s="458">
        <v>16</v>
      </c>
      <c r="V55" s="162">
        <v>6</v>
      </c>
      <c r="W55" s="173"/>
      <c r="X55" s="173"/>
      <c r="Y55" s="231">
        <v>2621</v>
      </c>
      <c r="Z55" s="174">
        <v>2532</v>
      </c>
    </row>
    <row r="56" spans="1:26" x14ac:dyDescent="0.2">
      <c r="U56" s="447"/>
      <c r="V56" s="159">
        <v>8</v>
      </c>
      <c r="W56" s="171">
        <v>2321</v>
      </c>
      <c r="X56" s="171">
        <v>2212</v>
      </c>
      <c r="Y56" s="230">
        <v>3396</v>
      </c>
      <c r="Z56" s="172">
        <v>3283</v>
      </c>
    </row>
    <row r="57" spans="1:26" ht="14.25" x14ac:dyDescent="0.2">
      <c r="A57" s="468" t="s">
        <v>523</v>
      </c>
      <c r="B57" s="469"/>
      <c r="U57" s="447"/>
      <c r="V57" s="166">
        <v>10</v>
      </c>
      <c r="W57" s="171">
        <v>2656</v>
      </c>
      <c r="X57" s="171">
        <v>2552</v>
      </c>
      <c r="Y57" s="230">
        <v>3803</v>
      </c>
      <c r="Z57" s="172">
        <v>3701</v>
      </c>
    </row>
    <row r="58" spans="1:26" ht="14.25" x14ac:dyDescent="0.2">
      <c r="B58" s="90" t="s">
        <v>516</v>
      </c>
      <c r="U58" s="447"/>
      <c r="V58" s="166">
        <v>12</v>
      </c>
      <c r="W58" s="171">
        <v>3029</v>
      </c>
      <c r="X58" s="171">
        <v>2920</v>
      </c>
      <c r="Y58" s="230">
        <v>4891</v>
      </c>
      <c r="Z58" s="172">
        <v>4741</v>
      </c>
    </row>
    <row r="59" spans="1:26" x14ac:dyDescent="0.2">
      <c r="U59" s="459"/>
      <c r="V59" s="165">
        <v>14</v>
      </c>
      <c r="W59" s="175">
        <v>3289</v>
      </c>
      <c r="X59" s="175">
        <v>3175</v>
      </c>
      <c r="Y59" s="232">
        <v>5054</v>
      </c>
      <c r="Z59" s="176">
        <v>4902</v>
      </c>
    </row>
    <row r="60" spans="1:26" x14ac:dyDescent="0.2">
      <c r="B60" t="s">
        <v>504</v>
      </c>
      <c r="U60" s="447">
        <v>18</v>
      </c>
      <c r="V60" s="159">
        <v>8</v>
      </c>
      <c r="W60" s="171"/>
      <c r="X60" s="171"/>
      <c r="Y60" s="230">
        <v>4318</v>
      </c>
      <c r="Z60" s="172">
        <v>4191</v>
      </c>
    </row>
    <row r="61" spans="1:26" x14ac:dyDescent="0.2">
      <c r="B61" t="s">
        <v>505</v>
      </c>
      <c r="U61" s="447"/>
      <c r="V61" s="166">
        <v>10</v>
      </c>
      <c r="W61" s="171">
        <v>3413</v>
      </c>
      <c r="X61" s="171">
        <v>3291</v>
      </c>
      <c r="Y61" s="230">
        <v>4849</v>
      </c>
      <c r="Z61" s="172">
        <v>4711</v>
      </c>
    </row>
    <row r="62" spans="1:26" x14ac:dyDescent="0.2">
      <c r="B62" t="s">
        <v>506</v>
      </c>
      <c r="U62" s="447"/>
      <c r="V62" s="166">
        <v>12</v>
      </c>
      <c r="W62" s="171">
        <v>3821</v>
      </c>
      <c r="X62" s="171">
        <v>3695</v>
      </c>
      <c r="Y62" s="230">
        <v>4993</v>
      </c>
      <c r="Z62" s="172">
        <v>5013</v>
      </c>
    </row>
    <row r="63" spans="1:26" x14ac:dyDescent="0.2">
      <c r="U63" s="447"/>
      <c r="V63" s="166">
        <v>14</v>
      </c>
      <c r="W63" s="171">
        <v>4104</v>
      </c>
      <c r="X63" s="171">
        <v>3973</v>
      </c>
      <c r="Y63" s="230">
        <v>6147</v>
      </c>
      <c r="Z63" s="172">
        <v>5976</v>
      </c>
    </row>
    <row r="64" spans="1:26" x14ac:dyDescent="0.2">
      <c r="U64" s="447"/>
      <c r="V64" s="166">
        <v>16</v>
      </c>
      <c r="W64" s="171">
        <v>4598</v>
      </c>
      <c r="X64" s="171">
        <v>4458</v>
      </c>
      <c r="Y64" s="230">
        <v>7180</v>
      </c>
      <c r="Z64" s="172">
        <v>6985</v>
      </c>
    </row>
    <row r="65" spans="1:26" x14ac:dyDescent="0.2">
      <c r="U65" s="458">
        <v>20</v>
      </c>
      <c r="V65" s="162">
        <v>8</v>
      </c>
      <c r="W65" s="173"/>
      <c r="X65" s="173"/>
      <c r="Y65" s="231">
        <v>5360</v>
      </c>
      <c r="Z65" s="174">
        <v>5214</v>
      </c>
    </row>
    <row r="66" spans="1:26" x14ac:dyDescent="0.2">
      <c r="U66" s="447"/>
      <c r="V66" s="166">
        <v>10</v>
      </c>
      <c r="W66" s="171"/>
      <c r="X66" s="171"/>
      <c r="Y66" s="230">
        <v>6010</v>
      </c>
      <c r="Z66" s="172">
        <v>5855</v>
      </c>
    </row>
    <row r="67" spans="1:26" x14ac:dyDescent="0.2">
      <c r="A67" s="430" t="s">
        <v>508</v>
      </c>
      <c r="B67" s="430"/>
      <c r="C67" s="430"/>
      <c r="U67" s="447"/>
      <c r="V67" s="166">
        <v>12</v>
      </c>
      <c r="W67" s="171">
        <v>6248</v>
      </c>
      <c r="X67" s="171">
        <v>6059</v>
      </c>
      <c r="Y67" s="230">
        <v>6204</v>
      </c>
      <c r="Z67" s="172">
        <v>6221</v>
      </c>
    </row>
    <row r="68" spans="1:26" ht="14.25" x14ac:dyDescent="0.2">
      <c r="B68" s="454" t="s">
        <v>518</v>
      </c>
      <c r="C68" s="454"/>
      <c r="D68" s="454"/>
      <c r="U68" s="447"/>
      <c r="V68" s="166">
        <v>14</v>
      </c>
      <c r="W68" s="171">
        <v>6922</v>
      </c>
      <c r="X68" s="171">
        <v>6717</v>
      </c>
      <c r="Y68" s="230">
        <v>7606</v>
      </c>
      <c r="Z68" s="172">
        <v>7414</v>
      </c>
    </row>
    <row r="69" spans="1:26" x14ac:dyDescent="0.2">
      <c r="U69" s="447"/>
      <c r="V69" s="166">
        <v>16</v>
      </c>
      <c r="W69" s="171">
        <v>7974</v>
      </c>
      <c r="X69" s="171">
        <v>7747</v>
      </c>
      <c r="Y69" s="230">
        <v>8877</v>
      </c>
      <c r="Z69" s="172">
        <v>8657</v>
      </c>
    </row>
    <row r="70" spans="1:26" x14ac:dyDescent="0.2">
      <c r="B70" t="s">
        <v>504</v>
      </c>
      <c r="U70" s="459"/>
      <c r="V70" s="165">
        <v>18</v>
      </c>
      <c r="W70" s="175">
        <v>9404</v>
      </c>
      <c r="X70" s="175">
        <v>9150</v>
      </c>
      <c r="Y70" s="232">
        <v>10163</v>
      </c>
      <c r="Z70" s="176">
        <v>9916</v>
      </c>
    </row>
    <row r="71" spans="1:26" x14ac:dyDescent="0.2">
      <c r="B71" t="s">
        <v>505</v>
      </c>
      <c r="U71" s="447">
        <v>22</v>
      </c>
      <c r="V71" s="166">
        <v>10</v>
      </c>
      <c r="W71" s="171"/>
      <c r="X71" s="171"/>
      <c r="Y71" s="230">
        <v>12027</v>
      </c>
      <c r="Z71" s="172">
        <v>11745</v>
      </c>
    </row>
    <row r="72" spans="1:26" x14ac:dyDescent="0.2">
      <c r="B72" t="s">
        <v>509</v>
      </c>
      <c r="U72" s="447"/>
      <c r="V72" s="166">
        <v>12</v>
      </c>
      <c r="W72" s="171"/>
      <c r="X72" s="171"/>
      <c r="Y72" s="230">
        <v>12226</v>
      </c>
      <c r="Z72" s="172">
        <v>11944</v>
      </c>
    </row>
    <row r="73" spans="1:26" x14ac:dyDescent="0.2">
      <c r="B73" t="s">
        <v>510</v>
      </c>
      <c r="U73" s="447"/>
      <c r="V73" s="166">
        <v>14</v>
      </c>
      <c r="W73" s="171">
        <v>7333</v>
      </c>
      <c r="X73" s="171">
        <v>7129</v>
      </c>
      <c r="Y73" s="230">
        <v>12394</v>
      </c>
      <c r="Z73" s="172">
        <v>12110</v>
      </c>
    </row>
    <row r="74" spans="1:26" x14ac:dyDescent="0.2">
      <c r="U74" s="447"/>
      <c r="V74" s="166">
        <v>16</v>
      </c>
      <c r="W74" s="171">
        <v>8055</v>
      </c>
      <c r="X74" s="171">
        <v>7841</v>
      </c>
      <c r="Y74" s="230">
        <v>12620</v>
      </c>
      <c r="Z74" s="172">
        <v>12337</v>
      </c>
    </row>
    <row r="75" spans="1:26" x14ac:dyDescent="0.2">
      <c r="U75" s="447"/>
      <c r="V75" s="166">
        <v>18</v>
      </c>
      <c r="W75" s="171">
        <v>8848</v>
      </c>
      <c r="X75" s="171">
        <v>8622</v>
      </c>
      <c r="Y75" s="230">
        <v>12995</v>
      </c>
      <c r="Z75" s="172">
        <v>12710</v>
      </c>
    </row>
    <row r="76" spans="1:26" x14ac:dyDescent="0.2">
      <c r="U76" s="447"/>
      <c r="V76" s="166">
        <v>20</v>
      </c>
      <c r="W76" s="171">
        <v>9711</v>
      </c>
      <c r="X76" s="171">
        <v>9474</v>
      </c>
      <c r="Y76" s="230">
        <v>1345813172</v>
      </c>
      <c r="Z76" s="172"/>
    </row>
    <row r="77" spans="1:26" x14ac:dyDescent="0.2">
      <c r="U77" s="458">
        <v>24</v>
      </c>
      <c r="V77" s="167">
        <v>10</v>
      </c>
      <c r="W77" s="173"/>
      <c r="X77" s="173"/>
      <c r="Y77" s="231">
        <v>8701</v>
      </c>
      <c r="Z77" s="174">
        <v>8519</v>
      </c>
    </row>
    <row r="78" spans="1:26" x14ac:dyDescent="0.2">
      <c r="A78" s="430" t="s">
        <v>511</v>
      </c>
      <c r="B78" s="430"/>
      <c r="U78" s="447"/>
      <c r="V78" s="166">
        <v>12</v>
      </c>
      <c r="W78" s="171"/>
      <c r="X78" s="171"/>
      <c r="Y78" s="230">
        <v>14972</v>
      </c>
      <c r="Z78" s="172">
        <v>14603</v>
      </c>
    </row>
    <row r="79" spans="1:26" ht="14.25" x14ac:dyDescent="0.2">
      <c r="B79" s="454" t="s">
        <v>519</v>
      </c>
      <c r="C79" s="454"/>
      <c r="D79" s="454"/>
      <c r="U79" s="447"/>
      <c r="V79" s="166">
        <v>14</v>
      </c>
      <c r="W79" s="171"/>
      <c r="X79" s="171"/>
      <c r="Y79" s="230">
        <v>10979</v>
      </c>
      <c r="Z79" s="172">
        <v>10745</v>
      </c>
    </row>
    <row r="80" spans="1:26" x14ac:dyDescent="0.2">
      <c r="U80" s="447"/>
      <c r="V80" s="166">
        <v>16</v>
      </c>
      <c r="W80" s="171">
        <v>8637</v>
      </c>
      <c r="X80" s="171">
        <v>8419</v>
      </c>
      <c r="Y80" s="230">
        <v>12795</v>
      </c>
      <c r="Z80" s="172">
        <v>12526</v>
      </c>
    </row>
    <row r="81" spans="1:26" x14ac:dyDescent="0.2">
      <c r="B81" t="s">
        <v>504</v>
      </c>
      <c r="U81" s="447"/>
      <c r="V81" s="166">
        <v>18</v>
      </c>
      <c r="W81" s="171">
        <v>9451</v>
      </c>
      <c r="X81" s="171">
        <v>9221</v>
      </c>
      <c r="Y81" s="230">
        <v>14628</v>
      </c>
      <c r="Z81" s="172">
        <v>14325</v>
      </c>
    </row>
    <row r="82" spans="1:26" x14ac:dyDescent="0.2">
      <c r="B82" t="s">
        <v>505</v>
      </c>
      <c r="U82" s="447"/>
      <c r="V82" s="166">
        <v>20</v>
      </c>
      <c r="W82" s="171">
        <v>10334</v>
      </c>
      <c r="X82" s="171">
        <v>10094</v>
      </c>
      <c r="Y82" s="230">
        <v>16477</v>
      </c>
      <c r="Z82" s="172">
        <v>16141</v>
      </c>
    </row>
    <row r="83" spans="1:26" x14ac:dyDescent="0.2">
      <c r="B83" t="s">
        <v>512</v>
      </c>
      <c r="U83" s="459"/>
      <c r="V83" s="165">
        <v>22</v>
      </c>
      <c r="W83" s="175"/>
      <c r="X83" s="175"/>
      <c r="Y83" s="232">
        <v>16606</v>
      </c>
      <c r="Z83" s="176">
        <v>16287</v>
      </c>
    </row>
    <row r="84" spans="1:26" x14ac:dyDescent="0.2">
      <c r="B84" t="s">
        <v>513</v>
      </c>
      <c r="U84" s="447">
        <v>26</v>
      </c>
      <c r="V84" s="166">
        <v>12</v>
      </c>
      <c r="W84" s="171"/>
      <c r="X84" s="171"/>
      <c r="Y84" s="230">
        <v>20062</v>
      </c>
      <c r="Z84" s="172">
        <v>19668</v>
      </c>
    </row>
    <row r="85" spans="1:26" x14ac:dyDescent="0.2">
      <c r="U85" s="447"/>
      <c r="V85" s="166">
        <v>14</v>
      </c>
      <c r="W85" s="171"/>
      <c r="X85" s="171"/>
      <c r="Y85" s="230">
        <v>20233</v>
      </c>
      <c r="Z85" s="172">
        <v>19837</v>
      </c>
    </row>
    <row r="86" spans="1:26" x14ac:dyDescent="0.2">
      <c r="U86" s="447"/>
      <c r="V86" s="166">
        <v>16</v>
      </c>
      <c r="W86" s="171"/>
      <c r="X86" s="171"/>
      <c r="Y86" s="230">
        <v>20465</v>
      </c>
      <c r="Z86" s="172">
        <v>20070</v>
      </c>
    </row>
    <row r="87" spans="1:26" x14ac:dyDescent="0.2">
      <c r="U87" s="447"/>
      <c r="V87" s="166">
        <v>18</v>
      </c>
      <c r="W87" s="171"/>
      <c r="X87" s="171"/>
      <c r="Y87" s="230">
        <v>20846</v>
      </c>
      <c r="Z87" s="172">
        <v>20449</v>
      </c>
    </row>
    <row r="88" spans="1:26" x14ac:dyDescent="0.2">
      <c r="A88" s="104" t="s">
        <v>514</v>
      </c>
      <c r="U88" s="447"/>
      <c r="V88" s="166">
        <v>20</v>
      </c>
      <c r="W88" s="171"/>
      <c r="X88" s="171"/>
      <c r="Y88" s="230">
        <v>21316</v>
      </c>
      <c r="Z88" s="172">
        <v>20919</v>
      </c>
    </row>
    <row r="89" spans="1:26" ht="14.25" x14ac:dyDescent="0.2">
      <c r="B89" s="454" t="s">
        <v>520</v>
      </c>
      <c r="C89" s="454"/>
      <c r="D89" s="454"/>
      <c r="U89" s="447"/>
      <c r="V89" s="166">
        <v>22</v>
      </c>
      <c r="W89" s="171"/>
      <c r="X89" s="171"/>
      <c r="Y89" s="230">
        <v>21887</v>
      </c>
      <c r="Z89" s="172">
        <v>21487</v>
      </c>
    </row>
    <row r="90" spans="1:26" x14ac:dyDescent="0.2">
      <c r="U90" s="447"/>
      <c r="V90" s="166">
        <v>24</v>
      </c>
      <c r="W90" s="171"/>
      <c r="X90" s="171"/>
      <c r="Y90" s="230">
        <v>22565</v>
      </c>
      <c r="Z90" s="172">
        <v>22164</v>
      </c>
    </row>
    <row r="91" spans="1:26" x14ac:dyDescent="0.2">
      <c r="B91" t="s">
        <v>504</v>
      </c>
      <c r="U91" s="458">
        <v>30</v>
      </c>
      <c r="V91" s="167">
        <v>14</v>
      </c>
      <c r="W91" s="173"/>
      <c r="X91" s="173"/>
      <c r="Y91" s="231">
        <v>30283</v>
      </c>
      <c r="Z91" s="174">
        <v>29768</v>
      </c>
    </row>
    <row r="92" spans="1:26" x14ac:dyDescent="0.2">
      <c r="B92" t="s">
        <v>505</v>
      </c>
      <c r="U92" s="447"/>
      <c r="V92" s="166">
        <v>16</v>
      </c>
      <c r="W92" s="171"/>
      <c r="X92" s="171"/>
      <c r="Y92" s="230">
        <v>30520</v>
      </c>
      <c r="Z92" s="172">
        <v>30006</v>
      </c>
    </row>
    <row r="93" spans="1:26" x14ac:dyDescent="0.2">
      <c r="B93" t="s">
        <v>509</v>
      </c>
      <c r="U93" s="447"/>
      <c r="V93" s="166">
        <v>18</v>
      </c>
      <c r="W93" s="171"/>
      <c r="X93" s="171"/>
      <c r="Y93" s="230">
        <v>30908</v>
      </c>
      <c r="Z93" s="172">
        <v>30392</v>
      </c>
    </row>
    <row r="94" spans="1:26" x14ac:dyDescent="0.2">
      <c r="B94" t="s">
        <v>510</v>
      </c>
      <c r="U94" s="447"/>
      <c r="V94" s="166">
        <v>20</v>
      </c>
      <c r="W94" s="171"/>
      <c r="X94" s="171"/>
      <c r="Y94" s="230">
        <v>31386</v>
      </c>
      <c r="Z94" s="172">
        <v>30869</v>
      </c>
    </row>
    <row r="95" spans="1:26" x14ac:dyDescent="0.2">
      <c r="U95" s="447"/>
      <c r="V95" s="166">
        <v>22</v>
      </c>
      <c r="W95" s="171"/>
      <c r="X95" s="171"/>
      <c r="Y95" s="230">
        <v>31964</v>
      </c>
      <c r="Z95" s="172">
        <v>31445</v>
      </c>
    </row>
    <row r="96" spans="1:26" x14ac:dyDescent="0.2">
      <c r="U96" s="447"/>
      <c r="V96" s="166">
        <v>24</v>
      </c>
      <c r="W96" s="171"/>
      <c r="X96" s="171"/>
      <c r="Y96" s="230">
        <v>32652</v>
      </c>
      <c r="Z96" s="172">
        <v>32131</v>
      </c>
    </row>
    <row r="97" spans="1:26" x14ac:dyDescent="0.2">
      <c r="U97" s="447"/>
      <c r="V97" s="166">
        <v>26</v>
      </c>
      <c r="W97" s="171"/>
      <c r="X97" s="171"/>
      <c r="Y97" s="230">
        <v>33458</v>
      </c>
      <c r="Z97" s="172">
        <v>32936</v>
      </c>
    </row>
    <row r="98" spans="1:26" x14ac:dyDescent="0.2">
      <c r="U98" s="459"/>
      <c r="V98" s="165">
        <v>28</v>
      </c>
      <c r="W98" s="175"/>
      <c r="X98" s="175"/>
      <c r="Y98" s="232">
        <v>34102</v>
      </c>
      <c r="Z98" s="176">
        <v>33583</v>
      </c>
    </row>
    <row r="99" spans="1:26" x14ac:dyDescent="0.2">
      <c r="A99" s="430" t="s">
        <v>515</v>
      </c>
      <c r="B99" s="430"/>
      <c r="C99" s="430"/>
      <c r="D99" s="430"/>
      <c r="U99" s="447">
        <v>34</v>
      </c>
      <c r="V99" s="166">
        <v>16</v>
      </c>
      <c r="W99" s="171"/>
      <c r="X99" s="171"/>
      <c r="Y99" s="230">
        <v>44385</v>
      </c>
      <c r="Z99" s="172">
        <v>43724</v>
      </c>
    </row>
    <row r="100" spans="1:26" x14ac:dyDescent="0.2">
      <c r="U100" s="447"/>
      <c r="V100" s="166">
        <v>18</v>
      </c>
      <c r="W100" s="171"/>
      <c r="X100" s="171"/>
      <c r="Y100" s="230">
        <v>44779</v>
      </c>
      <c r="Z100" s="172">
        <v>44116</v>
      </c>
    </row>
    <row r="101" spans="1:26" x14ac:dyDescent="0.2">
      <c r="U101" s="447"/>
      <c r="V101" s="166">
        <v>20</v>
      </c>
      <c r="W101" s="171"/>
      <c r="X101" s="171"/>
      <c r="Y101" s="230">
        <v>45265</v>
      </c>
      <c r="Z101" s="172">
        <v>44600</v>
      </c>
    </row>
    <row r="102" spans="1:26" x14ac:dyDescent="0.2">
      <c r="U102" s="447"/>
      <c r="V102" s="166">
        <v>22</v>
      </c>
      <c r="W102" s="171"/>
      <c r="X102" s="171"/>
      <c r="Y102" s="230">
        <v>45851</v>
      </c>
      <c r="Z102" s="172">
        <v>45184</v>
      </c>
    </row>
    <row r="103" spans="1:26" x14ac:dyDescent="0.2">
      <c r="U103" s="447"/>
      <c r="V103" s="166">
        <v>24</v>
      </c>
      <c r="W103" s="171"/>
      <c r="X103" s="171"/>
      <c r="Y103" s="230">
        <v>46548</v>
      </c>
      <c r="Z103" s="172">
        <v>45879</v>
      </c>
    </row>
    <row r="104" spans="1:26" x14ac:dyDescent="0.2">
      <c r="U104" s="447"/>
      <c r="V104" s="166">
        <v>26</v>
      </c>
      <c r="W104" s="171"/>
      <c r="X104" s="171"/>
      <c r="Y104" s="230">
        <v>47364</v>
      </c>
      <c r="Z104" s="172">
        <v>46693</v>
      </c>
    </row>
    <row r="105" spans="1:26" x14ac:dyDescent="0.2">
      <c r="U105" s="447"/>
      <c r="V105" s="166">
        <v>28</v>
      </c>
      <c r="W105" s="171"/>
      <c r="X105" s="171"/>
      <c r="Y105" s="230">
        <v>48018</v>
      </c>
      <c r="Z105" s="172">
        <v>47351</v>
      </c>
    </row>
    <row r="106" spans="1:26" x14ac:dyDescent="0.2">
      <c r="U106" s="447"/>
      <c r="V106" s="166">
        <v>30</v>
      </c>
      <c r="W106" s="171"/>
      <c r="X106" s="171"/>
      <c r="Y106" s="230">
        <v>49058</v>
      </c>
      <c r="Z106" s="172">
        <v>48389</v>
      </c>
    </row>
    <row r="107" spans="1:26" x14ac:dyDescent="0.2">
      <c r="U107" s="447"/>
      <c r="V107" s="166">
        <v>32</v>
      </c>
      <c r="W107" s="171"/>
      <c r="X107" s="171"/>
      <c r="Y107" s="230">
        <v>50242</v>
      </c>
      <c r="Z107" s="172">
        <v>49571</v>
      </c>
    </row>
    <row r="108" spans="1:26" x14ac:dyDescent="0.2">
      <c r="U108" s="458">
        <v>36</v>
      </c>
      <c r="V108" s="167">
        <v>16</v>
      </c>
      <c r="W108" s="173"/>
      <c r="X108" s="173"/>
      <c r="Y108" s="231">
        <v>52701</v>
      </c>
      <c r="Z108" s="174">
        <v>51958</v>
      </c>
    </row>
    <row r="109" spans="1:26" x14ac:dyDescent="0.2">
      <c r="U109" s="447"/>
      <c r="V109" s="166">
        <v>18</v>
      </c>
      <c r="W109" s="171"/>
      <c r="X109" s="171"/>
      <c r="Y109" s="230">
        <v>53098</v>
      </c>
      <c r="Z109" s="172">
        <v>52353</v>
      </c>
    </row>
    <row r="110" spans="1:26" x14ac:dyDescent="0.2">
      <c r="U110" s="447"/>
      <c r="V110" s="166">
        <v>20</v>
      </c>
      <c r="W110" s="171"/>
      <c r="X110" s="171"/>
      <c r="Y110" s="230">
        <v>53587</v>
      </c>
      <c r="Z110" s="172">
        <v>52841</v>
      </c>
    </row>
    <row r="111" spans="1:26" x14ac:dyDescent="0.2">
      <c r="U111" s="447"/>
      <c r="V111" s="166">
        <v>22</v>
      </c>
      <c r="W111" s="171"/>
      <c r="X111" s="171"/>
      <c r="Y111" s="230">
        <v>54177</v>
      </c>
      <c r="Z111" s="172">
        <v>53429</v>
      </c>
    </row>
    <row r="112" spans="1:26" x14ac:dyDescent="0.2">
      <c r="U112" s="447"/>
      <c r="V112" s="166">
        <v>24</v>
      </c>
      <c r="W112" s="171"/>
      <c r="X112" s="171"/>
      <c r="Y112" s="230">
        <v>54878</v>
      </c>
      <c r="Z112" s="172">
        <v>54128</v>
      </c>
    </row>
    <row r="113" spans="21:26" x14ac:dyDescent="0.2">
      <c r="U113" s="447"/>
      <c r="V113" s="166">
        <v>26</v>
      </c>
      <c r="W113" s="171"/>
      <c r="X113" s="171"/>
      <c r="Y113" s="230">
        <v>55700</v>
      </c>
      <c r="Z113" s="172">
        <v>54947</v>
      </c>
    </row>
    <row r="114" spans="21:26" x14ac:dyDescent="0.2">
      <c r="U114" s="447"/>
      <c r="V114" s="166">
        <v>28</v>
      </c>
      <c r="W114" s="171"/>
      <c r="X114" s="171"/>
      <c r="Y114" s="230">
        <v>56359</v>
      </c>
      <c r="Z114" s="172">
        <v>55610</v>
      </c>
    </row>
    <row r="115" spans="21:26" x14ac:dyDescent="0.2">
      <c r="U115" s="447"/>
      <c r="V115" s="166">
        <v>30</v>
      </c>
      <c r="W115" s="171">
        <v>30539</v>
      </c>
      <c r="X115" s="171">
        <v>30071</v>
      </c>
      <c r="Y115" s="230">
        <v>57404</v>
      </c>
      <c r="Z115" s="172">
        <v>56653</v>
      </c>
    </row>
    <row r="116" spans="21:26" x14ac:dyDescent="0.2">
      <c r="U116" s="447"/>
      <c r="V116" s="166">
        <v>32</v>
      </c>
      <c r="W116" s="171">
        <v>32314</v>
      </c>
      <c r="X116" s="171">
        <v>31831</v>
      </c>
      <c r="Y116" s="230">
        <v>58594</v>
      </c>
      <c r="Z116" s="172">
        <v>57842</v>
      </c>
    </row>
    <row r="117" spans="21:26" x14ac:dyDescent="0.2">
      <c r="U117" s="459"/>
      <c r="V117" s="165">
        <v>34</v>
      </c>
      <c r="W117" s="175">
        <v>34176</v>
      </c>
      <c r="X117" s="175">
        <v>33698</v>
      </c>
      <c r="Y117" s="232">
        <v>59940</v>
      </c>
      <c r="Z117" s="176">
        <v>59185</v>
      </c>
    </row>
    <row r="118" spans="21:26" x14ac:dyDescent="0.2">
      <c r="U118" s="458">
        <v>42</v>
      </c>
      <c r="V118" s="167">
        <v>20</v>
      </c>
      <c r="W118" s="173"/>
      <c r="X118" s="173"/>
      <c r="Y118" s="231">
        <v>76746</v>
      </c>
      <c r="Z118" s="174">
        <v>75825</v>
      </c>
    </row>
    <row r="119" spans="21:26" x14ac:dyDescent="0.2">
      <c r="U119" s="447"/>
      <c r="V119" s="166">
        <v>22</v>
      </c>
      <c r="W119" s="171"/>
      <c r="X119" s="171"/>
      <c r="Y119" s="230">
        <v>77172</v>
      </c>
      <c r="Z119" s="172">
        <v>76253</v>
      </c>
    </row>
    <row r="120" spans="21:26" x14ac:dyDescent="0.2">
      <c r="U120" s="447"/>
      <c r="V120" s="166">
        <v>24</v>
      </c>
      <c r="W120" s="171">
        <v>32031</v>
      </c>
      <c r="X120" s="171">
        <v>31561</v>
      </c>
      <c r="Y120" s="230">
        <v>77639</v>
      </c>
      <c r="Z120" s="172">
        <v>76723</v>
      </c>
    </row>
    <row r="121" spans="21:26" x14ac:dyDescent="0.2">
      <c r="U121" s="447"/>
      <c r="V121" s="166">
        <v>26</v>
      </c>
      <c r="W121" s="171">
        <v>33617</v>
      </c>
      <c r="X121" s="171">
        <v>33132</v>
      </c>
      <c r="Y121" s="230">
        <v>78899</v>
      </c>
      <c r="Z121" s="172">
        <v>77972</v>
      </c>
    </row>
    <row r="122" spans="21:26" x14ac:dyDescent="0.2">
      <c r="U122" s="447"/>
      <c r="V122" s="166">
        <v>28</v>
      </c>
      <c r="W122" s="171"/>
      <c r="X122" s="171"/>
      <c r="Y122" s="230">
        <v>79574</v>
      </c>
      <c r="Z122" s="172">
        <v>78650</v>
      </c>
    </row>
    <row r="123" spans="21:26" x14ac:dyDescent="0.2">
      <c r="U123" s="447"/>
      <c r="V123" s="166">
        <v>30</v>
      </c>
      <c r="W123" s="171">
        <v>37053</v>
      </c>
      <c r="X123" s="171">
        <v>36540</v>
      </c>
      <c r="Y123" s="230">
        <v>80636</v>
      </c>
      <c r="Z123" s="172">
        <v>79710</v>
      </c>
    </row>
    <row r="124" spans="21:26" x14ac:dyDescent="0.2">
      <c r="U124" s="447"/>
      <c r="V124" s="166">
        <v>32</v>
      </c>
      <c r="W124" s="171">
        <v>38902</v>
      </c>
      <c r="X124" s="171">
        <v>38375</v>
      </c>
      <c r="Y124" s="230">
        <v>81462</v>
      </c>
      <c r="Z124" s="172">
        <v>80540</v>
      </c>
    </row>
    <row r="125" spans="21:26" x14ac:dyDescent="0.2">
      <c r="U125" s="447"/>
      <c r="V125" s="166">
        <v>34</v>
      </c>
      <c r="W125" s="171">
        <v>40840</v>
      </c>
      <c r="X125" s="171">
        <v>40229</v>
      </c>
      <c r="Y125" s="230">
        <v>82341</v>
      </c>
      <c r="Z125" s="172">
        <v>81425</v>
      </c>
    </row>
    <row r="126" spans="21:26" x14ac:dyDescent="0.2">
      <c r="U126" s="459"/>
      <c r="V126" s="165">
        <v>36</v>
      </c>
      <c r="W126" s="175">
        <v>42866</v>
      </c>
      <c r="X126" s="175">
        <v>42311</v>
      </c>
      <c r="Y126" s="232">
        <v>83276</v>
      </c>
      <c r="Z126" s="176">
        <v>82365</v>
      </c>
    </row>
    <row r="127" spans="21:26" x14ac:dyDescent="0.2">
      <c r="U127" s="447">
        <v>48</v>
      </c>
      <c r="V127" s="166">
        <v>22</v>
      </c>
      <c r="W127" s="171"/>
      <c r="X127" s="171"/>
      <c r="Y127" s="230">
        <v>125186</v>
      </c>
      <c r="Z127" s="172">
        <v>123874</v>
      </c>
    </row>
    <row r="128" spans="21:26" x14ac:dyDescent="0.2">
      <c r="U128" s="447"/>
      <c r="V128" s="166">
        <v>24</v>
      </c>
      <c r="W128" s="171">
        <v>85143</v>
      </c>
      <c r="X128" s="171">
        <v>83984</v>
      </c>
      <c r="Y128" s="230">
        <v>125667</v>
      </c>
      <c r="Z128" s="172">
        <v>124358</v>
      </c>
    </row>
    <row r="129" spans="21:26" x14ac:dyDescent="0.2">
      <c r="U129" s="447"/>
      <c r="V129" s="166">
        <v>26</v>
      </c>
      <c r="W129" s="171">
        <v>89354</v>
      </c>
      <c r="X129" s="171">
        <v>88163</v>
      </c>
      <c r="Y129" s="230">
        <v>126693</v>
      </c>
      <c r="Z129" s="172">
        <v>125377</v>
      </c>
    </row>
    <row r="130" spans="21:26" x14ac:dyDescent="0.2">
      <c r="U130" s="447"/>
      <c r="V130" s="166">
        <v>28</v>
      </c>
      <c r="W130" s="171"/>
      <c r="X130" s="171"/>
      <c r="Y130" s="230">
        <v>127344</v>
      </c>
      <c r="Z130" s="172">
        <v>126031</v>
      </c>
    </row>
    <row r="131" spans="21:26" x14ac:dyDescent="0.2">
      <c r="U131" s="447"/>
      <c r="V131" s="166">
        <v>30</v>
      </c>
      <c r="W131" s="171">
        <v>98305</v>
      </c>
      <c r="X131" s="171">
        <v>97047</v>
      </c>
      <c r="Y131" s="230">
        <v>128044</v>
      </c>
      <c r="Z131" s="172">
        <v>126736</v>
      </c>
    </row>
    <row r="132" spans="21:26" x14ac:dyDescent="0.2">
      <c r="U132" s="447"/>
      <c r="V132" s="166">
        <v>32</v>
      </c>
      <c r="W132" s="171">
        <v>103044</v>
      </c>
      <c r="X132" s="171">
        <v>101753</v>
      </c>
      <c r="Y132" s="230">
        <v>129561</v>
      </c>
      <c r="Z132" s="172">
        <v>128245</v>
      </c>
    </row>
    <row r="133" spans="21:26" x14ac:dyDescent="0.2">
      <c r="U133" s="447"/>
      <c r="V133" s="166">
        <v>34</v>
      </c>
      <c r="W133" s="171">
        <v>107959</v>
      </c>
      <c r="X133" s="171">
        <v>106635</v>
      </c>
      <c r="Y133" s="230">
        <v>130462</v>
      </c>
      <c r="Z133" s="172">
        <v>129151</v>
      </c>
    </row>
    <row r="134" spans="21:26" x14ac:dyDescent="0.2">
      <c r="U134" s="447"/>
      <c r="V134" s="166">
        <v>36</v>
      </c>
      <c r="W134" s="171">
        <v>113050</v>
      </c>
      <c r="X134" s="171">
        <v>111693</v>
      </c>
      <c r="Y134" s="230">
        <v>131419</v>
      </c>
      <c r="Z134" s="172">
        <v>130113</v>
      </c>
    </row>
    <row r="135" spans="21:26" x14ac:dyDescent="0.2">
      <c r="U135" s="447"/>
      <c r="V135" s="166">
        <v>38</v>
      </c>
      <c r="W135" s="171">
        <v>118317</v>
      </c>
      <c r="X135" s="171">
        <v>116927</v>
      </c>
      <c r="Y135" s="230">
        <v>133521</v>
      </c>
      <c r="Z135" s="172">
        <v>132207</v>
      </c>
    </row>
    <row r="136" spans="21:26" x14ac:dyDescent="0.2">
      <c r="U136" s="447"/>
      <c r="V136" s="166">
        <v>40</v>
      </c>
      <c r="W136" s="171">
        <v>123760</v>
      </c>
      <c r="X136" s="171">
        <v>122337</v>
      </c>
      <c r="Y136" s="230">
        <v>134710</v>
      </c>
      <c r="Z136" s="172">
        <v>133402</v>
      </c>
    </row>
    <row r="137" spans="21:26" x14ac:dyDescent="0.2">
      <c r="U137" s="447"/>
      <c r="V137" s="166">
        <v>42</v>
      </c>
      <c r="W137" s="171">
        <v>129378</v>
      </c>
      <c r="X137" s="171">
        <v>127923</v>
      </c>
      <c r="Y137" s="230">
        <v>135960</v>
      </c>
      <c r="Z137" s="172">
        <v>134660</v>
      </c>
    </row>
    <row r="138" spans="21:26" x14ac:dyDescent="0.2">
      <c r="U138" s="447"/>
      <c r="V138" s="166">
        <v>44</v>
      </c>
      <c r="W138" s="171">
        <v>135173</v>
      </c>
      <c r="X138" s="171">
        <v>133685</v>
      </c>
      <c r="Y138" s="230">
        <v>138742</v>
      </c>
      <c r="Z138" s="172">
        <v>137432</v>
      </c>
    </row>
    <row r="139" spans="21:26" ht="13.5" thickBot="1" x14ac:dyDescent="0.25">
      <c r="U139" s="457"/>
      <c r="V139" s="168">
        <v>46</v>
      </c>
      <c r="W139" s="177">
        <v>141144</v>
      </c>
      <c r="X139" s="177">
        <v>139622</v>
      </c>
      <c r="Y139" s="233">
        <v>140256</v>
      </c>
      <c r="Z139" s="178">
        <v>138954</v>
      </c>
    </row>
    <row r="140" spans="21:26" ht="13.5" thickTop="1" x14ac:dyDescent="0.2">
      <c r="V140" s="64"/>
    </row>
  </sheetData>
  <sheetProtection sheet="1" objects="1" scenarios="1"/>
  <mergeCells count="58">
    <mergeCell ref="A99:D99"/>
    <mergeCell ref="D1:I1"/>
    <mergeCell ref="A5:A7"/>
    <mergeCell ref="B5:E5"/>
    <mergeCell ref="F5:I5"/>
    <mergeCell ref="B6:C6"/>
    <mergeCell ref="D6:E6"/>
    <mergeCell ref="F6:G6"/>
    <mergeCell ref="B79:D79"/>
    <mergeCell ref="Y5:Z5"/>
    <mergeCell ref="U5:V6"/>
    <mergeCell ref="Y6:Z6"/>
    <mergeCell ref="W6:X6"/>
    <mergeCell ref="J5:K5"/>
    <mergeCell ref="J6:K6"/>
    <mergeCell ref="R5:S5"/>
    <mergeCell ref="P5:Q5"/>
    <mergeCell ref="N5:O5"/>
    <mergeCell ref="L5:M5"/>
    <mergeCell ref="P6:Q6"/>
    <mergeCell ref="R6:S6"/>
    <mergeCell ref="L6:M6"/>
    <mergeCell ref="W5:X5"/>
    <mergeCell ref="U47:U50"/>
    <mergeCell ref="U55:U59"/>
    <mergeCell ref="U60:U64"/>
    <mergeCell ref="U33:U37"/>
    <mergeCell ref="U127:U139"/>
    <mergeCell ref="U19:U22"/>
    <mergeCell ref="U91:U98"/>
    <mergeCell ref="U99:U107"/>
    <mergeCell ref="U108:U117"/>
    <mergeCell ref="U118:U126"/>
    <mergeCell ref="U65:U70"/>
    <mergeCell ref="U71:U76"/>
    <mergeCell ref="U23:U27"/>
    <mergeCell ref="U28:U32"/>
    <mergeCell ref="U77:U83"/>
    <mergeCell ref="E2:H2"/>
    <mergeCell ref="D3:K3"/>
    <mergeCell ref="B38:C38"/>
    <mergeCell ref="B48:C48"/>
    <mergeCell ref="B68:D68"/>
    <mergeCell ref="H6:I6"/>
    <mergeCell ref="A67:C67"/>
    <mergeCell ref="A47:B47"/>
    <mergeCell ref="A57:B57"/>
    <mergeCell ref="A37:B37"/>
    <mergeCell ref="U84:U90"/>
    <mergeCell ref="U51:U54"/>
    <mergeCell ref="N6:O6"/>
    <mergeCell ref="U8:U11"/>
    <mergeCell ref="B89:D89"/>
    <mergeCell ref="U38:U42"/>
    <mergeCell ref="U43:U46"/>
    <mergeCell ref="U12:U14"/>
    <mergeCell ref="U15:U18"/>
    <mergeCell ref="A78:B78"/>
  </mergeCells>
  <phoneticPr fontId="7" type="noConversion"/>
  <pageMargins left="0.3" right="0.37" top="1" bottom="1" header="0.5" footer="0.5"/>
  <pageSetup orientation="landscape" r:id="rId1"/>
  <headerFooter alignWithMargins="0">
    <oddHeader>&amp;LArt Montemayor&amp;RJune 02, 1999
Rev: 0</oddHeader>
    <oddFooter>&amp;CPage &amp;P of &amp;N&amp;RElectronic FileName: &amp;F
WorkSheet: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7" transitionEvaluation="1"/>
  <dimension ref="A1:IV8197"/>
  <sheetViews>
    <sheetView showGridLines="0" topLeftCell="A7" workbookViewId="0">
      <selection activeCell="I26" sqref="I26"/>
    </sheetView>
  </sheetViews>
  <sheetFormatPr defaultColWidth="11" defaultRowHeight="12" x14ac:dyDescent="0.15"/>
  <cols>
    <col min="1" max="1" width="29.7109375" style="13" customWidth="1"/>
    <col min="2" max="2" width="12.42578125" style="13" customWidth="1"/>
    <col min="3" max="3" width="3.28515625" style="13" customWidth="1"/>
    <col min="4" max="4" width="2.28515625" style="13" customWidth="1"/>
    <col min="5" max="5" width="15.42578125" style="13" customWidth="1"/>
    <col min="6" max="6" width="6.42578125" style="13" customWidth="1"/>
    <col min="7" max="7" width="18.85546875" style="13" customWidth="1"/>
    <col min="8" max="8" width="13.85546875" style="13" customWidth="1"/>
    <col min="9" max="22" width="11" style="13"/>
    <col min="23" max="23" width="11" style="13" customWidth="1"/>
    <col min="24" max="26" width="11" style="13"/>
    <col min="27" max="27" width="29.28515625" style="13" customWidth="1"/>
    <col min="28" max="28" width="1.85546875" style="13" customWidth="1"/>
    <col min="29" max="29" width="11" style="13"/>
    <col min="30" max="30" width="1.85546875" style="13" customWidth="1"/>
    <col min="31" max="31" width="11" style="13"/>
    <col min="32" max="32" width="1.85546875" style="13" customWidth="1"/>
    <col min="33" max="33" width="11" style="13"/>
    <col min="34" max="34" width="1.85546875" style="13" customWidth="1"/>
    <col min="35" max="41" width="11" style="13"/>
    <col min="42" max="42" width="12.140625" style="13" customWidth="1"/>
    <col min="43" max="53" width="11" style="13"/>
    <col min="54" max="54" width="29.28515625" style="13" customWidth="1"/>
    <col min="55" max="55" width="13.28515625" style="13" customWidth="1"/>
    <col min="56" max="56" width="29.28515625" style="13" customWidth="1"/>
    <col min="57" max="57" width="13.28515625" style="13" customWidth="1"/>
    <col min="58" max="58" width="29.28515625" style="13" customWidth="1"/>
    <col min="59" max="59" width="13.28515625" style="13" customWidth="1"/>
    <col min="60" max="60" width="29.28515625" style="13" customWidth="1"/>
    <col min="61" max="61" width="13.28515625" style="13" customWidth="1"/>
    <col min="62" max="83" width="11" style="13"/>
    <col min="84" max="84" width="17.85546875" style="13" customWidth="1"/>
    <col min="85" max="91" width="11" style="13"/>
    <col min="92" max="92" width="17.85546875" style="13" customWidth="1"/>
    <col min="93" max="99" width="9.85546875" style="13" customWidth="1"/>
    <col min="100" max="110" width="11" style="13" customWidth="1"/>
    <col min="111" max="130" width="11" style="13"/>
    <col min="131" max="131" width="5.28515625" style="13" customWidth="1"/>
    <col min="132" max="182" width="11" style="13"/>
    <col min="183" max="183" width="20.140625" style="13" customWidth="1"/>
    <col min="184" max="184" width="1.85546875" style="13" customWidth="1"/>
    <col min="185" max="185" width="11" style="13"/>
    <col min="186" max="186" width="1.85546875" style="13" customWidth="1"/>
    <col min="187" max="187" width="11" style="13"/>
    <col min="188" max="188" width="1.85546875" style="13" customWidth="1"/>
    <col min="189" max="189" width="11" style="13"/>
    <col min="190" max="190" width="1.85546875" style="13" customWidth="1"/>
    <col min="191" max="254" width="11" style="13"/>
    <col min="255" max="255" width="12.140625" style="13" customWidth="1"/>
    <col min="256" max="16384" width="11" style="13"/>
  </cols>
  <sheetData>
    <row r="1" spans="1:205" x14ac:dyDescent="0.15">
      <c r="AT1" s="14"/>
      <c r="CH1" s="15" t="s">
        <v>309</v>
      </c>
      <c r="GJ1" s="16"/>
      <c r="GK1" s="16"/>
      <c r="GL1" s="16"/>
      <c r="GM1" s="16"/>
      <c r="GN1" s="16"/>
      <c r="GO1" s="16"/>
      <c r="GP1" s="16"/>
      <c r="GQ1" s="16"/>
      <c r="GR1" s="16"/>
      <c r="GS1" s="16"/>
      <c r="GT1" s="16"/>
      <c r="GU1" s="16"/>
      <c r="GV1" s="16"/>
      <c r="GW1" s="16"/>
    </row>
    <row r="2" spans="1:205" ht="15.75" x14ac:dyDescent="0.25">
      <c r="A2" s="409" t="s">
        <v>310</v>
      </c>
      <c r="B2" s="409"/>
      <c r="C2" s="409"/>
      <c r="D2" s="409"/>
      <c r="E2" s="409"/>
      <c r="F2" s="409"/>
      <c r="G2" s="409"/>
      <c r="H2" s="17"/>
      <c r="I2" s="17"/>
      <c r="BC2" s="18"/>
      <c r="BG2" s="18"/>
      <c r="GJ2" s="16"/>
      <c r="GK2" s="16"/>
      <c r="GL2" s="16"/>
      <c r="GM2" s="16"/>
      <c r="GN2" s="16"/>
      <c r="GO2" s="16"/>
      <c r="GP2" s="16"/>
      <c r="GQ2" s="16"/>
      <c r="GR2" s="16"/>
      <c r="GS2" s="16"/>
      <c r="GT2" s="16"/>
      <c r="GU2" s="16"/>
      <c r="GV2" s="16"/>
      <c r="GW2" s="16"/>
    </row>
    <row r="3" spans="1:205" ht="15" x14ac:dyDescent="0.2">
      <c r="A3" s="17"/>
      <c r="B3" s="17"/>
      <c r="C3" s="17"/>
      <c r="D3" s="17"/>
      <c r="E3" s="17"/>
      <c r="F3" s="17"/>
      <c r="G3" s="17"/>
      <c r="H3" s="17"/>
      <c r="I3" s="17"/>
      <c r="BC3" s="18"/>
      <c r="BG3" s="18"/>
      <c r="GJ3" s="16"/>
      <c r="GK3" s="16"/>
      <c r="GL3" s="16"/>
      <c r="GM3" s="16"/>
      <c r="GN3" s="16"/>
      <c r="GO3" s="16"/>
      <c r="GP3" s="16"/>
      <c r="GQ3" s="16"/>
      <c r="GR3" s="16"/>
      <c r="GS3" s="16"/>
      <c r="GT3" s="16"/>
      <c r="GU3" s="16"/>
      <c r="GV3" s="16"/>
      <c r="GW3" s="16"/>
    </row>
    <row r="4" spans="1:205" ht="15" x14ac:dyDescent="0.2">
      <c r="A4" s="17"/>
      <c r="B4" s="17"/>
      <c r="C4" s="17"/>
      <c r="D4" s="17"/>
      <c r="E4" s="17"/>
      <c r="F4" s="17"/>
      <c r="G4" s="17"/>
      <c r="H4" s="17"/>
      <c r="I4" s="17"/>
      <c r="BC4" s="18"/>
      <c r="BG4" s="18"/>
      <c r="GJ4" s="16"/>
      <c r="GK4" s="16"/>
      <c r="GL4" s="16"/>
      <c r="GM4" s="16"/>
      <c r="GN4" s="16"/>
      <c r="GO4" s="16"/>
      <c r="GP4" s="16"/>
      <c r="GQ4" s="16"/>
      <c r="GR4" s="16"/>
      <c r="GS4" s="16"/>
      <c r="GT4" s="16"/>
      <c r="GU4" s="16"/>
      <c r="GV4" s="16"/>
      <c r="GW4" s="16"/>
    </row>
    <row r="5" spans="1:205" ht="15" x14ac:dyDescent="0.2">
      <c r="A5" s="17"/>
      <c r="B5" s="17"/>
      <c r="C5" s="17"/>
      <c r="D5" s="17"/>
      <c r="E5" s="17"/>
      <c r="F5" s="17"/>
      <c r="G5" s="17"/>
      <c r="H5" s="17"/>
      <c r="I5" s="17"/>
      <c r="BC5" s="18"/>
      <c r="BG5" s="18"/>
      <c r="GJ5" s="16"/>
      <c r="GK5" s="16"/>
      <c r="GL5" s="16"/>
      <c r="GM5" s="16"/>
      <c r="GN5" s="16"/>
      <c r="GO5" s="16"/>
      <c r="GP5" s="16"/>
      <c r="GQ5" s="16"/>
      <c r="GR5" s="16"/>
      <c r="GS5" s="16"/>
      <c r="GT5" s="16"/>
      <c r="GU5" s="16"/>
      <c r="GV5" s="16"/>
      <c r="GW5" s="16"/>
    </row>
    <row r="6" spans="1:205" ht="15" x14ac:dyDescent="0.2">
      <c r="A6" s="17"/>
      <c r="B6" s="17"/>
      <c r="C6" s="17"/>
      <c r="D6" s="17"/>
      <c r="E6" s="17"/>
      <c r="F6" s="17"/>
      <c r="G6" s="17"/>
      <c r="H6" s="17"/>
      <c r="I6" s="17"/>
      <c r="BC6" s="18"/>
      <c r="BG6" s="18"/>
      <c r="GJ6" s="16"/>
      <c r="GK6" s="16"/>
      <c r="GL6" s="16"/>
      <c r="GM6" s="16"/>
      <c r="GN6" s="16"/>
      <c r="GO6" s="16"/>
      <c r="GP6" s="16"/>
      <c r="GQ6" s="16"/>
      <c r="GR6" s="16"/>
      <c r="GS6" s="16"/>
      <c r="GT6" s="16"/>
      <c r="GU6" s="16"/>
      <c r="GV6" s="16"/>
      <c r="GW6" s="16"/>
    </row>
    <row r="7" spans="1:205" ht="15" x14ac:dyDescent="0.2">
      <c r="A7" s="17"/>
      <c r="B7" s="17"/>
      <c r="C7" s="17"/>
      <c r="D7" s="17"/>
      <c r="E7" s="17"/>
      <c r="F7" s="17"/>
      <c r="G7" s="17"/>
      <c r="H7" s="17"/>
      <c r="I7" s="17"/>
      <c r="BC7" s="18"/>
      <c r="BG7" s="18"/>
      <c r="GJ7" s="16"/>
      <c r="GK7" s="16"/>
      <c r="GL7" s="16"/>
      <c r="GM7" s="16"/>
      <c r="GN7" s="16"/>
      <c r="GO7" s="16"/>
      <c r="GP7" s="16"/>
      <c r="GQ7" s="16"/>
      <c r="GR7" s="16"/>
      <c r="GS7" s="16"/>
      <c r="GT7" s="16"/>
      <c r="GU7" s="16"/>
      <c r="GV7" s="16"/>
      <c r="GW7" s="16"/>
    </row>
    <row r="8" spans="1:205" x14ac:dyDescent="0.15">
      <c r="AO8" s="19"/>
      <c r="BC8" s="20"/>
      <c r="BE8" s="21"/>
      <c r="BG8" s="22"/>
      <c r="BI8" s="21"/>
      <c r="EL8" s="19"/>
      <c r="GJ8" s="16"/>
      <c r="GK8" s="16"/>
      <c r="GL8" s="16"/>
      <c r="GM8" s="16"/>
      <c r="GN8" s="16"/>
      <c r="GO8" s="16"/>
      <c r="GP8" s="16"/>
      <c r="GQ8" s="16"/>
      <c r="GR8" s="16"/>
      <c r="GS8" s="16"/>
      <c r="GT8" s="16"/>
      <c r="GU8" s="16"/>
      <c r="GV8" s="16"/>
      <c r="GW8" s="16"/>
    </row>
    <row r="9" spans="1:205" ht="15.75" x14ac:dyDescent="0.25">
      <c r="A9" s="114" t="s">
        <v>311</v>
      </c>
      <c r="B9" s="406" t="s">
        <v>352</v>
      </c>
      <c r="C9" s="407"/>
      <c r="D9" s="407"/>
      <c r="E9" s="407"/>
      <c r="F9" s="407"/>
      <c r="R9" s="19"/>
      <c r="BC9" s="18"/>
      <c r="BE9" s="21"/>
      <c r="BG9" s="18"/>
      <c r="BI9" s="21"/>
      <c r="EM9" s="18"/>
      <c r="GC9" s="21"/>
      <c r="GE9" s="24"/>
      <c r="GG9" s="14"/>
      <c r="GI9" s="25"/>
      <c r="GJ9" s="16"/>
      <c r="GK9" s="16"/>
      <c r="GL9" s="16"/>
      <c r="GM9" s="16"/>
      <c r="GN9" s="16"/>
      <c r="GO9" s="16"/>
      <c r="GP9" s="16"/>
      <c r="GQ9" s="16"/>
      <c r="GR9" s="16"/>
      <c r="GS9" s="16"/>
      <c r="GT9" s="16"/>
      <c r="GU9" s="16"/>
      <c r="GV9" s="16"/>
      <c r="GW9" s="16"/>
    </row>
    <row r="10" spans="1:205" ht="15.75" x14ac:dyDescent="0.25">
      <c r="A10" s="114"/>
      <c r="B10" s="26"/>
      <c r="C10" s="26"/>
      <c r="R10" s="19"/>
      <c r="BC10" s="18"/>
      <c r="BE10" s="21"/>
      <c r="BG10" s="18"/>
      <c r="BI10" s="21"/>
      <c r="EM10" s="18"/>
      <c r="GC10" s="21"/>
      <c r="GE10" s="24"/>
      <c r="GG10" s="14"/>
      <c r="GI10" s="25"/>
      <c r="GJ10" s="16"/>
      <c r="GK10" s="16"/>
      <c r="GL10" s="16"/>
      <c r="GM10" s="16"/>
      <c r="GN10" s="16"/>
      <c r="GO10" s="16"/>
      <c r="GP10" s="16"/>
      <c r="GQ10" s="16"/>
      <c r="GR10" s="16"/>
      <c r="GS10" s="16"/>
      <c r="GT10" s="16"/>
      <c r="GU10" s="16"/>
      <c r="GV10" s="16"/>
      <c r="GW10" s="16"/>
    </row>
    <row r="11" spans="1:205" ht="16.5" thickBot="1" x14ac:dyDescent="0.3">
      <c r="A11" s="114" t="s">
        <v>312</v>
      </c>
      <c r="B11" s="23" t="s">
        <v>351</v>
      </c>
      <c r="C11" s="26"/>
      <c r="E11" s="408" t="s">
        <v>313</v>
      </c>
      <c r="F11" s="408"/>
      <c r="G11" s="408"/>
      <c r="J11" s="19"/>
      <c r="AO11" s="18"/>
      <c r="BC11" s="24"/>
      <c r="BE11" s="21"/>
      <c r="BG11" s="24"/>
      <c r="BI11" s="21"/>
      <c r="EM11" s="24"/>
      <c r="EP11" s="27"/>
      <c r="GC11" s="21"/>
      <c r="GE11" s="24"/>
      <c r="GG11" s="14"/>
      <c r="GI11" s="25"/>
      <c r="GJ11" s="16"/>
      <c r="GK11" s="16"/>
      <c r="GL11" s="16"/>
      <c r="GM11" s="16"/>
      <c r="GN11" s="16"/>
      <c r="GO11" s="16"/>
      <c r="GP11" s="16"/>
      <c r="GQ11" s="16"/>
      <c r="GR11" s="16"/>
      <c r="GS11" s="16"/>
      <c r="GT11" s="16"/>
      <c r="GU11" s="16"/>
      <c r="GV11" s="16"/>
      <c r="GW11" s="16"/>
    </row>
    <row r="12" spans="1:205" ht="12.75" customHeight="1" thickTop="1" x14ac:dyDescent="0.25">
      <c r="A12" s="114"/>
      <c r="E12" s="412" t="s">
        <v>314</v>
      </c>
      <c r="F12" s="410" t="s">
        <v>348</v>
      </c>
      <c r="G12" s="414" t="s">
        <v>349</v>
      </c>
      <c r="J12" s="19"/>
      <c r="AO12" s="18"/>
      <c r="AT12" s="14"/>
      <c r="BC12" s="24"/>
      <c r="BE12" s="25"/>
      <c r="BG12" s="24"/>
      <c r="BI12" s="28"/>
      <c r="EM12" s="22"/>
      <c r="GC12" s="21"/>
      <c r="GE12" s="24"/>
      <c r="GG12" s="14"/>
      <c r="GI12" s="25"/>
      <c r="GJ12" s="16"/>
      <c r="GK12" s="16"/>
      <c r="GL12" s="16"/>
      <c r="GM12" s="16"/>
      <c r="GN12" s="16"/>
      <c r="GO12" s="16"/>
      <c r="GP12" s="16"/>
      <c r="GQ12" s="16"/>
      <c r="GR12" s="16"/>
      <c r="GS12" s="16"/>
      <c r="GT12" s="16"/>
      <c r="GU12" s="16"/>
      <c r="GV12" s="16"/>
      <c r="GW12" s="16"/>
    </row>
    <row r="13" spans="1:205" ht="13.5" customHeight="1" thickBot="1" x14ac:dyDescent="0.3">
      <c r="A13" s="114"/>
      <c r="E13" s="413"/>
      <c r="F13" s="411"/>
      <c r="G13" s="415"/>
      <c r="J13" s="19"/>
      <c r="O13" s="28"/>
      <c r="AC13" s="24"/>
      <c r="AE13" s="22"/>
      <c r="AG13" s="22"/>
      <c r="AJ13" s="19"/>
      <c r="AT13" s="14"/>
      <c r="BC13" s="18"/>
      <c r="BE13" s="22"/>
      <c r="BG13" s="18"/>
      <c r="BI13" s="22"/>
      <c r="EF13" s="19"/>
      <c r="GC13" s="21"/>
      <c r="GE13" s="24"/>
      <c r="GG13" s="14"/>
      <c r="GI13" s="25"/>
      <c r="GJ13" s="16"/>
      <c r="GK13" s="16"/>
      <c r="GL13" s="16"/>
      <c r="GM13" s="16"/>
      <c r="GN13" s="16"/>
      <c r="GO13" s="16"/>
      <c r="GP13" s="16"/>
      <c r="GQ13" s="16"/>
      <c r="GR13" s="16"/>
      <c r="GS13" s="16"/>
      <c r="GT13" s="16"/>
      <c r="GU13" s="16"/>
      <c r="GV13" s="16"/>
      <c r="GW13" s="16"/>
    </row>
    <row r="14" spans="1:205" ht="16.5" thickTop="1" x14ac:dyDescent="0.25">
      <c r="A14" s="114" t="s">
        <v>315</v>
      </c>
      <c r="B14" s="406" t="s">
        <v>353</v>
      </c>
      <c r="C14" s="407"/>
      <c r="E14" s="78" t="s">
        <v>309</v>
      </c>
      <c r="F14" s="29"/>
      <c r="G14" s="79" t="s">
        <v>309</v>
      </c>
      <c r="H14" s="15" t="s">
        <v>309</v>
      </c>
      <c r="J14" s="19"/>
      <c r="O14" s="28"/>
      <c r="X14" s="25"/>
      <c r="AC14" s="22"/>
      <c r="AD14" s="28"/>
      <c r="AE14" s="22"/>
      <c r="AF14" s="28"/>
      <c r="AG14" s="22"/>
      <c r="AJ14" s="19"/>
      <c r="AT14" s="14"/>
      <c r="GC14" s="21"/>
      <c r="GE14" s="24"/>
      <c r="GG14" s="14"/>
      <c r="GI14" s="25"/>
      <c r="GJ14" s="16"/>
      <c r="GK14" s="16"/>
      <c r="GL14" s="16"/>
      <c r="GM14" s="16"/>
      <c r="GN14" s="16"/>
      <c r="GO14" s="16"/>
      <c r="GP14" s="16"/>
      <c r="GQ14" s="16"/>
      <c r="GR14" s="16"/>
      <c r="GS14" s="16"/>
      <c r="GT14" s="16"/>
      <c r="GU14" s="16"/>
      <c r="GV14" s="16"/>
      <c r="GW14" s="16"/>
    </row>
    <row r="15" spans="1:205" ht="16.5" x14ac:dyDescent="0.15">
      <c r="E15" s="118">
        <f>E29</f>
        <v>108573.44210806325</v>
      </c>
      <c r="F15" s="30" t="s">
        <v>337</v>
      </c>
      <c r="G15" s="123">
        <f>E29+E31</f>
        <v>137526.42770806325</v>
      </c>
      <c r="R15" s="19"/>
      <c r="X15" s="25"/>
      <c r="AC15" s="22"/>
      <c r="AD15" s="28"/>
      <c r="AE15" s="22"/>
      <c r="AF15" s="28"/>
      <c r="AG15" s="22"/>
      <c r="AJ15" s="19"/>
      <c r="AT15" s="14"/>
      <c r="EM15" s="18"/>
      <c r="GC15" s="21"/>
      <c r="GE15" s="24"/>
      <c r="GG15" s="14"/>
      <c r="GI15" s="25"/>
      <c r="GJ15" s="16"/>
      <c r="GK15" s="16"/>
      <c r="GL15" s="16"/>
      <c r="GM15" s="16"/>
      <c r="GN15" s="16"/>
      <c r="GO15" s="16"/>
      <c r="GP15" s="16"/>
      <c r="GQ15" s="16"/>
      <c r="GR15" s="16"/>
      <c r="GS15" s="16"/>
      <c r="GT15" s="16"/>
      <c r="GU15" s="16"/>
      <c r="GV15" s="16"/>
      <c r="GW15" s="16"/>
    </row>
    <row r="16" spans="1:205" ht="16.5" x14ac:dyDescent="0.15">
      <c r="E16" s="119">
        <f>E15/1728</f>
        <v>62.831853071795862</v>
      </c>
      <c r="F16" s="30" t="s">
        <v>338</v>
      </c>
      <c r="G16" s="124">
        <f>G15/1728</f>
        <v>79.587053071795864</v>
      </c>
      <c r="R16" s="19"/>
      <c r="S16" s="19"/>
      <c r="AC16" s="20"/>
      <c r="AD16" s="28"/>
      <c r="AE16" s="20"/>
      <c r="AF16" s="31"/>
      <c r="AG16" s="20"/>
      <c r="AO16" s="19"/>
      <c r="AQ16" s="19"/>
      <c r="AT16" s="14"/>
      <c r="BC16" s="25"/>
      <c r="BE16" s="22"/>
      <c r="BG16" s="25"/>
      <c r="BI16" s="22"/>
      <c r="EM16" s="24"/>
      <c r="EP16" s="19"/>
      <c r="GC16" s="21"/>
      <c r="GE16" s="24"/>
      <c r="GG16" s="14"/>
      <c r="GI16" s="25"/>
      <c r="GJ16" s="16"/>
      <c r="GK16" s="16"/>
      <c r="GL16" s="16"/>
      <c r="GM16" s="16"/>
      <c r="GN16" s="16"/>
      <c r="GO16" s="16"/>
      <c r="GP16" s="16"/>
      <c r="GQ16" s="16"/>
      <c r="GR16" s="16"/>
      <c r="GS16" s="16"/>
      <c r="GT16" s="16"/>
      <c r="GU16" s="16"/>
      <c r="GV16" s="16"/>
      <c r="GW16" s="16"/>
    </row>
    <row r="17" spans="1:240" ht="16.5" thickBot="1" x14ac:dyDescent="0.3">
      <c r="A17" s="114" t="s">
        <v>345</v>
      </c>
      <c r="B17" s="84">
        <f>12*4</f>
        <v>48</v>
      </c>
      <c r="E17" s="120">
        <f>E15*7.4805/1728</f>
        <v>470.01367690356892</v>
      </c>
      <c r="F17" s="80" t="s">
        <v>316</v>
      </c>
      <c r="G17" s="121">
        <f>G15*7.4805/1728</f>
        <v>595.35095050356892</v>
      </c>
      <c r="AO17" s="24"/>
      <c r="AQ17" s="24"/>
      <c r="AT17" s="14"/>
      <c r="BC17" s="32"/>
      <c r="BE17" s="22"/>
      <c r="BG17" s="32"/>
      <c r="BI17" s="21"/>
      <c r="GC17" s="21"/>
      <c r="GE17" s="24"/>
      <c r="GG17" s="14"/>
      <c r="GI17" s="25"/>
      <c r="GJ17" s="16"/>
      <c r="GK17" s="16"/>
      <c r="GL17" s="16"/>
      <c r="GM17" s="16"/>
      <c r="GN17" s="16"/>
      <c r="GO17" s="16"/>
      <c r="GP17" s="16"/>
      <c r="GQ17" s="16"/>
      <c r="GR17" s="16"/>
      <c r="GS17" s="16"/>
      <c r="GT17" s="16"/>
      <c r="GU17" s="16"/>
      <c r="GV17" s="16"/>
      <c r="GW17" s="16"/>
    </row>
    <row r="18" spans="1:240" ht="17.25" thickTop="1" thickBot="1" x14ac:dyDescent="0.3">
      <c r="A18" s="114" t="s">
        <v>346</v>
      </c>
      <c r="B18" s="85">
        <f>12*5</f>
        <v>60</v>
      </c>
      <c r="E18" s="76"/>
      <c r="F18" s="77"/>
      <c r="G18" s="76"/>
      <c r="K18" s="14"/>
      <c r="O18" s="14"/>
      <c r="T18" s="33"/>
      <c r="V18" s="33"/>
      <c r="AC18" s="34"/>
      <c r="AD18" s="35"/>
      <c r="AE18" s="36"/>
      <c r="AF18" s="35"/>
      <c r="AG18" s="36"/>
      <c r="AO18" s="18"/>
      <c r="AQ18" s="18"/>
      <c r="BA18" s="19"/>
      <c r="BC18" s="32"/>
      <c r="BE18" s="22"/>
      <c r="BG18" s="32"/>
      <c r="BI18" s="22"/>
      <c r="EM18" s="19"/>
      <c r="GC18" s="21"/>
      <c r="GE18" s="24"/>
      <c r="GG18" s="14"/>
      <c r="GI18" s="25"/>
      <c r="GJ18" s="16"/>
      <c r="GK18" s="16"/>
      <c r="GL18" s="16"/>
      <c r="GM18" s="16"/>
      <c r="GN18" s="16"/>
      <c r="GO18" s="16"/>
      <c r="GP18" s="16"/>
      <c r="GQ18" s="16"/>
      <c r="GR18" s="16"/>
      <c r="GS18" s="16"/>
      <c r="GT18" s="16"/>
      <c r="GU18" s="16"/>
      <c r="GV18" s="16"/>
      <c r="GW18" s="16"/>
    </row>
    <row r="19" spans="1:240" ht="17.25" thickTop="1" thickBot="1" x14ac:dyDescent="0.3">
      <c r="A19" s="114" t="s">
        <v>347</v>
      </c>
      <c r="B19" s="84">
        <f>B17</f>
        <v>48</v>
      </c>
      <c r="E19" s="221" t="s">
        <v>317</v>
      </c>
      <c r="F19" s="73" t="s">
        <v>348</v>
      </c>
      <c r="G19" s="222" t="s">
        <v>318</v>
      </c>
      <c r="Q19" s="25"/>
      <c r="AW19" s="19"/>
      <c r="BC19" s="25"/>
      <c r="BE19" s="24"/>
      <c r="BG19" s="32"/>
      <c r="BI19" s="22"/>
      <c r="CZ19" s="19"/>
      <c r="EB19" s="19"/>
      <c r="ED19" s="19"/>
      <c r="EF19" s="19"/>
      <c r="EH19" s="19"/>
      <c r="GC19" s="21"/>
      <c r="GE19" s="24"/>
      <c r="GG19" s="14"/>
      <c r="GI19" s="25"/>
      <c r="GJ19" s="16"/>
      <c r="GK19" s="16"/>
      <c r="GL19" s="16"/>
      <c r="GM19" s="16"/>
      <c r="GN19" s="16"/>
      <c r="GO19" s="16"/>
      <c r="GP19" s="16"/>
      <c r="GQ19" s="16"/>
      <c r="GR19" s="16"/>
      <c r="GS19" s="16"/>
      <c r="GT19" s="16"/>
      <c r="GU19" s="16"/>
      <c r="GV19" s="16"/>
      <c r="GW19" s="16"/>
    </row>
    <row r="20" spans="1:240" ht="16.5" thickTop="1" x14ac:dyDescent="0.25">
      <c r="A20" s="114" t="s">
        <v>319</v>
      </c>
      <c r="B20" s="75">
        <f>B18/B17</f>
        <v>1.25</v>
      </c>
      <c r="C20" s="37"/>
      <c r="E20" s="78" t="s">
        <v>309</v>
      </c>
      <c r="F20" s="29"/>
      <c r="G20" s="79" t="s">
        <v>309</v>
      </c>
      <c r="K20" s="14"/>
      <c r="N20" s="19"/>
      <c r="Q20" s="25"/>
      <c r="R20" s="25"/>
      <c r="S20" s="25"/>
      <c r="T20" s="25"/>
      <c r="U20" s="25"/>
      <c r="V20" s="25"/>
      <c r="W20" s="25"/>
      <c r="BC20" s="25"/>
      <c r="BE20" s="25"/>
      <c r="BG20" s="25"/>
      <c r="BI20" s="22"/>
      <c r="EB20" s="19"/>
      <c r="ED20" s="19"/>
      <c r="EF20" s="19"/>
      <c r="EH20" s="19"/>
      <c r="EM20" s="24"/>
      <c r="GC20" s="21"/>
      <c r="GE20" s="24"/>
      <c r="GG20" s="14"/>
      <c r="GI20" s="25"/>
      <c r="GJ20" s="16"/>
      <c r="GK20" s="16"/>
      <c r="GL20" s="16"/>
      <c r="GM20" s="16"/>
      <c r="GN20" s="16"/>
      <c r="GO20" s="16"/>
      <c r="GP20" s="16"/>
      <c r="GQ20" s="16"/>
      <c r="GR20" s="16"/>
      <c r="GS20" s="16"/>
      <c r="GT20" s="16"/>
      <c r="GU20" s="16"/>
      <c r="GV20" s="16"/>
      <c r="GW20" s="16"/>
    </row>
    <row r="21" spans="1:240" ht="16.5" x14ac:dyDescent="0.25">
      <c r="A21" s="114" t="s">
        <v>320</v>
      </c>
      <c r="B21" s="74">
        <f>B19/B17</f>
        <v>1</v>
      </c>
      <c r="C21" s="38"/>
      <c r="E21" s="118">
        <f>E29+E32</f>
        <v>166479.41330806323</v>
      </c>
      <c r="F21" s="122" t="s">
        <v>337</v>
      </c>
      <c r="G21" s="123">
        <f>E29+E30</f>
        <v>120488.79007606325</v>
      </c>
      <c r="Q21" s="21"/>
      <c r="R21" s="24"/>
      <c r="S21" s="22"/>
      <c r="T21" s="22"/>
      <c r="U21" s="31"/>
      <c r="V21" s="28"/>
      <c r="W21" s="25"/>
      <c r="AC21" s="19"/>
      <c r="AO21" s="14"/>
      <c r="AQ21" s="14"/>
      <c r="BC21" s="25"/>
      <c r="BE21" s="25"/>
      <c r="BG21" s="14"/>
      <c r="BI21" s="22"/>
      <c r="EI21" s="15" t="s">
        <v>309</v>
      </c>
      <c r="GC21" s="21"/>
      <c r="GE21" s="24"/>
      <c r="GG21" s="14"/>
      <c r="GI21" s="25"/>
      <c r="GJ21" s="16"/>
      <c r="GK21" s="16"/>
      <c r="GL21" s="16"/>
      <c r="GM21" s="16"/>
      <c r="GN21" s="16"/>
      <c r="GO21" s="16"/>
      <c r="GP21" s="16"/>
      <c r="GQ21" s="16"/>
      <c r="GR21" s="16"/>
      <c r="GS21" s="16"/>
      <c r="GT21" s="16"/>
      <c r="GU21" s="16"/>
      <c r="GV21" s="16"/>
      <c r="GW21" s="16"/>
    </row>
    <row r="22" spans="1:240" ht="16.5" x14ac:dyDescent="0.15">
      <c r="A22" s="39"/>
      <c r="B22" s="40"/>
      <c r="C22" s="38"/>
      <c r="E22" s="119">
        <f>E21/1728</f>
        <v>96.342253071795852</v>
      </c>
      <c r="F22" s="122" t="s">
        <v>338</v>
      </c>
      <c r="G22" s="124">
        <f>G21/1728</f>
        <v>69.727309071795858</v>
      </c>
      <c r="K22" s="14"/>
      <c r="O22" s="14"/>
      <c r="AC22" s="19"/>
      <c r="AP22" s="41"/>
      <c r="AT22" s="14"/>
      <c r="BC22" s="25"/>
      <c r="BE22" s="28"/>
      <c r="BG22" s="25"/>
      <c r="BI22" s="22"/>
      <c r="EI22" s="15" t="s">
        <v>309</v>
      </c>
      <c r="EM22" s="42"/>
      <c r="GC22" s="21"/>
      <c r="GE22" s="24"/>
      <c r="GG22" s="14"/>
      <c r="GI22" s="25"/>
      <c r="GJ22" s="16"/>
      <c r="GK22" s="16"/>
      <c r="GL22" s="16"/>
      <c r="GM22" s="16"/>
      <c r="GN22" s="16"/>
      <c r="GO22" s="16"/>
      <c r="GP22" s="16"/>
      <c r="GQ22" s="16"/>
      <c r="GR22" s="16"/>
      <c r="GS22" s="16"/>
      <c r="GT22" s="16"/>
      <c r="GU22" s="16"/>
      <c r="GV22" s="16"/>
      <c r="GW22" s="16"/>
    </row>
    <row r="23" spans="1:240" ht="12.75" thickBot="1" x14ac:dyDescent="0.2">
      <c r="A23" s="39"/>
      <c r="B23" s="43"/>
      <c r="C23" s="38"/>
      <c r="E23" s="120">
        <f>E21*0.004329</f>
        <v>720.6893802106058</v>
      </c>
      <c r="F23" s="80" t="s">
        <v>316</v>
      </c>
      <c r="G23" s="121">
        <f>G21*0.004329</f>
        <v>521.5959722392779</v>
      </c>
      <c r="AC23" s="19"/>
      <c r="AP23" s="14"/>
      <c r="AT23" s="14"/>
      <c r="BC23" s="31"/>
      <c r="BE23" s="22"/>
      <c r="BG23" s="14"/>
      <c r="BI23" s="22"/>
      <c r="EF23" s="19"/>
      <c r="EM23" s="28"/>
      <c r="GA23" s="19"/>
      <c r="GC23" s="21"/>
      <c r="GE23" s="24"/>
      <c r="GG23" s="18"/>
      <c r="GI23" s="25"/>
      <c r="GJ23" s="16"/>
      <c r="GK23" s="16"/>
      <c r="GL23" s="16"/>
      <c r="GM23" s="16"/>
      <c r="GN23" s="16"/>
      <c r="GO23" s="16"/>
      <c r="GP23" s="16"/>
      <c r="GQ23" s="16"/>
      <c r="GR23" s="16"/>
      <c r="GS23" s="16"/>
      <c r="GT23" s="16"/>
      <c r="GU23" s="16"/>
      <c r="GV23" s="16"/>
      <c r="GW23" s="16"/>
    </row>
    <row r="24" spans="1:240" ht="12.75" thickTop="1" x14ac:dyDescent="0.15">
      <c r="A24" s="39"/>
      <c r="B24" s="43"/>
      <c r="C24" s="38"/>
      <c r="K24" s="14"/>
      <c r="N24" s="19"/>
      <c r="AC24" s="19"/>
      <c r="AP24" s="28"/>
      <c r="AT24" s="14"/>
      <c r="BC24" s="25"/>
      <c r="BE24" s="21"/>
      <c r="BG24" s="25"/>
      <c r="BI24" s="22"/>
      <c r="EF24" s="28"/>
      <c r="EM24" s="28"/>
      <c r="GC24" s="32"/>
      <c r="GE24" s="32"/>
      <c r="GG24" s="32"/>
      <c r="GI24" s="19"/>
      <c r="GJ24" s="16"/>
      <c r="GK24" s="16"/>
      <c r="GL24" s="16"/>
      <c r="GM24" s="16"/>
      <c r="GN24" s="16"/>
      <c r="GO24" s="16"/>
      <c r="GP24" s="16"/>
      <c r="GQ24" s="16"/>
      <c r="GR24" s="16"/>
      <c r="GS24" s="16"/>
      <c r="GT24" s="16"/>
      <c r="GU24" s="16"/>
      <c r="GV24" s="16"/>
      <c r="GW24" s="16"/>
    </row>
    <row r="25" spans="1:240" x14ac:dyDescent="0.15">
      <c r="A25" s="39"/>
      <c r="B25" s="43"/>
      <c r="C25" s="38"/>
      <c r="AP25" s="14"/>
      <c r="AT25" s="14"/>
      <c r="BC25" s="25"/>
      <c r="BE25" s="28"/>
      <c r="BG25" s="25"/>
      <c r="BI25" s="24"/>
      <c r="EF25" s="31"/>
      <c r="GE25" s="25"/>
      <c r="GJ25" s="16"/>
      <c r="GK25" s="16"/>
      <c r="GL25" s="16"/>
      <c r="GM25" s="16"/>
      <c r="GN25" s="16"/>
      <c r="GO25" s="16"/>
      <c r="GP25" s="16"/>
      <c r="GQ25" s="16"/>
      <c r="GR25" s="16"/>
      <c r="GS25" s="16"/>
      <c r="GT25" s="16"/>
      <c r="GU25" s="16"/>
      <c r="GV25" s="16"/>
      <c r="GW25" s="16"/>
    </row>
    <row r="26" spans="1:240" ht="15.75" x14ac:dyDescent="0.25">
      <c r="A26" s="117" t="s">
        <v>321</v>
      </c>
      <c r="B26" s="116" t="s">
        <v>322</v>
      </c>
      <c r="C26" s="44" t="s">
        <v>323</v>
      </c>
      <c r="E26" s="81">
        <f>B17/2</f>
        <v>24</v>
      </c>
      <c r="F26" s="115" t="s">
        <v>324</v>
      </c>
      <c r="G26" s="29"/>
      <c r="R26" s="19"/>
      <c r="BC26" s="25"/>
      <c r="BG26" s="25"/>
      <c r="BI26" s="24"/>
      <c r="GI26" s="14"/>
      <c r="GJ26" s="16"/>
      <c r="GK26" s="16"/>
      <c r="GL26" s="16"/>
      <c r="GM26" s="16"/>
      <c r="GN26" s="16"/>
      <c r="GO26" s="16"/>
      <c r="GP26" s="16"/>
      <c r="GQ26" s="16"/>
      <c r="GR26" s="16"/>
      <c r="GS26" s="16"/>
      <c r="GT26" s="16"/>
      <c r="GU26" s="16"/>
      <c r="GV26" s="16"/>
      <c r="GW26" s="16"/>
      <c r="IF26" s="15" t="s">
        <v>309</v>
      </c>
    </row>
    <row r="27" spans="1:240" ht="16.5" thickBot="1" x14ac:dyDescent="0.3">
      <c r="A27" s="117" t="s">
        <v>325</v>
      </c>
      <c r="B27" s="116" t="s">
        <v>326</v>
      </c>
      <c r="C27" s="45" t="s">
        <v>323</v>
      </c>
      <c r="E27" s="82">
        <f>2*(B17*B19-B19^2)^0.5</f>
        <v>0</v>
      </c>
      <c r="F27" s="115" t="s">
        <v>324</v>
      </c>
      <c r="G27" s="219"/>
      <c r="AC27" s="24"/>
      <c r="BC27" s="25"/>
      <c r="BG27" s="25"/>
      <c r="BI27" s="24"/>
      <c r="GJ27" s="16"/>
      <c r="GK27" s="16"/>
      <c r="GL27" s="16"/>
      <c r="GM27" s="16"/>
      <c r="GN27" s="16"/>
      <c r="GO27" s="16"/>
      <c r="GP27" s="16"/>
      <c r="GQ27" s="16"/>
      <c r="GR27" s="16"/>
      <c r="GS27" s="16"/>
      <c r="GT27" s="16"/>
      <c r="GU27" s="16"/>
      <c r="GV27" s="16"/>
      <c r="GW27" s="16"/>
    </row>
    <row r="28" spans="1:240" ht="19.5" thickBot="1" x14ac:dyDescent="0.3">
      <c r="A28" s="117" t="s">
        <v>327</v>
      </c>
      <c r="B28" s="203" t="s">
        <v>399</v>
      </c>
      <c r="C28" s="45" t="s">
        <v>323</v>
      </c>
      <c r="E28" s="83">
        <f>(E26)^2*ACOS((E26-B19)/E26)-(E26-B19)*(2*E26*B19-B19^2)^0.5</f>
        <v>1809.5573684677208</v>
      </c>
      <c r="F28" s="115" t="s">
        <v>400</v>
      </c>
      <c r="G28" s="220" t="s">
        <v>350</v>
      </c>
      <c r="AC28" s="22"/>
      <c r="BC28" s="25"/>
      <c r="BG28" s="31"/>
      <c r="BI28" s="24"/>
      <c r="GJ28" s="16"/>
      <c r="GK28" s="16"/>
      <c r="GL28" s="16"/>
      <c r="GM28" s="16"/>
      <c r="GN28" s="16"/>
      <c r="GO28" s="16"/>
      <c r="GP28" s="16"/>
      <c r="GQ28" s="16"/>
      <c r="GR28" s="16"/>
      <c r="GS28" s="16"/>
      <c r="GT28" s="16"/>
      <c r="GU28" s="16"/>
      <c r="GV28" s="16"/>
      <c r="GW28" s="16"/>
    </row>
    <row r="29" spans="1:240" ht="18.75" x14ac:dyDescent="0.25">
      <c r="A29" s="117" t="s">
        <v>328</v>
      </c>
      <c r="B29" s="203" t="s">
        <v>398</v>
      </c>
      <c r="C29" s="46" t="s">
        <v>323</v>
      </c>
      <c r="E29" s="83">
        <f>E28*B18</f>
        <v>108573.44210806325</v>
      </c>
      <c r="F29" s="115" t="s">
        <v>401</v>
      </c>
      <c r="G29" s="125">
        <f>E29*7.4805/1728</f>
        <v>470.01367690356892</v>
      </c>
      <c r="AC29" s="22"/>
      <c r="AO29" s="19"/>
      <c r="BC29" s="25"/>
      <c r="BG29" s="25"/>
      <c r="BI29" s="25"/>
      <c r="GJ29" s="16"/>
      <c r="GK29" s="16"/>
      <c r="GL29" s="16"/>
      <c r="GM29" s="16"/>
      <c r="GN29" s="16"/>
      <c r="GO29" s="16"/>
      <c r="GP29" s="16"/>
      <c r="GQ29" s="16"/>
      <c r="GR29" s="16"/>
      <c r="GS29" s="16"/>
      <c r="GT29" s="16"/>
      <c r="GU29" s="16"/>
      <c r="GV29" s="16"/>
      <c r="GW29" s="16"/>
    </row>
    <row r="30" spans="1:240" ht="18.75" x14ac:dyDescent="0.25">
      <c r="A30" s="117" t="s">
        <v>329</v>
      </c>
      <c r="B30" s="116" t="s">
        <v>397</v>
      </c>
      <c r="C30" s="47" t="s">
        <v>323</v>
      </c>
      <c r="E30" s="83">
        <f>0.215483*B19^2*(1.5*B17-B19)</f>
        <v>11915.347968000002</v>
      </c>
      <c r="F30" s="115" t="s">
        <v>401</v>
      </c>
      <c r="G30" s="125">
        <f>E30*7.4805/1728</f>
        <v>51.581458608000005</v>
      </c>
      <c r="AC30" s="19"/>
      <c r="AO30" s="19"/>
      <c r="BG30" s="25"/>
      <c r="BI30" s="25"/>
    </row>
    <row r="31" spans="1:240" ht="18.75" x14ac:dyDescent="0.25">
      <c r="A31" s="117" t="s">
        <v>330</v>
      </c>
      <c r="B31" s="116" t="s">
        <v>339</v>
      </c>
      <c r="C31" s="47" t="s">
        <v>323</v>
      </c>
      <c r="E31" s="83">
        <f>0.5236*B19^2*(1.5*B17-B19)</f>
        <v>28952.9856</v>
      </c>
      <c r="F31" s="115" t="s">
        <v>401</v>
      </c>
      <c r="G31" s="125">
        <f>E31*7.4805/1728</f>
        <v>125.3372736</v>
      </c>
      <c r="AO31" s="18"/>
      <c r="BG31" s="25"/>
      <c r="BI31" s="25"/>
      <c r="ED31" s="19"/>
    </row>
    <row r="32" spans="1:240" ht="19.5" thickBot="1" x14ac:dyDescent="0.3">
      <c r="A32" s="117" t="s">
        <v>331</v>
      </c>
      <c r="B32" s="116" t="s">
        <v>396</v>
      </c>
      <c r="C32" s="48" t="s">
        <v>323</v>
      </c>
      <c r="E32" s="83">
        <f>2*E31</f>
        <v>57905.9712</v>
      </c>
      <c r="F32" s="115" t="s">
        <v>401</v>
      </c>
      <c r="G32" s="126">
        <f>E32*7.4805/1728</f>
        <v>250.67454720000001</v>
      </c>
      <c r="AC32" s="18"/>
      <c r="AJ32" s="18"/>
      <c r="AO32" s="18"/>
      <c r="BG32" s="25"/>
      <c r="BI32" s="25"/>
      <c r="ED32" s="20"/>
    </row>
    <row r="33" spans="4:134" x14ac:dyDescent="0.15">
      <c r="AC33" s="18"/>
      <c r="AJ33" s="18"/>
      <c r="BG33" s="25"/>
      <c r="BI33" s="25"/>
    </row>
    <row r="34" spans="4:134" x14ac:dyDescent="0.15">
      <c r="E34" s="49"/>
      <c r="L34" s="22"/>
      <c r="S34" s="19"/>
      <c r="X34" s="25"/>
      <c r="AC34" s="18"/>
      <c r="AJ34" s="18"/>
      <c r="BG34" s="25"/>
      <c r="BI34" s="28"/>
      <c r="ED34" s="35"/>
    </row>
    <row r="35" spans="4:134" x14ac:dyDescent="0.15">
      <c r="L35" s="22"/>
      <c r="U35" s="18"/>
      <c r="AC35" s="14"/>
      <c r="AJ35" s="22"/>
      <c r="BG35" s="25"/>
      <c r="BI35" s="28"/>
    </row>
    <row r="36" spans="4:134" x14ac:dyDescent="0.15">
      <c r="E36" s="14"/>
      <c r="L36" s="19"/>
      <c r="AJ36" s="19"/>
      <c r="AO36" s="19"/>
      <c r="AQ36" s="19"/>
      <c r="BG36" s="25"/>
      <c r="BI36" s="28"/>
      <c r="ED36" s="25"/>
    </row>
    <row r="37" spans="4:134" x14ac:dyDescent="0.15">
      <c r="L37" s="24"/>
      <c r="T37" s="33"/>
      <c r="V37" s="33"/>
      <c r="AC37" s="18"/>
      <c r="AJ37" s="19"/>
      <c r="AO37" s="24"/>
      <c r="AQ37" s="24"/>
      <c r="BG37" s="28"/>
      <c r="ED37" s="27"/>
    </row>
    <row r="38" spans="4:134" x14ac:dyDescent="0.15">
      <c r="L38" s="22"/>
      <c r="Q38" s="25"/>
      <c r="AO38" s="18"/>
      <c r="AQ38" s="18"/>
      <c r="BG38" s="28"/>
      <c r="BI38" s="28"/>
      <c r="ED38" s="27"/>
    </row>
    <row r="39" spans="4:134" x14ac:dyDescent="0.15">
      <c r="L39" s="22"/>
      <c r="Q39" s="25"/>
      <c r="R39" s="25"/>
      <c r="S39" s="25"/>
      <c r="T39" s="25"/>
      <c r="U39" s="25"/>
      <c r="V39" s="25"/>
      <c r="W39" s="25"/>
      <c r="BG39" s="28"/>
    </row>
    <row r="40" spans="4:134" x14ac:dyDescent="0.15">
      <c r="L40" s="22"/>
      <c r="Q40" s="21"/>
      <c r="R40" s="24"/>
      <c r="S40" s="22"/>
      <c r="T40" s="22"/>
      <c r="U40" s="31"/>
      <c r="V40" s="28"/>
      <c r="W40" s="25"/>
      <c r="BG40" s="28"/>
    </row>
    <row r="41" spans="4:134" x14ac:dyDescent="0.15">
      <c r="E41" s="16"/>
      <c r="L41" s="22"/>
      <c r="AO41" s="14"/>
      <c r="AQ41" s="14"/>
    </row>
    <row r="42" spans="4:134" x14ac:dyDescent="0.15">
      <c r="D42" s="28"/>
      <c r="L42" s="22"/>
      <c r="AC42" s="31"/>
      <c r="AE42" s="31"/>
      <c r="AG42" s="31"/>
      <c r="AI42" s="31"/>
      <c r="AP42" s="41"/>
    </row>
    <row r="43" spans="4:134" x14ac:dyDescent="0.15">
      <c r="E43" s="16"/>
      <c r="T43" s="24"/>
      <c r="V43" s="25"/>
      <c r="AP43" s="14"/>
    </row>
    <row r="44" spans="4:134" x14ac:dyDescent="0.15">
      <c r="J44" s="14"/>
      <c r="O44" s="24"/>
      <c r="AP44" s="28"/>
    </row>
    <row r="45" spans="4:134" x14ac:dyDescent="0.15">
      <c r="J45" s="14"/>
      <c r="AP45" s="14"/>
    </row>
    <row r="50" spans="2:52" x14ac:dyDescent="0.15">
      <c r="C50" s="19"/>
      <c r="D50" s="19"/>
      <c r="E50" s="86"/>
      <c r="F50" s="19"/>
    </row>
    <row r="51" spans="2:52" x14ac:dyDescent="0.15">
      <c r="AC51" s="28"/>
    </row>
    <row r="52" spans="2:52" x14ac:dyDescent="0.15">
      <c r="B52" s="19"/>
      <c r="F52" s="19"/>
      <c r="AE52" s="28"/>
    </row>
    <row r="53" spans="2:52" x14ac:dyDescent="0.15">
      <c r="F53" s="19"/>
      <c r="I53" s="39"/>
      <c r="S53" s="19"/>
      <c r="AG53" s="28"/>
    </row>
    <row r="54" spans="2:52" x14ac:dyDescent="0.15">
      <c r="B54" s="19"/>
      <c r="AI54" s="28"/>
    </row>
    <row r="55" spans="2:52" x14ac:dyDescent="0.15">
      <c r="F55" s="19"/>
      <c r="AI55" s="28"/>
    </row>
    <row r="56" spans="2:52" x14ac:dyDescent="0.15">
      <c r="B56" s="19"/>
      <c r="F56" s="19"/>
      <c r="O56" s="21"/>
      <c r="AG56" s="28"/>
    </row>
    <row r="57" spans="2:52" x14ac:dyDescent="0.15">
      <c r="Q57" s="25"/>
      <c r="V57" s="25"/>
      <c r="AG57" s="28"/>
      <c r="AV57" s="32"/>
      <c r="AX57" s="21"/>
    </row>
    <row r="58" spans="2:52" x14ac:dyDescent="0.15">
      <c r="M58" s="14"/>
      <c r="Q58" s="25"/>
      <c r="R58" s="25"/>
      <c r="S58" s="25"/>
      <c r="T58" s="25"/>
      <c r="V58" s="25"/>
      <c r="W58" s="25"/>
      <c r="X58" s="25"/>
      <c r="AC58" s="28"/>
      <c r="AE58" s="28"/>
    </row>
    <row r="59" spans="2:52" x14ac:dyDescent="0.15">
      <c r="Q59" s="19"/>
      <c r="R59" s="24"/>
      <c r="S59" s="22"/>
      <c r="T59" s="24"/>
      <c r="V59" s="19"/>
      <c r="W59" s="22"/>
      <c r="X59" s="22"/>
      <c r="AC59" s="28"/>
      <c r="AE59" s="28"/>
      <c r="AY59" s="18"/>
    </row>
    <row r="60" spans="2:52" x14ac:dyDescent="0.15">
      <c r="AY60" s="21"/>
    </row>
    <row r="61" spans="2:52" x14ac:dyDescent="0.15">
      <c r="O61" s="22"/>
      <c r="S61" s="18"/>
      <c r="T61" s="33"/>
      <c r="V61" s="33"/>
      <c r="AY61" s="21"/>
    </row>
    <row r="62" spans="2:52" x14ac:dyDescent="0.15">
      <c r="AZ62" s="19"/>
    </row>
    <row r="63" spans="2:52" x14ac:dyDescent="0.15">
      <c r="T63" s="25"/>
      <c r="U63" s="25"/>
      <c r="V63" s="25"/>
      <c r="W63" s="25"/>
      <c r="X63" s="25"/>
      <c r="AC63" s="31"/>
      <c r="AE63" s="31"/>
      <c r="AG63" s="31"/>
    </row>
    <row r="64" spans="2:52" x14ac:dyDescent="0.15">
      <c r="T64" s="22"/>
      <c r="U64" s="31"/>
      <c r="V64" s="25"/>
      <c r="W64" s="25"/>
      <c r="X64" s="14"/>
      <c r="AA64" s="19"/>
      <c r="AY64" s="32"/>
    </row>
    <row r="65" spans="1:53" x14ac:dyDescent="0.15">
      <c r="K65" s="25"/>
      <c r="N65" s="25"/>
      <c r="AA65" s="19"/>
      <c r="AY65" s="32"/>
    </row>
    <row r="66" spans="1:53" x14ac:dyDescent="0.15">
      <c r="AC66" s="25"/>
      <c r="AD66" s="25"/>
      <c r="AE66" s="25"/>
      <c r="AF66" s="25"/>
      <c r="AG66" s="25"/>
      <c r="AH66" s="25"/>
      <c r="AI66" s="25"/>
      <c r="AY66" s="32"/>
    </row>
    <row r="67" spans="1:53" x14ac:dyDescent="0.15">
      <c r="AC67" s="25"/>
      <c r="AD67" s="25"/>
      <c r="AE67" s="25"/>
      <c r="AF67" s="25"/>
      <c r="AG67" s="25"/>
      <c r="AH67" s="25"/>
      <c r="AI67" s="25"/>
    </row>
    <row r="70" spans="1:53" x14ac:dyDescent="0.15">
      <c r="N70" s="18"/>
    </row>
    <row r="71" spans="1:53" x14ac:dyDescent="0.15">
      <c r="N71" s="22"/>
      <c r="U71" s="25"/>
      <c r="AC71" s="25"/>
      <c r="AE71" s="25"/>
      <c r="AG71" s="25"/>
      <c r="AI71" s="25"/>
    </row>
    <row r="72" spans="1:53" x14ac:dyDescent="0.15">
      <c r="N72" s="22"/>
      <c r="U72" s="14"/>
      <c r="AC72" s="25"/>
      <c r="AE72" s="25"/>
      <c r="AG72" s="25"/>
    </row>
    <row r="73" spans="1:53" x14ac:dyDescent="0.15">
      <c r="A73" s="14"/>
      <c r="B73" s="14"/>
      <c r="C73" s="19"/>
      <c r="D73" s="14"/>
      <c r="E73" s="14"/>
      <c r="F73" s="14"/>
      <c r="G73" s="35"/>
      <c r="H73" s="31"/>
      <c r="N73" s="18"/>
    </row>
    <row r="74" spans="1:53" x14ac:dyDescent="0.15">
      <c r="N74" s="22"/>
      <c r="U74" s="19"/>
      <c r="AZ74" s="26" t="s">
        <v>309</v>
      </c>
      <c r="BA74" s="26" t="s">
        <v>309</v>
      </c>
    </row>
    <row r="75" spans="1:53" x14ac:dyDescent="0.15">
      <c r="N75" s="22"/>
    </row>
    <row r="76" spans="1:53" x14ac:dyDescent="0.15">
      <c r="N76" s="22"/>
    </row>
    <row r="77" spans="1:53" x14ac:dyDescent="0.15">
      <c r="N77" s="22"/>
    </row>
    <row r="78" spans="1:53" x14ac:dyDescent="0.15">
      <c r="N78" s="22"/>
    </row>
    <row r="79" spans="1:53" x14ac:dyDescent="0.15">
      <c r="W79" s="19"/>
    </row>
    <row r="80" spans="1:53" x14ac:dyDescent="0.15">
      <c r="A80" s="25"/>
      <c r="B80" s="25"/>
      <c r="D80" s="14"/>
      <c r="E80" s="14"/>
      <c r="F80" s="14"/>
      <c r="G80" s="35"/>
      <c r="H80" s="35"/>
      <c r="M80" s="32"/>
      <c r="U80" s="25"/>
    </row>
    <row r="81" spans="1:23" x14ac:dyDescent="0.15">
      <c r="U81" s="25"/>
      <c r="W81" s="25"/>
    </row>
    <row r="82" spans="1:23" x14ac:dyDescent="0.15">
      <c r="N82" s="14"/>
    </row>
    <row r="83" spans="1:23" x14ac:dyDescent="0.15">
      <c r="N83" s="14"/>
      <c r="U83" s="19"/>
      <c r="V83" s="19"/>
      <c r="W83" s="24"/>
    </row>
    <row r="84" spans="1:23" x14ac:dyDescent="0.15">
      <c r="N84" s="14"/>
      <c r="Q84" s="24"/>
      <c r="R84" s="24"/>
      <c r="U84" s="25"/>
      <c r="W84" s="25"/>
    </row>
    <row r="86" spans="1:23" x14ac:dyDescent="0.15">
      <c r="G86" s="28"/>
      <c r="H86" s="31"/>
    </row>
    <row r="89" spans="1:23" x14ac:dyDescent="0.15">
      <c r="R89" s="28"/>
    </row>
    <row r="91" spans="1:23" x14ac:dyDescent="0.15">
      <c r="N91" s="22"/>
    </row>
    <row r="92" spans="1:23" x14ac:dyDescent="0.15">
      <c r="N92" s="19"/>
    </row>
    <row r="93" spans="1:23" x14ac:dyDescent="0.15">
      <c r="A93" s="18"/>
      <c r="B93" s="14"/>
      <c r="C93" s="18"/>
      <c r="E93" s="14"/>
      <c r="F93" s="35"/>
      <c r="G93" s="35"/>
      <c r="N93" s="19"/>
      <c r="S93" s="19"/>
    </row>
    <row r="94" spans="1:23" x14ac:dyDescent="0.15">
      <c r="N94" s="19"/>
      <c r="S94" s="18"/>
    </row>
    <row r="95" spans="1:23" x14ac:dyDescent="0.15">
      <c r="N95" s="18"/>
      <c r="R95" s="19"/>
      <c r="T95" s="18"/>
    </row>
    <row r="96" spans="1:23" x14ac:dyDescent="0.15">
      <c r="N96" s="22"/>
      <c r="R96" s="19"/>
      <c r="T96" s="18"/>
      <c r="U96" s="25"/>
    </row>
    <row r="97" spans="1:252" x14ac:dyDescent="0.15">
      <c r="N97" s="22"/>
      <c r="U97" s="25"/>
      <c r="V97" s="25"/>
      <c r="W97" s="25"/>
      <c r="X97" s="25"/>
    </row>
    <row r="98" spans="1:252" x14ac:dyDescent="0.15">
      <c r="N98" s="22"/>
      <c r="U98" s="14"/>
      <c r="V98" s="25"/>
      <c r="W98" s="28"/>
      <c r="X98" s="25"/>
    </row>
    <row r="99" spans="1:252" x14ac:dyDescent="0.15">
      <c r="N99" s="22"/>
    </row>
    <row r="100" spans="1:252" x14ac:dyDescent="0.15">
      <c r="A100" s="25"/>
      <c r="B100" s="25"/>
      <c r="C100" s="14"/>
      <c r="E100" s="14"/>
      <c r="F100" s="35"/>
      <c r="G100" s="35"/>
      <c r="N100" s="22"/>
    </row>
    <row r="101" spans="1:252" x14ac:dyDescent="0.15">
      <c r="Q101" s="33"/>
      <c r="S101" s="33"/>
    </row>
    <row r="102" spans="1:252" x14ac:dyDescent="0.15">
      <c r="V102" s="25"/>
    </row>
    <row r="103" spans="1:252" x14ac:dyDescent="0.15">
      <c r="Q103" s="25"/>
      <c r="R103" s="25"/>
      <c r="S103" s="25"/>
      <c r="T103" s="25"/>
      <c r="U103" s="25"/>
      <c r="V103" s="25"/>
      <c r="W103" s="25"/>
      <c r="X103" s="25"/>
    </row>
    <row r="104" spans="1:252" x14ac:dyDescent="0.15">
      <c r="Q104" s="22"/>
      <c r="R104" s="31"/>
      <c r="S104" s="31"/>
      <c r="T104" s="25"/>
      <c r="U104" s="14"/>
      <c r="V104" s="14"/>
      <c r="W104" s="28"/>
      <c r="X104" s="28"/>
    </row>
    <row r="105" spans="1:252" x14ac:dyDescent="0.15">
      <c r="M105" s="18"/>
    </row>
    <row r="106" spans="1:252" x14ac:dyDescent="0.15">
      <c r="F106" s="28"/>
      <c r="G106" s="31"/>
    </row>
    <row r="108" spans="1:252" x14ac:dyDescent="0.15">
      <c r="M108" s="14"/>
      <c r="IO108" s="27"/>
      <c r="IR108" s="27"/>
    </row>
    <row r="109" spans="1:252" x14ac:dyDescent="0.15">
      <c r="IR109" s="28"/>
    </row>
    <row r="110" spans="1:252" x14ac:dyDescent="0.15">
      <c r="IO110" s="27"/>
      <c r="IR110" s="27"/>
    </row>
    <row r="111" spans="1:252" x14ac:dyDescent="0.15">
      <c r="U111" s="25"/>
    </row>
    <row r="112" spans="1:252" x14ac:dyDescent="0.15">
      <c r="C112" s="18"/>
      <c r="E112" s="18"/>
      <c r="H112" s="18"/>
      <c r="U112" s="14"/>
    </row>
    <row r="113" spans="3:23" x14ac:dyDescent="0.15">
      <c r="C113" s="18"/>
      <c r="E113" s="18"/>
      <c r="H113" s="19"/>
      <c r="P113" s="16"/>
    </row>
    <row r="114" spans="3:23" x14ac:dyDescent="0.15">
      <c r="C114" s="19"/>
      <c r="E114" s="19"/>
      <c r="H114" s="18"/>
      <c r="P114" s="16"/>
      <c r="U114" s="19"/>
    </row>
    <row r="115" spans="3:23" x14ac:dyDescent="0.15">
      <c r="C115" s="19"/>
      <c r="H115" s="19"/>
      <c r="P115" s="16"/>
    </row>
    <row r="116" spans="3:23" x14ac:dyDescent="0.15">
      <c r="C116" s="19"/>
      <c r="H116" s="19"/>
      <c r="P116" s="16"/>
    </row>
    <row r="117" spans="3:23" x14ac:dyDescent="0.15">
      <c r="C117" s="22"/>
      <c r="H117" s="19"/>
      <c r="P117" s="16"/>
    </row>
    <row r="118" spans="3:23" x14ac:dyDescent="0.15">
      <c r="C118" s="18"/>
      <c r="E118" s="19"/>
      <c r="H118" s="19"/>
    </row>
    <row r="119" spans="3:23" x14ac:dyDescent="0.15">
      <c r="C119" s="24"/>
      <c r="H119" s="18"/>
      <c r="M119" s="22"/>
      <c r="W119" s="19"/>
    </row>
    <row r="120" spans="3:23" x14ac:dyDescent="0.15">
      <c r="C120" s="32"/>
      <c r="E120" s="32"/>
      <c r="H120" s="19"/>
      <c r="M120" s="22"/>
      <c r="U120" s="25"/>
    </row>
    <row r="121" spans="3:23" x14ac:dyDescent="0.15">
      <c r="U121" s="25"/>
      <c r="W121" s="25"/>
    </row>
    <row r="122" spans="3:23" x14ac:dyDescent="0.15">
      <c r="N122" s="14"/>
    </row>
    <row r="123" spans="3:23" x14ac:dyDescent="0.15">
      <c r="E123" s="31"/>
      <c r="H123" s="31"/>
      <c r="U123" s="19"/>
      <c r="V123" s="19"/>
      <c r="W123" s="24"/>
    </row>
    <row r="124" spans="3:23" x14ac:dyDescent="0.15">
      <c r="C124" s="19"/>
      <c r="E124" s="19"/>
      <c r="H124" s="14"/>
      <c r="N124" s="14"/>
      <c r="Q124" s="24"/>
      <c r="R124" s="24"/>
      <c r="U124" s="25"/>
      <c r="W124" s="25"/>
    </row>
    <row r="125" spans="3:23" x14ac:dyDescent="0.15">
      <c r="E125" s="14"/>
    </row>
    <row r="135" spans="12:256" x14ac:dyDescent="0.15">
      <c r="M135" s="18"/>
    </row>
    <row r="136" spans="12:256" x14ac:dyDescent="0.15">
      <c r="M136" s="14"/>
    </row>
    <row r="139" spans="12:256" x14ac:dyDescent="0.15">
      <c r="O139" s="19"/>
    </row>
    <row r="140" spans="12:256" x14ac:dyDescent="0.15">
      <c r="O140" s="19"/>
      <c r="IV140" s="31"/>
    </row>
    <row r="142" spans="12:256" x14ac:dyDescent="0.15">
      <c r="L142" s="28"/>
      <c r="IV142" s="14"/>
    </row>
    <row r="143" spans="12:256" x14ac:dyDescent="0.15">
      <c r="L143" s="28"/>
      <c r="M143" s="14"/>
      <c r="IV143" s="31"/>
    </row>
    <row r="144" spans="12:256" x14ac:dyDescent="0.15">
      <c r="IV144" s="31"/>
    </row>
    <row r="197" spans="249:256" x14ac:dyDescent="0.15">
      <c r="IO197" s="19"/>
      <c r="IP197" s="19"/>
      <c r="IQ197" s="19"/>
      <c r="IR197" s="19"/>
      <c r="IS197" s="19"/>
      <c r="IT197" s="19"/>
      <c r="IU197" s="50"/>
      <c r="IV197" s="19"/>
    </row>
    <row r="198" spans="249:256" x14ac:dyDescent="0.15">
      <c r="IO198" s="19"/>
      <c r="IP198" s="19"/>
      <c r="IQ198" s="19"/>
      <c r="IR198" s="19"/>
      <c r="IS198" s="19"/>
      <c r="IT198" s="19"/>
      <c r="IU198" s="19"/>
    </row>
    <row r="199" spans="249:256" x14ac:dyDescent="0.15">
      <c r="IO199" s="19"/>
      <c r="IP199" s="19"/>
      <c r="IQ199" s="19"/>
      <c r="IR199" s="19"/>
      <c r="IS199" s="19"/>
      <c r="IT199" s="19"/>
      <c r="IU199" s="19"/>
      <c r="IV199" s="19"/>
    </row>
    <row r="200" spans="249:256" x14ac:dyDescent="0.15">
      <c r="IV200" s="19"/>
    </row>
    <row r="201" spans="249:256" x14ac:dyDescent="0.15">
      <c r="IO201" s="19"/>
      <c r="IP201" s="19"/>
      <c r="IQ201" s="19"/>
      <c r="IR201" s="19"/>
      <c r="IS201" s="19"/>
      <c r="IT201" s="19"/>
      <c r="IU201" s="19"/>
      <c r="IV201" s="19"/>
    </row>
    <row r="202" spans="249:256" x14ac:dyDescent="0.15">
      <c r="IO202" s="19"/>
      <c r="IP202" s="19"/>
      <c r="IQ202" s="19"/>
      <c r="IR202" s="19"/>
      <c r="IS202" s="19"/>
      <c r="IT202" s="19"/>
      <c r="IU202" s="19"/>
      <c r="IV202" s="19"/>
    </row>
    <row r="203" spans="249:256" x14ac:dyDescent="0.15">
      <c r="IO203" s="19"/>
      <c r="IP203" s="19"/>
      <c r="IQ203" s="19"/>
      <c r="IR203" s="19"/>
      <c r="IS203" s="19"/>
      <c r="IT203" s="19"/>
      <c r="IU203" s="19"/>
      <c r="IV203" s="19"/>
    </row>
    <row r="506" spans="5:10" x14ac:dyDescent="0.15">
      <c r="I506" s="51"/>
      <c r="J506" s="52"/>
    </row>
    <row r="507" spans="5:10" x14ac:dyDescent="0.15">
      <c r="I507" s="51"/>
      <c r="J507" s="52"/>
    </row>
    <row r="508" spans="5:10" x14ac:dyDescent="0.15">
      <c r="E508" s="32"/>
      <c r="I508" s="51"/>
      <c r="J508" s="32"/>
    </row>
    <row r="509" spans="5:10" x14ac:dyDescent="0.15">
      <c r="E509" s="31"/>
    </row>
    <row r="516" spans="5:8" x14ac:dyDescent="0.15">
      <c r="E516" s="35"/>
    </row>
    <row r="527" spans="5:8" x14ac:dyDescent="0.15">
      <c r="H527" s="31"/>
    </row>
    <row r="536" spans="5:5" x14ac:dyDescent="0.15">
      <c r="E536" s="35"/>
    </row>
    <row r="595" spans="8:8" x14ac:dyDescent="0.15">
      <c r="H595" s="32"/>
    </row>
    <row r="596" spans="8:8" x14ac:dyDescent="0.15">
      <c r="H596" s="31"/>
    </row>
    <row r="1003" spans="41:63" x14ac:dyDescent="0.15">
      <c r="AO1003" s="25"/>
    </row>
    <row r="1008" spans="41:63" x14ac:dyDescent="0.15">
      <c r="AO1008" s="25"/>
      <c r="BF1008" s="25"/>
      <c r="BG1008" s="25"/>
      <c r="BH1008" s="32"/>
      <c r="BI1008" s="25"/>
      <c r="BK1008" s="25"/>
    </row>
    <row r="1009" spans="18:63" x14ac:dyDescent="0.15">
      <c r="R1009" s="19"/>
      <c r="AO1009" s="25"/>
      <c r="BF1009" s="25"/>
      <c r="BG1009" s="25"/>
      <c r="BH1009" s="32"/>
      <c r="BI1009" s="25"/>
    </row>
    <row r="1010" spans="18:63" x14ac:dyDescent="0.15">
      <c r="R1010" s="19"/>
      <c r="BF1010" s="25"/>
      <c r="BG1010" s="25"/>
      <c r="BH1010" s="25"/>
      <c r="BI1010" s="25"/>
    </row>
    <row r="1011" spans="18:63" x14ac:dyDescent="0.15">
      <c r="BG1011" s="25"/>
      <c r="BH1011" s="25"/>
      <c r="BI1011" s="25"/>
    </row>
    <row r="1012" spans="18:63" x14ac:dyDescent="0.15">
      <c r="BF1012" s="25"/>
      <c r="BG1012" s="25"/>
      <c r="BH1012" s="32"/>
      <c r="BI1012" s="25"/>
    </row>
    <row r="1013" spans="18:63" x14ac:dyDescent="0.15">
      <c r="BF1013" s="25"/>
      <c r="BH1013" s="32"/>
      <c r="BI1013" s="25"/>
    </row>
    <row r="1014" spans="18:63" x14ac:dyDescent="0.15">
      <c r="AM1014" s="19"/>
      <c r="BF1014" s="25"/>
      <c r="BH1014" s="32"/>
      <c r="BI1014" s="25"/>
    </row>
    <row r="1015" spans="18:63" x14ac:dyDescent="0.15">
      <c r="R1015" s="19"/>
      <c r="AM1015" s="35"/>
      <c r="BF1015" s="25"/>
      <c r="BH1015" s="32"/>
      <c r="BI1015" s="25"/>
    </row>
    <row r="1016" spans="18:63" x14ac:dyDescent="0.15">
      <c r="R1016" s="19"/>
      <c r="BF1016" s="25"/>
      <c r="BH1016" s="32"/>
      <c r="BI1016" s="25"/>
    </row>
    <row r="1017" spans="18:63" x14ac:dyDescent="0.15">
      <c r="BF1017" s="25"/>
      <c r="BH1017" s="32"/>
      <c r="BI1017" s="25"/>
    </row>
    <row r="1019" spans="18:63" x14ac:dyDescent="0.15">
      <c r="BF1019" s="25"/>
      <c r="BG1019" s="25"/>
      <c r="BH1019" s="25"/>
      <c r="BI1019" s="25"/>
    </row>
    <row r="1020" spans="18:63" x14ac:dyDescent="0.15">
      <c r="R1020" s="28"/>
      <c r="BF1020" s="25"/>
      <c r="BG1020" s="25"/>
      <c r="BH1020" s="25"/>
      <c r="BI1020" s="25"/>
      <c r="BJ1020" s="25"/>
      <c r="BK1020" s="25"/>
    </row>
    <row r="1021" spans="18:63" x14ac:dyDescent="0.15">
      <c r="BF1021" s="25"/>
      <c r="BG1021" s="25"/>
      <c r="BH1021" s="25"/>
      <c r="BI1021" s="25"/>
      <c r="BJ1021" s="25"/>
      <c r="BK1021" s="25"/>
    </row>
    <row r="1022" spans="18:63" x14ac:dyDescent="0.15">
      <c r="BF1022" s="25"/>
      <c r="BG1022" s="25"/>
    </row>
    <row r="1023" spans="18:63" x14ac:dyDescent="0.15">
      <c r="AO1023" s="25"/>
      <c r="BF1023" s="25"/>
      <c r="BG1023" s="25"/>
    </row>
    <row r="1024" spans="18:63" x14ac:dyDescent="0.15">
      <c r="BF1024" s="25"/>
      <c r="BG1024" s="25"/>
    </row>
    <row r="1026" spans="18:41" x14ac:dyDescent="0.15">
      <c r="R1026" s="19"/>
    </row>
    <row r="1027" spans="18:41" x14ac:dyDescent="0.15">
      <c r="R1027" s="19"/>
    </row>
    <row r="1028" spans="18:41" x14ac:dyDescent="0.15">
      <c r="AO1028" s="25"/>
    </row>
    <row r="1029" spans="18:41" x14ac:dyDescent="0.15">
      <c r="AO1029" s="25"/>
    </row>
    <row r="1035" spans="18:41" x14ac:dyDescent="0.15">
      <c r="AM1035" s="35"/>
    </row>
    <row r="1041" spans="58:64" x14ac:dyDescent="0.15">
      <c r="BI1041" s="35"/>
      <c r="BK1041" s="31"/>
    </row>
    <row r="1042" spans="58:64" x14ac:dyDescent="0.15">
      <c r="BH1042" s="31"/>
      <c r="BI1042" s="35"/>
      <c r="BK1042" s="31"/>
    </row>
    <row r="1043" spans="58:64" x14ac:dyDescent="0.15">
      <c r="BI1043" s="35"/>
      <c r="BJ1043" s="35"/>
    </row>
    <row r="1044" spans="58:64" x14ac:dyDescent="0.15">
      <c r="BI1044" s="35"/>
    </row>
    <row r="1045" spans="58:64" x14ac:dyDescent="0.15">
      <c r="BI1045" s="35"/>
    </row>
    <row r="1048" spans="58:64" x14ac:dyDescent="0.15">
      <c r="BH1048" s="31"/>
    </row>
    <row r="1053" spans="58:64" x14ac:dyDescent="0.15">
      <c r="BH1053" s="28"/>
      <c r="BI1053" s="28"/>
      <c r="BJ1053" s="28"/>
      <c r="BK1053" s="28"/>
    </row>
    <row r="1054" spans="58:64" x14ac:dyDescent="0.15">
      <c r="BF1054" s="32"/>
      <c r="BH1054" s="28"/>
      <c r="BI1054" s="28"/>
      <c r="BJ1054" s="28"/>
      <c r="BK1054" s="28"/>
      <c r="BL1054" s="32"/>
    </row>
    <row r="1055" spans="58:64" x14ac:dyDescent="0.15">
      <c r="BF1055" s="32"/>
      <c r="BH1055" s="28"/>
      <c r="BI1055" s="28"/>
      <c r="BJ1055" s="28"/>
      <c r="BK1055" s="28"/>
      <c r="BL1055" s="32"/>
    </row>
    <row r="1089" spans="4:18" x14ac:dyDescent="0.15">
      <c r="R1089" s="28"/>
    </row>
    <row r="1093" spans="4:18" x14ac:dyDescent="0.15">
      <c r="D1093" s="15"/>
      <c r="E1093" s="52"/>
      <c r="F1093" s="15"/>
    </row>
    <row r="1094" spans="4:18" x14ac:dyDescent="0.15">
      <c r="D1094" s="15"/>
      <c r="E1094" s="52"/>
      <c r="F1094" s="15"/>
    </row>
    <row r="1095" spans="4:18" x14ac:dyDescent="0.15">
      <c r="D1095" s="15"/>
      <c r="E1095" s="52"/>
      <c r="F1095" s="15"/>
      <c r="R1095" s="19"/>
    </row>
    <row r="1096" spans="4:18" x14ac:dyDescent="0.15">
      <c r="D1096" s="15"/>
      <c r="E1096" s="52"/>
      <c r="F1096" s="15"/>
      <c r="R1096" s="19"/>
    </row>
    <row r="1097" spans="4:18" x14ac:dyDescent="0.15">
      <c r="D1097" s="15"/>
      <c r="E1097" s="52"/>
      <c r="F1097" s="15"/>
    </row>
    <row r="1098" spans="4:18" x14ac:dyDescent="0.15">
      <c r="D1098" s="15"/>
      <c r="E1098" s="52"/>
      <c r="F1098" s="15"/>
    </row>
    <row r="1099" spans="4:18" x14ac:dyDescent="0.15">
      <c r="D1099" s="15"/>
      <c r="E1099" s="52"/>
      <c r="F1099" s="15"/>
    </row>
    <row r="8193" spans="255:256" x14ac:dyDescent="0.15">
      <c r="IU8193" s="15" t="s">
        <v>332</v>
      </c>
      <c r="IV8193" s="31" t="e">
        <f>M105*(N94/12)*(N92/12)*(N93-N91)/N93</f>
        <v>#DIV/0!</v>
      </c>
    </row>
    <row r="8194" spans="255:256" x14ac:dyDescent="0.15">
      <c r="IU8194" s="15" t="s">
        <v>333</v>
      </c>
      <c r="IV8194" s="52" t="e">
        <f>N95/IV8193</f>
        <v>#DIV/0!</v>
      </c>
    </row>
    <row r="8195" spans="255:256" x14ac:dyDescent="0.15">
      <c r="IU8195" s="15" t="s">
        <v>334</v>
      </c>
      <c r="IV8195" s="14" t="e">
        <f>M120*N99*IV8194/(N99*N96/N100)^(2/3)/(M108^0.365)/(N97/N98)^0.14</f>
        <v>#DIV/0!</v>
      </c>
    </row>
    <row r="8196" spans="255:256" x14ac:dyDescent="0.15">
      <c r="IU8196" s="15" t="s">
        <v>335</v>
      </c>
      <c r="IV8196" s="31" t="e">
        <f>IF(M108&gt;100,0.8*(N94/N92)^0.25,(0.2*M108^(1/3))*(0.8*(N94/N92)^0.25))</f>
        <v>#DIV/0!</v>
      </c>
    </row>
    <row r="8197" spans="255:256" x14ac:dyDescent="0.15">
      <c r="IU8197" s="15" t="s">
        <v>336</v>
      </c>
      <c r="IV8197" s="31" t="e">
        <f>IF(M108&gt;100,0.8*(N94/N92)^(1/6),(0.2*M108^(1/3))*(0.8*(N94/N92)^(1/6)))</f>
        <v>#DIV/0!</v>
      </c>
    </row>
  </sheetData>
  <sheetProtection password="8881" sheet="1" objects="1" scenarios="1"/>
  <mergeCells count="7">
    <mergeCell ref="B14:C14"/>
    <mergeCell ref="E11:G11"/>
    <mergeCell ref="A2:G2"/>
    <mergeCell ref="F12:F13"/>
    <mergeCell ref="E12:E13"/>
    <mergeCell ref="G12:G13"/>
    <mergeCell ref="B9:F9"/>
  </mergeCells>
  <phoneticPr fontId="7" type="noConversion"/>
  <printOptions gridLinesSet="0"/>
  <pageMargins left="0.72" right="0.38" top="0.69" bottom="0.95" header="0.25" footer="0.22"/>
  <pageSetup orientation="portrait" r:id="rId1"/>
  <headerFooter alignWithMargins="0">
    <oddHeader>&amp;LArt Montemayor&amp;CPartially-Filled Horizontal Vessels&amp;RMay 15,  1998
Rev:1(01/22/00)</oddHeader>
    <oddFooter>&amp;CPage &amp;P of &amp;N&amp;RElectronic FileName: &amp;F
WorkSheet: &amp;A</oddFooter>
  </headerFooter>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L27" sqref="L27"/>
    </sheetView>
  </sheetViews>
  <sheetFormatPr defaultRowHeight="12.75" x14ac:dyDescent="0.2"/>
  <sheetData/>
  <sheetProtection sheet="1" objects="1" scenarios="1"/>
  <phoneticPr fontId="7" type="noConversion"/>
  <pageMargins left="0.56999999999999995" right="0.16" top="1" bottom="0.6" header="0.5" footer="0.16"/>
  <pageSetup orientation="portrait" horizontalDpi="360" verticalDpi="360" r:id="rId1"/>
  <headerFooter alignWithMargins="0"/>
  <drawing r:id="rId2"/>
  <legacyDrawing r:id="rId3"/>
  <oleObjects>
    <mc:AlternateContent xmlns:mc="http://schemas.openxmlformats.org/markup-compatibility/2006">
      <mc:Choice Requires="x14">
        <oleObject progId="Document" shapeId="21505" r:id="rId4">
          <objectPr defaultSize="0" autoPict="0" r:id="rId5">
            <anchor moveWithCells="1">
              <from>
                <xdr:col>0</xdr:col>
                <xdr:colOff>47625</xdr:colOff>
                <xdr:row>0</xdr:row>
                <xdr:rowOff>66675</xdr:rowOff>
              </from>
              <to>
                <xdr:col>10</xdr:col>
                <xdr:colOff>514350</xdr:colOff>
                <xdr:row>52</xdr:row>
                <xdr:rowOff>19050</xdr:rowOff>
              </to>
            </anchor>
          </objectPr>
        </oleObject>
      </mc:Choice>
      <mc:Fallback>
        <oleObject progId="Document" shapeId="21505" r:id="rId4"/>
      </mc:Fallback>
    </mc:AlternateContent>
  </oleObjec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zoomScaleNormal="75" zoomScaleSheetLayoutView="100" workbookViewId="0">
      <selection activeCell="N25" sqref="N25"/>
    </sheetView>
  </sheetViews>
  <sheetFormatPr defaultRowHeight="12.75" x14ac:dyDescent="0.2"/>
  <cols>
    <col min="1" max="1" width="21.7109375" customWidth="1"/>
    <col min="2" max="2" width="12.42578125" customWidth="1"/>
    <col min="11" max="11" width="9.7109375" customWidth="1"/>
  </cols>
  <sheetData>
    <row r="1" spans="1:8" ht="15.75" x14ac:dyDescent="0.25">
      <c r="A1" s="483" t="s">
        <v>47</v>
      </c>
      <c r="B1" s="483"/>
      <c r="C1" s="483"/>
      <c r="D1" s="483"/>
      <c r="E1" s="483"/>
      <c r="F1" s="483"/>
      <c r="G1" s="483"/>
      <c r="H1" s="483"/>
    </row>
    <row r="3" spans="1:8" ht="14.25" x14ac:dyDescent="0.2">
      <c r="A3" s="189" t="s">
        <v>169</v>
      </c>
      <c r="B3" s="3" t="s">
        <v>7</v>
      </c>
      <c r="C3" s="286">
        <v>1150</v>
      </c>
      <c r="D3" s="189" t="s">
        <v>48</v>
      </c>
      <c r="E3" s="287">
        <f>C3*0.03937</f>
        <v>45.275500000000001</v>
      </c>
      <c r="F3" t="s">
        <v>356</v>
      </c>
    </row>
    <row r="4" spans="1:8" ht="15.75" x14ac:dyDescent="0.3">
      <c r="A4" s="189" t="s">
        <v>49</v>
      </c>
      <c r="B4" s="3" t="s">
        <v>170</v>
      </c>
      <c r="C4" s="286">
        <v>1150</v>
      </c>
      <c r="D4" s="189" t="s">
        <v>48</v>
      </c>
      <c r="E4" s="287">
        <f>C4*0.03937</f>
        <v>45.275500000000001</v>
      </c>
      <c r="F4" t="s">
        <v>356</v>
      </c>
    </row>
    <row r="5" spans="1:8" x14ac:dyDescent="0.2">
      <c r="A5" s="189" t="s">
        <v>50</v>
      </c>
      <c r="B5" s="3"/>
      <c r="C5" s="288">
        <v>0.1</v>
      </c>
      <c r="E5" s="287"/>
    </row>
    <row r="6" spans="1:8" ht="15.75" x14ac:dyDescent="0.3">
      <c r="A6" s="189" t="s">
        <v>51</v>
      </c>
      <c r="B6" s="3" t="s">
        <v>171</v>
      </c>
      <c r="C6" s="289">
        <f>C3*C5</f>
        <v>115</v>
      </c>
      <c r="D6" s="189" t="s">
        <v>48</v>
      </c>
      <c r="E6" s="287">
        <f>C6*0.03937</f>
        <v>4.5275500000000006</v>
      </c>
      <c r="F6" t="s">
        <v>356</v>
      </c>
    </row>
    <row r="8" spans="1:8" ht="15.75" x14ac:dyDescent="0.3">
      <c r="A8" s="98" t="s">
        <v>541</v>
      </c>
      <c r="B8" t="s">
        <v>172</v>
      </c>
      <c r="C8" s="290">
        <f>C3/2-C6</f>
        <v>460</v>
      </c>
      <c r="D8" t="s">
        <v>52</v>
      </c>
    </row>
    <row r="9" spans="1:8" ht="15.75" x14ac:dyDescent="0.3">
      <c r="A9" s="98" t="s">
        <v>53</v>
      </c>
      <c r="B9" s="189" t="s">
        <v>173</v>
      </c>
      <c r="C9" s="290">
        <f>C8*C4/(C4-C6)</f>
        <v>511.11111111111109</v>
      </c>
      <c r="D9" t="s">
        <v>52</v>
      </c>
    </row>
    <row r="10" spans="1:8" ht="15.75" x14ac:dyDescent="0.3">
      <c r="A10" s="98" t="s">
        <v>54</v>
      </c>
      <c r="B10" s="291" t="s">
        <v>174</v>
      </c>
      <c r="C10" s="290">
        <f>((C4-C6)^2-C8^2)^0.5</f>
        <v>927.15964105433318</v>
      </c>
      <c r="D10" t="s">
        <v>52</v>
      </c>
    </row>
    <row r="11" spans="1:8" ht="15.75" x14ac:dyDescent="0.3">
      <c r="A11" s="98" t="s">
        <v>55</v>
      </c>
      <c r="B11" t="s">
        <v>175</v>
      </c>
      <c r="C11" s="292">
        <f>ASIN(C9/C4)</f>
        <v>0.46055399168132238</v>
      </c>
      <c r="D11" t="s">
        <v>56</v>
      </c>
    </row>
    <row r="12" spans="1:8" x14ac:dyDescent="0.2">
      <c r="C12" s="293">
        <f>C11/2/PI()*360</f>
        <v>26.387799961242997</v>
      </c>
      <c r="D12" t="s">
        <v>57</v>
      </c>
    </row>
    <row r="13" spans="1:8" ht="15.75" x14ac:dyDescent="0.3">
      <c r="A13" s="98" t="s">
        <v>58</v>
      </c>
      <c r="B13" t="s">
        <v>176</v>
      </c>
      <c r="C13" s="290">
        <f>C4*COS(C11)-C10</f>
        <v>103.01773789492586</v>
      </c>
      <c r="D13" s="189" t="s">
        <v>48</v>
      </c>
      <c r="E13" s="287">
        <f>C13*0.03937</f>
        <v>4.0558083409232308</v>
      </c>
      <c r="F13" t="s">
        <v>356</v>
      </c>
    </row>
    <row r="14" spans="1:8" ht="15.75" x14ac:dyDescent="0.3">
      <c r="A14" s="98" t="s">
        <v>59</v>
      </c>
      <c r="B14" t="s">
        <v>177</v>
      </c>
      <c r="C14" s="290">
        <f>C4-C10-C13</f>
        <v>119.82262105074096</v>
      </c>
      <c r="D14" s="189" t="s">
        <v>48</v>
      </c>
      <c r="E14" s="287">
        <f>C14*0.03937</f>
        <v>4.7174165907676722</v>
      </c>
      <c r="F14" t="s">
        <v>356</v>
      </c>
    </row>
    <row r="15" spans="1:8" x14ac:dyDescent="0.2">
      <c r="A15" s="98" t="s">
        <v>60</v>
      </c>
      <c r="B15" t="s">
        <v>61</v>
      </c>
      <c r="C15" s="290">
        <f>C13+C14</f>
        <v>222.84035894566682</v>
      </c>
      <c r="D15" s="189" t="s">
        <v>48</v>
      </c>
      <c r="E15" s="287">
        <f>C15*0.03937</f>
        <v>8.773224931690903</v>
      </c>
      <c r="F15" t="s">
        <v>356</v>
      </c>
    </row>
    <row r="17" spans="1:10" ht="14.25" x14ac:dyDescent="0.2">
      <c r="A17" s="189" t="s">
        <v>62</v>
      </c>
      <c r="B17" s="475" t="s">
        <v>178</v>
      </c>
      <c r="C17" s="444"/>
      <c r="D17" s="404" t="s">
        <v>179</v>
      </c>
      <c r="E17" s="404"/>
      <c r="F17" s="404"/>
      <c r="G17" s="404"/>
    </row>
    <row r="18" spans="1:10" x14ac:dyDescent="0.2">
      <c r="D18" s="403" t="s">
        <v>63</v>
      </c>
      <c r="E18" s="403"/>
      <c r="F18" s="403"/>
      <c r="G18" s="403"/>
    </row>
    <row r="19" spans="1:10" x14ac:dyDescent="0.2">
      <c r="A19" s="185" t="s">
        <v>357</v>
      </c>
      <c r="B19" s="290">
        <f>PI()*C14/6*(3*C9^2+C14^2)/10^6</f>
        <v>50.069541562156211</v>
      </c>
      <c r="C19" s="3" t="s">
        <v>64</v>
      </c>
      <c r="D19" s="294">
        <f>PI()*C13/3*((C3/2)^2+(C3/2)*C9+C9^2)/10^6</f>
        <v>95.55447518601828</v>
      </c>
    </row>
    <row r="20" spans="1:10" ht="13.5" thickBot="1" x14ac:dyDescent="0.25">
      <c r="A20" s="185" t="s">
        <v>357</v>
      </c>
      <c r="B20" s="295">
        <f>B19+D19</f>
        <v>145.62401674817448</v>
      </c>
      <c r="C20" s="250" t="s">
        <v>65</v>
      </c>
      <c r="D20" s="296">
        <f>B20*0.26417</f>
        <v>38.469496504365253</v>
      </c>
      <c r="E20" s="189" t="s">
        <v>66</v>
      </c>
      <c r="F20" s="297"/>
      <c r="H20" s="298"/>
    </row>
    <row r="21" spans="1:10" ht="13.5" thickTop="1" x14ac:dyDescent="0.2"/>
    <row r="22" spans="1:10" x14ac:dyDescent="0.2">
      <c r="A22" s="484" t="s">
        <v>67</v>
      </c>
      <c r="B22" s="484"/>
      <c r="C22" s="484"/>
    </row>
    <row r="23" spans="1:10" x14ac:dyDescent="0.2">
      <c r="A23" s="478" t="s">
        <v>68</v>
      </c>
      <c r="B23" s="481" t="s">
        <v>69</v>
      </c>
      <c r="C23" s="476" t="s">
        <v>70</v>
      </c>
      <c r="D23" s="480"/>
      <c r="E23" s="477"/>
      <c r="F23" s="476" t="s">
        <v>71</v>
      </c>
      <c r="G23" s="480"/>
      <c r="H23" s="477"/>
      <c r="I23" s="476" t="s">
        <v>72</v>
      </c>
      <c r="J23" s="477"/>
    </row>
    <row r="24" spans="1:10" ht="14.25" x14ac:dyDescent="0.2">
      <c r="A24" s="479"/>
      <c r="B24" s="482"/>
      <c r="C24" s="299" t="s">
        <v>73</v>
      </c>
      <c r="D24" s="300" t="s">
        <v>74</v>
      </c>
      <c r="E24" s="301" t="s">
        <v>180</v>
      </c>
      <c r="F24" s="299" t="s">
        <v>75</v>
      </c>
      <c r="G24" s="300" t="s">
        <v>74</v>
      </c>
      <c r="H24" s="301" t="s">
        <v>181</v>
      </c>
      <c r="I24" s="302" t="s">
        <v>76</v>
      </c>
      <c r="J24" s="110" t="s">
        <v>77</v>
      </c>
    </row>
    <row r="25" spans="1:10" x14ac:dyDescent="0.2">
      <c r="A25" s="303">
        <v>0</v>
      </c>
      <c r="B25" s="304">
        <f t="shared" ref="B25:B35" si="0">A25*$C$15</f>
        <v>0</v>
      </c>
      <c r="C25" s="305">
        <f t="shared" ref="C25:C35" si="1">IF(B25&gt;$C$14,$C$14,B25)</f>
        <v>0</v>
      </c>
      <c r="D25" s="306">
        <f t="shared" ref="D25:D35" si="2">IF(B25&lt;$C$14,(($C$4^2-($C$4-C25)^2)^0.5),$C$9)</f>
        <v>0</v>
      </c>
      <c r="E25" s="307">
        <f t="shared" ref="E25:E35" si="3">PI()*C25/6*(3*D25^2+C25^2)/10^6</f>
        <v>0</v>
      </c>
      <c r="F25" s="305">
        <f t="shared" ref="F25:F35" si="4">IF(B25&gt;$C$14,B25-$C$14,0)</f>
        <v>0</v>
      </c>
      <c r="G25" s="308">
        <f t="shared" ref="G25:G35" si="5">IF(C25&lt;$C$14,$C$9,($C$9+($C$3/2-$C$9)/$C$13*F25))</f>
        <v>511.11111111111109</v>
      </c>
      <c r="H25" s="307">
        <f t="shared" ref="H25:H35" si="6">PI()*F25/3*(G25^2+G25*$C$9+$C$9^2)/10^6</f>
        <v>0</v>
      </c>
      <c r="I25" s="305">
        <f t="shared" ref="I25:I35" si="7">H25+E25</f>
        <v>0</v>
      </c>
      <c r="J25" s="309">
        <f t="shared" ref="J25:J35" si="8">I25/$B$20</f>
        <v>0</v>
      </c>
    </row>
    <row r="26" spans="1:10" x14ac:dyDescent="0.2">
      <c r="A26" s="310">
        <v>0.1</v>
      </c>
      <c r="B26" s="311">
        <f t="shared" si="0"/>
        <v>22.284035894566685</v>
      </c>
      <c r="C26" s="312">
        <f t="shared" si="1"/>
        <v>22.284035894566685</v>
      </c>
      <c r="D26" s="313">
        <f t="shared" si="2"/>
        <v>225.29248611916211</v>
      </c>
      <c r="E26" s="314">
        <f t="shared" si="3"/>
        <v>1.7824655454153362</v>
      </c>
      <c r="F26" s="312">
        <f t="shared" si="4"/>
        <v>0</v>
      </c>
      <c r="G26" s="315">
        <f t="shared" si="5"/>
        <v>511.11111111111109</v>
      </c>
      <c r="H26" s="314">
        <f t="shared" si="6"/>
        <v>0</v>
      </c>
      <c r="I26" s="312">
        <f t="shared" si="7"/>
        <v>1.7824655454153362</v>
      </c>
      <c r="J26" s="316">
        <f t="shared" si="8"/>
        <v>1.2240189394704915E-2</v>
      </c>
    </row>
    <row r="27" spans="1:10" x14ac:dyDescent="0.2">
      <c r="A27" s="310">
        <v>0.2</v>
      </c>
      <c r="B27" s="311">
        <f t="shared" si="0"/>
        <v>44.56807178913337</v>
      </c>
      <c r="C27" s="312">
        <f t="shared" si="1"/>
        <v>44.56807178913337</v>
      </c>
      <c r="D27" s="313">
        <f t="shared" si="2"/>
        <v>317.04928968853676</v>
      </c>
      <c r="E27" s="314">
        <f t="shared" si="3"/>
        <v>7.0835100024133908</v>
      </c>
      <c r="F27" s="312">
        <f t="shared" si="4"/>
        <v>0</v>
      </c>
      <c r="G27" s="315">
        <f t="shared" si="5"/>
        <v>511.11111111111109</v>
      </c>
      <c r="H27" s="314">
        <f t="shared" si="6"/>
        <v>0</v>
      </c>
      <c r="I27" s="312">
        <f t="shared" si="7"/>
        <v>7.0835100024133908</v>
      </c>
      <c r="J27" s="316">
        <f t="shared" si="8"/>
        <v>4.8642457203077999E-2</v>
      </c>
    </row>
    <row r="28" spans="1:10" x14ac:dyDescent="0.2">
      <c r="A28" s="310">
        <v>0.3</v>
      </c>
      <c r="B28" s="311">
        <f t="shared" si="0"/>
        <v>66.852107683700041</v>
      </c>
      <c r="C28" s="312">
        <f t="shared" si="1"/>
        <v>66.852107683700041</v>
      </c>
      <c r="D28" s="313">
        <f t="shared" si="2"/>
        <v>386.38147389692108</v>
      </c>
      <c r="E28" s="314">
        <f t="shared" si="3"/>
        <v>15.833605102122075</v>
      </c>
      <c r="F28" s="312">
        <f t="shared" si="4"/>
        <v>0</v>
      </c>
      <c r="G28" s="315">
        <f t="shared" si="5"/>
        <v>511.11111111111109</v>
      </c>
      <c r="H28" s="314">
        <f t="shared" si="6"/>
        <v>0</v>
      </c>
      <c r="I28" s="312">
        <f t="shared" si="7"/>
        <v>15.833605102122075</v>
      </c>
      <c r="J28" s="316">
        <f t="shared" si="8"/>
        <v>0.10872935286150567</v>
      </c>
    </row>
    <row r="29" spans="1:10" x14ac:dyDescent="0.2">
      <c r="A29" s="310">
        <v>0.4</v>
      </c>
      <c r="B29" s="311">
        <f t="shared" si="0"/>
        <v>89.13614357826674</v>
      </c>
      <c r="C29" s="312">
        <f t="shared" si="1"/>
        <v>89.13614357826674</v>
      </c>
      <c r="D29" s="313">
        <f t="shared" si="2"/>
        <v>443.92327956304348</v>
      </c>
      <c r="E29" s="314">
        <f t="shared" si="3"/>
        <v>27.963222575669445</v>
      </c>
      <c r="F29" s="312">
        <f t="shared" si="4"/>
        <v>0</v>
      </c>
      <c r="G29" s="315">
        <f t="shared" si="5"/>
        <v>511.11111111111109</v>
      </c>
      <c r="H29" s="314">
        <f t="shared" si="6"/>
        <v>0</v>
      </c>
      <c r="I29" s="312">
        <f t="shared" si="7"/>
        <v>27.963222575669445</v>
      </c>
      <c r="J29" s="316">
        <f t="shared" si="8"/>
        <v>0.19202342580637535</v>
      </c>
    </row>
    <row r="30" spans="1:10" x14ac:dyDescent="0.2">
      <c r="A30" s="310">
        <v>0.5</v>
      </c>
      <c r="B30" s="311">
        <f t="shared" si="0"/>
        <v>111.42017947283341</v>
      </c>
      <c r="C30" s="312">
        <f t="shared" si="1"/>
        <v>111.42017947283341</v>
      </c>
      <c r="D30" s="313">
        <f t="shared" si="2"/>
        <v>493.81368591175993</v>
      </c>
      <c r="E30" s="314">
        <f t="shared" si="3"/>
        <v>43.402834154183488</v>
      </c>
      <c r="F30" s="312">
        <f t="shared" si="4"/>
        <v>0</v>
      </c>
      <c r="G30" s="315">
        <f t="shared" si="5"/>
        <v>511.11111111111109</v>
      </c>
      <c r="H30" s="314">
        <f t="shared" si="6"/>
        <v>0</v>
      </c>
      <c r="I30" s="312">
        <f t="shared" si="7"/>
        <v>43.402834154183488</v>
      </c>
      <c r="J30" s="316">
        <f t="shared" si="8"/>
        <v>0.29804722547407397</v>
      </c>
    </row>
    <row r="31" spans="1:10" x14ac:dyDescent="0.2">
      <c r="A31" s="310">
        <v>0.6</v>
      </c>
      <c r="B31" s="311">
        <f t="shared" si="0"/>
        <v>133.70421536740008</v>
      </c>
      <c r="C31" s="312">
        <f t="shared" si="1"/>
        <v>119.82262105074096</v>
      </c>
      <c r="D31" s="313">
        <f t="shared" si="2"/>
        <v>511.11111111111109</v>
      </c>
      <c r="E31" s="314">
        <f t="shared" si="3"/>
        <v>50.069541562156211</v>
      </c>
      <c r="F31" s="312">
        <f t="shared" si="4"/>
        <v>13.881594316659118</v>
      </c>
      <c r="G31" s="315">
        <f t="shared" si="5"/>
        <v>519.72011044482053</v>
      </c>
      <c r="H31" s="314">
        <f t="shared" si="6"/>
        <v>11.585491268003864</v>
      </c>
      <c r="I31" s="312">
        <f t="shared" si="7"/>
        <v>61.655032830160074</v>
      </c>
      <c r="J31" s="316">
        <f t="shared" si="8"/>
        <v>0.42338505836423423</v>
      </c>
    </row>
    <row r="32" spans="1:10" x14ac:dyDescent="0.2">
      <c r="A32" s="310">
        <v>0.7</v>
      </c>
      <c r="B32" s="311">
        <f t="shared" si="0"/>
        <v>155.98825126196675</v>
      </c>
      <c r="C32" s="312">
        <f t="shared" si="1"/>
        <v>119.82262105074096</v>
      </c>
      <c r="D32" s="313">
        <f t="shared" si="2"/>
        <v>511.11111111111109</v>
      </c>
      <c r="E32" s="314">
        <f t="shared" si="3"/>
        <v>50.069541562156211</v>
      </c>
      <c r="F32" s="312">
        <f t="shared" si="4"/>
        <v>36.165630211225789</v>
      </c>
      <c r="G32" s="315">
        <f t="shared" si="5"/>
        <v>533.54008283361532</v>
      </c>
      <c r="H32" s="314">
        <f t="shared" si="6"/>
        <v>31.002395787295935</v>
      </c>
      <c r="I32" s="312">
        <f t="shared" si="7"/>
        <v>81.071937349452142</v>
      </c>
      <c r="J32" s="316">
        <f t="shared" si="8"/>
        <v>0.556720925296606</v>
      </c>
    </row>
    <row r="33" spans="1:10" x14ac:dyDescent="0.2">
      <c r="A33" s="310">
        <v>0.8</v>
      </c>
      <c r="B33" s="311">
        <f t="shared" si="0"/>
        <v>178.27228715653348</v>
      </c>
      <c r="C33" s="312">
        <f t="shared" si="1"/>
        <v>119.82262105074096</v>
      </c>
      <c r="D33" s="313">
        <f t="shared" si="2"/>
        <v>511.11111111111109</v>
      </c>
      <c r="E33" s="314">
        <f t="shared" si="3"/>
        <v>50.069541562156211</v>
      </c>
      <c r="F33" s="312">
        <f t="shared" si="4"/>
        <v>58.449666105792517</v>
      </c>
      <c r="G33" s="315">
        <f t="shared" si="5"/>
        <v>547.36005522241021</v>
      </c>
      <c r="H33" s="314">
        <f t="shared" si="6"/>
        <v>51.451700185479829</v>
      </c>
      <c r="I33" s="312">
        <f t="shared" si="7"/>
        <v>101.52124174763604</v>
      </c>
      <c r="J33" s="316">
        <f t="shared" si="8"/>
        <v>0.69714628132525192</v>
      </c>
    </row>
    <row r="34" spans="1:10" x14ac:dyDescent="0.2">
      <c r="A34" s="310">
        <v>0.9</v>
      </c>
      <c r="B34" s="311">
        <f t="shared" si="0"/>
        <v>200.55632305110015</v>
      </c>
      <c r="C34" s="312">
        <f t="shared" si="1"/>
        <v>119.82262105074096</v>
      </c>
      <c r="D34" s="313">
        <f t="shared" si="2"/>
        <v>511.11111111111109</v>
      </c>
      <c r="E34" s="314">
        <f t="shared" si="3"/>
        <v>50.069541562156211</v>
      </c>
      <c r="F34" s="312">
        <f t="shared" si="4"/>
        <v>80.733702000359187</v>
      </c>
      <c r="G34" s="315">
        <f t="shared" si="5"/>
        <v>561.18002761120511</v>
      </c>
      <c r="H34" s="314">
        <f t="shared" si="6"/>
        <v>72.960146104429313</v>
      </c>
      <c r="I34" s="312">
        <f t="shared" si="7"/>
        <v>123.02968766658552</v>
      </c>
      <c r="J34" s="316">
        <f t="shared" si="8"/>
        <v>0.8448447612823301</v>
      </c>
    </row>
    <row r="35" spans="1:10" x14ac:dyDescent="0.2">
      <c r="A35" s="317">
        <v>1</v>
      </c>
      <c r="B35" s="318">
        <f t="shared" si="0"/>
        <v>222.84035894566682</v>
      </c>
      <c r="C35" s="319">
        <f t="shared" si="1"/>
        <v>119.82262105074096</v>
      </c>
      <c r="D35" s="320">
        <f t="shared" si="2"/>
        <v>511.11111111111109</v>
      </c>
      <c r="E35" s="321">
        <f t="shared" si="3"/>
        <v>50.069541562156211</v>
      </c>
      <c r="F35" s="319">
        <f t="shared" si="4"/>
        <v>103.01773789492586</v>
      </c>
      <c r="G35" s="322">
        <f t="shared" si="5"/>
        <v>575</v>
      </c>
      <c r="H35" s="321">
        <f t="shared" si="6"/>
        <v>95.55447518601828</v>
      </c>
      <c r="I35" s="323">
        <f t="shared" si="7"/>
        <v>145.62401674817448</v>
      </c>
      <c r="J35" s="324">
        <f t="shared" si="8"/>
        <v>1</v>
      </c>
    </row>
    <row r="36" spans="1:10" ht="3.6" customHeight="1" x14ac:dyDescent="0.2">
      <c r="A36" s="325"/>
      <c r="B36" s="326"/>
      <c r="C36" s="327"/>
      <c r="D36" s="328"/>
      <c r="E36" s="329"/>
      <c r="F36" s="327"/>
      <c r="G36" s="328"/>
      <c r="H36" s="329"/>
      <c r="I36" s="327"/>
      <c r="J36" s="330"/>
    </row>
    <row r="37" spans="1:10" x14ac:dyDescent="0.2">
      <c r="A37" s="98" t="s">
        <v>78</v>
      </c>
    </row>
    <row r="38" spans="1:10" ht="14.25" x14ac:dyDescent="0.2">
      <c r="A38" s="185" t="s">
        <v>390</v>
      </c>
      <c r="B38" s="444" t="s">
        <v>79</v>
      </c>
      <c r="C38" s="444"/>
      <c r="D38" s="474" t="s">
        <v>182</v>
      </c>
      <c r="E38" s="474"/>
      <c r="F38" s="474"/>
    </row>
    <row r="39" spans="1:10" ht="14.25" x14ac:dyDescent="0.2">
      <c r="A39" s="185" t="s">
        <v>392</v>
      </c>
      <c r="B39" s="444" t="s">
        <v>80</v>
      </c>
      <c r="C39" s="444"/>
      <c r="D39" s="474" t="s">
        <v>183</v>
      </c>
      <c r="E39" s="474"/>
      <c r="F39" s="474"/>
      <c r="H39" s="10"/>
      <c r="J39" s="10"/>
    </row>
    <row r="40" spans="1:10" x14ac:dyDescent="0.2">
      <c r="A40" s="185" t="s">
        <v>394</v>
      </c>
      <c r="B40" s="189" t="s">
        <v>168</v>
      </c>
      <c r="C40" s="98"/>
      <c r="D40" s="55"/>
    </row>
    <row r="41" spans="1:10" x14ac:dyDescent="0.2">
      <c r="B41" s="285" t="s">
        <v>419</v>
      </c>
    </row>
  </sheetData>
  <sheetProtection password="8881" sheet="1" objects="1" scenarios="1"/>
  <mergeCells count="14">
    <mergeCell ref="A1:H1"/>
    <mergeCell ref="A22:C22"/>
    <mergeCell ref="B17:C17"/>
    <mergeCell ref="D17:G17"/>
    <mergeCell ref="I23:J23"/>
    <mergeCell ref="A23:A24"/>
    <mergeCell ref="C23:E23"/>
    <mergeCell ref="F23:H23"/>
    <mergeCell ref="B23:B24"/>
    <mergeCell ref="B38:C38"/>
    <mergeCell ref="B39:C39"/>
    <mergeCell ref="D38:F38"/>
    <mergeCell ref="D39:F39"/>
    <mergeCell ref="D18:G18"/>
  </mergeCells>
  <phoneticPr fontId="0" type="noConversion"/>
  <printOptions horizontalCentered="1" verticalCentered="1"/>
  <pageMargins left="0.81" right="0.38" top="0.39" bottom="0.84" header="0.12" footer="0.55000000000000004"/>
  <pageSetup scale="73" orientation="portrait" r:id="rId1"/>
  <headerFooter alignWithMargins="0">
    <oddHeader>&amp;LArt Montemayor&amp;CVolume of a Partially Filled Torispherical  Bottom Head&amp;RJuly 20, 2003
Rev: 1</oddHeader>
    <oddFooter>&amp;CPage &amp;P of &amp;N&amp;RFileName: &amp;F
WorkSheet: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51"/>
  <sheetViews>
    <sheetView topLeftCell="A13" workbookViewId="0">
      <selection activeCell="M31" sqref="M31"/>
    </sheetView>
  </sheetViews>
  <sheetFormatPr defaultRowHeight="12.75" x14ac:dyDescent="0.2"/>
  <cols>
    <col min="1" max="1" width="6.85546875" customWidth="1"/>
    <col min="5" max="5" width="8.140625" customWidth="1"/>
    <col min="11" max="11" width="7.28515625" customWidth="1"/>
    <col min="12" max="12" width="8.140625" customWidth="1"/>
    <col min="14" max="14" width="6.7109375" customWidth="1"/>
    <col min="15" max="15" width="7.28515625" customWidth="1"/>
    <col min="16" max="16" width="8" customWidth="1"/>
  </cols>
  <sheetData>
    <row r="3" spans="2:8" x14ac:dyDescent="0.2">
      <c r="B3" s="185" t="s">
        <v>81</v>
      </c>
      <c r="F3" s="331">
        <v>84</v>
      </c>
      <c r="G3" s="189" t="s">
        <v>356</v>
      </c>
    </row>
    <row r="4" spans="2:8" x14ac:dyDescent="0.2">
      <c r="B4" s="185" t="s">
        <v>82</v>
      </c>
      <c r="C4" t="s">
        <v>83</v>
      </c>
      <c r="F4" s="332">
        <v>0.06</v>
      </c>
      <c r="G4" s="189" t="s">
        <v>356</v>
      </c>
    </row>
    <row r="5" spans="2:8" x14ac:dyDescent="0.2">
      <c r="B5" s="185" t="s">
        <v>84</v>
      </c>
      <c r="C5" t="s">
        <v>85</v>
      </c>
      <c r="F5" s="333">
        <v>1</v>
      </c>
    </row>
    <row r="6" spans="2:8" x14ac:dyDescent="0.2">
      <c r="B6" s="185" t="s">
        <v>86</v>
      </c>
      <c r="C6" s="334">
        <f>k*D</f>
        <v>5.04</v>
      </c>
      <c r="D6" s="189" t="s">
        <v>356</v>
      </c>
    </row>
    <row r="7" spans="2:8" x14ac:dyDescent="0.2">
      <c r="B7" s="185" t="s">
        <v>87</v>
      </c>
      <c r="C7" s="335">
        <f>f*D</f>
        <v>84</v>
      </c>
      <c r="D7" s="189" t="s">
        <v>356</v>
      </c>
    </row>
    <row r="9" spans="2:8" ht="13.5" thickBot="1" x14ac:dyDescent="0.25">
      <c r="B9" s="336" t="s">
        <v>88</v>
      </c>
      <c r="C9" s="2">
        <f>ASIN((1-2*k)/(2*(f-k)))</f>
        <v>0.48712258589057239</v>
      </c>
      <c r="D9" t="s">
        <v>56</v>
      </c>
      <c r="E9" s="185" t="s">
        <v>100</v>
      </c>
      <c r="F9" s="1">
        <f>COS(Alpha)</f>
        <v>0.88368338967213556</v>
      </c>
      <c r="G9" s="185" t="s">
        <v>101</v>
      </c>
      <c r="H9" s="1">
        <f>SIN(Alpha)</f>
        <v>0.46808510638297879</v>
      </c>
    </row>
    <row r="10" spans="2:8" ht="13.5" thickBot="1" x14ac:dyDescent="0.25">
      <c r="B10" s="185" t="s">
        <v>89</v>
      </c>
      <c r="C10" s="337">
        <f>fD*(1-COS(Alpha))</f>
        <v>9.7705952675406138</v>
      </c>
      <c r="D10" s="189" t="s">
        <v>356</v>
      </c>
      <c r="E10" s="185" t="s">
        <v>102</v>
      </c>
      <c r="F10" s="1">
        <f>ACOS(Alpha)</f>
        <v>1.0620043607954348</v>
      </c>
      <c r="G10" s="185" t="s">
        <v>103</v>
      </c>
      <c r="H10" s="1">
        <f>ASIN(Alpha)</f>
        <v>0.50879196599946175</v>
      </c>
    </row>
    <row r="11" spans="2:8" ht="13.5" thickBot="1" x14ac:dyDescent="0.25">
      <c r="B11" s="185" t="s">
        <v>90</v>
      </c>
      <c r="C11" s="337">
        <f>kD*COS(Alpha)</f>
        <v>4.4537642839475629</v>
      </c>
      <c r="D11" s="189" t="s">
        <v>356</v>
      </c>
    </row>
    <row r="12" spans="2:8" x14ac:dyDescent="0.2">
      <c r="B12" s="185" t="s">
        <v>91</v>
      </c>
      <c r="C12">
        <f>2*fD*SIN(Alpha)</f>
        <v>78.638297872340431</v>
      </c>
    </row>
    <row r="13" spans="2:8" x14ac:dyDescent="0.2">
      <c r="B13" s="185" t="s">
        <v>92</v>
      </c>
      <c r="C13">
        <f>(kD*SIN(Alpha))^2</f>
        <v>5.5655837030330488</v>
      </c>
    </row>
    <row r="14" spans="2:8" x14ac:dyDescent="0.2">
      <c r="B14" s="185" t="s">
        <v>93</v>
      </c>
      <c r="C14" s="338">
        <f>2*kD*COS(Alpha)</f>
        <v>8.9075285678951257</v>
      </c>
      <c r="D14" s="338">
        <f>2*atwo</f>
        <v>8.9075285678951257</v>
      </c>
    </row>
    <row r="15" spans="2:8" x14ac:dyDescent="0.2">
      <c r="B15" s="185" t="s">
        <v>94</v>
      </c>
      <c r="C15">
        <f>H21-fD*(1-COS(Alpha))</f>
        <v>5.5831947324593862</v>
      </c>
    </row>
    <row r="17" spans="1:16" x14ac:dyDescent="0.2">
      <c r="A17" t="s">
        <v>95</v>
      </c>
    </row>
    <row r="18" spans="1:16" ht="13.5" thickBot="1" x14ac:dyDescent="0.25"/>
    <row r="19" spans="1:16" ht="13.5" thickBot="1" x14ac:dyDescent="0.25">
      <c r="A19" s="339">
        <v>0</v>
      </c>
      <c r="B19" s="340" t="s">
        <v>334</v>
      </c>
      <c r="C19" s="341">
        <f>aone</f>
        <v>9.7705952675406138</v>
      </c>
      <c r="G19" s="339">
        <f>aone</f>
        <v>9.7705952675406138</v>
      </c>
      <c r="H19" s="340" t="s">
        <v>334</v>
      </c>
      <c r="I19" s="341">
        <f>aone+atwo</f>
        <v>14.224359551488178</v>
      </c>
      <c r="L19" s="339">
        <f>SUM(aone:atwo)</f>
        <v>14.224359551488178</v>
      </c>
      <c r="M19" s="340" t="s">
        <v>334</v>
      </c>
      <c r="N19" s="342" t="s">
        <v>96</v>
      </c>
    </row>
    <row r="20" spans="1:16" ht="13.5" thickBot="1" x14ac:dyDescent="0.25"/>
    <row r="21" spans="1:16" ht="13.5" thickBot="1" x14ac:dyDescent="0.25">
      <c r="A21" s="88" t="s">
        <v>97</v>
      </c>
      <c r="B21" s="343">
        <v>15.35379</v>
      </c>
      <c r="C21" t="s">
        <v>98</v>
      </c>
      <c r="G21" s="88" t="s">
        <v>97</v>
      </c>
      <c r="H21" s="344">
        <v>15.35379</v>
      </c>
      <c r="I21" t="s">
        <v>98</v>
      </c>
      <c r="L21" s="88" t="s">
        <v>97</v>
      </c>
      <c r="M21" s="343">
        <v>24</v>
      </c>
      <c r="N21" s="204" t="s">
        <v>98</v>
      </c>
    </row>
    <row r="22" spans="1:16" ht="14.25" x14ac:dyDescent="0.2">
      <c r="A22" s="88" t="s">
        <v>99</v>
      </c>
      <c r="B22" s="345">
        <f>(PI()*h^2)/4*(2*aone+Done^2/(2*aone)-4*h/3)</f>
        <v>58419.70558966128</v>
      </c>
      <c r="C22" s="189" t="s">
        <v>104</v>
      </c>
      <c r="D22" s="346">
        <f>B22/231</f>
        <v>252.89915839680208</v>
      </c>
      <c r="E22" t="s">
        <v>551</v>
      </c>
      <c r="G22" s="88" t="s">
        <v>99</v>
      </c>
      <c r="H22" s="345">
        <f>(PI()/4)*(((2*aone^3)/3)+((aone*Done^2)/2))+PI()*u*((D/2-kD)^2+s)+(PI()*t*(u)^2)/2 - (PI()*(u)^3)/3+PI()*D*(1-2*k)*(((2*u-t)/4)*SQRT(s+t*u-u^2)+t*SQRT(s)/4+(k^2*D^2/2)*(ACOS((t-2*u)/(2*k*D))-Alpha))</f>
        <v>54254.819489841735</v>
      </c>
      <c r="I22" s="189" t="s">
        <v>104</v>
      </c>
      <c r="J22" s="346">
        <f>H22/231</f>
        <v>234.86934844087332</v>
      </c>
      <c r="K22" t="s">
        <v>551</v>
      </c>
      <c r="L22" s="88" t="s">
        <v>99</v>
      </c>
      <c r="M22" s="347">
        <f>(PI()/4)*(((2*aone^3)/3+(aone*Done^2)/2))+((PI()*t)/2)*(((D/2)-kD)^2+s)+(PI()*(((t)^3)/12))+(PI()*D*(1-2*k))*((t*SQRT(s))/4+((k^2*D^2)/2)*(ASIN($F$9)))+((PI()*D^2)/4)*(M21-(aone+atwo))</f>
        <v>102182.77934248821</v>
      </c>
      <c r="N22" s="189" t="s">
        <v>104</v>
      </c>
      <c r="O22" s="346">
        <f>M22/231</f>
        <v>442.34969412332561</v>
      </c>
      <c r="P22" t="s">
        <v>551</v>
      </c>
    </row>
    <row r="23" spans="1:16" x14ac:dyDescent="0.2">
      <c r="D23" s="348"/>
      <c r="J23" s="348"/>
      <c r="O23" s="348"/>
    </row>
    <row r="24" spans="1:16" x14ac:dyDescent="0.2">
      <c r="A24" s="349"/>
      <c r="B24" s="349"/>
    </row>
    <row r="25" spans="1:16" x14ac:dyDescent="0.2">
      <c r="A25" s="3"/>
      <c r="B25" s="53"/>
    </row>
    <row r="26" spans="1:16" x14ac:dyDescent="0.2">
      <c r="A26" s="3"/>
      <c r="B26" s="53"/>
    </row>
    <row r="27" spans="1:16" x14ac:dyDescent="0.2">
      <c r="A27" s="3"/>
      <c r="B27" s="53"/>
    </row>
    <row r="28" spans="1:16" x14ac:dyDescent="0.2">
      <c r="A28" s="3"/>
      <c r="B28" s="53"/>
    </row>
    <row r="29" spans="1:16" x14ac:dyDescent="0.2">
      <c r="A29" s="3"/>
      <c r="B29" s="53"/>
    </row>
    <row r="30" spans="1:16" x14ac:dyDescent="0.2">
      <c r="A30" s="3"/>
      <c r="B30" s="53"/>
    </row>
    <row r="31" spans="1:16" x14ac:dyDescent="0.2">
      <c r="A31" s="3"/>
      <c r="B31" s="53"/>
    </row>
    <row r="32" spans="1:16" x14ac:dyDescent="0.2">
      <c r="A32" s="3"/>
      <c r="B32" s="53"/>
    </row>
    <row r="33" spans="1:8" x14ac:dyDescent="0.2">
      <c r="A33" s="3"/>
      <c r="B33" s="53"/>
    </row>
    <row r="34" spans="1:8" x14ac:dyDescent="0.2">
      <c r="A34" s="3"/>
      <c r="B34" s="53"/>
    </row>
    <row r="35" spans="1:8" x14ac:dyDescent="0.2">
      <c r="A35" s="3"/>
      <c r="B35" s="53"/>
    </row>
    <row r="36" spans="1:8" x14ac:dyDescent="0.2">
      <c r="A36" s="3"/>
      <c r="B36" s="53"/>
    </row>
    <row r="37" spans="1:8" x14ac:dyDescent="0.2">
      <c r="A37" s="3"/>
      <c r="B37" s="53"/>
    </row>
    <row r="38" spans="1:8" x14ac:dyDescent="0.2">
      <c r="A38" s="3"/>
      <c r="B38" s="53"/>
    </row>
    <row r="39" spans="1:8" x14ac:dyDescent="0.2">
      <c r="A39" s="3"/>
      <c r="B39" s="53"/>
    </row>
    <row r="40" spans="1:8" x14ac:dyDescent="0.2">
      <c r="A40" s="3"/>
      <c r="B40" s="53"/>
    </row>
    <row r="41" spans="1:8" x14ac:dyDescent="0.2">
      <c r="A41" s="3"/>
      <c r="B41" s="53"/>
      <c r="H41" s="53"/>
    </row>
    <row r="42" spans="1:8" x14ac:dyDescent="0.2">
      <c r="A42" s="3"/>
      <c r="B42" s="3"/>
      <c r="H42" s="53"/>
    </row>
    <row r="43" spans="1:8" x14ac:dyDescent="0.2">
      <c r="A43" s="3"/>
      <c r="B43" s="3"/>
      <c r="H43" s="53"/>
    </row>
    <row r="44" spans="1:8" x14ac:dyDescent="0.2">
      <c r="A44" s="3"/>
      <c r="B44" s="3"/>
      <c r="H44" s="53"/>
    </row>
    <row r="45" spans="1:8" x14ac:dyDescent="0.2">
      <c r="A45" s="3"/>
      <c r="B45" s="3"/>
      <c r="H45" s="53"/>
    </row>
    <row r="46" spans="1:8" x14ac:dyDescent="0.2">
      <c r="H46" s="53"/>
    </row>
    <row r="47" spans="1:8" x14ac:dyDescent="0.2">
      <c r="H47" s="53"/>
    </row>
    <row r="48" spans="1:8" x14ac:dyDescent="0.2">
      <c r="H48" s="53"/>
    </row>
    <row r="49" spans="8:13" x14ac:dyDescent="0.2">
      <c r="H49" s="53"/>
      <c r="M49" s="10"/>
    </row>
    <row r="50" spans="8:13" x14ac:dyDescent="0.2">
      <c r="M50" s="10"/>
    </row>
    <row r="51" spans="8:13" x14ac:dyDescent="0.2">
      <c r="M51" s="10"/>
    </row>
  </sheetData>
  <sheetProtection password="8881" sheet="1" objects="1" scenarios="1"/>
  <phoneticPr fontId="0" type="noConversion"/>
  <pageMargins left="0.2" right="0.55000000000000004" top="0.82" bottom="0.48" header="0.5" footer="0.12"/>
  <pageSetup scale="95" orientation="landscape" r:id="rId1"/>
  <headerFooter alignWithMargins="0">
    <oddHeader>&amp;LArt Montemayor&amp;CVertical Tank Bottom Torispherical Head Volume&amp;RSeptember 30, 2004
Rev: 0</oddHeader>
    <oddFooter>&amp;CPage &amp;P of &amp;N&amp;RFileName: &amp;F
WorkSheet: &amp;A</oddFooter>
  </headerFooter>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79"/>
  <sheetViews>
    <sheetView workbookViewId="0">
      <selection activeCell="J3" sqref="J3"/>
    </sheetView>
  </sheetViews>
  <sheetFormatPr defaultColWidth="4.7109375" defaultRowHeight="12.75" x14ac:dyDescent="0.2"/>
  <cols>
    <col min="1" max="18" width="4.7109375" customWidth="1"/>
    <col min="19" max="19" width="5" customWidth="1"/>
  </cols>
  <sheetData>
    <row r="1" spans="1:18" x14ac:dyDescent="0.2">
      <c r="A1" s="404" t="s">
        <v>603</v>
      </c>
      <c r="B1" s="404"/>
      <c r="C1" s="404"/>
      <c r="D1" s="404"/>
      <c r="E1" s="404"/>
      <c r="F1" s="404"/>
      <c r="G1" s="404"/>
      <c r="H1" s="404"/>
      <c r="I1" s="404"/>
      <c r="J1" s="404"/>
      <c r="K1" s="404"/>
      <c r="L1" s="404"/>
      <c r="M1" s="404"/>
      <c r="N1" s="404"/>
      <c r="O1" s="404"/>
      <c r="P1" s="404"/>
      <c r="Q1" s="404"/>
      <c r="R1" s="404"/>
    </row>
    <row r="3" spans="1:18" ht="15" customHeight="1" x14ac:dyDescent="0.25">
      <c r="A3" s="486" t="s">
        <v>604</v>
      </c>
      <c r="B3" s="486"/>
      <c r="C3" s="486"/>
      <c r="D3" s="486"/>
      <c r="E3" s="486"/>
      <c r="F3" s="486"/>
      <c r="G3" s="486"/>
      <c r="H3" s="486"/>
      <c r="I3" s="486"/>
    </row>
    <row r="4" spans="1:18" ht="15" customHeight="1" x14ac:dyDescent="0.2">
      <c r="A4" s="205" t="s">
        <v>605</v>
      </c>
      <c r="B4" s="205"/>
    </row>
    <row r="5" spans="1:18" ht="12.75" customHeight="1" x14ac:dyDescent="0.2">
      <c r="A5" s="488" t="s">
        <v>606</v>
      </c>
      <c r="B5" s="488"/>
      <c r="C5" s="488"/>
      <c r="D5" s="488"/>
      <c r="E5" s="488"/>
    </row>
    <row r="7" spans="1:18" x14ac:dyDescent="0.2">
      <c r="A7" s="189" t="s">
        <v>607</v>
      </c>
    </row>
    <row r="8" spans="1:18" x14ac:dyDescent="0.2">
      <c r="A8" s="189" t="s">
        <v>608</v>
      </c>
    </row>
    <row r="9" spans="1:18" x14ac:dyDescent="0.2">
      <c r="A9" s="189" t="s">
        <v>609</v>
      </c>
    </row>
    <row r="10" spans="1:18" x14ac:dyDescent="0.2">
      <c r="A10" s="204" t="s">
        <v>610</v>
      </c>
    </row>
    <row r="12" spans="1:18" x14ac:dyDescent="0.2">
      <c r="A12" s="189" t="s">
        <v>611</v>
      </c>
    </row>
    <row r="13" spans="1:18" x14ac:dyDescent="0.2">
      <c r="A13" s="189" t="s">
        <v>612</v>
      </c>
    </row>
    <row r="14" spans="1:18" x14ac:dyDescent="0.2">
      <c r="A14" s="189" t="s">
        <v>613</v>
      </c>
    </row>
    <row r="15" spans="1:18" x14ac:dyDescent="0.2">
      <c r="A15" s="204" t="s">
        <v>614</v>
      </c>
    </row>
    <row r="17" spans="1:1" x14ac:dyDescent="0.2">
      <c r="A17" s="189" t="s">
        <v>615</v>
      </c>
    </row>
    <row r="18" spans="1:1" x14ac:dyDescent="0.2">
      <c r="A18" s="189" t="s">
        <v>616</v>
      </c>
    </row>
    <row r="19" spans="1:1" x14ac:dyDescent="0.2">
      <c r="A19" s="204" t="s">
        <v>617</v>
      </c>
    </row>
    <row r="21" spans="1:1" ht="15.75" x14ac:dyDescent="0.25">
      <c r="A21" s="206" t="s">
        <v>618</v>
      </c>
    </row>
    <row r="22" spans="1:1" x14ac:dyDescent="0.2">
      <c r="A22" s="189" t="s">
        <v>619</v>
      </c>
    </row>
    <row r="23" spans="1:1" x14ac:dyDescent="0.2">
      <c r="A23" s="189" t="s">
        <v>620</v>
      </c>
    </row>
    <row r="24" spans="1:1" x14ac:dyDescent="0.2">
      <c r="A24" s="189" t="s">
        <v>621</v>
      </c>
    </row>
    <row r="25" spans="1:1" x14ac:dyDescent="0.2">
      <c r="A25" s="189" t="s">
        <v>623</v>
      </c>
    </row>
    <row r="26" spans="1:1" x14ac:dyDescent="0.2">
      <c r="A26" s="204" t="s">
        <v>622</v>
      </c>
    </row>
    <row r="28" spans="1:1" x14ac:dyDescent="0.2">
      <c r="A28" s="189" t="s">
        <v>624</v>
      </c>
    </row>
    <row r="29" spans="1:1" x14ac:dyDescent="0.2">
      <c r="A29" s="189" t="s">
        <v>625</v>
      </c>
    </row>
    <row r="30" spans="1:1" x14ac:dyDescent="0.2">
      <c r="A30" s="189" t="s">
        <v>205</v>
      </c>
    </row>
    <row r="31" spans="1:1" x14ac:dyDescent="0.2">
      <c r="A31" s="189" t="s">
        <v>206</v>
      </c>
    </row>
    <row r="33" spans="1:1" x14ac:dyDescent="0.2">
      <c r="A33" s="204" t="s">
        <v>626</v>
      </c>
    </row>
    <row r="53" spans="1:3" ht="15.75" x14ac:dyDescent="0.25">
      <c r="B53" s="207" t="s">
        <v>627</v>
      </c>
      <c r="C53" t="s">
        <v>628</v>
      </c>
    </row>
    <row r="54" spans="1:3" ht="15.75" x14ac:dyDescent="0.25">
      <c r="B54" s="207" t="s">
        <v>629</v>
      </c>
      <c r="C54" s="189" t="s">
        <v>207</v>
      </c>
    </row>
    <row r="55" spans="1:3" ht="15.75" x14ac:dyDescent="0.25">
      <c r="B55" s="207" t="s">
        <v>630</v>
      </c>
      <c r="C55" s="189" t="s">
        <v>208</v>
      </c>
    </row>
    <row r="56" spans="1:3" ht="15.75" x14ac:dyDescent="0.25">
      <c r="B56" s="207" t="s">
        <v>631</v>
      </c>
      <c r="C56" t="s">
        <v>632</v>
      </c>
    </row>
    <row r="57" spans="1:3" ht="15.75" x14ac:dyDescent="0.25">
      <c r="B57" s="207" t="s">
        <v>582</v>
      </c>
      <c r="C57" s="189" t="s">
        <v>209</v>
      </c>
    </row>
    <row r="58" spans="1:3" ht="15.75" x14ac:dyDescent="0.25">
      <c r="B58" s="207" t="s">
        <v>633</v>
      </c>
      <c r="C58" t="s">
        <v>634</v>
      </c>
    </row>
    <row r="59" spans="1:3" ht="15.75" x14ac:dyDescent="0.25">
      <c r="B59" s="207" t="s">
        <v>584</v>
      </c>
      <c r="C59" s="189" t="s">
        <v>210</v>
      </c>
    </row>
    <row r="61" spans="1:3" x14ac:dyDescent="0.2">
      <c r="A61" s="189" t="s">
        <v>635</v>
      </c>
    </row>
    <row r="62" spans="1:3" x14ac:dyDescent="0.2">
      <c r="A62" s="189" t="s">
        <v>636</v>
      </c>
    </row>
    <row r="63" spans="1:3" x14ac:dyDescent="0.2">
      <c r="A63" t="s">
        <v>637</v>
      </c>
    </row>
    <row r="65" spans="1:4" x14ac:dyDescent="0.2">
      <c r="A65" s="189" t="s">
        <v>638</v>
      </c>
    </row>
    <row r="66" spans="1:4" x14ac:dyDescent="0.2">
      <c r="A66" s="189" t="s">
        <v>639</v>
      </c>
    </row>
    <row r="67" spans="1:4" x14ac:dyDescent="0.2">
      <c r="A67" s="189" t="s">
        <v>640</v>
      </c>
    </row>
    <row r="68" spans="1:4" x14ac:dyDescent="0.2">
      <c r="A68" s="204" t="s">
        <v>641</v>
      </c>
    </row>
    <row r="70" spans="1:4" x14ac:dyDescent="0.2">
      <c r="A70" s="204" t="s">
        <v>642</v>
      </c>
    </row>
    <row r="71" spans="1:4" ht="6.75" customHeight="1" x14ac:dyDescent="0.2"/>
    <row r="72" spans="1:4" ht="12.75" customHeight="1" x14ac:dyDescent="0.25">
      <c r="C72" s="208" t="s">
        <v>643</v>
      </c>
      <c r="D72" s="209" t="s">
        <v>238</v>
      </c>
    </row>
    <row r="73" spans="1:4" ht="12.75" customHeight="1" x14ac:dyDescent="0.25">
      <c r="C73" s="208" t="s">
        <v>643</v>
      </c>
      <c r="D73" s="209" t="s">
        <v>239</v>
      </c>
    </row>
    <row r="74" spans="1:4" ht="12.75" customHeight="1" x14ac:dyDescent="0.25">
      <c r="C74" s="208" t="s">
        <v>643</v>
      </c>
      <c r="D74" s="209" t="s">
        <v>240</v>
      </c>
    </row>
    <row r="75" spans="1:4" ht="12.75" customHeight="1" x14ac:dyDescent="0.25">
      <c r="C75" s="208" t="s">
        <v>643</v>
      </c>
      <c r="D75" s="209" t="s">
        <v>644</v>
      </c>
    </row>
    <row r="76" spans="1:4" ht="12.75" customHeight="1" x14ac:dyDescent="0.25">
      <c r="C76" s="208" t="s">
        <v>643</v>
      </c>
      <c r="D76" s="209" t="s">
        <v>241</v>
      </c>
    </row>
    <row r="77" spans="1:4" ht="12.75" customHeight="1" x14ac:dyDescent="0.25">
      <c r="C77" s="208" t="s">
        <v>643</v>
      </c>
      <c r="D77" s="209" t="s">
        <v>645</v>
      </c>
    </row>
    <row r="78" spans="1:4" ht="12.75" customHeight="1" x14ac:dyDescent="0.25">
      <c r="C78" s="208" t="s">
        <v>643</v>
      </c>
      <c r="D78" s="209" t="s">
        <v>242</v>
      </c>
    </row>
    <row r="79" spans="1:4" ht="12.75" customHeight="1" x14ac:dyDescent="0.25">
      <c r="C79" s="208"/>
      <c r="D79" s="209"/>
    </row>
    <row r="80" spans="1:4" ht="12.75" customHeight="1" x14ac:dyDescent="0.25">
      <c r="C80" s="208"/>
      <c r="D80" s="209"/>
    </row>
    <row r="81" spans="1:19" ht="12.75" customHeight="1" x14ac:dyDescent="0.25">
      <c r="A81" t="s">
        <v>1</v>
      </c>
      <c r="C81" s="208"/>
      <c r="D81" s="209"/>
    </row>
    <row r="82" spans="1:19" ht="12.75" customHeight="1" x14ac:dyDescent="0.2">
      <c r="C82" s="218"/>
      <c r="D82" s="209"/>
    </row>
    <row r="83" spans="1:19" ht="12.75" customHeight="1" x14ac:dyDescent="0.2">
      <c r="B83" s="5" t="s">
        <v>2</v>
      </c>
      <c r="C83" s="489" t="s">
        <v>3</v>
      </c>
      <c r="D83" s="489"/>
      <c r="E83" s="489"/>
      <c r="F83" s="489"/>
      <c r="G83" s="489"/>
      <c r="H83" s="489"/>
      <c r="I83" s="489"/>
      <c r="J83" s="489"/>
      <c r="K83" s="489"/>
      <c r="L83" s="489"/>
      <c r="M83" s="489"/>
      <c r="N83" s="489"/>
      <c r="O83" s="489"/>
      <c r="P83" s="489"/>
      <c r="Q83" s="489"/>
      <c r="R83" s="489"/>
      <c r="S83" s="489"/>
    </row>
    <row r="84" spans="1:19" ht="12.75" customHeight="1" x14ac:dyDescent="0.2">
      <c r="C84" s="218" t="s">
        <v>4</v>
      </c>
      <c r="D84" s="209"/>
    </row>
    <row r="85" spans="1:19" ht="12.75" customHeight="1" x14ac:dyDescent="0.2">
      <c r="C85" s="218" t="s">
        <v>10</v>
      </c>
      <c r="D85" s="209"/>
    </row>
    <row r="86" spans="1:19" ht="12.75" customHeight="1" x14ac:dyDescent="0.2">
      <c r="C86" s="218"/>
      <c r="D86" s="209"/>
    </row>
    <row r="87" spans="1:19" ht="12.75" customHeight="1" x14ac:dyDescent="0.25">
      <c r="B87" s="5" t="s">
        <v>5</v>
      </c>
      <c r="C87" s="216" t="s">
        <v>6</v>
      </c>
      <c r="D87" s="209"/>
    </row>
    <row r="88" spans="1:19" ht="12.75" customHeight="1" x14ac:dyDescent="0.2">
      <c r="C88" s="218"/>
      <c r="D88" s="209"/>
    </row>
    <row r="89" spans="1:19" ht="12.75" customHeight="1" x14ac:dyDescent="0.2">
      <c r="B89" s="5" t="s">
        <v>7</v>
      </c>
      <c r="C89" s="216" t="s">
        <v>8</v>
      </c>
      <c r="D89" s="209"/>
    </row>
    <row r="90" spans="1:19" ht="12.75" customHeight="1" x14ac:dyDescent="0.2">
      <c r="C90" s="218"/>
      <c r="D90" s="209"/>
    </row>
    <row r="91" spans="1:19" ht="12.75" customHeight="1" x14ac:dyDescent="0.25">
      <c r="A91" s="490" t="s">
        <v>9</v>
      </c>
      <c r="B91" s="490"/>
      <c r="C91" t="s">
        <v>14</v>
      </c>
      <c r="D91" s="209"/>
    </row>
    <row r="92" spans="1:19" ht="12.75" customHeight="1" x14ac:dyDescent="0.2">
      <c r="C92" t="s">
        <v>15</v>
      </c>
      <c r="D92" s="209"/>
    </row>
    <row r="93" spans="1:19" ht="12.75" customHeight="1" x14ac:dyDescent="0.2">
      <c r="C93" s="218"/>
      <c r="D93" s="209"/>
    </row>
    <row r="94" spans="1:19" ht="12.75" customHeight="1" x14ac:dyDescent="0.25">
      <c r="A94" s="490" t="s">
        <v>13</v>
      </c>
      <c r="B94" s="490"/>
      <c r="C94" s="216" t="s">
        <v>11</v>
      </c>
      <c r="D94" s="209"/>
    </row>
    <row r="95" spans="1:19" ht="12.75" customHeight="1" x14ac:dyDescent="0.2">
      <c r="C95" s="216" t="s">
        <v>12</v>
      </c>
      <c r="D95" s="209"/>
    </row>
    <row r="96" spans="1:19" ht="12.75" customHeight="1" x14ac:dyDescent="0.2">
      <c r="C96" s="218"/>
      <c r="D96" s="209"/>
    </row>
    <row r="97" spans="2:4" ht="12.75" customHeight="1" x14ac:dyDescent="0.2">
      <c r="B97" s="5" t="s">
        <v>16</v>
      </c>
      <c r="C97" s="216" t="s">
        <v>17</v>
      </c>
      <c r="D97" s="209"/>
    </row>
    <row r="98" spans="2:4" ht="12.75" customHeight="1" x14ac:dyDescent="0.2">
      <c r="C98" s="218"/>
      <c r="D98" s="209"/>
    </row>
    <row r="99" spans="2:4" ht="12.75" customHeight="1" x14ac:dyDescent="0.2">
      <c r="B99" s="5" t="s">
        <v>334</v>
      </c>
      <c r="C99" s="216" t="s">
        <v>18</v>
      </c>
      <c r="D99" s="209"/>
    </row>
    <row r="100" spans="2:4" ht="12.75" customHeight="1" x14ac:dyDescent="0.2">
      <c r="C100" s="218"/>
      <c r="D100" s="209"/>
    </row>
    <row r="101" spans="2:4" ht="12.75" customHeight="1" x14ac:dyDescent="0.2">
      <c r="B101" s="5" t="s">
        <v>19</v>
      </c>
      <c r="C101" s="216" t="s">
        <v>22</v>
      </c>
      <c r="D101" s="209"/>
    </row>
    <row r="102" spans="2:4" ht="12.75" customHeight="1" x14ac:dyDescent="0.2">
      <c r="C102" s="216" t="s">
        <v>23</v>
      </c>
      <c r="D102" s="209"/>
    </row>
    <row r="103" spans="2:4" ht="12.75" customHeight="1" x14ac:dyDescent="0.2">
      <c r="C103" s="218"/>
      <c r="D103" s="209"/>
    </row>
    <row r="104" spans="2:4" ht="12.75" customHeight="1" x14ac:dyDescent="0.2">
      <c r="B104" s="5" t="s">
        <v>24</v>
      </c>
      <c r="C104" s="216" t="s">
        <v>25</v>
      </c>
      <c r="D104" s="209"/>
    </row>
    <row r="105" spans="2:4" ht="12.75" customHeight="1" x14ac:dyDescent="0.2">
      <c r="C105" s="218"/>
      <c r="D105" s="209"/>
    </row>
    <row r="106" spans="2:4" ht="12.75" customHeight="1" x14ac:dyDescent="0.2">
      <c r="B106" s="5" t="s">
        <v>26</v>
      </c>
      <c r="C106" s="216" t="s">
        <v>27</v>
      </c>
      <c r="D106" s="209"/>
    </row>
    <row r="107" spans="2:4" ht="12.75" customHeight="1" x14ac:dyDescent="0.2">
      <c r="C107" s="218"/>
      <c r="D107" s="209"/>
    </row>
    <row r="108" spans="2:4" ht="12.75" customHeight="1" x14ac:dyDescent="0.2">
      <c r="B108" s="5" t="s">
        <v>322</v>
      </c>
      <c r="C108" s="216" t="s">
        <v>28</v>
      </c>
      <c r="D108" s="209"/>
    </row>
    <row r="109" spans="2:4" ht="12.75" customHeight="1" x14ac:dyDescent="0.2">
      <c r="C109" s="218"/>
      <c r="D109" s="209"/>
    </row>
    <row r="110" spans="2:4" ht="12.75" customHeight="1" x14ac:dyDescent="0.25">
      <c r="B110" s="113" t="s">
        <v>29</v>
      </c>
      <c r="C110" s="216" t="s">
        <v>30</v>
      </c>
      <c r="D110" s="209"/>
    </row>
    <row r="111" spans="2:4" ht="12.75" customHeight="1" x14ac:dyDescent="0.2">
      <c r="C111" s="218"/>
      <c r="D111" s="209"/>
    </row>
    <row r="112" spans="2:4" x14ac:dyDescent="0.2">
      <c r="C112" s="216"/>
    </row>
    <row r="113" spans="1:1" ht="15.75" x14ac:dyDescent="0.25">
      <c r="A113" s="206" t="s">
        <v>646</v>
      </c>
    </row>
    <row r="114" spans="1:1" x14ac:dyDescent="0.2">
      <c r="A114" s="189" t="s">
        <v>31</v>
      </c>
    </row>
    <row r="115" spans="1:1" x14ac:dyDescent="0.2">
      <c r="A115" s="189" t="s">
        <v>184</v>
      </c>
    </row>
    <row r="116" spans="1:1" x14ac:dyDescent="0.2">
      <c r="A116" s="189" t="s">
        <v>185</v>
      </c>
    </row>
    <row r="118" spans="1:1" x14ac:dyDescent="0.2">
      <c r="A118" t="s">
        <v>647</v>
      </c>
    </row>
    <row r="120" spans="1:1" x14ac:dyDescent="0.2">
      <c r="A120" s="189" t="s">
        <v>648</v>
      </c>
    </row>
    <row r="121" spans="1:1" x14ac:dyDescent="0.2">
      <c r="A121" s="189" t="s">
        <v>649</v>
      </c>
    </row>
    <row r="122" spans="1:1" x14ac:dyDescent="0.2">
      <c r="A122" t="s">
        <v>650</v>
      </c>
    </row>
    <row r="126" spans="1:1" ht="15.75" x14ac:dyDescent="0.25">
      <c r="A126" s="206" t="s">
        <v>651</v>
      </c>
    </row>
    <row r="127" spans="1:1" x14ac:dyDescent="0.2">
      <c r="A127" t="s">
        <v>652</v>
      </c>
    </row>
    <row r="129" spans="1:1" x14ac:dyDescent="0.2">
      <c r="A129" s="189" t="s">
        <v>212</v>
      </c>
    </row>
    <row r="130" spans="1:1" x14ac:dyDescent="0.2">
      <c r="A130" s="189" t="s">
        <v>213</v>
      </c>
    </row>
    <row r="131" spans="1:1" x14ac:dyDescent="0.2">
      <c r="A131" s="189" t="s">
        <v>214</v>
      </c>
    </row>
    <row r="132" spans="1:1" x14ac:dyDescent="0.2">
      <c r="A132" s="189" t="s">
        <v>215</v>
      </c>
    </row>
    <row r="133" spans="1:1" x14ac:dyDescent="0.2">
      <c r="A133" s="204" t="s">
        <v>216</v>
      </c>
    </row>
    <row r="135" spans="1:1" x14ac:dyDescent="0.2">
      <c r="A135" s="189" t="s">
        <v>217</v>
      </c>
    </row>
    <row r="136" spans="1:1" x14ac:dyDescent="0.2">
      <c r="A136" s="189" t="s">
        <v>218</v>
      </c>
    </row>
    <row r="137" spans="1:1" x14ac:dyDescent="0.2">
      <c r="A137" s="204" t="s">
        <v>219</v>
      </c>
    </row>
    <row r="139" spans="1:1" x14ac:dyDescent="0.2">
      <c r="A139" s="189" t="s">
        <v>220</v>
      </c>
    </row>
    <row r="140" spans="1:1" x14ac:dyDescent="0.2">
      <c r="A140" s="189" t="s">
        <v>221</v>
      </c>
    </row>
    <row r="141" spans="1:1" x14ac:dyDescent="0.2">
      <c r="A141" s="204" t="s">
        <v>222</v>
      </c>
    </row>
    <row r="143" spans="1:1" x14ac:dyDescent="0.2">
      <c r="A143" s="189" t="s">
        <v>223</v>
      </c>
    </row>
    <row r="144" spans="1:1" x14ac:dyDescent="0.2">
      <c r="A144" s="204" t="s">
        <v>224</v>
      </c>
    </row>
    <row r="146" spans="1:2" ht="15.75" x14ac:dyDescent="0.25">
      <c r="A146" s="210" t="s">
        <v>225</v>
      </c>
    </row>
    <row r="147" spans="1:2" x14ac:dyDescent="0.2">
      <c r="A147" s="189" t="s">
        <v>226</v>
      </c>
    </row>
    <row r="148" spans="1:2" x14ac:dyDescent="0.2">
      <c r="A148" s="189" t="s">
        <v>227</v>
      </c>
    </row>
    <row r="149" spans="1:2" x14ac:dyDescent="0.2">
      <c r="A149" s="189" t="s">
        <v>228</v>
      </c>
    </row>
    <row r="150" spans="1:2" x14ac:dyDescent="0.2">
      <c r="A150" s="204" t="s">
        <v>229</v>
      </c>
    </row>
    <row r="152" spans="1:2" x14ac:dyDescent="0.2">
      <c r="B152" t="s">
        <v>230</v>
      </c>
    </row>
    <row r="167" spans="1:5" x14ac:dyDescent="0.2">
      <c r="A167" s="189" t="s">
        <v>231</v>
      </c>
    </row>
    <row r="168" spans="1:5" x14ac:dyDescent="0.2">
      <c r="A168" s="189" t="s">
        <v>232</v>
      </c>
    </row>
    <row r="169" spans="1:5" x14ac:dyDescent="0.2">
      <c r="A169" s="189" t="s">
        <v>211</v>
      </c>
    </row>
    <row r="170" spans="1:5" x14ac:dyDescent="0.2">
      <c r="A170" s="204" t="s">
        <v>233</v>
      </c>
    </row>
    <row r="172" spans="1:5" x14ac:dyDescent="0.2">
      <c r="A172" s="204" t="s">
        <v>234</v>
      </c>
    </row>
    <row r="173" spans="1:5" ht="12.75" customHeight="1" x14ac:dyDescent="0.25">
      <c r="D173" s="211" t="s">
        <v>643</v>
      </c>
      <c r="E173" s="189" t="s">
        <v>236</v>
      </c>
    </row>
    <row r="174" spans="1:5" ht="12.75" customHeight="1" x14ac:dyDescent="0.25">
      <c r="D174" s="211" t="s">
        <v>643</v>
      </c>
      <c r="E174" s="189" t="s">
        <v>235</v>
      </c>
    </row>
    <row r="175" spans="1:5" ht="12.75" customHeight="1" x14ac:dyDescent="0.25">
      <c r="D175" s="211" t="s">
        <v>643</v>
      </c>
      <c r="E175" s="189" t="s">
        <v>237</v>
      </c>
    </row>
    <row r="176" spans="1:5" ht="12.75" customHeight="1" x14ac:dyDescent="0.25">
      <c r="D176" s="211" t="s">
        <v>643</v>
      </c>
      <c r="E176" t="s">
        <v>645</v>
      </c>
    </row>
    <row r="178" spans="1:1" x14ac:dyDescent="0.2">
      <c r="A178" t="s">
        <v>243</v>
      </c>
    </row>
    <row r="191" spans="1:1" ht="18" x14ac:dyDescent="0.25">
      <c r="A191" s="212" t="s">
        <v>244</v>
      </c>
    </row>
    <row r="192" spans="1:1" x14ac:dyDescent="0.2">
      <c r="A192" s="189" t="s">
        <v>245</v>
      </c>
    </row>
    <row r="193" spans="1:4" x14ac:dyDescent="0.2">
      <c r="A193" s="189" t="s">
        <v>246</v>
      </c>
    </row>
    <row r="194" spans="1:4" x14ac:dyDescent="0.2">
      <c r="A194" t="s">
        <v>247</v>
      </c>
    </row>
    <row r="196" spans="1:4" x14ac:dyDescent="0.2">
      <c r="D196" t="s">
        <v>248</v>
      </c>
    </row>
    <row r="213" spans="1:1" ht="18" x14ac:dyDescent="0.25">
      <c r="A213" s="212" t="s">
        <v>249</v>
      </c>
    </row>
    <row r="214" spans="1:1" x14ac:dyDescent="0.2">
      <c r="A214" s="189" t="s">
        <v>250</v>
      </c>
    </row>
    <row r="215" spans="1:1" x14ac:dyDescent="0.2">
      <c r="A215" t="s">
        <v>251</v>
      </c>
    </row>
    <row r="217" spans="1:1" x14ac:dyDescent="0.2">
      <c r="A217" s="189" t="s">
        <v>252</v>
      </c>
    </row>
    <row r="218" spans="1:1" x14ac:dyDescent="0.2">
      <c r="A218" s="189" t="s">
        <v>253</v>
      </c>
    </row>
    <row r="219" spans="1:1" x14ac:dyDescent="0.2">
      <c r="A219" s="204" t="s">
        <v>254</v>
      </c>
    </row>
    <row r="221" spans="1:1" x14ac:dyDescent="0.2">
      <c r="A221" s="189" t="s">
        <v>255</v>
      </c>
    </row>
    <row r="222" spans="1:1" x14ac:dyDescent="0.2">
      <c r="A222" s="189" t="s">
        <v>256</v>
      </c>
    </row>
    <row r="223" spans="1:1" x14ac:dyDescent="0.2">
      <c r="A223" s="204" t="s">
        <v>257</v>
      </c>
    </row>
    <row r="225" spans="1:1" x14ac:dyDescent="0.2">
      <c r="A225" s="189" t="s">
        <v>258</v>
      </c>
    </row>
    <row r="226" spans="1:1" x14ac:dyDescent="0.2">
      <c r="A226" s="204" t="s">
        <v>259</v>
      </c>
    </row>
    <row r="229" spans="1:1" ht="18" x14ac:dyDescent="0.25">
      <c r="A229" s="213" t="s">
        <v>260</v>
      </c>
    </row>
    <row r="230" spans="1:1" x14ac:dyDescent="0.2">
      <c r="A230" s="189" t="s">
        <v>261</v>
      </c>
    </row>
    <row r="231" spans="1:1" x14ac:dyDescent="0.2">
      <c r="A231" s="189" t="s">
        <v>262</v>
      </c>
    </row>
    <row r="232" spans="1:1" x14ac:dyDescent="0.2">
      <c r="A232" t="s">
        <v>263</v>
      </c>
    </row>
    <row r="234" spans="1:1" x14ac:dyDescent="0.2">
      <c r="A234" s="189" t="s">
        <v>264</v>
      </c>
    </row>
    <row r="235" spans="1:1" x14ac:dyDescent="0.2">
      <c r="A235" s="189" t="s">
        <v>265</v>
      </c>
    </row>
    <row r="236" spans="1:1" x14ac:dyDescent="0.2">
      <c r="A236" s="204" t="s">
        <v>266</v>
      </c>
    </row>
    <row r="238" spans="1:1" x14ac:dyDescent="0.2">
      <c r="A238" s="189" t="s">
        <v>267</v>
      </c>
    </row>
    <row r="239" spans="1:1" x14ac:dyDescent="0.2">
      <c r="A239" s="189" t="s">
        <v>268</v>
      </c>
    </row>
    <row r="240" spans="1:1" x14ac:dyDescent="0.2">
      <c r="A240" s="189" t="s">
        <v>269</v>
      </c>
    </row>
    <row r="241" spans="1:6" x14ac:dyDescent="0.2">
      <c r="A241" s="204" t="s">
        <v>270</v>
      </c>
    </row>
    <row r="243" spans="1:6" x14ac:dyDescent="0.2">
      <c r="A243" s="189" t="s">
        <v>271</v>
      </c>
    </row>
    <row r="244" spans="1:6" x14ac:dyDescent="0.2">
      <c r="A244" s="189" t="s">
        <v>272</v>
      </c>
    </row>
    <row r="245" spans="1:6" ht="15.75" x14ac:dyDescent="0.3">
      <c r="A245" s="189" t="s">
        <v>274</v>
      </c>
    </row>
    <row r="246" spans="1:6" x14ac:dyDescent="0.2">
      <c r="A246" s="189" t="s">
        <v>273</v>
      </c>
    </row>
    <row r="247" spans="1:6" ht="15.75" x14ac:dyDescent="0.3">
      <c r="A247" s="189" t="s">
        <v>275</v>
      </c>
    </row>
    <row r="249" spans="1:6" x14ac:dyDescent="0.2">
      <c r="F249" t="s">
        <v>276</v>
      </c>
    </row>
    <row r="261" spans="1:1" x14ac:dyDescent="0.2">
      <c r="A261" s="189" t="s">
        <v>271</v>
      </c>
    </row>
    <row r="262" spans="1:1" x14ac:dyDescent="0.2">
      <c r="A262" s="189" t="s">
        <v>277</v>
      </c>
    </row>
    <row r="263" spans="1:1" ht="15.75" x14ac:dyDescent="0.3">
      <c r="A263" s="189" t="s">
        <v>278</v>
      </c>
    </row>
    <row r="264" spans="1:1" ht="15.75" x14ac:dyDescent="0.3">
      <c r="A264" s="189" t="s">
        <v>279</v>
      </c>
    </row>
    <row r="265" spans="1:1" ht="15.75" x14ac:dyDescent="0.3">
      <c r="A265" s="189" t="s">
        <v>280</v>
      </c>
    </row>
    <row r="267" spans="1:1" ht="18" x14ac:dyDescent="0.25">
      <c r="A267" s="212" t="s">
        <v>281</v>
      </c>
    </row>
    <row r="268" spans="1:1" x14ac:dyDescent="0.2">
      <c r="A268" s="189" t="s">
        <v>282</v>
      </c>
    </row>
    <row r="269" spans="1:1" ht="15.75" x14ac:dyDescent="0.3">
      <c r="A269" s="189" t="s">
        <v>285</v>
      </c>
    </row>
    <row r="270" spans="1:1" x14ac:dyDescent="0.2">
      <c r="A270" s="189" t="s">
        <v>283</v>
      </c>
    </row>
    <row r="271" spans="1:1" x14ac:dyDescent="0.2">
      <c r="A271" s="204" t="s">
        <v>284</v>
      </c>
    </row>
    <row r="273" spans="1:1" x14ac:dyDescent="0.2">
      <c r="A273" s="189" t="s">
        <v>286</v>
      </c>
    </row>
    <row r="274" spans="1:1" x14ac:dyDescent="0.2">
      <c r="A274" s="189" t="s">
        <v>287</v>
      </c>
    </row>
    <row r="275" spans="1:1" x14ac:dyDescent="0.2">
      <c r="A275" s="189" t="s">
        <v>288</v>
      </c>
    </row>
    <row r="276" spans="1:1" x14ac:dyDescent="0.2">
      <c r="A276" s="189" t="s">
        <v>289</v>
      </c>
    </row>
    <row r="277" spans="1:1" x14ac:dyDescent="0.2">
      <c r="A277" s="204" t="s">
        <v>290</v>
      </c>
    </row>
    <row r="286" spans="1:1" x14ac:dyDescent="0.2">
      <c r="A286" s="189" t="s">
        <v>291</v>
      </c>
    </row>
    <row r="288" spans="1:1" ht="15.75" x14ac:dyDescent="0.3">
      <c r="A288" s="189" t="s">
        <v>293</v>
      </c>
    </row>
    <row r="289" spans="1:1" x14ac:dyDescent="0.2">
      <c r="A289" t="s">
        <v>292</v>
      </c>
    </row>
    <row r="291" spans="1:1" x14ac:dyDescent="0.2">
      <c r="A291" s="189" t="s">
        <v>294</v>
      </c>
    </row>
    <row r="292" spans="1:1" ht="15.75" x14ac:dyDescent="0.3">
      <c r="A292" s="189" t="s">
        <v>186</v>
      </c>
    </row>
    <row r="293" spans="1:1" ht="15.75" x14ac:dyDescent="0.3">
      <c r="A293" s="189" t="s">
        <v>187</v>
      </c>
    </row>
    <row r="295" spans="1:1" x14ac:dyDescent="0.2">
      <c r="A295" s="189" t="s">
        <v>294</v>
      </c>
    </row>
    <row r="296" spans="1:1" ht="15.75" x14ac:dyDescent="0.3">
      <c r="A296" s="189" t="s">
        <v>188</v>
      </c>
    </row>
    <row r="297" spans="1:1" ht="15.75" x14ac:dyDescent="0.3">
      <c r="A297" s="189" t="s">
        <v>189</v>
      </c>
    </row>
    <row r="298" spans="1:1" x14ac:dyDescent="0.2">
      <c r="A298" s="189" t="s">
        <v>190</v>
      </c>
    </row>
    <row r="300" spans="1:1" ht="18" x14ac:dyDescent="0.25">
      <c r="A300" s="213" t="s">
        <v>191</v>
      </c>
    </row>
    <row r="301" spans="1:1" x14ac:dyDescent="0.2">
      <c r="A301" s="189" t="s">
        <v>192</v>
      </c>
    </row>
    <row r="302" spans="1:1" ht="15.75" x14ac:dyDescent="0.3">
      <c r="A302" s="189" t="s">
        <v>199</v>
      </c>
    </row>
    <row r="303" spans="1:1" x14ac:dyDescent="0.2">
      <c r="A303" s="189" t="s">
        <v>193</v>
      </c>
    </row>
    <row r="304" spans="1:1" ht="15.75" x14ac:dyDescent="0.3">
      <c r="A304" s="189" t="s">
        <v>200</v>
      </c>
    </row>
    <row r="305" spans="1:1" x14ac:dyDescent="0.2">
      <c r="A305" s="189" t="s">
        <v>194</v>
      </c>
    </row>
    <row r="306" spans="1:1" x14ac:dyDescent="0.2">
      <c r="A306" s="189" t="s">
        <v>195</v>
      </c>
    </row>
    <row r="307" spans="1:1" x14ac:dyDescent="0.2">
      <c r="A307" s="189" t="s">
        <v>196</v>
      </c>
    </row>
    <row r="308" spans="1:1" x14ac:dyDescent="0.2">
      <c r="A308" s="189" t="s">
        <v>197</v>
      </c>
    </row>
    <row r="309" spans="1:1" x14ac:dyDescent="0.2">
      <c r="A309" s="204" t="s">
        <v>198</v>
      </c>
    </row>
    <row r="317" spans="1:1" x14ac:dyDescent="0.2">
      <c r="A317" s="189" t="s">
        <v>201</v>
      </c>
    </row>
    <row r="318" spans="1:1" x14ac:dyDescent="0.2">
      <c r="A318" t="s">
        <v>202</v>
      </c>
    </row>
    <row r="353" spans="1:6" ht="18" x14ac:dyDescent="0.25">
      <c r="A353" s="215" t="s">
        <v>653</v>
      </c>
    </row>
    <row r="355" spans="1:6" ht="15.75" x14ac:dyDescent="0.25">
      <c r="B355" s="485" t="s">
        <v>654</v>
      </c>
      <c r="C355" s="485"/>
      <c r="D355" s="485"/>
      <c r="E355" s="485"/>
      <c r="F355" s="485"/>
    </row>
    <row r="371" spans="2:9" ht="15.75" x14ac:dyDescent="0.25">
      <c r="B371" s="485" t="s">
        <v>655</v>
      </c>
      <c r="C371" s="485"/>
      <c r="D371" s="485"/>
      <c r="E371" s="485"/>
      <c r="F371" s="485"/>
    </row>
    <row r="378" spans="2:9" ht="15.75" x14ac:dyDescent="0.25">
      <c r="B378" s="487" t="s">
        <v>656</v>
      </c>
      <c r="C378" s="487"/>
      <c r="D378" s="487"/>
      <c r="E378" s="487"/>
      <c r="F378" s="487"/>
      <c r="G378" s="487"/>
      <c r="H378" s="487"/>
      <c r="I378" s="487"/>
    </row>
    <row r="385" spans="1:9" ht="15.75" x14ac:dyDescent="0.25">
      <c r="B385" s="487" t="s">
        <v>657</v>
      </c>
      <c r="C385" s="487"/>
      <c r="D385" s="487"/>
      <c r="E385" s="487"/>
      <c r="F385" s="487"/>
      <c r="G385" s="487"/>
      <c r="H385" s="487"/>
      <c r="I385" s="487"/>
    </row>
    <row r="386" spans="1:9" ht="15.75" x14ac:dyDescent="0.25">
      <c r="B386" s="206"/>
      <c r="C386" s="206"/>
      <c r="D386" s="206"/>
      <c r="E386" s="206"/>
      <c r="F386" s="206"/>
      <c r="G386" s="206"/>
      <c r="H386" s="206"/>
      <c r="I386" s="206"/>
    </row>
    <row r="387" spans="1:9" x14ac:dyDescent="0.2">
      <c r="A387" s="185" t="s">
        <v>578</v>
      </c>
      <c r="B387" s="217" t="s">
        <v>658</v>
      </c>
    </row>
    <row r="393" spans="1:9" x14ac:dyDescent="0.2">
      <c r="A393" s="185" t="s">
        <v>579</v>
      </c>
      <c r="B393" s="217" t="s">
        <v>659</v>
      </c>
    </row>
    <row r="402" spans="1:2" x14ac:dyDescent="0.2">
      <c r="A402" s="185" t="s">
        <v>580</v>
      </c>
      <c r="B402" s="217" t="s">
        <v>659</v>
      </c>
    </row>
    <row r="410" spans="1:2" x14ac:dyDescent="0.2">
      <c r="A410" s="185" t="s">
        <v>581</v>
      </c>
      <c r="B410" s="217" t="s">
        <v>659</v>
      </c>
    </row>
    <row r="418" spans="1:2" x14ac:dyDescent="0.2">
      <c r="A418" s="185" t="s">
        <v>582</v>
      </c>
      <c r="B418" s="217" t="s">
        <v>659</v>
      </c>
    </row>
    <row r="426" spans="1:2" x14ac:dyDescent="0.2">
      <c r="B426" t="s">
        <v>660</v>
      </c>
    </row>
    <row r="439" spans="2:13" ht="15.75" x14ac:dyDescent="0.25">
      <c r="B439" s="487" t="s">
        <v>0</v>
      </c>
      <c r="C439" s="487"/>
      <c r="D439" s="487"/>
      <c r="E439" s="487"/>
      <c r="F439" s="487"/>
      <c r="G439" s="487"/>
      <c r="H439" s="487"/>
      <c r="I439" s="487"/>
      <c r="J439" s="487"/>
      <c r="K439" s="487"/>
      <c r="L439" s="487"/>
      <c r="M439" s="487"/>
    </row>
    <row r="478" spans="1:1" x14ac:dyDescent="0.2">
      <c r="A478" s="189" t="s">
        <v>203</v>
      </c>
    </row>
    <row r="479" spans="1:1" x14ac:dyDescent="0.2">
      <c r="A479" s="214" t="s">
        <v>204</v>
      </c>
    </row>
  </sheetData>
  <mergeCells count="11">
    <mergeCell ref="B439:M439"/>
    <mergeCell ref="C83:S83"/>
    <mergeCell ref="A91:B91"/>
    <mergeCell ref="A94:B94"/>
    <mergeCell ref="B385:I385"/>
    <mergeCell ref="B355:F355"/>
    <mergeCell ref="A3:I3"/>
    <mergeCell ref="A1:R1"/>
    <mergeCell ref="B371:F371"/>
    <mergeCell ref="B378:I378"/>
    <mergeCell ref="A5:E5"/>
  </mergeCells>
  <phoneticPr fontId="7" type="noConversion"/>
  <hyperlinks>
    <hyperlink ref="A479" r:id="rId1"/>
  </hyperlinks>
  <pageMargins left="0.75" right="0.38" top="0.51" bottom="0.9" header="0.14000000000000001" footer="0.54"/>
  <pageSetup orientation="portrait" horizontalDpi="360" verticalDpi="360" r:id="rId2"/>
  <headerFooter alignWithMargins="0">
    <oddHeader>&amp;LArt Montemayor&amp;CDetermining Vessel Volumes&amp;RJune 15, 2003
Rev: 0</oddHeader>
    <oddFooter>&amp;CPage &amp;P of &amp;N&amp;RFileName: &amp;F
WorkSheet: &amp;A</oddFooter>
  </headerFooter>
  <drawing r:id="rId3"/>
  <legacyDrawing r:id="rId4"/>
  <oleObjects>
    <mc:AlternateContent xmlns:mc="http://schemas.openxmlformats.org/markup-compatibility/2006">
      <mc:Choice Requires="x14">
        <oleObject progId="Equation.3" shapeId="22541" r:id="rId5">
          <objectPr defaultSize="0" r:id="rId6">
            <anchor moveWithCells="1">
              <from>
                <xdr:col>2</xdr:col>
                <xdr:colOff>28575</xdr:colOff>
                <xdr:row>355</xdr:row>
                <xdr:rowOff>19050</xdr:rowOff>
              </from>
              <to>
                <xdr:col>12</xdr:col>
                <xdr:colOff>57150</xdr:colOff>
                <xdr:row>364</xdr:row>
                <xdr:rowOff>38100</xdr:rowOff>
              </to>
            </anchor>
          </objectPr>
        </oleObject>
      </mc:Choice>
      <mc:Fallback>
        <oleObject progId="Equation.3" shapeId="22541" r:id="rId5"/>
      </mc:Fallback>
    </mc:AlternateContent>
    <mc:AlternateContent xmlns:mc="http://schemas.openxmlformats.org/markup-compatibility/2006">
      <mc:Choice Requires="x14">
        <oleObject progId="Equation.3" shapeId="22542" r:id="rId7">
          <objectPr defaultSize="0" r:id="rId8">
            <anchor moveWithCells="1">
              <from>
                <xdr:col>2</xdr:col>
                <xdr:colOff>0</xdr:colOff>
                <xdr:row>365</xdr:row>
                <xdr:rowOff>28575</xdr:rowOff>
              </from>
              <to>
                <xdr:col>16</xdr:col>
                <xdr:colOff>28575</xdr:colOff>
                <xdr:row>367</xdr:row>
                <xdr:rowOff>133350</xdr:rowOff>
              </to>
            </anchor>
          </objectPr>
        </oleObject>
      </mc:Choice>
      <mc:Fallback>
        <oleObject progId="Equation.3" shapeId="22542" r:id="rId7"/>
      </mc:Fallback>
    </mc:AlternateContent>
    <mc:AlternateContent xmlns:mc="http://schemas.openxmlformats.org/markup-compatibility/2006">
      <mc:Choice Requires="x14">
        <oleObject progId="Equation.3" shapeId="22543" r:id="rId9">
          <objectPr defaultSize="0" r:id="rId10">
            <anchor moveWithCells="1">
              <from>
                <xdr:col>2</xdr:col>
                <xdr:colOff>9525</xdr:colOff>
                <xdr:row>372</xdr:row>
                <xdr:rowOff>9525</xdr:rowOff>
              </from>
              <to>
                <xdr:col>7</xdr:col>
                <xdr:colOff>152400</xdr:colOff>
                <xdr:row>374</xdr:row>
                <xdr:rowOff>114300</xdr:rowOff>
              </to>
            </anchor>
          </objectPr>
        </oleObject>
      </mc:Choice>
      <mc:Fallback>
        <oleObject progId="Equation.3" shapeId="22543" r:id="rId9"/>
      </mc:Fallback>
    </mc:AlternateContent>
    <mc:AlternateContent xmlns:mc="http://schemas.openxmlformats.org/markup-compatibility/2006">
      <mc:Choice Requires="x14">
        <oleObject progId="Equation.3" shapeId="22544" r:id="rId11">
          <objectPr defaultSize="0" autoPict="0" r:id="rId12">
            <anchor moveWithCells="1">
              <from>
                <xdr:col>2</xdr:col>
                <xdr:colOff>0</xdr:colOff>
                <xdr:row>379</xdr:row>
                <xdr:rowOff>9525</xdr:rowOff>
              </from>
              <to>
                <xdr:col>15</xdr:col>
                <xdr:colOff>95250</xdr:colOff>
                <xdr:row>381</xdr:row>
                <xdr:rowOff>142875</xdr:rowOff>
              </to>
            </anchor>
          </objectPr>
        </oleObject>
      </mc:Choice>
      <mc:Fallback>
        <oleObject progId="Equation.3" shapeId="22544" r:id="rId11"/>
      </mc:Fallback>
    </mc:AlternateContent>
    <mc:AlternateContent xmlns:mc="http://schemas.openxmlformats.org/markup-compatibility/2006">
      <mc:Choice Requires="x14">
        <oleObject progId="Equation.3" shapeId="22545" r:id="rId13">
          <objectPr defaultSize="0" r:id="rId14">
            <anchor moveWithCells="1">
              <from>
                <xdr:col>5</xdr:col>
                <xdr:colOff>180975</xdr:colOff>
                <xdr:row>385</xdr:row>
                <xdr:rowOff>180975</xdr:rowOff>
              </from>
              <to>
                <xdr:col>9</xdr:col>
                <xdr:colOff>76200</xdr:colOff>
                <xdr:row>387</xdr:row>
                <xdr:rowOff>76200</xdr:rowOff>
              </to>
            </anchor>
          </objectPr>
        </oleObject>
      </mc:Choice>
      <mc:Fallback>
        <oleObject progId="Equation.3" shapeId="22545" r:id="rId13"/>
      </mc:Fallback>
    </mc:AlternateContent>
    <mc:AlternateContent xmlns:mc="http://schemas.openxmlformats.org/markup-compatibility/2006">
      <mc:Choice Requires="x14">
        <oleObject progId="Equation.3" shapeId="22546" r:id="rId15">
          <objectPr defaultSize="0" r:id="rId16">
            <anchor moveWithCells="1">
              <from>
                <xdr:col>0</xdr:col>
                <xdr:colOff>295275</xdr:colOff>
                <xdr:row>387</xdr:row>
                <xdr:rowOff>123825</xdr:rowOff>
              </from>
              <to>
                <xdr:col>6</xdr:col>
                <xdr:colOff>114300</xdr:colOff>
                <xdr:row>390</xdr:row>
                <xdr:rowOff>28575</xdr:rowOff>
              </to>
            </anchor>
          </objectPr>
        </oleObject>
      </mc:Choice>
      <mc:Fallback>
        <oleObject progId="Equation.3" shapeId="22546" r:id="rId15"/>
      </mc:Fallback>
    </mc:AlternateContent>
    <mc:AlternateContent xmlns:mc="http://schemas.openxmlformats.org/markup-compatibility/2006">
      <mc:Choice Requires="x14">
        <oleObject progId="Equation.3" shapeId="22547" r:id="rId17">
          <objectPr defaultSize="0" r:id="rId18">
            <anchor moveWithCells="1">
              <from>
                <xdr:col>5</xdr:col>
                <xdr:colOff>304800</xdr:colOff>
                <xdr:row>391</xdr:row>
                <xdr:rowOff>104775</xdr:rowOff>
              </from>
              <to>
                <xdr:col>11</xdr:col>
                <xdr:colOff>133350</xdr:colOff>
                <xdr:row>393</xdr:row>
                <xdr:rowOff>38100</xdr:rowOff>
              </to>
            </anchor>
          </objectPr>
        </oleObject>
      </mc:Choice>
      <mc:Fallback>
        <oleObject progId="Equation.3" shapeId="22547" r:id="rId17"/>
      </mc:Fallback>
    </mc:AlternateContent>
    <mc:AlternateContent xmlns:mc="http://schemas.openxmlformats.org/markup-compatibility/2006">
      <mc:Choice Requires="x14">
        <oleObject progId="Equation.3" shapeId="22549" r:id="rId19">
          <objectPr defaultSize="0" r:id="rId20">
            <anchor moveWithCells="1">
              <from>
                <xdr:col>5</xdr:col>
                <xdr:colOff>276225</xdr:colOff>
                <xdr:row>400</xdr:row>
                <xdr:rowOff>152400</xdr:rowOff>
              </from>
              <to>
                <xdr:col>11</xdr:col>
                <xdr:colOff>142875</xdr:colOff>
                <xdr:row>402</xdr:row>
                <xdr:rowOff>28575</xdr:rowOff>
              </to>
            </anchor>
          </objectPr>
        </oleObject>
      </mc:Choice>
      <mc:Fallback>
        <oleObject progId="Equation.3" shapeId="22549" r:id="rId19"/>
      </mc:Fallback>
    </mc:AlternateContent>
    <mc:AlternateContent xmlns:mc="http://schemas.openxmlformats.org/markup-compatibility/2006">
      <mc:Choice Requires="x14">
        <oleObject progId="Equation.3" shapeId="22550" r:id="rId21">
          <objectPr defaultSize="0" r:id="rId22">
            <anchor moveWithCells="1">
              <from>
                <xdr:col>1</xdr:col>
                <xdr:colOff>28575</xdr:colOff>
                <xdr:row>403</xdr:row>
                <xdr:rowOff>95250</xdr:rowOff>
              </from>
              <to>
                <xdr:col>6</xdr:col>
                <xdr:colOff>247650</xdr:colOff>
                <xdr:row>406</xdr:row>
                <xdr:rowOff>95250</xdr:rowOff>
              </to>
            </anchor>
          </objectPr>
        </oleObject>
      </mc:Choice>
      <mc:Fallback>
        <oleObject progId="Equation.3" shapeId="22550" r:id="rId21"/>
      </mc:Fallback>
    </mc:AlternateContent>
    <mc:AlternateContent xmlns:mc="http://schemas.openxmlformats.org/markup-compatibility/2006">
      <mc:Choice Requires="x14">
        <oleObject progId="Equation.3" shapeId="22551" r:id="rId23">
          <objectPr defaultSize="0" r:id="rId24">
            <anchor moveWithCells="1">
              <from>
                <xdr:col>6</xdr:col>
                <xdr:colOff>0</xdr:colOff>
                <xdr:row>408</xdr:row>
                <xdr:rowOff>142875</xdr:rowOff>
              </from>
              <to>
                <xdr:col>14</xdr:col>
                <xdr:colOff>114300</xdr:colOff>
                <xdr:row>410</xdr:row>
                <xdr:rowOff>76200</xdr:rowOff>
              </to>
            </anchor>
          </objectPr>
        </oleObject>
      </mc:Choice>
      <mc:Fallback>
        <oleObject progId="Equation.3" shapeId="22551" r:id="rId23"/>
      </mc:Fallback>
    </mc:AlternateContent>
    <mc:AlternateContent xmlns:mc="http://schemas.openxmlformats.org/markup-compatibility/2006">
      <mc:Choice Requires="x14">
        <oleObject progId="Equation.3" shapeId="22552" r:id="rId25">
          <objectPr defaultSize="0" autoPict="0" r:id="rId26">
            <anchor moveWithCells="1">
              <from>
                <xdr:col>0</xdr:col>
                <xdr:colOff>38100</xdr:colOff>
                <xdr:row>410</xdr:row>
                <xdr:rowOff>123825</xdr:rowOff>
              </from>
              <to>
                <xdr:col>19</xdr:col>
                <xdr:colOff>276225</xdr:colOff>
                <xdr:row>414</xdr:row>
                <xdr:rowOff>57150</xdr:rowOff>
              </to>
            </anchor>
          </objectPr>
        </oleObject>
      </mc:Choice>
      <mc:Fallback>
        <oleObject progId="Equation.3" shapeId="22552" r:id="rId25"/>
      </mc:Fallback>
    </mc:AlternateContent>
    <mc:AlternateContent xmlns:mc="http://schemas.openxmlformats.org/markup-compatibility/2006">
      <mc:Choice Requires="x14">
        <oleObject progId="Equation.3" shapeId="22553" r:id="rId27">
          <objectPr defaultSize="0" r:id="rId28">
            <anchor moveWithCells="1">
              <from>
                <xdr:col>5</xdr:col>
                <xdr:colOff>247650</xdr:colOff>
                <xdr:row>416</xdr:row>
                <xdr:rowOff>95250</xdr:rowOff>
              </from>
              <to>
                <xdr:col>15</xdr:col>
                <xdr:colOff>285750</xdr:colOff>
                <xdr:row>418</xdr:row>
                <xdr:rowOff>114300</xdr:rowOff>
              </to>
            </anchor>
          </objectPr>
        </oleObject>
      </mc:Choice>
      <mc:Fallback>
        <oleObject progId="Equation.3" shapeId="22553" r:id="rId27"/>
      </mc:Fallback>
    </mc:AlternateContent>
    <mc:AlternateContent xmlns:mc="http://schemas.openxmlformats.org/markup-compatibility/2006">
      <mc:Choice Requires="x14">
        <oleObject progId="Equation.3" shapeId="22554" r:id="rId29">
          <objectPr defaultSize="0" r:id="rId30">
            <anchor moveWithCells="1">
              <from>
                <xdr:col>1</xdr:col>
                <xdr:colOff>19050</xdr:colOff>
                <xdr:row>419</xdr:row>
                <xdr:rowOff>123825</xdr:rowOff>
              </from>
              <to>
                <xdr:col>11</xdr:col>
                <xdr:colOff>228600</xdr:colOff>
                <xdr:row>423</xdr:row>
                <xdr:rowOff>9525</xdr:rowOff>
              </to>
            </anchor>
          </objectPr>
        </oleObject>
      </mc:Choice>
      <mc:Fallback>
        <oleObject progId="Equation.3" shapeId="22554" r:id="rId29"/>
      </mc:Fallback>
    </mc:AlternateContent>
    <mc:AlternateContent xmlns:mc="http://schemas.openxmlformats.org/markup-compatibility/2006">
      <mc:Choice Requires="x14">
        <oleObject progId="Equation.3" shapeId="22555" r:id="rId31">
          <objectPr defaultSize="0" autoPict="0" r:id="rId32">
            <anchor moveWithCells="1">
              <from>
                <xdr:col>0</xdr:col>
                <xdr:colOff>85725</xdr:colOff>
                <xdr:row>426</xdr:row>
                <xdr:rowOff>95250</xdr:rowOff>
              </from>
              <to>
                <xdr:col>19</xdr:col>
                <xdr:colOff>285750</xdr:colOff>
                <xdr:row>429</xdr:row>
                <xdr:rowOff>76200</xdr:rowOff>
              </to>
            </anchor>
          </objectPr>
        </oleObject>
      </mc:Choice>
      <mc:Fallback>
        <oleObject progId="Equation.3" shapeId="22555" r:id="rId31"/>
      </mc:Fallback>
    </mc:AlternateContent>
    <mc:AlternateContent xmlns:mc="http://schemas.openxmlformats.org/markup-compatibility/2006">
      <mc:Choice Requires="x14">
        <oleObject progId="Equation.3" shapeId="22556" r:id="rId33">
          <objectPr defaultSize="0" r:id="rId34">
            <anchor moveWithCells="1">
              <from>
                <xdr:col>1</xdr:col>
                <xdr:colOff>85725</xdr:colOff>
                <xdr:row>430</xdr:row>
                <xdr:rowOff>123825</xdr:rowOff>
              </from>
              <to>
                <xdr:col>4</xdr:col>
                <xdr:colOff>142875</xdr:colOff>
                <xdr:row>435</xdr:row>
                <xdr:rowOff>76200</xdr:rowOff>
              </to>
            </anchor>
          </objectPr>
        </oleObject>
      </mc:Choice>
      <mc:Fallback>
        <oleObject progId="Equation.3" shapeId="22556" r:id="rId3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3"/>
  <sheetViews>
    <sheetView topLeftCell="A7" zoomScaleNormal="100" workbookViewId="0">
      <selection activeCell="K18" sqref="K18"/>
    </sheetView>
  </sheetViews>
  <sheetFormatPr defaultRowHeight="12.75" x14ac:dyDescent="0.2"/>
  <cols>
    <col min="1" max="1" width="28.140625" customWidth="1"/>
    <col min="2" max="2" width="9.28515625" bestFit="1" customWidth="1"/>
    <col min="3" max="3" width="11" customWidth="1"/>
    <col min="4" max="5" width="9.28515625" bestFit="1" customWidth="1"/>
    <col min="6" max="6" width="10.7109375" customWidth="1"/>
    <col min="7" max="7" width="3.85546875" customWidth="1"/>
    <col min="8" max="8" width="8.42578125" customWidth="1"/>
    <col min="9" max="9" width="8.5703125" customWidth="1"/>
    <col min="11" max="11" width="10.42578125" bestFit="1" customWidth="1"/>
  </cols>
  <sheetData>
    <row r="1" spans="1:9" x14ac:dyDescent="0.2">
      <c r="A1" s="421" t="s">
        <v>354</v>
      </c>
      <c r="B1" s="421"/>
      <c r="C1" s="421"/>
      <c r="D1" s="421"/>
      <c r="E1" s="421"/>
      <c r="F1" s="421"/>
      <c r="G1" s="421"/>
      <c r="H1" s="421"/>
      <c r="I1" s="421"/>
    </row>
    <row r="2" spans="1:9" x14ac:dyDescent="0.2">
      <c r="A2" s="5"/>
      <c r="B2" s="5"/>
      <c r="C2" s="5"/>
      <c r="D2" s="5"/>
      <c r="E2" s="5"/>
      <c r="F2" s="5"/>
      <c r="G2" s="5"/>
      <c r="H2" s="5"/>
      <c r="I2" s="5"/>
    </row>
    <row r="3" spans="1:9" x14ac:dyDescent="0.2">
      <c r="A3" s="5"/>
      <c r="B3" s="5"/>
      <c r="C3" s="5"/>
      <c r="D3" s="5"/>
      <c r="E3" s="5"/>
      <c r="F3" s="5"/>
      <c r="G3" s="5"/>
      <c r="H3" s="5"/>
      <c r="I3" s="5"/>
    </row>
    <row r="4" spans="1:9" x14ac:dyDescent="0.2">
      <c r="A4" s="5"/>
      <c r="B4" s="5"/>
      <c r="C4" s="5"/>
      <c r="D4" s="5"/>
      <c r="E4" s="5"/>
      <c r="F4" s="5"/>
      <c r="G4" s="5"/>
      <c r="H4" s="5"/>
      <c r="I4" s="5"/>
    </row>
    <row r="7" spans="1:9" x14ac:dyDescent="0.2">
      <c r="A7" s="87" t="s">
        <v>355</v>
      </c>
      <c r="B7" t="s">
        <v>356</v>
      </c>
      <c r="C7" s="200">
        <v>90</v>
      </c>
      <c r="D7" s="88" t="s">
        <v>357</v>
      </c>
      <c r="E7" s="197">
        <f>C7/12</f>
        <v>7.5</v>
      </c>
      <c r="F7" t="s">
        <v>300</v>
      </c>
    </row>
    <row r="8" spans="1:9" x14ac:dyDescent="0.2">
      <c r="A8" t="s">
        <v>358</v>
      </c>
      <c r="B8" t="s">
        <v>359</v>
      </c>
      <c r="C8" s="184">
        <f>E8/12</f>
        <v>7.166666666666667</v>
      </c>
      <c r="D8" s="88" t="s">
        <v>357</v>
      </c>
      <c r="E8" s="201">
        <v>86</v>
      </c>
      <c r="F8" t="s">
        <v>356</v>
      </c>
    </row>
    <row r="9" spans="1:9" x14ac:dyDescent="0.2">
      <c r="C9" s="127"/>
    </row>
    <row r="10" spans="1:9" x14ac:dyDescent="0.2">
      <c r="A10" s="90" t="s">
        <v>360</v>
      </c>
      <c r="B10" s="5" t="s">
        <v>387</v>
      </c>
    </row>
    <row r="11" spans="1:9" x14ac:dyDescent="0.2">
      <c r="A11" t="s">
        <v>377</v>
      </c>
      <c r="B11" t="s">
        <v>382</v>
      </c>
      <c r="C11" s="202"/>
      <c r="E11" s="403" t="s">
        <v>361</v>
      </c>
      <c r="F11" s="403"/>
      <c r="G11" s="403"/>
      <c r="H11" s="403"/>
    </row>
    <row r="12" spans="1:9" x14ac:dyDescent="0.2">
      <c r="A12" t="s">
        <v>362</v>
      </c>
      <c r="B12" t="s">
        <v>384</v>
      </c>
      <c r="C12" s="202"/>
      <c r="E12" s="403" t="s">
        <v>363</v>
      </c>
      <c r="F12" s="403"/>
      <c r="G12" s="403"/>
      <c r="H12" s="403"/>
    </row>
    <row r="13" spans="1:9" x14ac:dyDescent="0.2">
      <c r="A13" t="s">
        <v>364</v>
      </c>
      <c r="B13" t="s">
        <v>383</v>
      </c>
      <c r="C13" s="202" t="s">
        <v>548</v>
      </c>
      <c r="E13" s="403" t="s">
        <v>365</v>
      </c>
      <c r="F13" s="403"/>
      <c r="G13" s="403"/>
      <c r="H13" s="403"/>
    </row>
    <row r="14" spans="1:9" x14ac:dyDescent="0.2">
      <c r="A14" t="s">
        <v>366</v>
      </c>
      <c r="B14" t="s">
        <v>386</v>
      </c>
      <c r="C14" s="202"/>
      <c r="E14" s="403" t="s">
        <v>367</v>
      </c>
      <c r="F14" s="403"/>
      <c r="G14" s="403"/>
      <c r="H14" s="403"/>
    </row>
    <row r="15" spans="1:9" x14ac:dyDescent="0.2">
      <c r="A15" t="s">
        <v>368</v>
      </c>
      <c r="B15" t="s">
        <v>385</v>
      </c>
      <c r="C15" s="202"/>
    </row>
    <row r="16" spans="1:9" ht="13.5" thickBot="1" x14ac:dyDescent="0.25"/>
    <row r="17" spans="1:12" ht="14.25" thickTop="1" thickBot="1" x14ac:dyDescent="0.25">
      <c r="A17" s="98" t="s">
        <v>378</v>
      </c>
      <c r="C17" s="427" t="str">
        <f>IF($C$11="x","Dished",IF($C$12="x","Torispherical",IF($C$13="x","2:1 Ellipsoidal",IF($C$14="x","Non-std. Ellipsoidal",IF($C$15="x","Hemispherical","None selected")))))</f>
        <v>2:1 Ellipsoidal</v>
      </c>
      <c r="D17" s="427"/>
      <c r="F17" s="403" t="s">
        <v>369</v>
      </c>
      <c r="G17" s="403"/>
      <c r="H17" s="103">
        <f>IF($C$11="x",0.05*E7^3+1.65*C19/12*E7^2,IF($C$12="x",IF(C7*0.06&gt;3*C19,0.0809*E7^3,0.513*C18/12*E7^2),IF($C$13="x",PI()*E7^3/24,IF($C$14="x",PI()*C18/12*E7^2/6,IF($C$15="x",PI()*E7^3/12,"None ")))))</f>
        <v>55.223308363883085</v>
      </c>
      <c r="I17" t="s">
        <v>370</v>
      </c>
    </row>
    <row r="18" spans="1:12" ht="13.5" thickTop="1" x14ac:dyDescent="0.2">
      <c r="A18" s="98" t="s">
        <v>379</v>
      </c>
      <c r="B18" t="s">
        <v>356</v>
      </c>
      <c r="C18" s="201">
        <v>20</v>
      </c>
      <c r="D18" s="403" t="str">
        <f>IF(C14="x","REQUIRED",IF(C12="x","REQUIRED IF WALL THICKNESS &gt; 2% OF VESSEL DIA","NOT REQUIRED FOR THIS HEAD TYPE"))</f>
        <v>NOT REQUIRED FOR THIS HEAD TYPE</v>
      </c>
      <c r="E18" s="403"/>
      <c r="F18" s="403"/>
      <c r="G18" s="403"/>
      <c r="H18" s="403"/>
      <c r="I18" s="403"/>
    </row>
    <row r="19" spans="1:12" x14ac:dyDescent="0.2">
      <c r="A19" s="98" t="s">
        <v>380</v>
      </c>
      <c r="B19" t="s">
        <v>356</v>
      </c>
      <c r="C19" s="201">
        <v>0.375</v>
      </c>
      <c r="D19" s="403" t="str">
        <f>IF(OR(C11="x",C12="x"),"REQUIRED","NOT REQUIRED FOR THIS HEAD TYPE")</f>
        <v>NOT REQUIRED FOR THIS HEAD TYPE</v>
      </c>
      <c r="E19" s="403"/>
      <c r="F19" s="403"/>
      <c r="G19" s="403"/>
      <c r="H19" s="403"/>
      <c r="I19" s="403"/>
    </row>
    <row r="20" spans="1:12" x14ac:dyDescent="0.2">
      <c r="A20" s="98" t="s">
        <v>381</v>
      </c>
      <c r="C20" s="200">
        <f>C7</f>
        <v>90</v>
      </c>
      <c r="D20" t="s">
        <v>371</v>
      </c>
    </row>
    <row r="23" spans="1:12" x14ac:dyDescent="0.2">
      <c r="A23" s="91" t="s">
        <v>372</v>
      </c>
      <c r="B23" s="198">
        <f>C7</f>
        <v>90</v>
      </c>
      <c r="C23" s="90" t="s">
        <v>373</v>
      </c>
      <c r="D23" s="199">
        <f>C8</f>
        <v>7.166666666666667</v>
      </c>
      <c r="E23" s="90" t="s">
        <v>374</v>
      </c>
      <c r="F23" s="420" t="str">
        <f>C17</f>
        <v>2:1 Ellipsoidal</v>
      </c>
      <c r="G23" s="420"/>
      <c r="H23" s="420"/>
      <c r="I23" s="90" t="s">
        <v>375</v>
      </c>
    </row>
    <row r="25" spans="1:12" ht="13.5" thickBot="1" x14ac:dyDescent="0.25"/>
    <row r="26" spans="1:12" ht="13.5" thickBot="1" x14ac:dyDescent="0.25">
      <c r="B26" s="425" t="s">
        <v>388</v>
      </c>
      <c r="C26" s="426"/>
      <c r="D26" s="422" t="s">
        <v>565</v>
      </c>
      <c r="E26" s="423"/>
      <c r="F26" s="424"/>
      <c r="K26" s="416" t="s">
        <v>307</v>
      </c>
      <c r="L26" s="418" t="s">
        <v>376</v>
      </c>
    </row>
    <row r="27" spans="1:12" ht="15" thickBot="1" x14ac:dyDescent="0.25">
      <c r="B27" s="193" t="s">
        <v>341</v>
      </c>
      <c r="C27" s="196" t="s">
        <v>564</v>
      </c>
      <c r="D27" s="194" t="s">
        <v>552</v>
      </c>
      <c r="E27" s="193" t="s">
        <v>562</v>
      </c>
      <c r="F27" s="195" t="s">
        <v>563</v>
      </c>
      <c r="K27" s="417"/>
      <c r="L27" s="419"/>
    </row>
    <row r="28" spans="1:12" ht="13.5" thickTop="1" x14ac:dyDescent="0.2">
      <c r="B28" s="134">
        <f>C7/C20</f>
        <v>1</v>
      </c>
      <c r="C28" s="92">
        <f t="shared" ref="C28:C59" si="0">IF(B28="","",B28*2.54)</f>
        <v>2.54</v>
      </c>
      <c r="D28" s="99">
        <f>IF(C28="","",IF(K28=1,$C$8*PI()*$E$7^2/4+2*$H$17,$C$8*$E$7^2/4*(L28-SIN(L28)*COS(L28))+4*$H$17*K28^2*(1.5-K28)))</f>
        <v>0.66802803633037477</v>
      </c>
      <c r="E28" s="101">
        <f t="shared" ref="E28:E59" si="1">IF(D28="","",D28*7.5)</f>
        <v>5.0102102724778108</v>
      </c>
      <c r="F28" s="135">
        <f t="shared" ref="F28:F59" si="2">IF(D28="","",D28*7.5*3.78)</f>
        <v>18.938594829966124</v>
      </c>
      <c r="K28" s="93">
        <f t="shared" ref="K28:K59" si="3">IF(B28="","",B28/$C$7)</f>
        <v>1.1111111111111112E-2</v>
      </c>
      <c r="L28" s="94">
        <f t="shared" ref="L28:L59" si="4">IF(K28="","",IF(K28=1,1,ACOS(1-2*K28)))</f>
        <v>0.21121088035917834</v>
      </c>
    </row>
    <row r="29" spans="1:12" x14ac:dyDescent="0.2">
      <c r="B29" s="128">
        <f t="shared" ref="B29:B60" si="5">IF(B28="","",IF(B28+$B$28&gt;$C$7+0.001,"",B28+$B$28))</f>
        <v>2</v>
      </c>
      <c r="C29" s="60">
        <f t="shared" si="0"/>
        <v>5.08</v>
      </c>
      <c r="D29" s="100">
        <f t="shared" ref="D29:D59" si="6">IF(C29="","",IF(K29=1,$C$8*PI()*$E$7^2/4+2*$H$17,$C$8*$E$7^2/4*(L29-SIN(L29)*COS(L29))+4*$H$17*K29^2*(1.5-K29)))</f>
        <v>1.9298551965284421</v>
      </c>
      <c r="E29" s="102">
        <f t="shared" si="1"/>
        <v>14.473913973963315</v>
      </c>
      <c r="F29" s="136">
        <f t="shared" si="2"/>
        <v>54.711394821581329</v>
      </c>
      <c r="K29" s="95">
        <f t="shared" si="3"/>
        <v>2.2222222222222223E-2</v>
      </c>
      <c r="L29" s="96">
        <f t="shared" si="4"/>
        <v>0.29925781871903467</v>
      </c>
    </row>
    <row r="30" spans="1:12" x14ac:dyDescent="0.2">
      <c r="B30" s="128">
        <f t="shared" si="5"/>
        <v>3</v>
      </c>
      <c r="C30" s="60">
        <f t="shared" si="0"/>
        <v>7.62</v>
      </c>
      <c r="D30" s="100">
        <f t="shared" si="6"/>
        <v>3.5981865019957295</v>
      </c>
      <c r="E30" s="102">
        <f t="shared" si="1"/>
        <v>26.986398764967973</v>
      </c>
      <c r="F30" s="136">
        <f t="shared" si="2"/>
        <v>102.00858733157894</v>
      </c>
      <c r="K30" s="95">
        <f t="shared" si="3"/>
        <v>3.3333333333333333E-2</v>
      </c>
      <c r="L30" s="96">
        <f t="shared" si="4"/>
        <v>0.36720802055783697</v>
      </c>
    </row>
    <row r="31" spans="1:12" x14ac:dyDescent="0.2">
      <c r="B31" s="128">
        <f t="shared" si="5"/>
        <v>4</v>
      </c>
      <c r="C31" s="60">
        <f t="shared" si="0"/>
        <v>10.16</v>
      </c>
      <c r="D31" s="100">
        <f t="shared" si="6"/>
        <v>5.6036339403164286</v>
      </c>
      <c r="E31" s="102">
        <f t="shared" si="1"/>
        <v>42.027254552373215</v>
      </c>
      <c r="F31" s="136">
        <f t="shared" si="2"/>
        <v>158.86302220797074</v>
      </c>
      <c r="K31" s="95">
        <f t="shared" si="3"/>
        <v>4.4444444444444446E-2</v>
      </c>
      <c r="L31" s="96">
        <f t="shared" si="4"/>
        <v>0.4248244274788886</v>
      </c>
    </row>
    <row r="32" spans="1:12" x14ac:dyDescent="0.2">
      <c r="B32" s="128">
        <f t="shared" si="5"/>
        <v>5</v>
      </c>
      <c r="C32" s="60">
        <f t="shared" si="0"/>
        <v>12.7</v>
      </c>
      <c r="D32" s="100">
        <f t="shared" si="6"/>
        <v>7.9046140268705205</v>
      </c>
      <c r="E32" s="102">
        <f t="shared" si="1"/>
        <v>59.284605201528905</v>
      </c>
      <c r="F32" s="136">
        <f t="shared" si="2"/>
        <v>224.09580766177925</v>
      </c>
      <c r="K32" s="95">
        <f t="shared" si="3"/>
        <v>5.5555555555555552E-2</v>
      </c>
      <c r="L32" s="96">
        <f t="shared" si="4"/>
        <v>0.4758822496604167</v>
      </c>
    </row>
    <row r="33" spans="2:12" x14ac:dyDescent="0.2">
      <c r="B33" s="128">
        <f t="shared" si="5"/>
        <v>6</v>
      </c>
      <c r="C33" s="60">
        <f t="shared" si="0"/>
        <v>15.24</v>
      </c>
      <c r="D33" s="100">
        <f t="shared" si="6"/>
        <v>10.471994027756402</v>
      </c>
      <c r="E33" s="102">
        <f t="shared" si="1"/>
        <v>78.539955208173012</v>
      </c>
      <c r="F33" s="136">
        <f t="shared" si="2"/>
        <v>296.88103068689395</v>
      </c>
      <c r="K33" s="95">
        <f t="shared" si="3"/>
        <v>6.6666666666666666E-2</v>
      </c>
      <c r="L33" s="96">
        <f t="shared" si="4"/>
        <v>0.52231482180604849</v>
      </c>
    </row>
    <row r="34" spans="2:12" x14ac:dyDescent="0.2">
      <c r="B34" s="128">
        <f t="shared" si="5"/>
        <v>7</v>
      </c>
      <c r="C34" s="60">
        <f t="shared" si="0"/>
        <v>17.78</v>
      </c>
      <c r="D34" s="100">
        <f t="shared" si="6"/>
        <v>13.283540979829553</v>
      </c>
      <c r="E34" s="102">
        <f t="shared" si="1"/>
        <v>99.626557348721647</v>
      </c>
      <c r="F34" s="136">
        <f t="shared" si="2"/>
        <v>376.58838677816783</v>
      </c>
      <c r="K34" s="95">
        <f t="shared" si="3"/>
        <v>7.7777777777777779E-2</v>
      </c>
      <c r="L34" s="96">
        <f t="shared" si="4"/>
        <v>0.56526918401899851</v>
      </c>
    </row>
    <row r="35" spans="2:12" x14ac:dyDescent="0.2">
      <c r="B35" s="128">
        <f t="shared" si="5"/>
        <v>8</v>
      </c>
      <c r="C35" s="60">
        <f t="shared" si="0"/>
        <v>20.32</v>
      </c>
      <c r="D35" s="100">
        <f t="shared" si="6"/>
        <v>16.321331310364645</v>
      </c>
      <c r="E35" s="102">
        <f t="shared" si="1"/>
        <v>122.40998482773483</v>
      </c>
      <c r="F35" s="136">
        <f t="shared" si="2"/>
        <v>462.70974264883762</v>
      </c>
      <c r="K35" s="95">
        <f t="shared" si="3"/>
        <v>8.8888888888888892E-2</v>
      </c>
      <c r="L35" s="96">
        <f t="shared" si="4"/>
        <v>0.60549190324600877</v>
      </c>
    </row>
    <row r="36" spans="2:12" x14ac:dyDescent="0.2">
      <c r="B36" s="128">
        <f t="shared" si="5"/>
        <v>9</v>
      </c>
      <c r="C36" s="60">
        <f t="shared" si="0"/>
        <v>22.86</v>
      </c>
      <c r="D36" s="100">
        <f t="shared" si="6"/>
        <v>19.570351388950641</v>
      </c>
      <c r="E36" s="102">
        <f t="shared" si="1"/>
        <v>146.7776354171298</v>
      </c>
      <c r="F36" s="136">
        <f t="shared" si="2"/>
        <v>554.81946187675067</v>
      </c>
      <c r="K36" s="95">
        <f t="shared" si="3"/>
        <v>0.1</v>
      </c>
      <c r="L36" s="96">
        <f t="shared" si="4"/>
        <v>0.64350110879328426</v>
      </c>
    </row>
    <row r="37" spans="2:12" x14ac:dyDescent="0.2">
      <c r="B37" s="128">
        <f t="shared" si="5"/>
        <v>10</v>
      </c>
      <c r="C37" s="60">
        <f t="shared" si="0"/>
        <v>25.4</v>
      </c>
      <c r="D37" s="100">
        <f t="shared" si="6"/>
        <v>23.017664237840904</v>
      </c>
      <c r="E37" s="102">
        <f t="shared" si="1"/>
        <v>172.63248178380678</v>
      </c>
      <c r="F37" s="136">
        <f t="shared" si="2"/>
        <v>652.55078114278956</v>
      </c>
      <c r="K37" s="95">
        <f t="shared" si="3"/>
        <v>0.1111111111111111</v>
      </c>
      <c r="L37" s="96">
        <f t="shared" si="4"/>
        <v>0.67967381890824385</v>
      </c>
    </row>
    <row r="38" spans="2:12" x14ac:dyDescent="0.2">
      <c r="B38" s="128">
        <f t="shared" si="5"/>
        <v>11</v>
      </c>
      <c r="C38" s="60">
        <f t="shared" si="0"/>
        <v>27.94</v>
      </c>
      <c r="D38" s="100">
        <f t="shared" si="6"/>
        <v>26.651877391362355</v>
      </c>
      <c r="E38" s="102">
        <f t="shared" si="1"/>
        <v>199.88908043521766</v>
      </c>
      <c r="F38" s="136">
        <f t="shared" si="2"/>
        <v>755.58072404512268</v>
      </c>
      <c r="K38" s="95">
        <f t="shared" si="3"/>
        <v>0.12222222222222222</v>
      </c>
      <c r="L38" s="96">
        <f t="shared" si="4"/>
        <v>0.71429455463224689</v>
      </c>
    </row>
    <row r="39" spans="2:12" x14ac:dyDescent="0.2">
      <c r="B39" s="128">
        <f t="shared" si="5"/>
        <v>12</v>
      </c>
      <c r="C39" s="60">
        <f t="shared" si="0"/>
        <v>30.48</v>
      </c>
      <c r="D39" s="100">
        <f t="shared" si="6"/>
        <v>30.462784566434657</v>
      </c>
      <c r="E39" s="102">
        <f t="shared" si="1"/>
        <v>228.47088424825992</v>
      </c>
      <c r="F39" s="136">
        <f t="shared" si="2"/>
        <v>863.61994245842243</v>
      </c>
      <c r="K39" s="95">
        <f t="shared" si="3"/>
        <v>0.13333333333333333</v>
      </c>
      <c r="L39" s="96">
        <f t="shared" si="4"/>
        <v>0.74758434966902065</v>
      </c>
    </row>
    <row r="40" spans="2:12" x14ac:dyDescent="0.2">
      <c r="B40" s="128">
        <f t="shared" si="5"/>
        <v>13</v>
      </c>
      <c r="C40" s="60">
        <f t="shared" si="0"/>
        <v>33.020000000000003</v>
      </c>
      <c r="D40" s="100">
        <f t="shared" si="6"/>
        <v>34.441114102893344</v>
      </c>
      <c r="E40" s="102">
        <f t="shared" si="1"/>
        <v>258.30835577170006</v>
      </c>
      <c r="F40" s="136">
        <f t="shared" si="2"/>
        <v>976.40558481702624</v>
      </c>
      <c r="K40" s="95">
        <f t="shared" si="3"/>
        <v>0.14444444444444443</v>
      </c>
      <c r="L40" s="96">
        <f t="shared" si="4"/>
        <v>0.77971902894144274</v>
      </c>
    </row>
    <row r="41" spans="2:12" x14ac:dyDescent="0.2">
      <c r="B41" s="128">
        <f t="shared" si="5"/>
        <v>14</v>
      </c>
      <c r="C41" s="60">
        <f t="shared" si="0"/>
        <v>35.56</v>
      </c>
      <c r="D41" s="100">
        <f t="shared" si="6"/>
        <v>38.578346306917489</v>
      </c>
      <c r="E41" s="102">
        <f t="shared" si="1"/>
        <v>289.33759730188115</v>
      </c>
      <c r="F41" s="136">
        <f t="shared" si="2"/>
        <v>1093.6961178011106</v>
      </c>
      <c r="K41" s="95">
        <f t="shared" si="3"/>
        <v>0.15555555555555556</v>
      </c>
      <c r="L41" s="96">
        <f t="shared" si="4"/>
        <v>0.81084124112905109</v>
      </c>
    </row>
    <row r="42" spans="2:12" x14ac:dyDescent="0.2">
      <c r="B42" s="128">
        <f t="shared" si="5"/>
        <v>15</v>
      </c>
      <c r="C42" s="60">
        <f t="shared" si="0"/>
        <v>38.1</v>
      </c>
      <c r="D42" s="100">
        <f t="shared" si="6"/>
        <v>42.866577078308588</v>
      </c>
      <c r="E42" s="102">
        <f t="shared" si="1"/>
        <v>321.49932808731438</v>
      </c>
      <c r="F42" s="136">
        <f t="shared" si="2"/>
        <v>1215.2674601700483</v>
      </c>
      <c r="K42" s="95">
        <f t="shared" si="3"/>
        <v>0.16666666666666666</v>
      </c>
      <c r="L42" s="96">
        <f t="shared" si="4"/>
        <v>0.84106867056793011</v>
      </c>
    </row>
    <row r="43" spans="2:12" x14ac:dyDescent="0.2">
      <c r="B43" s="128">
        <f t="shared" si="5"/>
        <v>16</v>
      </c>
      <c r="C43" s="60">
        <f t="shared" si="0"/>
        <v>40.64</v>
      </c>
      <c r="D43" s="100">
        <f t="shared" si="6"/>
        <v>47.298413678174974</v>
      </c>
      <c r="E43" s="102">
        <f t="shared" si="1"/>
        <v>354.73810258631232</v>
      </c>
      <c r="F43" s="136">
        <f t="shared" si="2"/>
        <v>1340.9100277762604</v>
      </c>
      <c r="K43" s="95">
        <f t="shared" si="3"/>
        <v>0.17777777777777778</v>
      </c>
      <c r="L43" s="96">
        <f t="shared" si="4"/>
        <v>0.87049981395393061</v>
      </c>
    </row>
    <row r="44" spans="2:12" x14ac:dyDescent="0.2">
      <c r="B44" s="128">
        <f t="shared" si="5"/>
        <v>17</v>
      </c>
      <c r="C44" s="60">
        <f t="shared" si="0"/>
        <v>43.18</v>
      </c>
      <c r="D44" s="100">
        <f t="shared" si="6"/>
        <v>51.866893449787341</v>
      </c>
      <c r="E44" s="102">
        <f t="shared" si="1"/>
        <v>389.00170087340507</v>
      </c>
      <c r="F44" s="136">
        <f t="shared" si="2"/>
        <v>1470.426429301471</v>
      </c>
      <c r="K44" s="95">
        <f t="shared" si="3"/>
        <v>0.18888888888888888</v>
      </c>
      <c r="L44" s="96">
        <f t="shared" si="4"/>
        <v>0.89921815017698115</v>
      </c>
    </row>
    <row r="45" spans="2:12" x14ac:dyDescent="0.2">
      <c r="B45" s="128">
        <f t="shared" si="5"/>
        <v>18</v>
      </c>
      <c r="C45" s="60">
        <f t="shared" si="0"/>
        <v>45.72</v>
      </c>
      <c r="D45" s="100">
        <f t="shared" si="6"/>
        <v>56.565419328912654</v>
      </c>
      <c r="E45" s="102">
        <f t="shared" si="1"/>
        <v>424.24064496684491</v>
      </c>
      <c r="F45" s="136">
        <f t="shared" si="2"/>
        <v>1603.6296379746736</v>
      </c>
      <c r="K45" s="95">
        <f t="shared" si="3"/>
        <v>0.2</v>
      </c>
      <c r="L45" s="96">
        <f t="shared" si="4"/>
        <v>0.92729521800161219</v>
      </c>
    </row>
    <row r="46" spans="2:12" x14ac:dyDescent="0.2">
      <c r="B46" s="128">
        <f t="shared" si="5"/>
        <v>19</v>
      </c>
      <c r="C46" s="60">
        <f t="shared" si="0"/>
        <v>48.26</v>
      </c>
      <c r="D46" s="100">
        <f t="shared" si="6"/>
        <v>61.387707892087633</v>
      </c>
      <c r="E46" s="102">
        <f t="shared" si="1"/>
        <v>460.40780919065725</v>
      </c>
      <c r="F46" s="136">
        <f t="shared" si="2"/>
        <v>1740.3415187406843</v>
      </c>
      <c r="K46" s="95">
        <f t="shared" si="3"/>
        <v>0.21111111111111111</v>
      </c>
      <c r="L46" s="96">
        <f t="shared" si="4"/>
        <v>0.95479293218881756</v>
      </c>
    </row>
    <row r="47" spans="2:12" x14ac:dyDescent="0.2">
      <c r="B47" s="128">
        <f t="shared" si="5"/>
        <v>20</v>
      </c>
      <c r="C47" s="60">
        <f t="shared" si="0"/>
        <v>50.8</v>
      </c>
      <c r="D47" s="100">
        <f t="shared" si="6"/>
        <v>66.327746938685863</v>
      </c>
      <c r="E47" s="102">
        <f t="shared" si="1"/>
        <v>497.45810204014396</v>
      </c>
      <c r="F47" s="136">
        <f t="shared" si="2"/>
        <v>1880.3916257117442</v>
      </c>
      <c r="K47" s="95">
        <f t="shared" si="3"/>
        <v>0.22222222222222221</v>
      </c>
      <c r="L47" s="96">
        <f t="shared" si="4"/>
        <v>0.98176535657862274</v>
      </c>
    </row>
    <row r="48" spans="2:12" x14ac:dyDescent="0.2">
      <c r="B48" s="128">
        <f t="shared" si="5"/>
        <v>21</v>
      </c>
      <c r="C48" s="60">
        <f t="shared" si="0"/>
        <v>53.34</v>
      </c>
      <c r="D48" s="100">
        <f t="shared" si="6"/>
        <v>71.37976043864829</v>
      </c>
      <c r="E48" s="102">
        <f t="shared" si="1"/>
        <v>535.34820328986223</v>
      </c>
      <c r="F48" s="136">
        <f t="shared" si="2"/>
        <v>2023.616208435679</v>
      </c>
      <c r="K48" s="95">
        <f t="shared" si="3"/>
        <v>0.23333333333333334</v>
      </c>
      <c r="L48" s="96">
        <f t="shared" si="4"/>
        <v>1.008260082251041</v>
      </c>
    </row>
    <row r="49" spans="2:12" x14ac:dyDescent="0.2">
      <c r="B49" s="128">
        <f t="shared" si="5"/>
        <v>22</v>
      </c>
      <c r="C49" s="60">
        <f t="shared" si="0"/>
        <v>55.88</v>
      </c>
      <c r="D49" s="100">
        <f t="shared" si="6"/>
        <v>76.538179251521356</v>
      </c>
      <c r="E49" s="102">
        <f t="shared" si="1"/>
        <v>574.03634438641018</v>
      </c>
      <c r="F49" s="136">
        <f t="shared" si="2"/>
        <v>2169.8573817806305</v>
      </c>
      <c r="K49" s="95">
        <f t="shared" si="3"/>
        <v>0.24444444444444444</v>
      </c>
      <c r="L49" s="96">
        <f t="shared" si="4"/>
        <v>1.0343193134206476</v>
      </c>
    </row>
    <row r="50" spans="2:12" x14ac:dyDescent="0.2">
      <c r="B50" s="128">
        <f t="shared" si="5"/>
        <v>23</v>
      </c>
      <c r="C50" s="60">
        <f t="shared" si="0"/>
        <v>58.42</v>
      </c>
      <c r="D50" s="100">
        <f t="shared" si="6"/>
        <v>81.797616424611675</v>
      </c>
      <c r="E50" s="102">
        <f t="shared" si="1"/>
        <v>613.48212318458752</v>
      </c>
      <c r="F50" s="136">
        <f t="shared" si="2"/>
        <v>2318.9624256377406</v>
      </c>
      <c r="K50" s="95">
        <f t="shared" si="3"/>
        <v>0.25555555555555554</v>
      </c>
      <c r="L50" s="96">
        <f t="shared" si="4"/>
        <v>1.0599807336350429</v>
      </c>
    </row>
    <row r="51" spans="2:12" x14ac:dyDescent="0.2">
      <c r="B51" s="128">
        <f t="shared" si="5"/>
        <v>24</v>
      </c>
      <c r="C51" s="60">
        <f t="shared" si="0"/>
        <v>60.96</v>
      </c>
      <c r="D51" s="100">
        <f t="shared" si="6"/>
        <v>87.152846165292047</v>
      </c>
      <c r="E51" s="102">
        <f t="shared" si="1"/>
        <v>653.64634623969039</v>
      </c>
      <c r="F51" s="136">
        <f t="shared" si="2"/>
        <v>2470.7831887860293</v>
      </c>
      <c r="K51" s="95">
        <f t="shared" si="3"/>
        <v>0.26666666666666666</v>
      </c>
      <c r="L51" s="96">
        <f t="shared" si="4"/>
        <v>1.0852782044993055</v>
      </c>
    </row>
    <row r="52" spans="2:12" x14ac:dyDescent="0.2">
      <c r="B52" s="128">
        <f t="shared" si="5"/>
        <v>25</v>
      </c>
      <c r="C52" s="60">
        <f t="shared" si="0"/>
        <v>63.5</v>
      </c>
      <c r="D52" s="100">
        <f t="shared" si="6"/>
        <v>92.598785791113713</v>
      </c>
      <c r="E52" s="102">
        <f t="shared" si="1"/>
        <v>694.49089343335288</v>
      </c>
      <c r="F52" s="136">
        <f t="shared" si="2"/>
        <v>2625.1755771780736</v>
      </c>
      <c r="K52" s="95">
        <f t="shared" si="3"/>
        <v>0.27777777777777779</v>
      </c>
      <c r="L52" s="96">
        <f t="shared" si="4"/>
        <v>1.1102423351135742</v>
      </c>
    </row>
    <row r="53" spans="2:12" x14ac:dyDescent="0.2">
      <c r="B53" s="128">
        <f t="shared" si="5"/>
        <v>26</v>
      </c>
      <c r="C53" s="60">
        <f t="shared" si="0"/>
        <v>66.040000000000006</v>
      </c>
      <c r="D53" s="100">
        <f t="shared" si="6"/>
        <v>98.130480115230938</v>
      </c>
      <c r="E53" s="102">
        <f t="shared" si="1"/>
        <v>735.97860086423202</v>
      </c>
      <c r="F53" s="136">
        <f t="shared" si="2"/>
        <v>2781.9991112667967</v>
      </c>
      <c r="K53" s="95">
        <f t="shared" si="3"/>
        <v>0.28888888888888886</v>
      </c>
      <c r="L53" s="96">
        <f t="shared" si="4"/>
        <v>1.1349009505576739</v>
      </c>
    </row>
    <row r="54" spans="2:12" x14ac:dyDescent="0.2">
      <c r="B54" s="128">
        <f t="shared" si="5"/>
        <v>27</v>
      </c>
      <c r="C54" s="60">
        <f t="shared" si="0"/>
        <v>68.58</v>
      </c>
      <c r="D54" s="100">
        <f t="shared" si="6"/>
        <v>103.74308783967518</v>
      </c>
      <c r="E54" s="102">
        <f t="shared" si="1"/>
        <v>778.07315879756391</v>
      </c>
      <c r="F54" s="136">
        <f t="shared" si="2"/>
        <v>2941.1165402547913</v>
      </c>
      <c r="K54" s="95">
        <f t="shared" si="3"/>
        <v>0.3</v>
      </c>
      <c r="L54" s="96">
        <f t="shared" si="4"/>
        <v>1.1592794807274085</v>
      </c>
    </row>
    <row r="55" spans="2:12" x14ac:dyDescent="0.2">
      <c r="B55" s="128">
        <f t="shared" si="5"/>
        <v>28</v>
      </c>
      <c r="C55" s="60">
        <f t="shared" si="0"/>
        <v>71.12</v>
      </c>
      <c r="D55" s="100">
        <f t="shared" si="6"/>
        <v>109.43186961610638</v>
      </c>
      <c r="E55" s="102">
        <f t="shared" si="1"/>
        <v>820.73902212079793</v>
      </c>
      <c r="F55" s="136">
        <f t="shared" si="2"/>
        <v>3102.3935036166158</v>
      </c>
      <c r="K55" s="95">
        <f t="shared" si="3"/>
        <v>0.31111111111111112</v>
      </c>
      <c r="L55" s="96">
        <f t="shared" si="4"/>
        <v>1.1834012857386433</v>
      </c>
    </row>
    <row r="56" spans="2:12" x14ac:dyDescent="0.2">
      <c r="B56" s="128">
        <f t="shared" si="5"/>
        <v>29</v>
      </c>
      <c r="C56" s="60">
        <f t="shared" si="0"/>
        <v>73.66</v>
      </c>
      <c r="D56" s="100">
        <f t="shared" si="6"/>
        <v>115.19217750036584</v>
      </c>
      <c r="E56" s="102">
        <f t="shared" si="1"/>
        <v>863.94133125274379</v>
      </c>
      <c r="F56" s="136">
        <f t="shared" si="2"/>
        <v>3265.6982321353712</v>
      </c>
      <c r="K56" s="95">
        <f t="shared" si="3"/>
        <v>0.32222222222222224</v>
      </c>
      <c r="L56" s="96">
        <f t="shared" si="4"/>
        <v>1.2072879303822672</v>
      </c>
    </row>
    <row r="57" spans="2:12" x14ac:dyDescent="0.2">
      <c r="B57" s="128">
        <f t="shared" si="5"/>
        <v>30</v>
      </c>
      <c r="C57" s="60">
        <f t="shared" si="0"/>
        <v>76.2</v>
      </c>
      <c r="D57" s="100">
        <f t="shared" si="6"/>
        <v>121.01944557875944</v>
      </c>
      <c r="E57" s="102">
        <f t="shared" si="1"/>
        <v>907.64584184069588</v>
      </c>
      <c r="F57" s="136">
        <f t="shared" si="2"/>
        <v>3430.9012821578303</v>
      </c>
      <c r="K57" s="95">
        <f t="shared" si="3"/>
        <v>0.33333333333333331</v>
      </c>
      <c r="L57" s="96">
        <f t="shared" si="4"/>
        <v>1.2309594173407745</v>
      </c>
    </row>
    <row r="58" spans="2:12" x14ac:dyDescent="0.2">
      <c r="B58" s="128">
        <f t="shared" si="5"/>
        <v>31</v>
      </c>
      <c r="C58" s="60">
        <f t="shared" si="0"/>
        <v>78.739999999999995</v>
      </c>
      <c r="D58" s="100">
        <f t="shared" si="6"/>
        <v>126.90918158431988</v>
      </c>
      <c r="E58" s="102">
        <f t="shared" si="1"/>
        <v>951.81886188239912</v>
      </c>
      <c r="F58" s="136">
        <f t="shared" si="2"/>
        <v>3597.8752979154683</v>
      </c>
      <c r="K58" s="95">
        <f t="shared" si="3"/>
        <v>0.34444444444444444</v>
      </c>
      <c r="L58" s="96">
        <f t="shared" si="4"/>
        <v>1.2544343867951453</v>
      </c>
    </row>
    <row r="59" spans="2:12" x14ac:dyDescent="0.2">
      <c r="B59" s="128">
        <f t="shared" si="5"/>
        <v>32</v>
      </c>
      <c r="C59" s="60">
        <f t="shared" si="0"/>
        <v>81.28</v>
      </c>
      <c r="D59" s="100">
        <f t="shared" si="6"/>
        <v>132.85695935305932</v>
      </c>
      <c r="E59" s="102">
        <f t="shared" si="1"/>
        <v>996.42719514794499</v>
      </c>
      <c r="F59" s="136">
        <f t="shared" si="2"/>
        <v>3766.4947976592321</v>
      </c>
      <c r="K59" s="95">
        <f t="shared" si="3"/>
        <v>0.35555555555555557</v>
      </c>
      <c r="L59" s="96">
        <f t="shared" si="4"/>
        <v>1.2777302884708224</v>
      </c>
    </row>
    <row r="60" spans="2:12" x14ac:dyDescent="0.2">
      <c r="B60" s="128">
        <f t="shared" si="5"/>
        <v>33</v>
      </c>
      <c r="C60" s="60">
        <f t="shared" ref="C60:C91" si="7">IF(B60="","",B60*2.54)</f>
        <v>83.820000000000007</v>
      </c>
      <c r="D60" s="100">
        <f t="shared" ref="D60:D91" si="8">IF(C60="","",IF(K60=1,$C$8*PI()*$E$7^2/4+2*$H$17,$C$8*$E$7^2/4*(L60-SIN(L60)*COS(L60))+4*$H$17*K60^2*(1.5-K60)))</f>
        <v>138.85841199545607</v>
      </c>
      <c r="E60" s="102">
        <f t="shared" ref="E60:E91" si="9">IF(D60="","",D60*7.5)</f>
        <v>1041.4380899659204</v>
      </c>
      <c r="F60" s="136">
        <f t="shared" ref="F60:F91" si="10">IF(D60="","",D60*7.5*3.78)</f>
        <v>3936.6359800711789</v>
      </c>
      <c r="K60" s="95">
        <f t="shared" ref="K60:K91" si="11">IF(B60="","",B60/$C$7)</f>
        <v>0.36666666666666664</v>
      </c>
      <c r="L60" s="96">
        <f t="shared" ref="L60:L91" si="12">IF(K60="","",IF(K60=1,1,ACOS(1-2*K60)))</f>
        <v>1.3008635309614931</v>
      </c>
    </row>
    <row r="61" spans="2:12" x14ac:dyDescent="0.2">
      <c r="B61" s="128">
        <f t="shared" ref="B61:B92" si="13">IF(B60="","",IF(B60+$B$28&gt;$C$7+0.001,"",B60+$B$28))</f>
        <v>34</v>
      </c>
      <c r="C61" s="60">
        <f t="shared" si="7"/>
        <v>86.36</v>
      </c>
      <c r="D61" s="100">
        <f t="shared" si="8"/>
        <v>144.90922567859101</v>
      </c>
      <c r="E61" s="102">
        <f t="shared" si="9"/>
        <v>1086.8191925894325</v>
      </c>
      <c r="F61" s="136">
        <f t="shared" si="10"/>
        <v>4108.1765479880551</v>
      </c>
      <c r="K61" s="95">
        <f t="shared" si="11"/>
        <v>0.37777777777777777</v>
      </c>
      <c r="L61" s="96">
        <f t="shared" si="12"/>
        <v>1.3238496122344636</v>
      </c>
    </row>
    <row r="62" spans="2:12" x14ac:dyDescent="0.2">
      <c r="B62" s="128">
        <f t="shared" si="13"/>
        <v>35</v>
      </c>
      <c r="C62" s="60">
        <f t="shared" si="7"/>
        <v>88.9</v>
      </c>
      <c r="D62" s="100">
        <f t="shared" si="8"/>
        <v>151.00513393058623</v>
      </c>
      <c r="E62" s="102">
        <f t="shared" si="9"/>
        <v>1132.5385044793966</v>
      </c>
      <c r="F62" s="136">
        <f t="shared" si="10"/>
        <v>4280.9955469321185</v>
      </c>
      <c r="K62" s="95">
        <f t="shared" si="11"/>
        <v>0.3888888888888889</v>
      </c>
      <c r="L62" s="96">
        <f t="shared" si="12"/>
        <v>1.3467032344935257</v>
      </c>
    </row>
    <row r="63" spans="2:12" x14ac:dyDescent="0.2">
      <c r="B63" s="128">
        <f t="shared" si="13"/>
        <v>36</v>
      </c>
      <c r="C63" s="60">
        <f t="shared" si="7"/>
        <v>91.44</v>
      </c>
      <c r="D63" s="100">
        <f t="shared" si="8"/>
        <v>157.14191239213196</v>
      </c>
      <c r="E63" s="102">
        <f t="shared" si="9"/>
        <v>1178.5643429409897</v>
      </c>
      <c r="F63" s="136">
        <f t="shared" si="10"/>
        <v>4454.973216316941</v>
      </c>
      <c r="K63" s="95">
        <f t="shared" si="11"/>
        <v>0.4</v>
      </c>
      <c r="L63" s="96">
        <f t="shared" si="12"/>
        <v>1.3694384060045657</v>
      </c>
    </row>
    <row r="64" spans="2:12" x14ac:dyDescent="0.2">
      <c r="B64" s="128">
        <f t="shared" si="13"/>
        <v>37</v>
      </c>
      <c r="C64" s="60">
        <f t="shared" si="7"/>
        <v>93.98</v>
      </c>
      <c r="D64" s="100">
        <f t="shared" si="8"/>
        <v>163.31537395055875</v>
      </c>
      <c r="E64" s="102">
        <f t="shared" si="9"/>
        <v>1224.8653046291906</v>
      </c>
      <c r="F64" s="136">
        <f t="shared" si="10"/>
        <v>4629.9908514983399</v>
      </c>
      <c r="K64" s="95">
        <f t="shared" si="11"/>
        <v>0.41111111111111109</v>
      </c>
      <c r="L64" s="96">
        <f t="shared" si="12"/>
        <v>1.3920685320391231</v>
      </c>
    </row>
    <row r="65" spans="2:12" x14ac:dyDescent="0.2">
      <c r="B65" s="128">
        <f t="shared" si="13"/>
        <v>38</v>
      </c>
      <c r="C65" s="60">
        <f t="shared" si="7"/>
        <v>96.52</v>
      </c>
      <c r="D65" s="100">
        <f t="shared" si="8"/>
        <v>169.52136420060859</v>
      </c>
      <c r="E65" s="102">
        <f t="shared" si="9"/>
        <v>1271.4102315045643</v>
      </c>
      <c r="F65" s="136">
        <f t="shared" si="10"/>
        <v>4805.9306750872529</v>
      </c>
      <c r="K65" s="95">
        <f t="shared" si="11"/>
        <v>0.42222222222222222</v>
      </c>
      <c r="L65" s="96">
        <f t="shared" si="12"/>
        <v>1.4146064967344483</v>
      </c>
    </row>
    <row r="66" spans="2:12" x14ac:dyDescent="0.2">
      <c r="B66" s="128">
        <f t="shared" si="13"/>
        <v>39</v>
      </c>
      <c r="C66" s="60">
        <f t="shared" si="7"/>
        <v>99.06</v>
      </c>
      <c r="D66" s="100">
        <f t="shared" si="8"/>
        <v>175.75575718316091</v>
      </c>
      <c r="E66" s="102">
        <f t="shared" si="9"/>
        <v>1318.1681788737069</v>
      </c>
      <c r="F66" s="136">
        <f t="shared" si="10"/>
        <v>4982.6757161426121</v>
      </c>
      <c r="K66" s="95">
        <f t="shared" si="11"/>
        <v>0.43333333333333335</v>
      </c>
      <c r="L66" s="96">
        <f t="shared" si="12"/>
        <v>1.437064737384955</v>
      </c>
    </row>
    <row r="67" spans="2:12" x14ac:dyDescent="0.2">
      <c r="B67" s="128">
        <f t="shared" si="13"/>
        <v>40</v>
      </c>
      <c r="C67" s="60">
        <f t="shared" si="7"/>
        <v>101.6</v>
      </c>
      <c r="D67" s="100">
        <f t="shared" si="8"/>
        <v>182.01445135896734</v>
      </c>
      <c r="E67" s="102">
        <f t="shared" si="9"/>
        <v>1365.1083851922549</v>
      </c>
      <c r="F67" s="136">
        <f t="shared" si="10"/>
        <v>5160.1096960267232</v>
      </c>
      <c r="K67" s="95">
        <f t="shared" si="11"/>
        <v>0.44444444444444442</v>
      </c>
      <c r="L67" s="96">
        <f t="shared" si="12"/>
        <v>1.4594553124539327</v>
      </c>
    </row>
    <row r="68" spans="2:12" x14ac:dyDescent="0.2">
      <c r="B68" s="128">
        <f t="shared" si="13"/>
        <v>41</v>
      </c>
      <c r="C68" s="60">
        <f t="shared" si="7"/>
        <v>104.14</v>
      </c>
      <c r="D68" s="100">
        <f t="shared" si="8"/>
        <v>188.29336577917258</v>
      </c>
      <c r="E68" s="102">
        <f t="shared" si="9"/>
        <v>1412.2002433437942</v>
      </c>
      <c r="F68" s="136">
        <f t="shared" si="10"/>
        <v>5338.1169198395419</v>
      </c>
      <c r="K68" s="95">
        <f t="shared" si="11"/>
        <v>0.45555555555555555</v>
      </c>
      <c r="L68" s="96">
        <f t="shared" si="12"/>
        <v>1.4817899644143493</v>
      </c>
    </row>
    <row r="69" spans="2:12" x14ac:dyDescent="0.2">
      <c r="B69" s="128">
        <f t="shared" si="13"/>
        <v>42</v>
      </c>
      <c r="C69" s="60">
        <f t="shared" si="7"/>
        <v>106.68</v>
      </c>
      <c r="D69" s="100">
        <f t="shared" si="8"/>
        <v>194.58843641822369</v>
      </c>
      <c r="E69" s="102">
        <f t="shared" si="9"/>
        <v>1459.4132731366776</v>
      </c>
      <c r="F69" s="136">
        <f t="shared" si="10"/>
        <v>5516.5821724566413</v>
      </c>
      <c r="K69" s="95">
        <f t="shared" si="11"/>
        <v>0.46666666666666667</v>
      </c>
      <c r="L69" s="96">
        <f t="shared" si="12"/>
        <v>1.5040801783846713</v>
      </c>
    </row>
    <row r="70" spans="2:12" x14ac:dyDescent="0.2">
      <c r="B70" s="128">
        <f t="shared" si="13"/>
        <v>43</v>
      </c>
      <c r="C70" s="60">
        <f t="shared" si="7"/>
        <v>109.22</v>
      </c>
      <c r="D70" s="100">
        <f t="shared" si="8"/>
        <v>200.89561263783736</v>
      </c>
      <c r="E70" s="102">
        <f t="shared" si="9"/>
        <v>1506.7170947837801</v>
      </c>
      <c r="F70" s="136">
        <f t="shared" si="10"/>
        <v>5695.3906182826886</v>
      </c>
      <c r="K70" s="95">
        <f t="shared" si="11"/>
        <v>0.4777777777777778</v>
      </c>
      <c r="L70" s="96">
        <f t="shared" si="12"/>
        <v>1.5263372374131252</v>
      </c>
    </row>
    <row r="71" spans="2:12" x14ac:dyDescent="0.2">
      <c r="B71" s="128">
        <f t="shared" si="13"/>
        <v>44</v>
      </c>
      <c r="C71" s="60">
        <f t="shared" si="7"/>
        <v>111.76</v>
      </c>
      <c r="D71" s="100">
        <f t="shared" si="8"/>
        <v>207.21085375310787</v>
      </c>
      <c r="E71" s="102">
        <f t="shared" si="9"/>
        <v>1554.0814031483089</v>
      </c>
      <c r="F71" s="136">
        <f t="shared" si="10"/>
        <v>5874.4277039006074</v>
      </c>
      <c r="K71" s="95">
        <f t="shared" si="11"/>
        <v>0.48888888888888887</v>
      </c>
      <c r="L71" s="96">
        <f t="shared" si="12"/>
        <v>1.5485722751766293</v>
      </c>
    </row>
    <row r="72" spans="2:12" x14ac:dyDescent="0.2">
      <c r="B72" s="128">
        <f t="shared" si="13"/>
        <v>45</v>
      </c>
      <c r="C72" s="60">
        <f t="shared" si="7"/>
        <v>114.3</v>
      </c>
      <c r="D72" s="100">
        <f t="shared" si="8"/>
        <v>213.53012567368125</v>
      </c>
      <c r="E72" s="102">
        <f t="shared" si="9"/>
        <v>1601.4759425526095</v>
      </c>
      <c r="F72" s="136">
        <f t="shared" si="10"/>
        <v>6053.579062848863</v>
      </c>
      <c r="K72" s="95">
        <f t="shared" si="11"/>
        <v>0.5</v>
      </c>
      <c r="L72" s="96">
        <f t="shared" si="12"/>
        <v>1.5707963267948966</v>
      </c>
    </row>
    <row r="73" spans="2:12" x14ac:dyDescent="0.2">
      <c r="B73" s="128">
        <f t="shared" si="13"/>
        <v>46</v>
      </c>
      <c r="C73" s="60">
        <f t="shared" si="7"/>
        <v>116.84</v>
      </c>
      <c r="D73" s="100">
        <f t="shared" si="8"/>
        <v>219.84939759425455</v>
      </c>
      <c r="E73" s="102">
        <f t="shared" si="9"/>
        <v>1648.8704819569091</v>
      </c>
      <c r="F73" s="136">
        <f t="shared" si="10"/>
        <v>6232.7304217971159</v>
      </c>
      <c r="K73" s="95">
        <f t="shared" si="11"/>
        <v>0.51111111111111107</v>
      </c>
      <c r="L73" s="96">
        <f t="shared" si="12"/>
        <v>1.5930203784131636</v>
      </c>
    </row>
    <row r="74" spans="2:12" x14ac:dyDescent="0.2">
      <c r="B74" s="128">
        <f t="shared" si="13"/>
        <v>47</v>
      </c>
      <c r="C74" s="60">
        <f t="shared" si="7"/>
        <v>119.38</v>
      </c>
      <c r="D74" s="100">
        <f t="shared" si="8"/>
        <v>226.16463870952515</v>
      </c>
      <c r="E74" s="102">
        <f t="shared" si="9"/>
        <v>1696.2347903214386</v>
      </c>
      <c r="F74" s="136">
        <f t="shared" si="10"/>
        <v>6411.7675074150375</v>
      </c>
      <c r="K74" s="95">
        <f t="shared" si="11"/>
        <v>0.52222222222222225</v>
      </c>
      <c r="L74" s="96">
        <f t="shared" si="12"/>
        <v>1.6152554161766679</v>
      </c>
    </row>
    <row r="75" spans="2:12" x14ac:dyDescent="0.2">
      <c r="B75" s="128">
        <f t="shared" si="13"/>
        <v>48</v>
      </c>
      <c r="C75" s="60">
        <f t="shared" si="7"/>
        <v>121.92</v>
      </c>
      <c r="D75" s="100">
        <f t="shared" si="8"/>
        <v>232.47181492913882</v>
      </c>
      <c r="E75" s="102">
        <f t="shared" si="9"/>
        <v>1743.5386119685411</v>
      </c>
      <c r="F75" s="136">
        <f t="shared" si="10"/>
        <v>6590.5759532410848</v>
      </c>
      <c r="K75" s="95">
        <f t="shared" si="11"/>
        <v>0.53333333333333333</v>
      </c>
      <c r="L75" s="96">
        <f t="shared" si="12"/>
        <v>1.6375124752051218</v>
      </c>
    </row>
    <row r="76" spans="2:12" x14ac:dyDescent="0.2">
      <c r="B76" s="128">
        <f t="shared" si="13"/>
        <v>49</v>
      </c>
      <c r="C76" s="60">
        <f t="shared" si="7"/>
        <v>124.46000000000001</v>
      </c>
      <c r="D76" s="100">
        <f t="shared" si="8"/>
        <v>238.76688556818988</v>
      </c>
      <c r="E76" s="102">
        <f t="shared" si="9"/>
        <v>1790.751641761424</v>
      </c>
      <c r="F76" s="136">
        <f t="shared" si="10"/>
        <v>6769.0412058581824</v>
      </c>
      <c r="K76" s="95">
        <f t="shared" si="11"/>
        <v>0.5444444444444444</v>
      </c>
      <c r="L76" s="96">
        <f t="shared" si="12"/>
        <v>1.6598026891754436</v>
      </c>
    </row>
    <row r="77" spans="2:12" x14ac:dyDescent="0.2">
      <c r="B77" s="128">
        <f t="shared" si="13"/>
        <v>50</v>
      </c>
      <c r="C77" s="60">
        <f t="shared" si="7"/>
        <v>127</v>
      </c>
      <c r="D77" s="100">
        <f t="shared" si="8"/>
        <v>245.04579998839512</v>
      </c>
      <c r="E77" s="102">
        <f t="shared" si="9"/>
        <v>1837.8434999129634</v>
      </c>
      <c r="F77" s="136">
        <f t="shared" si="10"/>
        <v>6947.048429671001</v>
      </c>
      <c r="K77" s="95">
        <f t="shared" si="11"/>
        <v>0.55555555555555558</v>
      </c>
      <c r="L77" s="96">
        <f t="shared" si="12"/>
        <v>1.6821373411358604</v>
      </c>
    </row>
    <row r="78" spans="2:12" x14ac:dyDescent="0.2">
      <c r="B78" s="128">
        <f t="shared" si="13"/>
        <v>51</v>
      </c>
      <c r="C78" s="60">
        <f t="shared" si="7"/>
        <v>129.54</v>
      </c>
      <c r="D78" s="100">
        <f t="shared" si="8"/>
        <v>251.30449416420157</v>
      </c>
      <c r="E78" s="102">
        <f t="shared" si="9"/>
        <v>1884.7837062315118</v>
      </c>
      <c r="F78" s="136">
        <f t="shared" si="10"/>
        <v>7124.4824095551139</v>
      </c>
      <c r="K78" s="95">
        <f t="shared" si="11"/>
        <v>0.56666666666666665</v>
      </c>
      <c r="L78" s="96">
        <f t="shared" si="12"/>
        <v>1.7045279162048381</v>
      </c>
    </row>
    <row r="79" spans="2:12" x14ac:dyDescent="0.2">
      <c r="B79" s="128">
        <f t="shared" si="13"/>
        <v>52</v>
      </c>
      <c r="C79" s="60">
        <f t="shared" si="7"/>
        <v>132.08000000000001</v>
      </c>
      <c r="D79" s="100">
        <f t="shared" si="8"/>
        <v>257.53888714675384</v>
      </c>
      <c r="E79" s="102">
        <f t="shared" si="9"/>
        <v>1931.5416536006537</v>
      </c>
      <c r="F79" s="136">
        <f t="shared" si="10"/>
        <v>7301.2274506104704</v>
      </c>
      <c r="K79" s="95">
        <f t="shared" si="11"/>
        <v>0.57777777777777772</v>
      </c>
      <c r="L79" s="96">
        <f t="shared" si="12"/>
        <v>1.7269861568553446</v>
      </c>
    </row>
    <row r="80" spans="2:12" x14ac:dyDescent="0.2">
      <c r="B80" s="128">
        <f t="shared" si="13"/>
        <v>53</v>
      </c>
      <c r="C80" s="60">
        <f t="shared" si="7"/>
        <v>134.62</v>
      </c>
      <c r="D80" s="100">
        <f t="shared" si="8"/>
        <v>263.74487739680376</v>
      </c>
      <c r="E80" s="102">
        <f t="shared" si="9"/>
        <v>1978.0865804760283</v>
      </c>
      <c r="F80" s="136">
        <f t="shared" si="10"/>
        <v>7477.1672741993862</v>
      </c>
      <c r="K80" s="95">
        <f t="shared" si="11"/>
        <v>0.58888888888888891</v>
      </c>
      <c r="L80" s="96">
        <f t="shared" si="12"/>
        <v>1.7495241215506701</v>
      </c>
    </row>
    <row r="81" spans="2:12" x14ac:dyDescent="0.2">
      <c r="B81" s="128">
        <f t="shared" si="13"/>
        <v>54</v>
      </c>
      <c r="C81" s="60">
        <f t="shared" si="7"/>
        <v>137.16</v>
      </c>
      <c r="D81" s="100">
        <f t="shared" si="8"/>
        <v>269.91833895523058</v>
      </c>
      <c r="E81" s="102">
        <f t="shared" si="9"/>
        <v>2024.3875421642294</v>
      </c>
      <c r="F81" s="136">
        <f t="shared" si="10"/>
        <v>7652.1849093807868</v>
      </c>
      <c r="K81" s="95">
        <f t="shared" si="11"/>
        <v>0.6</v>
      </c>
      <c r="L81" s="96">
        <f t="shared" si="12"/>
        <v>1.7721542475852274</v>
      </c>
    </row>
    <row r="82" spans="2:12" x14ac:dyDescent="0.2">
      <c r="B82" s="128">
        <f t="shared" si="13"/>
        <v>55</v>
      </c>
      <c r="C82" s="60">
        <f t="shared" si="7"/>
        <v>139.69999999999999</v>
      </c>
      <c r="D82" s="100">
        <f t="shared" si="8"/>
        <v>276.05511741677628</v>
      </c>
      <c r="E82" s="102">
        <f t="shared" si="9"/>
        <v>2070.4133806258224</v>
      </c>
      <c r="F82" s="136">
        <f t="shared" si="10"/>
        <v>7826.1625787656085</v>
      </c>
      <c r="K82" s="95">
        <f t="shared" si="11"/>
        <v>0.61111111111111116</v>
      </c>
      <c r="L82" s="96">
        <f t="shared" si="12"/>
        <v>1.7948894190962674</v>
      </c>
    </row>
    <row r="83" spans="2:12" x14ac:dyDescent="0.2">
      <c r="B83" s="128">
        <f t="shared" si="13"/>
        <v>56</v>
      </c>
      <c r="C83" s="60">
        <f t="shared" si="7"/>
        <v>142.24</v>
      </c>
      <c r="D83" s="100">
        <f t="shared" si="8"/>
        <v>282.15102566877147</v>
      </c>
      <c r="E83" s="102">
        <f t="shared" si="9"/>
        <v>2116.1326925157859</v>
      </c>
      <c r="F83" s="136">
        <f t="shared" si="10"/>
        <v>7998.9815777096701</v>
      </c>
      <c r="K83" s="95">
        <f t="shared" si="11"/>
        <v>0.62222222222222223</v>
      </c>
      <c r="L83" s="96">
        <f t="shared" si="12"/>
        <v>1.8177430413553295</v>
      </c>
    </row>
    <row r="84" spans="2:12" x14ac:dyDescent="0.2">
      <c r="B84" s="128">
        <f t="shared" si="13"/>
        <v>57</v>
      </c>
      <c r="C84" s="60">
        <f t="shared" si="7"/>
        <v>144.78</v>
      </c>
      <c r="D84" s="100">
        <f t="shared" si="8"/>
        <v>288.20183935190641</v>
      </c>
      <c r="E84" s="102">
        <f t="shared" si="9"/>
        <v>2161.5137951392981</v>
      </c>
      <c r="F84" s="136">
        <f t="shared" si="10"/>
        <v>8170.5221456265463</v>
      </c>
      <c r="K84" s="95">
        <f t="shared" si="11"/>
        <v>0.6333333333333333</v>
      </c>
      <c r="L84" s="96">
        <f t="shared" si="12"/>
        <v>1.8407291226283</v>
      </c>
    </row>
    <row r="85" spans="2:12" x14ac:dyDescent="0.2">
      <c r="B85" s="128">
        <f t="shared" si="13"/>
        <v>58</v>
      </c>
      <c r="C85" s="60">
        <f t="shared" si="7"/>
        <v>147.32</v>
      </c>
      <c r="D85" s="100">
        <f t="shared" si="8"/>
        <v>294.20329199430324</v>
      </c>
      <c r="E85" s="102">
        <f t="shared" si="9"/>
        <v>2206.5246899572744</v>
      </c>
      <c r="F85" s="136">
        <f t="shared" si="10"/>
        <v>8340.6633280384976</v>
      </c>
      <c r="K85" s="95">
        <f t="shared" si="11"/>
        <v>0.64444444444444449</v>
      </c>
      <c r="L85" s="96">
        <f t="shared" si="12"/>
        <v>1.863862365118971</v>
      </c>
    </row>
    <row r="86" spans="2:12" x14ac:dyDescent="0.2">
      <c r="B86" s="128">
        <f t="shared" si="13"/>
        <v>59</v>
      </c>
      <c r="C86" s="60">
        <f t="shared" si="7"/>
        <v>149.86000000000001</v>
      </c>
      <c r="D86" s="100">
        <f t="shared" si="8"/>
        <v>300.15106976304264</v>
      </c>
      <c r="E86" s="102">
        <f t="shared" si="9"/>
        <v>2251.1330232228197</v>
      </c>
      <c r="F86" s="136">
        <f t="shared" si="10"/>
        <v>8509.2828277822573</v>
      </c>
      <c r="K86" s="95">
        <f t="shared" si="11"/>
        <v>0.65555555555555556</v>
      </c>
      <c r="L86" s="96">
        <f t="shared" si="12"/>
        <v>1.8871582667946478</v>
      </c>
    </row>
    <row r="87" spans="2:12" x14ac:dyDescent="0.2">
      <c r="B87" s="128">
        <f t="shared" si="13"/>
        <v>60</v>
      </c>
      <c r="C87" s="60">
        <f t="shared" si="7"/>
        <v>152.4</v>
      </c>
      <c r="D87" s="100">
        <f t="shared" si="8"/>
        <v>306.04080576860304</v>
      </c>
      <c r="E87" s="102">
        <f t="shared" si="9"/>
        <v>2295.3060432645229</v>
      </c>
      <c r="F87" s="136">
        <f t="shared" si="10"/>
        <v>8676.2568435398971</v>
      </c>
      <c r="K87" s="95">
        <f t="shared" si="11"/>
        <v>0.66666666666666663</v>
      </c>
      <c r="L87" s="96">
        <f t="shared" si="12"/>
        <v>1.9106332362490184</v>
      </c>
    </row>
    <row r="88" spans="2:12" x14ac:dyDescent="0.2">
      <c r="B88" s="128">
        <f t="shared" si="13"/>
        <v>61</v>
      </c>
      <c r="C88" s="60">
        <f t="shared" si="7"/>
        <v>154.94</v>
      </c>
      <c r="D88" s="100">
        <f t="shared" si="8"/>
        <v>311.86807384699671</v>
      </c>
      <c r="E88" s="102">
        <f t="shared" si="9"/>
        <v>2339.0105538524754</v>
      </c>
      <c r="F88" s="136">
        <f t="shared" si="10"/>
        <v>8841.4598935623562</v>
      </c>
      <c r="K88" s="95">
        <f t="shared" si="11"/>
        <v>0.67777777777777781</v>
      </c>
      <c r="L88" s="96">
        <f t="shared" si="12"/>
        <v>1.9343047232075261</v>
      </c>
    </row>
    <row r="89" spans="2:12" x14ac:dyDescent="0.2">
      <c r="B89" s="128">
        <f t="shared" si="13"/>
        <v>62</v>
      </c>
      <c r="C89" s="60">
        <f t="shared" si="7"/>
        <v>157.47999999999999</v>
      </c>
      <c r="D89" s="100">
        <f t="shared" si="8"/>
        <v>317.62838173125613</v>
      </c>
      <c r="E89" s="102">
        <f t="shared" si="9"/>
        <v>2382.212862984421</v>
      </c>
      <c r="F89" s="136">
        <f t="shared" si="10"/>
        <v>9004.7646220811112</v>
      </c>
      <c r="K89" s="95">
        <f t="shared" si="11"/>
        <v>0.68888888888888888</v>
      </c>
      <c r="L89" s="96">
        <f t="shared" si="12"/>
        <v>1.9581913678511498</v>
      </c>
    </row>
    <row r="90" spans="2:12" x14ac:dyDescent="0.2">
      <c r="B90" s="128">
        <f t="shared" si="13"/>
        <v>63</v>
      </c>
      <c r="C90" s="60">
        <f t="shared" si="7"/>
        <v>160.02000000000001</v>
      </c>
      <c r="D90" s="100">
        <f t="shared" si="8"/>
        <v>323.31716350768727</v>
      </c>
      <c r="E90" s="102">
        <f t="shared" si="9"/>
        <v>2424.8787263076547</v>
      </c>
      <c r="F90" s="136">
        <f t="shared" si="10"/>
        <v>9166.0415854429339</v>
      </c>
      <c r="K90" s="95">
        <f t="shared" si="11"/>
        <v>0.7</v>
      </c>
      <c r="L90" s="96">
        <f t="shared" si="12"/>
        <v>1.9823131728623844</v>
      </c>
    </row>
    <row r="91" spans="2:12" x14ac:dyDescent="0.2">
      <c r="B91" s="128">
        <f t="shared" si="13"/>
        <v>64</v>
      </c>
      <c r="C91" s="60">
        <f t="shared" si="7"/>
        <v>162.56</v>
      </c>
      <c r="D91" s="100">
        <f t="shared" si="8"/>
        <v>328.92977123213154</v>
      </c>
      <c r="E91" s="102">
        <f t="shared" si="9"/>
        <v>2466.9732842409867</v>
      </c>
      <c r="F91" s="136">
        <f t="shared" si="10"/>
        <v>9325.1590144309284</v>
      </c>
      <c r="K91" s="95">
        <f t="shared" si="11"/>
        <v>0.71111111111111114</v>
      </c>
      <c r="L91" s="96">
        <f t="shared" si="12"/>
        <v>2.0066917030321192</v>
      </c>
    </row>
    <row r="92" spans="2:12" x14ac:dyDescent="0.2">
      <c r="B92" s="128">
        <f t="shared" si="13"/>
        <v>65</v>
      </c>
      <c r="C92" s="60">
        <f t="shared" ref="C92:C123" si="14">IF(B92="","",B92*2.54)</f>
        <v>165.1</v>
      </c>
      <c r="D92" s="100">
        <f t="shared" ref="D92:D123" si="15">IF(C92="","",IF(K92=1,$C$8*PI()*$E$7^2/4+2*$H$17,$C$8*$E$7^2/4*(L92-SIN(L92)*COS(L92))+4*$H$17*K92^2*(1.5-K92)))</f>
        <v>334.46146555624881</v>
      </c>
      <c r="E92" s="102">
        <f t="shared" ref="E92:E123" si="16">IF(D92="","",D92*7.5)</f>
        <v>2508.4609916718659</v>
      </c>
      <c r="F92" s="136">
        <f t="shared" ref="F92:F123" si="17">IF(D92="","",D92*7.5*3.78)</f>
        <v>9481.9825485196525</v>
      </c>
      <c r="K92" s="95">
        <f t="shared" ref="K92:K123" si="18">IF(B92="","",B92/$C$7)</f>
        <v>0.72222222222222221</v>
      </c>
      <c r="L92" s="96">
        <f t="shared" ref="L92:L123" si="19">IF(K92="","",IF(K92=1,1,ACOS(1-2*K92)))</f>
        <v>2.0313503184762189</v>
      </c>
    </row>
    <row r="93" spans="2:12" x14ac:dyDescent="0.2">
      <c r="B93" s="128">
        <f t="shared" ref="B93:B124" si="20">IF(B92="","",IF(B92+$B$28&gt;$C$7+0.001,"",B92+$B$28))</f>
        <v>66</v>
      </c>
      <c r="C93" s="60">
        <f t="shared" si="14"/>
        <v>167.64000000000001</v>
      </c>
      <c r="D93" s="100">
        <f t="shared" si="15"/>
        <v>339.90740518207042</v>
      </c>
      <c r="E93" s="102">
        <f t="shared" si="16"/>
        <v>2549.305538865528</v>
      </c>
      <c r="F93" s="136">
        <f t="shared" si="17"/>
        <v>9636.3749369116958</v>
      </c>
      <c r="K93" s="95">
        <f t="shared" si="18"/>
        <v>0.73333333333333328</v>
      </c>
      <c r="L93" s="96">
        <f t="shared" si="19"/>
        <v>2.0563144490904874</v>
      </c>
    </row>
    <row r="94" spans="2:12" x14ac:dyDescent="0.2">
      <c r="B94" s="128">
        <f t="shared" si="20"/>
        <v>67</v>
      </c>
      <c r="C94" s="60">
        <f t="shared" si="14"/>
        <v>170.18</v>
      </c>
      <c r="D94" s="100">
        <f t="shared" si="15"/>
        <v>345.26263492275081</v>
      </c>
      <c r="E94" s="102">
        <f t="shared" si="16"/>
        <v>2589.4697619206308</v>
      </c>
      <c r="F94" s="136">
        <f t="shared" si="17"/>
        <v>9788.1957000599832</v>
      </c>
      <c r="K94" s="95">
        <f t="shared" si="18"/>
        <v>0.74444444444444446</v>
      </c>
      <c r="L94" s="96">
        <f t="shared" si="19"/>
        <v>2.0816119199547503</v>
      </c>
    </row>
    <row r="95" spans="2:12" x14ac:dyDescent="0.2">
      <c r="B95" s="128">
        <f t="shared" si="20"/>
        <v>68</v>
      </c>
      <c r="C95" s="60">
        <f t="shared" si="14"/>
        <v>172.72</v>
      </c>
      <c r="D95" s="100">
        <f t="shared" si="15"/>
        <v>350.52207209584117</v>
      </c>
      <c r="E95" s="102">
        <f t="shared" si="16"/>
        <v>2628.9155407188086</v>
      </c>
      <c r="F95" s="136">
        <f t="shared" si="17"/>
        <v>9937.300743917096</v>
      </c>
      <c r="K95" s="95">
        <f t="shared" si="18"/>
        <v>0.75555555555555554</v>
      </c>
      <c r="L95" s="96">
        <f t="shared" si="19"/>
        <v>2.1072733401691455</v>
      </c>
    </row>
    <row r="96" spans="2:12" x14ac:dyDescent="0.2">
      <c r="B96" s="128">
        <f t="shared" si="20"/>
        <v>69</v>
      </c>
      <c r="C96" s="60">
        <f t="shared" si="14"/>
        <v>175.26</v>
      </c>
      <c r="D96" s="100">
        <f t="shared" si="15"/>
        <v>355.68049090871426</v>
      </c>
      <c r="E96" s="102">
        <f t="shared" si="16"/>
        <v>2667.603681815357</v>
      </c>
      <c r="F96" s="136">
        <f t="shared" si="17"/>
        <v>10083.54191726205</v>
      </c>
      <c r="K96" s="95">
        <f t="shared" si="18"/>
        <v>0.76666666666666672</v>
      </c>
      <c r="L96" s="96">
        <f t="shared" si="19"/>
        <v>2.1333325713387525</v>
      </c>
    </row>
    <row r="97" spans="2:12" x14ac:dyDescent="0.2">
      <c r="B97" s="128">
        <f t="shared" si="20"/>
        <v>70</v>
      </c>
      <c r="C97" s="60">
        <f t="shared" si="14"/>
        <v>177.8</v>
      </c>
      <c r="D97" s="100">
        <f t="shared" si="15"/>
        <v>360.73250440867662</v>
      </c>
      <c r="E97" s="102">
        <f t="shared" si="16"/>
        <v>2705.4937830650747</v>
      </c>
      <c r="F97" s="136">
        <f t="shared" si="17"/>
        <v>10226.766499985983</v>
      </c>
      <c r="K97" s="95">
        <f t="shared" si="18"/>
        <v>0.77777777777777779</v>
      </c>
      <c r="L97" s="96">
        <f t="shared" si="19"/>
        <v>2.1598272970111703</v>
      </c>
    </row>
    <row r="98" spans="2:12" x14ac:dyDescent="0.2">
      <c r="B98" s="128">
        <f t="shared" si="20"/>
        <v>71</v>
      </c>
      <c r="C98" s="60">
        <f t="shared" si="14"/>
        <v>180.34</v>
      </c>
      <c r="D98" s="100">
        <f t="shared" si="15"/>
        <v>365.67254345527482</v>
      </c>
      <c r="E98" s="102">
        <f t="shared" si="16"/>
        <v>2742.5440759145613</v>
      </c>
      <c r="F98" s="136">
        <f t="shared" si="17"/>
        <v>10366.816606957042</v>
      </c>
      <c r="K98" s="95">
        <f t="shared" si="18"/>
        <v>0.78888888888888886</v>
      </c>
      <c r="L98" s="96">
        <f t="shared" si="19"/>
        <v>2.1867997214009756</v>
      </c>
    </row>
    <row r="99" spans="2:12" x14ac:dyDescent="0.2">
      <c r="B99" s="128">
        <f t="shared" si="20"/>
        <v>72</v>
      </c>
      <c r="C99" s="60">
        <f t="shared" si="14"/>
        <v>182.88</v>
      </c>
      <c r="D99" s="100">
        <f t="shared" si="15"/>
        <v>370.49483201844981</v>
      </c>
      <c r="E99" s="102">
        <f t="shared" si="16"/>
        <v>2778.7112401383738</v>
      </c>
      <c r="F99" s="136">
        <f t="shared" si="17"/>
        <v>10503.528487723052</v>
      </c>
      <c r="K99" s="95">
        <f t="shared" si="18"/>
        <v>0.8</v>
      </c>
      <c r="L99" s="96">
        <f t="shared" si="19"/>
        <v>2.2142974355881808</v>
      </c>
    </row>
    <row r="100" spans="2:12" x14ac:dyDescent="0.2">
      <c r="B100" s="128">
        <f t="shared" si="20"/>
        <v>73</v>
      </c>
      <c r="C100" s="60">
        <f t="shared" si="14"/>
        <v>185.42000000000002</v>
      </c>
      <c r="D100" s="100">
        <f t="shared" si="15"/>
        <v>375.1933578975752</v>
      </c>
      <c r="E100" s="102">
        <f t="shared" si="16"/>
        <v>2813.9501842318141</v>
      </c>
      <c r="F100" s="136">
        <f t="shared" si="17"/>
        <v>10636.731696396257</v>
      </c>
      <c r="K100" s="95">
        <f t="shared" si="18"/>
        <v>0.81111111111111112</v>
      </c>
      <c r="L100" s="96">
        <f t="shared" si="19"/>
        <v>2.2423745034128117</v>
      </c>
    </row>
    <row r="101" spans="2:12" x14ac:dyDescent="0.2">
      <c r="B101" s="128">
        <f t="shared" si="20"/>
        <v>74</v>
      </c>
      <c r="C101" s="60">
        <f t="shared" si="14"/>
        <v>187.96</v>
      </c>
      <c r="D101" s="100">
        <f t="shared" si="15"/>
        <v>379.76183766918751</v>
      </c>
      <c r="E101" s="102">
        <f t="shared" si="16"/>
        <v>2848.2137825189066</v>
      </c>
      <c r="F101" s="136">
        <f t="shared" si="17"/>
        <v>10766.248097921467</v>
      </c>
      <c r="K101" s="95">
        <f t="shared" si="18"/>
        <v>0.82222222222222219</v>
      </c>
      <c r="L101" s="96">
        <f t="shared" si="19"/>
        <v>2.2710928396358625</v>
      </c>
    </row>
    <row r="102" spans="2:12" x14ac:dyDescent="0.2">
      <c r="B102" s="128">
        <f t="shared" si="20"/>
        <v>75</v>
      </c>
      <c r="C102" s="60">
        <f t="shared" si="14"/>
        <v>190.5</v>
      </c>
      <c r="D102" s="100">
        <f t="shared" si="15"/>
        <v>384.19367426905393</v>
      </c>
      <c r="E102" s="102">
        <f t="shared" si="16"/>
        <v>2881.4525570179044</v>
      </c>
      <c r="F102" s="136">
        <f t="shared" si="17"/>
        <v>10891.890665527679</v>
      </c>
      <c r="K102" s="95">
        <f t="shared" si="18"/>
        <v>0.83333333333333337</v>
      </c>
      <c r="L102" s="96">
        <f t="shared" si="19"/>
        <v>2.3005239830218631</v>
      </c>
    </row>
    <row r="103" spans="2:12" x14ac:dyDescent="0.2">
      <c r="B103" s="128">
        <f t="shared" si="20"/>
        <v>76</v>
      </c>
      <c r="C103" s="60">
        <f t="shared" si="14"/>
        <v>193.04</v>
      </c>
      <c r="D103" s="100">
        <f t="shared" si="15"/>
        <v>388.48190504044504</v>
      </c>
      <c r="E103" s="102">
        <f t="shared" si="16"/>
        <v>2913.6142878033379</v>
      </c>
      <c r="F103" s="136">
        <f t="shared" si="17"/>
        <v>11013.462007896616</v>
      </c>
      <c r="K103" s="95">
        <f t="shared" si="18"/>
        <v>0.84444444444444444</v>
      </c>
      <c r="L103" s="96">
        <f t="shared" si="19"/>
        <v>2.3307514124607422</v>
      </c>
    </row>
    <row r="104" spans="2:12" x14ac:dyDescent="0.2">
      <c r="B104" s="128">
        <f t="shared" si="20"/>
        <v>77</v>
      </c>
      <c r="C104" s="60">
        <f t="shared" si="14"/>
        <v>195.58</v>
      </c>
      <c r="D104" s="100">
        <f t="shared" si="15"/>
        <v>392.61913724446913</v>
      </c>
      <c r="E104" s="102">
        <f t="shared" si="16"/>
        <v>2944.6435293335185</v>
      </c>
      <c r="F104" s="136">
        <f t="shared" si="17"/>
        <v>11130.7525408807</v>
      </c>
      <c r="K104" s="95">
        <f t="shared" si="18"/>
        <v>0.85555555555555551</v>
      </c>
      <c r="L104" s="96">
        <f t="shared" si="19"/>
        <v>2.36187362464835</v>
      </c>
    </row>
    <row r="105" spans="2:12" x14ac:dyDescent="0.2">
      <c r="B105" s="128">
        <f t="shared" si="20"/>
        <v>78</v>
      </c>
      <c r="C105" s="60">
        <f t="shared" si="14"/>
        <v>198.12</v>
      </c>
      <c r="D105" s="100">
        <f t="shared" si="15"/>
        <v>396.5974667809279</v>
      </c>
      <c r="E105" s="102">
        <f t="shared" si="16"/>
        <v>2974.4810008569593</v>
      </c>
      <c r="F105" s="136">
        <f t="shared" si="17"/>
        <v>11243.538183239305</v>
      </c>
      <c r="K105" s="95">
        <f t="shared" si="18"/>
        <v>0.8666666666666667</v>
      </c>
      <c r="L105" s="96">
        <f t="shared" si="19"/>
        <v>2.3940083039207725</v>
      </c>
    </row>
    <row r="106" spans="2:12" x14ac:dyDescent="0.2">
      <c r="B106" s="128">
        <f t="shared" si="20"/>
        <v>79</v>
      </c>
      <c r="C106" s="60">
        <f t="shared" si="14"/>
        <v>200.66</v>
      </c>
      <c r="D106" s="100">
        <f t="shared" si="15"/>
        <v>400.4083739560001</v>
      </c>
      <c r="E106" s="102">
        <f t="shared" si="16"/>
        <v>3003.0628046700008</v>
      </c>
      <c r="F106" s="136">
        <f t="shared" si="17"/>
        <v>11351.577401652603</v>
      </c>
      <c r="K106" s="95">
        <f t="shared" si="18"/>
        <v>0.87777777777777777</v>
      </c>
      <c r="L106" s="96">
        <f t="shared" si="19"/>
        <v>2.4272980989575461</v>
      </c>
    </row>
    <row r="107" spans="2:12" x14ac:dyDescent="0.2">
      <c r="B107" s="128">
        <f t="shared" si="20"/>
        <v>80</v>
      </c>
      <c r="C107" s="60">
        <f t="shared" si="14"/>
        <v>203.2</v>
      </c>
      <c r="D107" s="100">
        <f t="shared" si="15"/>
        <v>404.04258710952161</v>
      </c>
      <c r="E107" s="102">
        <f t="shared" si="16"/>
        <v>3030.3194033214122</v>
      </c>
      <c r="F107" s="136">
        <f t="shared" si="17"/>
        <v>11454.607344554937</v>
      </c>
      <c r="K107" s="95">
        <f t="shared" si="18"/>
        <v>0.88888888888888884</v>
      </c>
      <c r="L107" s="96">
        <f t="shared" si="19"/>
        <v>2.4619188346815495</v>
      </c>
    </row>
    <row r="108" spans="2:12" x14ac:dyDescent="0.2">
      <c r="B108" s="128">
        <f t="shared" si="20"/>
        <v>81</v>
      </c>
      <c r="C108" s="60">
        <f t="shared" si="14"/>
        <v>205.74</v>
      </c>
      <c r="D108" s="100">
        <f t="shared" si="15"/>
        <v>407.48989995841185</v>
      </c>
      <c r="E108" s="102">
        <f t="shared" si="16"/>
        <v>3056.1742496880888</v>
      </c>
      <c r="F108" s="136">
        <f t="shared" si="17"/>
        <v>11552.338663820976</v>
      </c>
      <c r="K108" s="95">
        <f t="shared" si="18"/>
        <v>0.9</v>
      </c>
      <c r="L108" s="96">
        <f t="shared" si="19"/>
        <v>2.4980915447965089</v>
      </c>
    </row>
    <row r="109" spans="2:12" x14ac:dyDescent="0.2">
      <c r="B109" s="128">
        <f t="shared" si="20"/>
        <v>82</v>
      </c>
      <c r="C109" s="60">
        <f t="shared" si="14"/>
        <v>208.28</v>
      </c>
      <c r="D109" s="100">
        <f t="shared" si="15"/>
        <v>410.73892003699785</v>
      </c>
      <c r="E109" s="102">
        <f t="shared" si="16"/>
        <v>3080.5419002774838</v>
      </c>
      <c r="F109" s="136">
        <f t="shared" si="17"/>
        <v>11644.448383048888</v>
      </c>
      <c r="K109" s="95">
        <f t="shared" si="18"/>
        <v>0.91111111111111109</v>
      </c>
      <c r="L109" s="96">
        <f t="shared" si="19"/>
        <v>2.5361007503437842</v>
      </c>
    </row>
    <row r="110" spans="2:12" x14ac:dyDescent="0.2">
      <c r="B110" s="128">
        <f t="shared" si="20"/>
        <v>83</v>
      </c>
      <c r="C110" s="60">
        <f t="shared" si="14"/>
        <v>210.82</v>
      </c>
      <c r="D110" s="100">
        <f t="shared" si="15"/>
        <v>413.77671036753298</v>
      </c>
      <c r="E110" s="102">
        <f t="shared" si="16"/>
        <v>3103.3253277564972</v>
      </c>
      <c r="F110" s="136">
        <f t="shared" si="17"/>
        <v>11730.569738919559</v>
      </c>
      <c r="K110" s="95">
        <f t="shared" si="18"/>
        <v>0.92222222222222228</v>
      </c>
      <c r="L110" s="96">
        <f t="shared" si="19"/>
        <v>2.5763234695707951</v>
      </c>
    </row>
    <row r="111" spans="2:12" x14ac:dyDescent="0.2">
      <c r="B111" s="128">
        <f t="shared" si="20"/>
        <v>84</v>
      </c>
      <c r="C111" s="60">
        <f t="shared" si="14"/>
        <v>213.36</v>
      </c>
      <c r="D111" s="100">
        <f t="shared" si="15"/>
        <v>416.58825731960616</v>
      </c>
      <c r="E111" s="102">
        <f t="shared" si="16"/>
        <v>3124.4119298970463</v>
      </c>
      <c r="F111" s="136">
        <f t="shared" si="17"/>
        <v>11810.277095010835</v>
      </c>
      <c r="K111" s="95">
        <f t="shared" si="18"/>
        <v>0.93333333333333335</v>
      </c>
      <c r="L111" s="96">
        <f t="shared" si="19"/>
        <v>2.6192778317837444</v>
      </c>
    </row>
    <row r="112" spans="2:12" x14ac:dyDescent="0.2">
      <c r="B112" s="128">
        <f t="shared" si="20"/>
        <v>85</v>
      </c>
      <c r="C112" s="60">
        <f t="shared" si="14"/>
        <v>215.9</v>
      </c>
      <c r="D112" s="100">
        <f t="shared" si="15"/>
        <v>419.15563732049196</v>
      </c>
      <c r="E112" s="102">
        <f t="shared" si="16"/>
        <v>3143.6672799036896</v>
      </c>
      <c r="F112" s="136">
        <f t="shared" si="17"/>
        <v>11883.062318035947</v>
      </c>
      <c r="K112" s="95">
        <f t="shared" si="18"/>
        <v>0.94444444444444442</v>
      </c>
      <c r="L112" s="96">
        <f t="shared" si="19"/>
        <v>2.6657104039293764</v>
      </c>
    </row>
    <row r="113" spans="2:12" x14ac:dyDescent="0.2">
      <c r="B113" s="128">
        <f t="shared" si="20"/>
        <v>86</v>
      </c>
      <c r="C113" s="60">
        <f t="shared" si="14"/>
        <v>218.44</v>
      </c>
      <c r="D113" s="100">
        <f t="shared" si="15"/>
        <v>421.45661740704611</v>
      </c>
      <c r="E113" s="102">
        <f t="shared" si="16"/>
        <v>3160.9246305528459</v>
      </c>
      <c r="F113" s="136">
        <f t="shared" si="17"/>
        <v>11948.295103489756</v>
      </c>
      <c r="K113" s="95">
        <f t="shared" si="18"/>
        <v>0.9555555555555556</v>
      </c>
      <c r="L113" s="96">
        <f t="shared" si="19"/>
        <v>2.7167682261109047</v>
      </c>
    </row>
    <row r="114" spans="2:12" x14ac:dyDescent="0.2">
      <c r="B114" s="128">
        <f t="shared" si="20"/>
        <v>87</v>
      </c>
      <c r="C114" s="60">
        <f t="shared" si="14"/>
        <v>220.98</v>
      </c>
      <c r="D114" s="100">
        <f t="shared" si="15"/>
        <v>423.4620648453668</v>
      </c>
      <c r="E114" s="102">
        <f t="shared" si="16"/>
        <v>3175.9654863402511</v>
      </c>
      <c r="F114" s="136">
        <f t="shared" si="17"/>
        <v>12005.149538366149</v>
      </c>
      <c r="K114" s="95">
        <f t="shared" si="18"/>
        <v>0.96666666666666667</v>
      </c>
      <c r="L114" s="96">
        <f t="shared" si="19"/>
        <v>2.7743846330319561</v>
      </c>
    </row>
    <row r="115" spans="2:12" x14ac:dyDescent="0.2">
      <c r="B115" s="128">
        <f t="shared" si="20"/>
        <v>88</v>
      </c>
      <c r="C115" s="60">
        <f t="shared" si="14"/>
        <v>223.52</v>
      </c>
      <c r="D115" s="100">
        <f t="shared" si="15"/>
        <v>425.13039615083403</v>
      </c>
      <c r="E115" s="102">
        <f t="shared" si="16"/>
        <v>3188.4779711312553</v>
      </c>
      <c r="F115" s="136">
        <f t="shared" si="17"/>
        <v>12052.446730876145</v>
      </c>
      <c r="K115" s="95">
        <f t="shared" si="18"/>
        <v>0.97777777777777775</v>
      </c>
      <c r="L115" s="96">
        <f t="shared" si="19"/>
        <v>2.842334834870758</v>
      </c>
    </row>
    <row r="116" spans="2:12" x14ac:dyDescent="0.2">
      <c r="B116" s="128">
        <f t="shared" si="20"/>
        <v>89</v>
      </c>
      <c r="C116" s="60">
        <f t="shared" si="14"/>
        <v>226.06</v>
      </c>
      <c r="D116" s="100">
        <f t="shared" si="15"/>
        <v>426.39222331103213</v>
      </c>
      <c r="E116" s="102">
        <f t="shared" si="16"/>
        <v>3197.9416748327408</v>
      </c>
      <c r="F116" s="136">
        <f t="shared" si="17"/>
        <v>12088.21953086776</v>
      </c>
      <c r="K116" s="95">
        <f t="shared" si="18"/>
        <v>0.98888888888888893</v>
      </c>
      <c r="L116" s="96">
        <f t="shared" si="19"/>
        <v>2.9303817732306152</v>
      </c>
    </row>
    <row r="117" spans="2:12" x14ac:dyDescent="0.2">
      <c r="B117" s="128">
        <f t="shared" si="20"/>
        <v>90</v>
      </c>
      <c r="C117" s="60">
        <f t="shared" si="14"/>
        <v>228.6</v>
      </c>
      <c r="D117" s="100">
        <f t="shared" si="15"/>
        <v>427.06025134736251</v>
      </c>
      <c r="E117" s="102">
        <f t="shared" si="16"/>
        <v>3202.9518851052189</v>
      </c>
      <c r="F117" s="136">
        <f t="shared" si="17"/>
        <v>12107.158125697726</v>
      </c>
      <c r="K117" s="95">
        <f t="shared" si="18"/>
        <v>1</v>
      </c>
      <c r="L117" s="96">
        <f t="shared" si="19"/>
        <v>1</v>
      </c>
    </row>
    <row r="118" spans="2:12" x14ac:dyDescent="0.2">
      <c r="B118" s="128" t="str">
        <f t="shared" si="20"/>
        <v/>
      </c>
      <c r="C118" s="60" t="str">
        <f t="shared" si="14"/>
        <v/>
      </c>
      <c r="D118" s="100" t="str">
        <f t="shared" si="15"/>
        <v/>
      </c>
      <c r="E118" s="102" t="str">
        <f t="shared" si="16"/>
        <v/>
      </c>
      <c r="F118" s="136" t="str">
        <f t="shared" si="17"/>
        <v/>
      </c>
      <c r="K118" s="95" t="str">
        <f t="shared" si="18"/>
        <v/>
      </c>
      <c r="L118" s="96" t="str">
        <f t="shared" si="19"/>
        <v/>
      </c>
    </row>
    <row r="119" spans="2:12" x14ac:dyDescent="0.2">
      <c r="B119" s="128" t="str">
        <f t="shared" si="20"/>
        <v/>
      </c>
      <c r="C119" s="60" t="str">
        <f t="shared" si="14"/>
        <v/>
      </c>
      <c r="D119" s="100" t="str">
        <f t="shared" si="15"/>
        <v/>
      </c>
      <c r="E119" s="102" t="str">
        <f t="shared" si="16"/>
        <v/>
      </c>
      <c r="F119" s="136" t="str">
        <f t="shared" si="17"/>
        <v/>
      </c>
      <c r="K119" s="95" t="str">
        <f t="shared" si="18"/>
        <v/>
      </c>
      <c r="L119" s="96" t="str">
        <f t="shared" si="19"/>
        <v/>
      </c>
    </row>
    <row r="120" spans="2:12" x14ac:dyDescent="0.2">
      <c r="B120" s="128" t="str">
        <f t="shared" si="20"/>
        <v/>
      </c>
      <c r="C120" s="60" t="str">
        <f t="shared" si="14"/>
        <v/>
      </c>
      <c r="D120" s="100" t="str">
        <f t="shared" si="15"/>
        <v/>
      </c>
      <c r="E120" s="102" t="str">
        <f t="shared" si="16"/>
        <v/>
      </c>
      <c r="F120" s="136" t="str">
        <f t="shared" si="17"/>
        <v/>
      </c>
      <c r="K120" s="95" t="str">
        <f t="shared" si="18"/>
        <v/>
      </c>
      <c r="L120" s="96" t="str">
        <f t="shared" si="19"/>
        <v/>
      </c>
    </row>
    <row r="121" spans="2:12" x14ac:dyDescent="0.2">
      <c r="B121" s="128" t="str">
        <f t="shared" si="20"/>
        <v/>
      </c>
      <c r="C121" s="60" t="str">
        <f t="shared" si="14"/>
        <v/>
      </c>
      <c r="D121" s="100" t="str">
        <f t="shared" si="15"/>
        <v/>
      </c>
      <c r="E121" s="102" t="str">
        <f t="shared" si="16"/>
        <v/>
      </c>
      <c r="F121" s="136" t="str">
        <f t="shared" si="17"/>
        <v/>
      </c>
      <c r="K121" s="95" t="str">
        <f t="shared" si="18"/>
        <v/>
      </c>
      <c r="L121" s="96" t="str">
        <f t="shared" si="19"/>
        <v/>
      </c>
    </row>
    <row r="122" spans="2:12" x14ac:dyDescent="0.2">
      <c r="B122" s="128" t="str">
        <f t="shared" si="20"/>
        <v/>
      </c>
      <c r="C122" s="60" t="str">
        <f t="shared" si="14"/>
        <v/>
      </c>
      <c r="D122" s="100" t="str">
        <f t="shared" si="15"/>
        <v/>
      </c>
      <c r="E122" s="102" t="str">
        <f t="shared" si="16"/>
        <v/>
      </c>
      <c r="F122" s="136" t="str">
        <f t="shared" si="17"/>
        <v/>
      </c>
      <c r="K122" s="95" t="str">
        <f t="shared" si="18"/>
        <v/>
      </c>
      <c r="L122" s="96" t="str">
        <f t="shared" si="19"/>
        <v/>
      </c>
    </row>
    <row r="123" spans="2:12" x14ac:dyDescent="0.2">
      <c r="B123" s="128" t="str">
        <f t="shared" si="20"/>
        <v/>
      </c>
      <c r="C123" s="60" t="str">
        <f t="shared" si="14"/>
        <v/>
      </c>
      <c r="D123" s="100" t="str">
        <f t="shared" si="15"/>
        <v/>
      </c>
      <c r="E123" s="102" t="str">
        <f t="shared" si="16"/>
        <v/>
      </c>
      <c r="F123" s="136" t="str">
        <f t="shared" si="17"/>
        <v/>
      </c>
      <c r="K123" s="95" t="str">
        <f t="shared" si="18"/>
        <v/>
      </c>
      <c r="L123" s="96" t="str">
        <f t="shared" si="19"/>
        <v/>
      </c>
    </row>
    <row r="124" spans="2:12" x14ac:dyDescent="0.2">
      <c r="B124" s="128" t="str">
        <f t="shared" si="20"/>
        <v/>
      </c>
      <c r="C124" s="60" t="str">
        <f t="shared" ref="C124:C155" si="21">IF(B124="","",B124*2.54)</f>
        <v/>
      </c>
      <c r="D124" s="100" t="str">
        <f t="shared" ref="D124:D155" si="22">IF(C124="","",IF(K124=1,$C$8*PI()*$E$7^2/4+2*$H$17,$C$8*$E$7^2/4*(L124-SIN(L124)*COS(L124))+4*$H$17*K124^2*(1.5-K124)))</f>
        <v/>
      </c>
      <c r="E124" s="102" t="str">
        <f t="shared" ref="E124:E155" si="23">IF(D124="","",D124*7.5)</f>
        <v/>
      </c>
      <c r="F124" s="136" t="str">
        <f t="shared" ref="F124:F155" si="24">IF(D124="","",D124*7.5*3.78)</f>
        <v/>
      </c>
      <c r="K124" s="95" t="str">
        <f t="shared" ref="K124:K155" si="25">IF(B124="","",B124/$C$7)</f>
        <v/>
      </c>
      <c r="L124" s="96" t="str">
        <f t="shared" ref="L124:L155" si="26">IF(K124="","",IF(K124=1,1,ACOS(1-2*K124)))</f>
        <v/>
      </c>
    </row>
    <row r="125" spans="2:12" x14ac:dyDescent="0.2">
      <c r="B125" s="128" t="str">
        <f t="shared" ref="B125:B156" si="27">IF(B124="","",IF(B124+$B$28&gt;$C$7+0.001,"",B124+$B$28))</f>
        <v/>
      </c>
      <c r="C125" s="60" t="str">
        <f t="shared" si="21"/>
        <v/>
      </c>
      <c r="D125" s="100" t="str">
        <f t="shared" si="22"/>
        <v/>
      </c>
      <c r="E125" s="102" t="str">
        <f t="shared" si="23"/>
        <v/>
      </c>
      <c r="F125" s="136" t="str">
        <f t="shared" si="24"/>
        <v/>
      </c>
      <c r="K125" s="95" t="str">
        <f t="shared" si="25"/>
        <v/>
      </c>
      <c r="L125" s="96" t="str">
        <f t="shared" si="26"/>
        <v/>
      </c>
    </row>
    <row r="126" spans="2:12" x14ac:dyDescent="0.2">
      <c r="B126" s="128" t="str">
        <f t="shared" si="27"/>
        <v/>
      </c>
      <c r="C126" s="60" t="str">
        <f t="shared" si="21"/>
        <v/>
      </c>
      <c r="D126" s="100" t="str">
        <f t="shared" si="22"/>
        <v/>
      </c>
      <c r="E126" s="102" t="str">
        <f t="shared" si="23"/>
        <v/>
      </c>
      <c r="F126" s="136" t="str">
        <f t="shared" si="24"/>
        <v/>
      </c>
      <c r="K126" s="95" t="str">
        <f t="shared" si="25"/>
        <v/>
      </c>
      <c r="L126" s="96" t="str">
        <f t="shared" si="26"/>
        <v/>
      </c>
    </row>
    <row r="127" spans="2:12" x14ac:dyDescent="0.2">
      <c r="B127" s="128" t="str">
        <f t="shared" si="27"/>
        <v/>
      </c>
      <c r="C127" s="60" t="str">
        <f t="shared" si="21"/>
        <v/>
      </c>
      <c r="D127" s="100" t="str">
        <f t="shared" si="22"/>
        <v/>
      </c>
      <c r="E127" s="102" t="str">
        <f t="shared" si="23"/>
        <v/>
      </c>
      <c r="F127" s="136" t="str">
        <f t="shared" si="24"/>
        <v/>
      </c>
      <c r="K127" s="95" t="str">
        <f t="shared" si="25"/>
        <v/>
      </c>
      <c r="L127" s="96" t="str">
        <f t="shared" si="26"/>
        <v/>
      </c>
    </row>
    <row r="128" spans="2:12" x14ac:dyDescent="0.2">
      <c r="B128" s="128" t="str">
        <f t="shared" si="27"/>
        <v/>
      </c>
      <c r="C128" s="60" t="str">
        <f t="shared" si="21"/>
        <v/>
      </c>
      <c r="D128" s="100" t="str">
        <f t="shared" si="22"/>
        <v/>
      </c>
      <c r="E128" s="102" t="str">
        <f t="shared" si="23"/>
        <v/>
      </c>
      <c r="F128" s="136" t="str">
        <f t="shared" si="24"/>
        <v/>
      </c>
      <c r="K128" s="95" t="str">
        <f t="shared" si="25"/>
        <v/>
      </c>
      <c r="L128" s="96" t="str">
        <f t="shared" si="26"/>
        <v/>
      </c>
    </row>
    <row r="129" spans="2:12" x14ac:dyDescent="0.2">
      <c r="B129" s="128" t="str">
        <f t="shared" si="27"/>
        <v/>
      </c>
      <c r="C129" s="60" t="str">
        <f t="shared" si="21"/>
        <v/>
      </c>
      <c r="D129" s="100" t="str">
        <f t="shared" si="22"/>
        <v/>
      </c>
      <c r="E129" s="102" t="str">
        <f t="shared" si="23"/>
        <v/>
      </c>
      <c r="F129" s="136" t="str">
        <f t="shared" si="24"/>
        <v/>
      </c>
      <c r="K129" s="95" t="str">
        <f t="shared" si="25"/>
        <v/>
      </c>
      <c r="L129" s="96" t="str">
        <f t="shared" si="26"/>
        <v/>
      </c>
    </row>
    <row r="130" spans="2:12" x14ac:dyDescent="0.2">
      <c r="B130" s="128" t="str">
        <f t="shared" si="27"/>
        <v/>
      </c>
      <c r="C130" s="60" t="str">
        <f t="shared" si="21"/>
        <v/>
      </c>
      <c r="D130" s="100" t="str">
        <f t="shared" si="22"/>
        <v/>
      </c>
      <c r="E130" s="102" t="str">
        <f t="shared" si="23"/>
        <v/>
      </c>
      <c r="F130" s="136" t="str">
        <f t="shared" si="24"/>
        <v/>
      </c>
      <c r="K130" s="95" t="str">
        <f t="shared" si="25"/>
        <v/>
      </c>
      <c r="L130" s="96" t="str">
        <f t="shared" si="26"/>
        <v/>
      </c>
    </row>
    <row r="131" spans="2:12" x14ac:dyDescent="0.2">
      <c r="B131" s="128" t="str">
        <f t="shared" si="27"/>
        <v/>
      </c>
      <c r="C131" s="60" t="str">
        <f t="shared" si="21"/>
        <v/>
      </c>
      <c r="D131" s="100" t="str">
        <f t="shared" si="22"/>
        <v/>
      </c>
      <c r="E131" s="102" t="str">
        <f t="shared" si="23"/>
        <v/>
      </c>
      <c r="F131" s="136" t="str">
        <f t="shared" si="24"/>
        <v/>
      </c>
      <c r="K131" s="95" t="str">
        <f t="shared" si="25"/>
        <v/>
      </c>
      <c r="L131" s="96" t="str">
        <f t="shared" si="26"/>
        <v/>
      </c>
    </row>
    <row r="132" spans="2:12" x14ac:dyDescent="0.2">
      <c r="B132" s="128" t="str">
        <f t="shared" si="27"/>
        <v/>
      </c>
      <c r="C132" s="60" t="str">
        <f t="shared" si="21"/>
        <v/>
      </c>
      <c r="D132" s="100" t="str">
        <f t="shared" si="22"/>
        <v/>
      </c>
      <c r="E132" s="102" t="str">
        <f t="shared" si="23"/>
        <v/>
      </c>
      <c r="F132" s="136" t="str">
        <f t="shared" si="24"/>
        <v/>
      </c>
      <c r="K132" s="95" t="str">
        <f t="shared" si="25"/>
        <v/>
      </c>
      <c r="L132" s="96" t="str">
        <f t="shared" si="26"/>
        <v/>
      </c>
    </row>
    <row r="133" spans="2:12" x14ac:dyDescent="0.2">
      <c r="B133" s="128" t="str">
        <f t="shared" si="27"/>
        <v/>
      </c>
      <c r="C133" s="60" t="str">
        <f t="shared" si="21"/>
        <v/>
      </c>
      <c r="D133" s="100" t="str">
        <f t="shared" si="22"/>
        <v/>
      </c>
      <c r="E133" s="102" t="str">
        <f t="shared" si="23"/>
        <v/>
      </c>
      <c r="F133" s="136" t="str">
        <f t="shared" si="24"/>
        <v/>
      </c>
      <c r="K133" s="95" t="str">
        <f t="shared" si="25"/>
        <v/>
      </c>
      <c r="L133" s="96" t="str">
        <f t="shared" si="26"/>
        <v/>
      </c>
    </row>
    <row r="134" spans="2:12" x14ac:dyDescent="0.2">
      <c r="B134" s="128" t="str">
        <f t="shared" si="27"/>
        <v/>
      </c>
      <c r="C134" s="60" t="str">
        <f t="shared" si="21"/>
        <v/>
      </c>
      <c r="D134" s="100" t="str">
        <f t="shared" si="22"/>
        <v/>
      </c>
      <c r="E134" s="102" t="str">
        <f t="shared" si="23"/>
        <v/>
      </c>
      <c r="F134" s="136" t="str">
        <f t="shared" si="24"/>
        <v/>
      </c>
      <c r="K134" s="95" t="str">
        <f t="shared" si="25"/>
        <v/>
      </c>
      <c r="L134" s="96" t="str">
        <f t="shared" si="26"/>
        <v/>
      </c>
    </row>
    <row r="135" spans="2:12" x14ac:dyDescent="0.2">
      <c r="B135" s="128" t="str">
        <f t="shared" si="27"/>
        <v/>
      </c>
      <c r="C135" s="60" t="str">
        <f t="shared" si="21"/>
        <v/>
      </c>
      <c r="D135" s="100" t="str">
        <f t="shared" si="22"/>
        <v/>
      </c>
      <c r="E135" s="102" t="str">
        <f t="shared" si="23"/>
        <v/>
      </c>
      <c r="F135" s="136" t="str">
        <f t="shared" si="24"/>
        <v/>
      </c>
      <c r="K135" s="95" t="str">
        <f t="shared" si="25"/>
        <v/>
      </c>
      <c r="L135" s="96" t="str">
        <f t="shared" si="26"/>
        <v/>
      </c>
    </row>
    <row r="136" spans="2:12" x14ac:dyDescent="0.2">
      <c r="B136" s="128" t="str">
        <f t="shared" si="27"/>
        <v/>
      </c>
      <c r="C136" s="60" t="str">
        <f t="shared" si="21"/>
        <v/>
      </c>
      <c r="D136" s="100" t="str">
        <f t="shared" si="22"/>
        <v/>
      </c>
      <c r="E136" s="102" t="str">
        <f t="shared" si="23"/>
        <v/>
      </c>
      <c r="F136" s="136" t="str">
        <f t="shared" si="24"/>
        <v/>
      </c>
      <c r="K136" s="95" t="str">
        <f t="shared" si="25"/>
        <v/>
      </c>
      <c r="L136" s="96" t="str">
        <f t="shared" si="26"/>
        <v/>
      </c>
    </row>
    <row r="137" spans="2:12" x14ac:dyDescent="0.2">
      <c r="B137" s="128" t="str">
        <f t="shared" si="27"/>
        <v/>
      </c>
      <c r="C137" s="60" t="str">
        <f t="shared" si="21"/>
        <v/>
      </c>
      <c r="D137" s="100" t="str">
        <f t="shared" si="22"/>
        <v/>
      </c>
      <c r="E137" s="102" t="str">
        <f t="shared" si="23"/>
        <v/>
      </c>
      <c r="F137" s="136" t="str">
        <f t="shared" si="24"/>
        <v/>
      </c>
      <c r="K137" s="95" t="str">
        <f t="shared" si="25"/>
        <v/>
      </c>
      <c r="L137" s="96" t="str">
        <f t="shared" si="26"/>
        <v/>
      </c>
    </row>
    <row r="138" spans="2:12" x14ac:dyDescent="0.2">
      <c r="B138" s="128" t="str">
        <f t="shared" si="27"/>
        <v/>
      </c>
      <c r="C138" s="60" t="str">
        <f t="shared" si="21"/>
        <v/>
      </c>
      <c r="D138" s="100" t="str">
        <f t="shared" si="22"/>
        <v/>
      </c>
      <c r="E138" s="102" t="str">
        <f t="shared" si="23"/>
        <v/>
      </c>
      <c r="F138" s="136" t="str">
        <f t="shared" si="24"/>
        <v/>
      </c>
      <c r="K138" s="95" t="str">
        <f t="shared" si="25"/>
        <v/>
      </c>
      <c r="L138" s="96" t="str">
        <f t="shared" si="26"/>
        <v/>
      </c>
    </row>
    <row r="139" spans="2:12" x14ac:dyDescent="0.2">
      <c r="B139" s="128" t="str">
        <f t="shared" si="27"/>
        <v/>
      </c>
      <c r="C139" s="60" t="str">
        <f t="shared" si="21"/>
        <v/>
      </c>
      <c r="D139" s="100" t="str">
        <f t="shared" si="22"/>
        <v/>
      </c>
      <c r="E139" s="102" t="str">
        <f t="shared" si="23"/>
        <v/>
      </c>
      <c r="F139" s="136" t="str">
        <f t="shared" si="24"/>
        <v/>
      </c>
      <c r="K139" s="95" t="str">
        <f t="shared" si="25"/>
        <v/>
      </c>
      <c r="L139" s="96" t="str">
        <f t="shared" si="26"/>
        <v/>
      </c>
    </row>
    <row r="140" spans="2:12" x14ac:dyDescent="0.2">
      <c r="B140" s="128" t="str">
        <f t="shared" si="27"/>
        <v/>
      </c>
      <c r="C140" s="60" t="str">
        <f t="shared" si="21"/>
        <v/>
      </c>
      <c r="D140" s="100" t="str">
        <f t="shared" si="22"/>
        <v/>
      </c>
      <c r="E140" s="102" t="str">
        <f t="shared" si="23"/>
        <v/>
      </c>
      <c r="F140" s="136" t="str">
        <f t="shared" si="24"/>
        <v/>
      </c>
      <c r="K140" s="95" t="str">
        <f t="shared" si="25"/>
        <v/>
      </c>
      <c r="L140" s="96" t="str">
        <f t="shared" si="26"/>
        <v/>
      </c>
    </row>
    <row r="141" spans="2:12" x14ac:dyDescent="0.2">
      <c r="B141" s="128" t="str">
        <f t="shared" si="27"/>
        <v/>
      </c>
      <c r="C141" s="60" t="str">
        <f t="shared" si="21"/>
        <v/>
      </c>
      <c r="D141" s="100" t="str">
        <f t="shared" si="22"/>
        <v/>
      </c>
      <c r="E141" s="102" t="str">
        <f t="shared" si="23"/>
        <v/>
      </c>
      <c r="F141" s="136" t="str">
        <f t="shared" si="24"/>
        <v/>
      </c>
      <c r="K141" s="95" t="str">
        <f t="shared" si="25"/>
        <v/>
      </c>
      <c r="L141" s="96" t="str">
        <f t="shared" si="26"/>
        <v/>
      </c>
    </row>
    <row r="142" spans="2:12" x14ac:dyDescent="0.2">
      <c r="B142" s="128" t="str">
        <f t="shared" si="27"/>
        <v/>
      </c>
      <c r="C142" s="60" t="str">
        <f t="shared" si="21"/>
        <v/>
      </c>
      <c r="D142" s="100" t="str">
        <f t="shared" si="22"/>
        <v/>
      </c>
      <c r="E142" s="102" t="str">
        <f t="shared" si="23"/>
        <v/>
      </c>
      <c r="F142" s="136" t="str">
        <f t="shared" si="24"/>
        <v/>
      </c>
      <c r="K142" s="95" t="str">
        <f t="shared" si="25"/>
        <v/>
      </c>
      <c r="L142" s="96" t="str">
        <f t="shared" si="26"/>
        <v/>
      </c>
    </row>
    <row r="143" spans="2:12" x14ac:dyDescent="0.2">
      <c r="B143" s="128" t="str">
        <f t="shared" si="27"/>
        <v/>
      </c>
      <c r="C143" s="60" t="str">
        <f t="shared" si="21"/>
        <v/>
      </c>
      <c r="D143" s="100" t="str">
        <f t="shared" si="22"/>
        <v/>
      </c>
      <c r="E143" s="102" t="str">
        <f t="shared" si="23"/>
        <v/>
      </c>
      <c r="F143" s="136" t="str">
        <f t="shared" si="24"/>
        <v/>
      </c>
      <c r="K143" s="95" t="str">
        <f t="shared" si="25"/>
        <v/>
      </c>
      <c r="L143" s="96" t="str">
        <f t="shared" si="26"/>
        <v/>
      </c>
    </row>
    <row r="144" spans="2:12" x14ac:dyDescent="0.2">
      <c r="B144" s="128" t="str">
        <f t="shared" si="27"/>
        <v/>
      </c>
      <c r="C144" s="60" t="str">
        <f t="shared" si="21"/>
        <v/>
      </c>
      <c r="D144" s="100" t="str">
        <f t="shared" si="22"/>
        <v/>
      </c>
      <c r="E144" s="102" t="str">
        <f t="shared" si="23"/>
        <v/>
      </c>
      <c r="F144" s="136" t="str">
        <f t="shared" si="24"/>
        <v/>
      </c>
      <c r="K144" s="95" t="str">
        <f t="shared" si="25"/>
        <v/>
      </c>
      <c r="L144" s="96" t="str">
        <f t="shared" si="26"/>
        <v/>
      </c>
    </row>
    <row r="145" spans="2:12" x14ac:dyDescent="0.2">
      <c r="B145" s="128" t="str">
        <f t="shared" si="27"/>
        <v/>
      </c>
      <c r="C145" s="60" t="str">
        <f t="shared" si="21"/>
        <v/>
      </c>
      <c r="D145" s="100" t="str">
        <f t="shared" si="22"/>
        <v/>
      </c>
      <c r="E145" s="102" t="str">
        <f t="shared" si="23"/>
        <v/>
      </c>
      <c r="F145" s="136" t="str">
        <f t="shared" si="24"/>
        <v/>
      </c>
      <c r="K145" s="95" t="str">
        <f t="shared" si="25"/>
        <v/>
      </c>
      <c r="L145" s="96" t="str">
        <f t="shared" si="26"/>
        <v/>
      </c>
    </row>
    <row r="146" spans="2:12" x14ac:dyDescent="0.2">
      <c r="B146" s="128" t="str">
        <f t="shared" si="27"/>
        <v/>
      </c>
      <c r="C146" s="60" t="str">
        <f t="shared" si="21"/>
        <v/>
      </c>
      <c r="D146" s="100" t="str">
        <f t="shared" si="22"/>
        <v/>
      </c>
      <c r="E146" s="102" t="str">
        <f t="shared" si="23"/>
        <v/>
      </c>
      <c r="F146" s="136" t="str">
        <f t="shared" si="24"/>
        <v/>
      </c>
      <c r="K146" s="95" t="str">
        <f t="shared" si="25"/>
        <v/>
      </c>
      <c r="L146" s="96" t="str">
        <f t="shared" si="26"/>
        <v/>
      </c>
    </row>
    <row r="147" spans="2:12" x14ac:dyDescent="0.2">
      <c r="B147" s="128" t="str">
        <f t="shared" si="27"/>
        <v/>
      </c>
      <c r="C147" s="60" t="str">
        <f t="shared" si="21"/>
        <v/>
      </c>
      <c r="D147" s="100" t="str">
        <f t="shared" si="22"/>
        <v/>
      </c>
      <c r="E147" s="102" t="str">
        <f t="shared" si="23"/>
        <v/>
      </c>
      <c r="F147" s="136" t="str">
        <f t="shared" si="24"/>
        <v/>
      </c>
      <c r="K147" s="95" t="str">
        <f t="shared" si="25"/>
        <v/>
      </c>
      <c r="L147" s="96" t="str">
        <f t="shared" si="26"/>
        <v/>
      </c>
    </row>
    <row r="148" spans="2:12" x14ac:dyDescent="0.2">
      <c r="B148" s="128" t="str">
        <f t="shared" si="27"/>
        <v/>
      </c>
      <c r="C148" s="60" t="str">
        <f t="shared" si="21"/>
        <v/>
      </c>
      <c r="D148" s="100" t="str">
        <f t="shared" si="22"/>
        <v/>
      </c>
      <c r="E148" s="102" t="str">
        <f t="shared" si="23"/>
        <v/>
      </c>
      <c r="F148" s="136" t="str">
        <f t="shared" si="24"/>
        <v/>
      </c>
      <c r="G148" s="55"/>
      <c r="K148" s="128" t="str">
        <f t="shared" si="25"/>
        <v/>
      </c>
      <c r="L148" s="129" t="str">
        <f t="shared" si="26"/>
        <v/>
      </c>
    </row>
    <row r="149" spans="2:12" x14ac:dyDescent="0.2">
      <c r="B149" s="128" t="str">
        <f t="shared" si="27"/>
        <v/>
      </c>
      <c r="C149" s="60" t="str">
        <f t="shared" si="21"/>
        <v/>
      </c>
      <c r="D149" s="100" t="str">
        <f t="shared" si="22"/>
        <v/>
      </c>
      <c r="E149" s="102" t="str">
        <f t="shared" si="23"/>
        <v/>
      </c>
      <c r="F149" s="136" t="str">
        <f t="shared" si="24"/>
        <v/>
      </c>
      <c r="G149" s="55"/>
      <c r="K149" s="128" t="str">
        <f t="shared" si="25"/>
        <v/>
      </c>
      <c r="L149" s="129" t="str">
        <f t="shared" si="26"/>
        <v/>
      </c>
    </row>
    <row r="150" spans="2:12" x14ac:dyDescent="0.2">
      <c r="B150" s="128" t="str">
        <f t="shared" si="27"/>
        <v/>
      </c>
      <c r="C150" s="60" t="str">
        <f t="shared" si="21"/>
        <v/>
      </c>
      <c r="D150" s="100" t="str">
        <f t="shared" si="22"/>
        <v/>
      </c>
      <c r="E150" s="102" t="str">
        <f t="shared" si="23"/>
        <v/>
      </c>
      <c r="F150" s="136" t="str">
        <f t="shared" si="24"/>
        <v/>
      </c>
      <c r="G150" s="55"/>
      <c r="K150" s="128" t="str">
        <f t="shared" si="25"/>
        <v/>
      </c>
      <c r="L150" s="129" t="str">
        <f t="shared" si="26"/>
        <v/>
      </c>
    </row>
    <row r="151" spans="2:12" x14ac:dyDescent="0.2">
      <c r="B151" s="128" t="str">
        <f t="shared" si="27"/>
        <v/>
      </c>
      <c r="C151" s="60" t="str">
        <f t="shared" si="21"/>
        <v/>
      </c>
      <c r="D151" s="100" t="str">
        <f t="shared" si="22"/>
        <v/>
      </c>
      <c r="E151" s="102" t="str">
        <f t="shared" si="23"/>
        <v/>
      </c>
      <c r="F151" s="136" t="str">
        <f t="shared" si="24"/>
        <v/>
      </c>
      <c r="G151" s="55"/>
      <c r="K151" s="128" t="str">
        <f t="shared" si="25"/>
        <v/>
      </c>
      <c r="L151" s="129" t="str">
        <f t="shared" si="26"/>
        <v/>
      </c>
    </row>
    <row r="152" spans="2:12" x14ac:dyDescent="0.2">
      <c r="B152" s="128" t="str">
        <f t="shared" si="27"/>
        <v/>
      </c>
      <c r="C152" s="60" t="str">
        <f t="shared" si="21"/>
        <v/>
      </c>
      <c r="D152" s="100" t="str">
        <f t="shared" si="22"/>
        <v/>
      </c>
      <c r="E152" s="102" t="str">
        <f t="shared" si="23"/>
        <v/>
      </c>
      <c r="F152" s="136" t="str">
        <f t="shared" si="24"/>
        <v/>
      </c>
      <c r="G152" s="55"/>
      <c r="K152" s="128" t="str">
        <f t="shared" si="25"/>
        <v/>
      </c>
      <c r="L152" s="129" t="str">
        <f t="shared" si="26"/>
        <v/>
      </c>
    </row>
    <row r="153" spans="2:12" x14ac:dyDescent="0.2">
      <c r="B153" s="128" t="str">
        <f t="shared" si="27"/>
        <v/>
      </c>
      <c r="C153" s="60" t="str">
        <f t="shared" si="21"/>
        <v/>
      </c>
      <c r="D153" s="100" t="str">
        <f t="shared" si="22"/>
        <v/>
      </c>
      <c r="E153" s="102" t="str">
        <f t="shared" si="23"/>
        <v/>
      </c>
      <c r="F153" s="136" t="str">
        <f t="shared" si="24"/>
        <v/>
      </c>
      <c r="G153" s="55"/>
      <c r="K153" s="128" t="str">
        <f t="shared" si="25"/>
        <v/>
      </c>
      <c r="L153" s="129" t="str">
        <f t="shared" si="26"/>
        <v/>
      </c>
    </row>
    <row r="154" spans="2:12" x14ac:dyDescent="0.2">
      <c r="B154" s="128" t="str">
        <f t="shared" si="27"/>
        <v/>
      </c>
      <c r="C154" s="60" t="str">
        <f t="shared" si="21"/>
        <v/>
      </c>
      <c r="D154" s="100" t="str">
        <f t="shared" si="22"/>
        <v/>
      </c>
      <c r="E154" s="102" t="str">
        <f t="shared" si="23"/>
        <v/>
      </c>
      <c r="F154" s="136" t="str">
        <f t="shared" si="24"/>
        <v/>
      </c>
      <c r="G154" s="55"/>
      <c r="K154" s="128" t="str">
        <f t="shared" si="25"/>
        <v/>
      </c>
      <c r="L154" s="129" t="str">
        <f t="shared" si="26"/>
        <v/>
      </c>
    </row>
    <row r="155" spans="2:12" x14ac:dyDescent="0.2">
      <c r="B155" s="128" t="str">
        <f t="shared" si="27"/>
        <v/>
      </c>
      <c r="C155" s="60" t="str">
        <f t="shared" si="21"/>
        <v/>
      </c>
      <c r="D155" s="100" t="str">
        <f t="shared" si="22"/>
        <v/>
      </c>
      <c r="E155" s="102" t="str">
        <f t="shared" si="23"/>
        <v/>
      </c>
      <c r="F155" s="136" t="str">
        <f t="shared" si="24"/>
        <v/>
      </c>
      <c r="G155" s="55"/>
      <c r="K155" s="128" t="str">
        <f t="shared" si="25"/>
        <v/>
      </c>
      <c r="L155" s="129" t="str">
        <f t="shared" si="26"/>
        <v/>
      </c>
    </row>
    <row r="156" spans="2:12" x14ac:dyDescent="0.2">
      <c r="B156" s="128" t="str">
        <f t="shared" si="27"/>
        <v/>
      </c>
      <c r="C156" s="60" t="str">
        <f t="shared" ref="C156:C187" si="28">IF(B156="","",B156*2.54)</f>
        <v/>
      </c>
      <c r="D156" s="100" t="str">
        <f t="shared" ref="D156:D187" si="29">IF(C156="","",IF(K156=1,$C$8*PI()*$E$7^2/4+2*$H$17,$C$8*$E$7^2/4*(L156-SIN(L156)*COS(L156))+4*$H$17*K156^2*(1.5-K156)))</f>
        <v/>
      </c>
      <c r="E156" s="102" t="str">
        <f t="shared" ref="E156:E187" si="30">IF(D156="","",D156*7.5)</f>
        <v/>
      </c>
      <c r="F156" s="136" t="str">
        <f t="shared" ref="F156:F187" si="31">IF(D156="","",D156*7.5*3.78)</f>
        <v/>
      </c>
      <c r="G156" s="55"/>
      <c r="K156" s="128" t="str">
        <f t="shared" ref="K156:K187" si="32">IF(B156="","",B156/$C$7)</f>
        <v/>
      </c>
      <c r="L156" s="129" t="str">
        <f t="shared" ref="L156:L187" si="33">IF(K156="","",IF(K156=1,1,ACOS(1-2*K156)))</f>
        <v/>
      </c>
    </row>
    <row r="157" spans="2:12" x14ac:dyDescent="0.2">
      <c r="B157" s="128" t="str">
        <f t="shared" ref="B157:B188" si="34">IF(B156="","",IF(B156+$B$28&gt;$C$7+0.001,"",B156+$B$28))</f>
        <v/>
      </c>
      <c r="C157" s="60" t="str">
        <f t="shared" si="28"/>
        <v/>
      </c>
      <c r="D157" s="100" t="str">
        <f t="shared" si="29"/>
        <v/>
      </c>
      <c r="E157" s="102" t="str">
        <f t="shared" si="30"/>
        <v/>
      </c>
      <c r="F157" s="136" t="str">
        <f t="shared" si="31"/>
        <v/>
      </c>
      <c r="G157" s="55"/>
      <c r="K157" s="128" t="str">
        <f t="shared" si="32"/>
        <v/>
      </c>
      <c r="L157" s="129" t="str">
        <f t="shared" si="33"/>
        <v/>
      </c>
    </row>
    <row r="158" spans="2:12" x14ac:dyDescent="0.2">
      <c r="B158" s="128" t="str">
        <f t="shared" si="34"/>
        <v/>
      </c>
      <c r="C158" s="60" t="str">
        <f t="shared" si="28"/>
        <v/>
      </c>
      <c r="D158" s="100" t="str">
        <f t="shared" si="29"/>
        <v/>
      </c>
      <c r="E158" s="102" t="str">
        <f t="shared" si="30"/>
        <v/>
      </c>
      <c r="F158" s="136" t="str">
        <f t="shared" si="31"/>
        <v/>
      </c>
      <c r="G158" s="55"/>
      <c r="K158" s="128" t="str">
        <f t="shared" si="32"/>
        <v/>
      </c>
      <c r="L158" s="129" t="str">
        <f t="shared" si="33"/>
        <v/>
      </c>
    </row>
    <row r="159" spans="2:12" x14ac:dyDescent="0.2">
      <c r="B159" s="128" t="str">
        <f t="shared" si="34"/>
        <v/>
      </c>
      <c r="C159" s="60" t="str">
        <f t="shared" si="28"/>
        <v/>
      </c>
      <c r="D159" s="100" t="str">
        <f t="shared" si="29"/>
        <v/>
      </c>
      <c r="E159" s="102" t="str">
        <f t="shared" si="30"/>
        <v/>
      </c>
      <c r="F159" s="136" t="str">
        <f t="shared" si="31"/>
        <v/>
      </c>
      <c r="G159" s="55"/>
      <c r="K159" s="128" t="str">
        <f t="shared" si="32"/>
        <v/>
      </c>
      <c r="L159" s="129" t="str">
        <f t="shared" si="33"/>
        <v/>
      </c>
    </row>
    <row r="160" spans="2:12" x14ac:dyDescent="0.2">
      <c r="B160" s="128" t="str">
        <f t="shared" si="34"/>
        <v/>
      </c>
      <c r="C160" s="60" t="str">
        <f t="shared" si="28"/>
        <v/>
      </c>
      <c r="D160" s="100" t="str">
        <f t="shared" si="29"/>
        <v/>
      </c>
      <c r="E160" s="102" t="str">
        <f t="shared" si="30"/>
        <v/>
      </c>
      <c r="F160" s="136" t="str">
        <f t="shared" si="31"/>
        <v/>
      </c>
      <c r="G160" s="55"/>
      <c r="K160" s="128" t="str">
        <f t="shared" si="32"/>
        <v/>
      </c>
      <c r="L160" s="129" t="str">
        <f t="shared" si="33"/>
        <v/>
      </c>
    </row>
    <row r="161" spans="2:12" x14ac:dyDescent="0.2">
      <c r="B161" s="128" t="str">
        <f t="shared" si="34"/>
        <v/>
      </c>
      <c r="C161" s="60" t="str">
        <f t="shared" si="28"/>
        <v/>
      </c>
      <c r="D161" s="100" t="str">
        <f t="shared" si="29"/>
        <v/>
      </c>
      <c r="E161" s="102" t="str">
        <f t="shared" si="30"/>
        <v/>
      </c>
      <c r="F161" s="136" t="str">
        <f t="shared" si="31"/>
        <v/>
      </c>
      <c r="G161" s="55"/>
      <c r="K161" s="128" t="str">
        <f t="shared" si="32"/>
        <v/>
      </c>
      <c r="L161" s="129" t="str">
        <f t="shared" si="33"/>
        <v/>
      </c>
    </row>
    <row r="162" spans="2:12" x14ac:dyDescent="0.2">
      <c r="B162" s="128" t="str">
        <f t="shared" si="34"/>
        <v/>
      </c>
      <c r="C162" s="60" t="str">
        <f t="shared" si="28"/>
        <v/>
      </c>
      <c r="D162" s="100" t="str">
        <f t="shared" si="29"/>
        <v/>
      </c>
      <c r="E162" s="102" t="str">
        <f t="shared" si="30"/>
        <v/>
      </c>
      <c r="F162" s="136" t="str">
        <f t="shared" si="31"/>
        <v/>
      </c>
      <c r="G162" s="55"/>
      <c r="K162" s="128" t="str">
        <f t="shared" si="32"/>
        <v/>
      </c>
      <c r="L162" s="129" t="str">
        <f t="shared" si="33"/>
        <v/>
      </c>
    </row>
    <row r="163" spans="2:12" x14ac:dyDescent="0.2">
      <c r="B163" s="128" t="str">
        <f t="shared" si="34"/>
        <v/>
      </c>
      <c r="C163" s="60" t="str">
        <f t="shared" si="28"/>
        <v/>
      </c>
      <c r="D163" s="100" t="str">
        <f t="shared" si="29"/>
        <v/>
      </c>
      <c r="E163" s="102" t="str">
        <f t="shared" si="30"/>
        <v/>
      </c>
      <c r="F163" s="136" t="str">
        <f t="shared" si="31"/>
        <v/>
      </c>
      <c r="G163" s="55"/>
      <c r="K163" s="128" t="str">
        <f t="shared" si="32"/>
        <v/>
      </c>
      <c r="L163" s="129" t="str">
        <f t="shared" si="33"/>
        <v/>
      </c>
    </row>
    <row r="164" spans="2:12" x14ac:dyDescent="0.2">
      <c r="B164" s="128" t="str">
        <f t="shared" si="34"/>
        <v/>
      </c>
      <c r="C164" s="60" t="str">
        <f t="shared" si="28"/>
        <v/>
      </c>
      <c r="D164" s="100" t="str">
        <f t="shared" si="29"/>
        <v/>
      </c>
      <c r="E164" s="102" t="str">
        <f t="shared" si="30"/>
        <v/>
      </c>
      <c r="F164" s="136" t="str">
        <f t="shared" si="31"/>
        <v/>
      </c>
      <c r="G164" s="55"/>
      <c r="K164" s="128" t="str">
        <f t="shared" si="32"/>
        <v/>
      </c>
      <c r="L164" s="129" t="str">
        <f t="shared" si="33"/>
        <v/>
      </c>
    </row>
    <row r="165" spans="2:12" x14ac:dyDescent="0.2">
      <c r="B165" s="128" t="str">
        <f t="shared" si="34"/>
        <v/>
      </c>
      <c r="C165" s="60" t="str">
        <f t="shared" si="28"/>
        <v/>
      </c>
      <c r="D165" s="100" t="str">
        <f t="shared" si="29"/>
        <v/>
      </c>
      <c r="E165" s="102" t="str">
        <f t="shared" si="30"/>
        <v/>
      </c>
      <c r="F165" s="136" t="str">
        <f t="shared" si="31"/>
        <v/>
      </c>
      <c r="G165" s="55"/>
      <c r="K165" s="128" t="str">
        <f t="shared" si="32"/>
        <v/>
      </c>
      <c r="L165" s="129" t="str">
        <f t="shared" si="33"/>
        <v/>
      </c>
    </row>
    <row r="166" spans="2:12" x14ac:dyDescent="0.2">
      <c r="B166" s="128" t="str">
        <f t="shared" si="34"/>
        <v/>
      </c>
      <c r="C166" s="60" t="str">
        <f t="shared" si="28"/>
        <v/>
      </c>
      <c r="D166" s="100" t="str">
        <f t="shared" si="29"/>
        <v/>
      </c>
      <c r="E166" s="102" t="str">
        <f t="shared" si="30"/>
        <v/>
      </c>
      <c r="F166" s="136" t="str">
        <f t="shared" si="31"/>
        <v/>
      </c>
      <c r="G166" s="55"/>
      <c r="K166" s="128" t="str">
        <f t="shared" si="32"/>
        <v/>
      </c>
      <c r="L166" s="129" t="str">
        <f t="shared" si="33"/>
        <v/>
      </c>
    </row>
    <row r="167" spans="2:12" x14ac:dyDescent="0.2">
      <c r="B167" s="128" t="str">
        <f t="shared" si="34"/>
        <v/>
      </c>
      <c r="C167" s="60" t="str">
        <f t="shared" si="28"/>
        <v/>
      </c>
      <c r="D167" s="100" t="str">
        <f t="shared" si="29"/>
        <v/>
      </c>
      <c r="E167" s="102" t="str">
        <f t="shared" si="30"/>
        <v/>
      </c>
      <c r="F167" s="136" t="str">
        <f t="shared" si="31"/>
        <v/>
      </c>
      <c r="G167" s="55"/>
      <c r="K167" s="128" t="str">
        <f t="shared" si="32"/>
        <v/>
      </c>
      <c r="L167" s="129" t="str">
        <f t="shared" si="33"/>
        <v/>
      </c>
    </row>
    <row r="168" spans="2:12" x14ac:dyDescent="0.2">
      <c r="B168" s="128" t="str">
        <f t="shared" si="34"/>
        <v/>
      </c>
      <c r="C168" s="60" t="str">
        <f t="shared" si="28"/>
        <v/>
      </c>
      <c r="D168" s="100" t="str">
        <f t="shared" si="29"/>
        <v/>
      </c>
      <c r="E168" s="102" t="str">
        <f t="shared" si="30"/>
        <v/>
      </c>
      <c r="F168" s="136" t="str">
        <f t="shared" si="31"/>
        <v/>
      </c>
      <c r="G168" s="55"/>
      <c r="K168" s="128" t="str">
        <f t="shared" si="32"/>
        <v/>
      </c>
      <c r="L168" s="129" t="str">
        <f t="shared" si="33"/>
        <v/>
      </c>
    </row>
    <row r="169" spans="2:12" x14ac:dyDescent="0.2">
      <c r="B169" s="128" t="str">
        <f t="shared" si="34"/>
        <v/>
      </c>
      <c r="C169" s="60" t="str">
        <f t="shared" si="28"/>
        <v/>
      </c>
      <c r="D169" s="100" t="str">
        <f t="shared" si="29"/>
        <v/>
      </c>
      <c r="E169" s="102" t="str">
        <f t="shared" si="30"/>
        <v/>
      </c>
      <c r="F169" s="136" t="str">
        <f t="shared" si="31"/>
        <v/>
      </c>
      <c r="G169" s="55"/>
      <c r="K169" s="128" t="str">
        <f t="shared" si="32"/>
        <v/>
      </c>
      <c r="L169" s="129" t="str">
        <f t="shared" si="33"/>
        <v/>
      </c>
    </row>
    <row r="170" spans="2:12" x14ac:dyDescent="0.2">
      <c r="B170" s="128" t="str">
        <f t="shared" si="34"/>
        <v/>
      </c>
      <c r="C170" s="60" t="str">
        <f t="shared" si="28"/>
        <v/>
      </c>
      <c r="D170" s="100" t="str">
        <f t="shared" si="29"/>
        <v/>
      </c>
      <c r="E170" s="102" t="str">
        <f t="shared" si="30"/>
        <v/>
      </c>
      <c r="F170" s="136" t="str">
        <f t="shared" si="31"/>
        <v/>
      </c>
      <c r="G170" s="55"/>
      <c r="K170" s="128" t="str">
        <f t="shared" si="32"/>
        <v/>
      </c>
      <c r="L170" s="129" t="str">
        <f t="shared" si="33"/>
        <v/>
      </c>
    </row>
    <row r="171" spans="2:12" x14ac:dyDescent="0.2">
      <c r="B171" s="128" t="str">
        <f t="shared" si="34"/>
        <v/>
      </c>
      <c r="C171" s="60" t="str">
        <f t="shared" si="28"/>
        <v/>
      </c>
      <c r="D171" s="100" t="str">
        <f t="shared" si="29"/>
        <v/>
      </c>
      <c r="E171" s="102" t="str">
        <f t="shared" si="30"/>
        <v/>
      </c>
      <c r="F171" s="136" t="str">
        <f t="shared" si="31"/>
        <v/>
      </c>
      <c r="G171" s="55"/>
      <c r="K171" s="128" t="str">
        <f t="shared" si="32"/>
        <v/>
      </c>
      <c r="L171" s="129" t="str">
        <f t="shared" si="33"/>
        <v/>
      </c>
    </row>
    <row r="172" spans="2:12" x14ac:dyDescent="0.2">
      <c r="B172" s="128" t="str">
        <f t="shared" si="34"/>
        <v/>
      </c>
      <c r="C172" s="60" t="str">
        <f t="shared" si="28"/>
        <v/>
      </c>
      <c r="D172" s="100" t="str">
        <f t="shared" si="29"/>
        <v/>
      </c>
      <c r="E172" s="102" t="str">
        <f t="shared" si="30"/>
        <v/>
      </c>
      <c r="F172" s="136" t="str">
        <f t="shared" si="31"/>
        <v/>
      </c>
      <c r="G172" s="55"/>
      <c r="K172" s="128" t="str">
        <f t="shared" si="32"/>
        <v/>
      </c>
      <c r="L172" s="129" t="str">
        <f t="shared" si="33"/>
        <v/>
      </c>
    </row>
    <row r="173" spans="2:12" x14ac:dyDescent="0.2">
      <c r="B173" s="128" t="str">
        <f t="shared" si="34"/>
        <v/>
      </c>
      <c r="C173" s="60" t="str">
        <f t="shared" si="28"/>
        <v/>
      </c>
      <c r="D173" s="100" t="str">
        <f t="shared" si="29"/>
        <v/>
      </c>
      <c r="E173" s="102" t="str">
        <f t="shared" si="30"/>
        <v/>
      </c>
      <c r="F173" s="136" t="str">
        <f t="shared" si="31"/>
        <v/>
      </c>
      <c r="G173" s="55"/>
      <c r="K173" s="128" t="str">
        <f t="shared" si="32"/>
        <v/>
      </c>
      <c r="L173" s="129" t="str">
        <f t="shared" si="33"/>
        <v/>
      </c>
    </row>
    <row r="174" spans="2:12" x14ac:dyDescent="0.2">
      <c r="B174" s="128" t="str">
        <f t="shared" si="34"/>
        <v/>
      </c>
      <c r="C174" s="60" t="str">
        <f t="shared" si="28"/>
        <v/>
      </c>
      <c r="D174" s="100" t="str">
        <f t="shared" si="29"/>
        <v/>
      </c>
      <c r="E174" s="102" t="str">
        <f t="shared" si="30"/>
        <v/>
      </c>
      <c r="F174" s="136" t="str">
        <f t="shared" si="31"/>
        <v/>
      </c>
      <c r="G174" s="55"/>
      <c r="K174" s="128" t="str">
        <f t="shared" si="32"/>
        <v/>
      </c>
      <c r="L174" s="129" t="str">
        <f t="shared" si="33"/>
        <v/>
      </c>
    </row>
    <row r="175" spans="2:12" x14ac:dyDescent="0.2">
      <c r="B175" s="128" t="str">
        <f t="shared" si="34"/>
        <v/>
      </c>
      <c r="C175" s="133" t="str">
        <f t="shared" si="28"/>
        <v/>
      </c>
      <c r="D175" s="100" t="str">
        <f t="shared" si="29"/>
        <v/>
      </c>
      <c r="E175" s="102" t="str">
        <f t="shared" si="30"/>
        <v/>
      </c>
      <c r="F175" s="136" t="str">
        <f t="shared" si="31"/>
        <v/>
      </c>
      <c r="G175" s="55"/>
      <c r="K175" s="128" t="str">
        <f t="shared" si="32"/>
        <v/>
      </c>
      <c r="L175" s="129" t="str">
        <f t="shared" si="33"/>
        <v/>
      </c>
    </row>
    <row r="176" spans="2:12" x14ac:dyDescent="0.2">
      <c r="B176" s="128" t="str">
        <f t="shared" si="34"/>
        <v/>
      </c>
      <c r="C176" s="133" t="str">
        <f t="shared" si="28"/>
        <v/>
      </c>
      <c r="D176" s="100" t="str">
        <f t="shared" si="29"/>
        <v/>
      </c>
      <c r="E176" s="102" t="str">
        <f t="shared" si="30"/>
        <v/>
      </c>
      <c r="F176" s="136" t="str">
        <f t="shared" si="31"/>
        <v/>
      </c>
      <c r="G176" s="55"/>
      <c r="K176" s="128" t="str">
        <f t="shared" si="32"/>
        <v/>
      </c>
      <c r="L176" s="129" t="str">
        <f t="shared" si="33"/>
        <v/>
      </c>
    </row>
    <row r="177" spans="2:12" x14ac:dyDescent="0.2">
      <c r="B177" s="128" t="str">
        <f t="shared" si="34"/>
        <v/>
      </c>
      <c r="C177" s="133" t="str">
        <f t="shared" si="28"/>
        <v/>
      </c>
      <c r="D177" s="100" t="str">
        <f t="shared" si="29"/>
        <v/>
      </c>
      <c r="E177" s="102" t="str">
        <f t="shared" si="30"/>
        <v/>
      </c>
      <c r="F177" s="136" t="str">
        <f t="shared" si="31"/>
        <v/>
      </c>
      <c r="K177" s="128" t="str">
        <f t="shared" si="32"/>
        <v/>
      </c>
      <c r="L177" s="129" t="str">
        <f t="shared" si="33"/>
        <v/>
      </c>
    </row>
    <row r="178" spans="2:12" x14ac:dyDescent="0.2">
      <c r="B178" s="128" t="str">
        <f t="shared" si="34"/>
        <v/>
      </c>
      <c r="C178" s="133" t="str">
        <f t="shared" si="28"/>
        <v/>
      </c>
      <c r="D178" s="100" t="str">
        <f t="shared" si="29"/>
        <v/>
      </c>
      <c r="E178" s="102" t="str">
        <f t="shared" si="30"/>
        <v/>
      </c>
      <c r="F178" s="136" t="str">
        <f t="shared" si="31"/>
        <v/>
      </c>
      <c r="K178" s="128" t="str">
        <f t="shared" si="32"/>
        <v/>
      </c>
      <c r="L178" s="129" t="str">
        <f t="shared" si="33"/>
        <v/>
      </c>
    </row>
    <row r="179" spans="2:12" x14ac:dyDescent="0.2">
      <c r="B179" s="128" t="str">
        <f t="shared" si="34"/>
        <v/>
      </c>
      <c r="C179" s="133" t="str">
        <f t="shared" si="28"/>
        <v/>
      </c>
      <c r="D179" s="132" t="str">
        <f t="shared" si="29"/>
        <v/>
      </c>
      <c r="E179" s="62" t="str">
        <f t="shared" si="30"/>
        <v/>
      </c>
      <c r="F179" s="137" t="str">
        <f t="shared" si="31"/>
        <v/>
      </c>
      <c r="K179" s="128" t="str">
        <f t="shared" si="32"/>
        <v/>
      </c>
      <c r="L179" s="129" t="str">
        <f t="shared" si="33"/>
        <v/>
      </c>
    </row>
    <row r="180" spans="2:12" x14ac:dyDescent="0.2">
      <c r="B180" s="128" t="str">
        <f t="shared" si="34"/>
        <v/>
      </c>
      <c r="C180" s="133" t="str">
        <f t="shared" si="28"/>
        <v/>
      </c>
      <c r="D180" s="132" t="str">
        <f t="shared" si="29"/>
        <v/>
      </c>
      <c r="E180" s="62" t="str">
        <f t="shared" si="30"/>
        <v/>
      </c>
      <c r="F180" s="137" t="str">
        <f t="shared" si="31"/>
        <v/>
      </c>
      <c r="K180" s="128" t="str">
        <f t="shared" si="32"/>
        <v/>
      </c>
      <c r="L180" s="129" t="str">
        <f t="shared" si="33"/>
        <v/>
      </c>
    </row>
    <row r="181" spans="2:12" x14ac:dyDescent="0.2">
      <c r="B181" s="128" t="str">
        <f t="shared" si="34"/>
        <v/>
      </c>
      <c r="C181" s="133" t="str">
        <f t="shared" si="28"/>
        <v/>
      </c>
      <c r="D181" s="132" t="str">
        <f t="shared" si="29"/>
        <v/>
      </c>
      <c r="E181" s="62" t="str">
        <f t="shared" si="30"/>
        <v/>
      </c>
      <c r="F181" s="137" t="str">
        <f t="shared" si="31"/>
        <v/>
      </c>
      <c r="K181" s="128" t="str">
        <f t="shared" si="32"/>
        <v/>
      </c>
      <c r="L181" s="129" t="str">
        <f t="shared" si="33"/>
        <v/>
      </c>
    </row>
    <row r="182" spans="2:12" x14ac:dyDescent="0.2">
      <c r="B182" s="128" t="str">
        <f t="shared" si="34"/>
        <v/>
      </c>
      <c r="C182" s="133" t="str">
        <f t="shared" si="28"/>
        <v/>
      </c>
      <c r="D182" s="132" t="str">
        <f t="shared" si="29"/>
        <v/>
      </c>
      <c r="E182" s="62" t="str">
        <f t="shared" si="30"/>
        <v/>
      </c>
      <c r="F182" s="137" t="str">
        <f t="shared" si="31"/>
        <v/>
      </c>
      <c r="K182" s="128" t="str">
        <f t="shared" si="32"/>
        <v/>
      </c>
      <c r="L182" s="129" t="str">
        <f t="shared" si="33"/>
        <v/>
      </c>
    </row>
    <row r="183" spans="2:12" x14ac:dyDescent="0.2">
      <c r="B183" s="128" t="str">
        <f t="shared" si="34"/>
        <v/>
      </c>
      <c r="C183" s="133" t="str">
        <f t="shared" si="28"/>
        <v/>
      </c>
      <c r="D183" s="132" t="str">
        <f t="shared" si="29"/>
        <v/>
      </c>
      <c r="E183" s="62" t="str">
        <f t="shared" si="30"/>
        <v/>
      </c>
      <c r="F183" s="137" t="str">
        <f t="shared" si="31"/>
        <v/>
      </c>
      <c r="K183" s="128" t="str">
        <f t="shared" si="32"/>
        <v/>
      </c>
      <c r="L183" s="129" t="str">
        <f t="shared" si="33"/>
        <v/>
      </c>
    </row>
    <row r="184" spans="2:12" x14ac:dyDescent="0.2">
      <c r="B184" s="128" t="str">
        <f t="shared" si="34"/>
        <v/>
      </c>
      <c r="C184" s="133" t="str">
        <f t="shared" si="28"/>
        <v/>
      </c>
      <c r="D184" s="132" t="str">
        <f t="shared" si="29"/>
        <v/>
      </c>
      <c r="E184" s="62" t="str">
        <f t="shared" si="30"/>
        <v/>
      </c>
      <c r="F184" s="137" t="str">
        <f t="shared" si="31"/>
        <v/>
      </c>
      <c r="K184" s="128" t="str">
        <f t="shared" si="32"/>
        <v/>
      </c>
      <c r="L184" s="129" t="str">
        <f t="shared" si="33"/>
        <v/>
      </c>
    </row>
    <row r="185" spans="2:12" x14ac:dyDescent="0.2">
      <c r="B185" s="128" t="str">
        <f t="shared" si="34"/>
        <v/>
      </c>
      <c r="C185" s="133" t="str">
        <f t="shared" si="28"/>
        <v/>
      </c>
      <c r="D185" s="132" t="str">
        <f t="shared" si="29"/>
        <v/>
      </c>
      <c r="E185" s="62" t="str">
        <f t="shared" si="30"/>
        <v/>
      </c>
      <c r="F185" s="137" t="str">
        <f t="shared" si="31"/>
        <v/>
      </c>
      <c r="K185" s="128" t="str">
        <f t="shared" si="32"/>
        <v/>
      </c>
      <c r="L185" s="129" t="str">
        <f t="shared" si="33"/>
        <v/>
      </c>
    </row>
    <row r="186" spans="2:12" x14ac:dyDescent="0.2">
      <c r="B186" s="128" t="str">
        <f t="shared" si="34"/>
        <v/>
      </c>
      <c r="C186" s="133" t="str">
        <f t="shared" si="28"/>
        <v/>
      </c>
      <c r="D186" s="132" t="str">
        <f t="shared" si="29"/>
        <v/>
      </c>
      <c r="E186" s="62" t="str">
        <f t="shared" si="30"/>
        <v/>
      </c>
      <c r="F186" s="137" t="str">
        <f t="shared" si="31"/>
        <v/>
      </c>
      <c r="K186" s="128" t="str">
        <f t="shared" si="32"/>
        <v/>
      </c>
      <c r="L186" s="129" t="str">
        <f t="shared" si="33"/>
        <v/>
      </c>
    </row>
    <row r="187" spans="2:12" x14ac:dyDescent="0.2">
      <c r="B187" s="128" t="str">
        <f t="shared" si="34"/>
        <v/>
      </c>
      <c r="C187" s="133" t="str">
        <f t="shared" si="28"/>
        <v/>
      </c>
      <c r="D187" s="132" t="str">
        <f t="shared" si="29"/>
        <v/>
      </c>
      <c r="E187" s="62" t="str">
        <f t="shared" si="30"/>
        <v/>
      </c>
      <c r="F187" s="137" t="str">
        <f t="shared" si="31"/>
        <v/>
      </c>
      <c r="K187" s="128" t="str">
        <f t="shared" si="32"/>
        <v/>
      </c>
      <c r="L187" s="129" t="str">
        <f t="shared" si="33"/>
        <v/>
      </c>
    </row>
    <row r="188" spans="2:12" x14ac:dyDescent="0.2">
      <c r="B188" s="128" t="str">
        <f t="shared" si="34"/>
        <v/>
      </c>
      <c r="C188" s="133" t="str">
        <f t="shared" ref="C188:C219" si="35">IF(B188="","",B188*2.54)</f>
        <v/>
      </c>
      <c r="D188" s="132" t="str">
        <f t="shared" ref="D188:D219" si="36">IF(C188="","",IF(K188=1,$C$8*PI()*$E$7^2/4+2*$H$17,$C$8*$E$7^2/4*(L188-SIN(L188)*COS(L188))+4*$H$17*K188^2*(1.5-K188)))</f>
        <v/>
      </c>
      <c r="E188" s="62" t="str">
        <f t="shared" ref="E188:E219" si="37">IF(D188="","",D188*7.5)</f>
        <v/>
      </c>
      <c r="F188" s="137" t="str">
        <f t="shared" ref="F188:F219" si="38">IF(D188="","",D188*7.5*3.78)</f>
        <v/>
      </c>
      <c r="K188" s="128" t="str">
        <f t="shared" ref="K188:K219" si="39">IF(B188="","",B188/$C$7)</f>
        <v/>
      </c>
      <c r="L188" s="129" t="str">
        <f t="shared" ref="L188:L219" si="40">IF(K188="","",IF(K188=1,1,ACOS(1-2*K188)))</f>
        <v/>
      </c>
    </row>
    <row r="189" spans="2:12" x14ac:dyDescent="0.2">
      <c r="B189" s="128" t="str">
        <f t="shared" ref="B189:B220" si="41">IF(B188="","",IF(B188+$B$28&gt;$C$7+0.001,"",B188+$B$28))</f>
        <v/>
      </c>
      <c r="C189" s="133" t="str">
        <f t="shared" si="35"/>
        <v/>
      </c>
      <c r="D189" s="132" t="str">
        <f t="shared" si="36"/>
        <v/>
      </c>
      <c r="E189" s="62" t="str">
        <f t="shared" si="37"/>
        <v/>
      </c>
      <c r="F189" s="137" t="str">
        <f t="shared" si="38"/>
        <v/>
      </c>
      <c r="K189" s="128" t="str">
        <f t="shared" si="39"/>
        <v/>
      </c>
      <c r="L189" s="129" t="str">
        <f t="shared" si="40"/>
        <v/>
      </c>
    </row>
    <row r="190" spans="2:12" x14ac:dyDescent="0.2">
      <c r="B190" s="128" t="str">
        <f t="shared" si="41"/>
        <v/>
      </c>
      <c r="C190" s="133" t="str">
        <f t="shared" si="35"/>
        <v/>
      </c>
      <c r="D190" s="132" t="str">
        <f t="shared" si="36"/>
        <v/>
      </c>
      <c r="E190" s="62" t="str">
        <f t="shared" si="37"/>
        <v/>
      </c>
      <c r="F190" s="137" t="str">
        <f t="shared" si="38"/>
        <v/>
      </c>
      <c r="K190" s="128" t="str">
        <f t="shared" si="39"/>
        <v/>
      </c>
      <c r="L190" s="129" t="str">
        <f t="shared" si="40"/>
        <v/>
      </c>
    </row>
    <row r="191" spans="2:12" x14ac:dyDescent="0.2">
      <c r="B191" s="128" t="str">
        <f t="shared" si="41"/>
        <v/>
      </c>
      <c r="C191" s="133" t="str">
        <f t="shared" si="35"/>
        <v/>
      </c>
      <c r="D191" s="132" t="str">
        <f t="shared" si="36"/>
        <v/>
      </c>
      <c r="E191" s="62" t="str">
        <f t="shared" si="37"/>
        <v/>
      </c>
      <c r="F191" s="137" t="str">
        <f t="shared" si="38"/>
        <v/>
      </c>
      <c r="K191" s="128" t="str">
        <f t="shared" si="39"/>
        <v/>
      </c>
      <c r="L191" s="129" t="str">
        <f t="shared" si="40"/>
        <v/>
      </c>
    </row>
    <row r="192" spans="2:12" x14ac:dyDescent="0.2">
      <c r="B192" s="128" t="str">
        <f t="shared" si="41"/>
        <v/>
      </c>
      <c r="C192" s="133" t="str">
        <f t="shared" si="35"/>
        <v/>
      </c>
      <c r="D192" s="132" t="str">
        <f t="shared" si="36"/>
        <v/>
      </c>
      <c r="E192" s="62" t="str">
        <f t="shared" si="37"/>
        <v/>
      </c>
      <c r="F192" s="137" t="str">
        <f t="shared" si="38"/>
        <v/>
      </c>
      <c r="K192" s="128" t="str">
        <f t="shared" si="39"/>
        <v/>
      </c>
      <c r="L192" s="129" t="str">
        <f t="shared" si="40"/>
        <v/>
      </c>
    </row>
    <row r="193" spans="2:12" x14ac:dyDescent="0.2">
      <c r="B193" s="128" t="str">
        <f t="shared" si="41"/>
        <v/>
      </c>
      <c r="C193" s="133" t="str">
        <f t="shared" si="35"/>
        <v/>
      </c>
      <c r="D193" s="132" t="str">
        <f t="shared" si="36"/>
        <v/>
      </c>
      <c r="E193" s="62" t="str">
        <f t="shared" si="37"/>
        <v/>
      </c>
      <c r="F193" s="137" t="str">
        <f t="shared" si="38"/>
        <v/>
      </c>
      <c r="K193" s="128" t="str">
        <f t="shared" si="39"/>
        <v/>
      </c>
      <c r="L193" s="129" t="str">
        <f t="shared" si="40"/>
        <v/>
      </c>
    </row>
    <row r="194" spans="2:12" x14ac:dyDescent="0.2">
      <c r="B194" s="128" t="str">
        <f t="shared" si="41"/>
        <v/>
      </c>
      <c r="C194" s="133" t="str">
        <f t="shared" si="35"/>
        <v/>
      </c>
      <c r="D194" s="132" t="str">
        <f t="shared" si="36"/>
        <v/>
      </c>
      <c r="E194" s="62" t="str">
        <f t="shared" si="37"/>
        <v/>
      </c>
      <c r="F194" s="137" t="str">
        <f t="shared" si="38"/>
        <v/>
      </c>
      <c r="K194" s="128" t="str">
        <f t="shared" si="39"/>
        <v/>
      </c>
      <c r="L194" s="129" t="str">
        <f t="shared" si="40"/>
        <v/>
      </c>
    </row>
    <row r="195" spans="2:12" x14ac:dyDescent="0.2">
      <c r="B195" s="128" t="str">
        <f t="shared" si="41"/>
        <v/>
      </c>
      <c r="C195" s="133" t="str">
        <f t="shared" si="35"/>
        <v/>
      </c>
      <c r="D195" s="132" t="str">
        <f t="shared" si="36"/>
        <v/>
      </c>
      <c r="E195" s="62" t="str">
        <f t="shared" si="37"/>
        <v/>
      </c>
      <c r="F195" s="137" t="str">
        <f t="shared" si="38"/>
        <v/>
      </c>
      <c r="K195" s="128" t="str">
        <f t="shared" si="39"/>
        <v/>
      </c>
      <c r="L195" s="129" t="str">
        <f t="shared" si="40"/>
        <v/>
      </c>
    </row>
    <row r="196" spans="2:12" x14ac:dyDescent="0.2">
      <c r="B196" s="128" t="str">
        <f t="shared" si="41"/>
        <v/>
      </c>
      <c r="C196" s="133" t="str">
        <f t="shared" si="35"/>
        <v/>
      </c>
      <c r="D196" s="132" t="str">
        <f t="shared" si="36"/>
        <v/>
      </c>
      <c r="E196" s="62" t="str">
        <f t="shared" si="37"/>
        <v/>
      </c>
      <c r="F196" s="137" t="str">
        <f t="shared" si="38"/>
        <v/>
      </c>
      <c r="K196" s="128" t="str">
        <f t="shared" si="39"/>
        <v/>
      </c>
      <c r="L196" s="129" t="str">
        <f t="shared" si="40"/>
        <v/>
      </c>
    </row>
    <row r="197" spans="2:12" x14ac:dyDescent="0.2">
      <c r="B197" s="128" t="str">
        <f t="shared" si="41"/>
        <v/>
      </c>
      <c r="C197" s="133" t="str">
        <f t="shared" si="35"/>
        <v/>
      </c>
      <c r="D197" s="132" t="str">
        <f t="shared" si="36"/>
        <v/>
      </c>
      <c r="E197" s="62" t="str">
        <f t="shared" si="37"/>
        <v/>
      </c>
      <c r="F197" s="137" t="str">
        <f t="shared" si="38"/>
        <v/>
      </c>
      <c r="K197" s="128" t="str">
        <f t="shared" si="39"/>
        <v/>
      </c>
      <c r="L197" s="129" t="str">
        <f t="shared" si="40"/>
        <v/>
      </c>
    </row>
    <row r="198" spans="2:12" x14ac:dyDescent="0.2">
      <c r="B198" s="128" t="str">
        <f t="shared" si="41"/>
        <v/>
      </c>
      <c r="C198" s="133" t="str">
        <f t="shared" si="35"/>
        <v/>
      </c>
      <c r="D198" s="132" t="str">
        <f t="shared" si="36"/>
        <v/>
      </c>
      <c r="E198" s="62" t="str">
        <f t="shared" si="37"/>
        <v/>
      </c>
      <c r="F198" s="137" t="str">
        <f t="shared" si="38"/>
        <v/>
      </c>
      <c r="K198" s="128" t="str">
        <f t="shared" si="39"/>
        <v/>
      </c>
      <c r="L198" s="129" t="str">
        <f t="shared" si="40"/>
        <v/>
      </c>
    </row>
    <row r="199" spans="2:12" x14ac:dyDescent="0.2">
      <c r="B199" s="128" t="str">
        <f t="shared" si="41"/>
        <v/>
      </c>
      <c r="C199" s="133" t="str">
        <f t="shared" si="35"/>
        <v/>
      </c>
      <c r="D199" s="132" t="str">
        <f t="shared" si="36"/>
        <v/>
      </c>
      <c r="E199" s="62" t="str">
        <f t="shared" si="37"/>
        <v/>
      </c>
      <c r="F199" s="137" t="str">
        <f t="shared" si="38"/>
        <v/>
      </c>
      <c r="K199" s="128" t="str">
        <f t="shared" si="39"/>
        <v/>
      </c>
      <c r="L199" s="129" t="str">
        <f t="shared" si="40"/>
        <v/>
      </c>
    </row>
    <row r="200" spans="2:12" x14ac:dyDescent="0.2">
      <c r="B200" s="128" t="str">
        <f t="shared" si="41"/>
        <v/>
      </c>
      <c r="C200" s="133" t="str">
        <f t="shared" si="35"/>
        <v/>
      </c>
      <c r="D200" s="132" t="str">
        <f t="shared" si="36"/>
        <v/>
      </c>
      <c r="E200" s="62" t="str">
        <f t="shared" si="37"/>
        <v/>
      </c>
      <c r="F200" s="137" t="str">
        <f t="shared" si="38"/>
        <v/>
      </c>
      <c r="K200" s="128" t="str">
        <f t="shared" si="39"/>
        <v/>
      </c>
      <c r="L200" s="129" t="str">
        <f t="shared" si="40"/>
        <v/>
      </c>
    </row>
    <row r="201" spans="2:12" x14ac:dyDescent="0.2">
      <c r="B201" s="128" t="str">
        <f t="shared" si="41"/>
        <v/>
      </c>
      <c r="C201" s="133" t="str">
        <f t="shared" si="35"/>
        <v/>
      </c>
      <c r="D201" s="132" t="str">
        <f t="shared" si="36"/>
        <v/>
      </c>
      <c r="E201" s="62" t="str">
        <f t="shared" si="37"/>
        <v/>
      </c>
      <c r="F201" s="137" t="str">
        <f t="shared" si="38"/>
        <v/>
      </c>
      <c r="K201" s="128" t="str">
        <f t="shared" si="39"/>
        <v/>
      </c>
      <c r="L201" s="129" t="str">
        <f t="shared" si="40"/>
        <v/>
      </c>
    </row>
    <row r="202" spans="2:12" x14ac:dyDescent="0.2">
      <c r="B202" s="128" t="str">
        <f t="shared" si="41"/>
        <v/>
      </c>
      <c r="C202" s="133" t="str">
        <f t="shared" si="35"/>
        <v/>
      </c>
      <c r="D202" s="132" t="str">
        <f t="shared" si="36"/>
        <v/>
      </c>
      <c r="E202" s="62" t="str">
        <f t="shared" si="37"/>
        <v/>
      </c>
      <c r="F202" s="137" t="str">
        <f t="shared" si="38"/>
        <v/>
      </c>
      <c r="K202" s="128" t="str">
        <f t="shared" si="39"/>
        <v/>
      </c>
      <c r="L202" s="129" t="str">
        <f t="shared" si="40"/>
        <v/>
      </c>
    </row>
    <row r="203" spans="2:12" x14ac:dyDescent="0.2">
      <c r="B203" s="128" t="str">
        <f t="shared" si="41"/>
        <v/>
      </c>
      <c r="C203" s="133" t="str">
        <f t="shared" si="35"/>
        <v/>
      </c>
      <c r="D203" s="132" t="str">
        <f t="shared" si="36"/>
        <v/>
      </c>
      <c r="E203" s="62" t="str">
        <f t="shared" si="37"/>
        <v/>
      </c>
      <c r="F203" s="137" t="str">
        <f t="shared" si="38"/>
        <v/>
      </c>
      <c r="K203" s="128" t="str">
        <f t="shared" si="39"/>
        <v/>
      </c>
      <c r="L203" s="129" t="str">
        <f t="shared" si="40"/>
        <v/>
      </c>
    </row>
    <row r="204" spans="2:12" x14ac:dyDescent="0.2">
      <c r="B204" s="128" t="str">
        <f t="shared" si="41"/>
        <v/>
      </c>
      <c r="C204" s="133" t="str">
        <f t="shared" si="35"/>
        <v/>
      </c>
      <c r="D204" s="132" t="str">
        <f t="shared" si="36"/>
        <v/>
      </c>
      <c r="E204" s="62" t="str">
        <f t="shared" si="37"/>
        <v/>
      </c>
      <c r="F204" s="137" t="str">
        <f t="shared" si="38"/>
        <v/>
      </c>
      <c r="K204" s="128" t="str">
        <f t="shared" si="39"/>
        <v/>
      </c>
      <c r="L204" s="129" t="str">
        <f t="shared" si="40"/>
        <v/>
      </c>
    </row>
    <row r="205" spans="2:12" x14ac:dyDescent="0.2">
      <c r="B205" s="128" t="str">
        <f t="shared" si="41"/>
        <v/>
      </c>
      <c r="C205" s="133" t="str">
        <f t="shared" si="35"/>
        <v/>
      </c>
      <c r="D205" s="132" t="str">
        <f t="shared" si="36"/>
        <v/>
      </c>
      <c r="E205" s="62" t="str">
        <f t="shared" si="37"/>
        <v/>
      </c>
      <c r="F205" s="137" t="str">
        <f t="shared" si="38"/>
        <v/>
      </c>
      <c r="K205" s="128" t="str">
        <f t="shared" si="39"/>
        <v/>
      </c>
      <c r="L205" s="129" t="str">
        <f t="shared" si="40"/>
        <v/>
      </c>
    </row>
    <row r="206" spans="2:12" x14ac:dyDescent="0.2">
      <c r="B206" s="128" t="str">
        <f t="shared" si="41"/>
        <v/>
      </c>
      <c r="C206" s="133" t="str">
        <f t="shared" si="35"/>
        <v/>
      </c>
      <c r="D206" s="132" t="str">
        <f t="shared" si="36"/>
        <v/>
      </c>
      <c r="E206" s="62" t="str">
        <f t="shared" si="37"/>
        <v/>
      </c>
      <c r="F206" s="137" t="str">
        <f t="shared" si="38"/>
        <v/>
      </c>
      <c r="K206" s="128" t="str">
        <f t="shared" si="39"/>
        <v/>
      </c>
      <c r="L206" s="129" t="str">
        <f t="shared" si="40"/>
        <v/>
      </c>
    </row>
    <row r="207" spans="2:12" x14ac:dyDescent="0.2">
      <c r="B207" s="128" t="str">
        <f t="shared" si="41"/>
        <v/>
      </c>
      <c r="C207" s="133" t="str">
        <f t="shared" si="35"/>
        <v/>
      </c>
      <c r="D207" s="132" t="str">
        <f t="shared" si="36"/>
        <v/>
      </c>
      <c r="E207" s="62" t="str">
        <f t="shared" si="37"/>
        <v/>
      </c>
      <c r="F207" s="137" t="str">
        <f t="shared" si="38"/>
        <v/>
      </c>
      <c r="K207" s="128" t="str">
        <f t="shared" si="39"/>
        <v/>
      </c>
      <c r="L207" s="129" t="str">
        <f t="shared" si="40"/>
        <v/>
      </c>
    </row>
    <row r="208" spans="2:12" x14ac:dyDescent="0.2">
      <c r="B208" s="128" t="str">
        <f t="shared" si="41"/>
        <v/>
      </c>
      <c r="C208" s="133" t="str">
        <f t="shared" si="35"/>
        <v/>
      </c>
      <c r="D208" s="132" t="str">
        <f t="shared" si="36"/>
        <v/>
      </c>
      <c r="E208" s="62" t="str">
        <f t="shared" si="37"/>
        <v/>
      </c>
      <c r="F208" s="137" t="str">
        <f t="shared" si="38"/>
        <v/>
      </c>
      <c r="K208" s="128" t="str">
        <f t="shared" si="39"/>
        <v/>
      </c>
      <c r="L208" s="129" t="str">
        <f t="shared" si="40"/>
        <v/>
      </c>
    </row>
    <row r="209" spans="2:12" x14ac:dyDescent="0.2">
      <c r="B209" s="128" t="str">
        <f t="shared" si="41"/>
        <v/>
      </c>
      <c r="C209" s="133" t="str">
        <f t="shared" si="35"/>
        <v/>
      </c>
      <c r="D209" s="132" t="str">
        <f t="shared" si="36"/>
        <v/>
      </c>
      <c r="E209" s="62" t="str">
        <f t="shared" si="37"/>
        <v/>
      </c>
      <c r="F209" s="137" t="str">
        <f t="shared" si="38"/>
        <v/>
      </c>
      <c r="K209" s="128" t="str">
        <f t="shared" si="39"/>
        <v/>
      </c>
      <c r="L209" s="129" t="str">
        <f t="shared" si="40"/>
        <v/>
      </c>
    </row>
    <row r="210" spans="2:12" x14ac:dyDescent="0.2">
      <c r="B210" s="128" t="str">
        <f t="shared" si="41"/>
        <v/>
      </c>
      <c r="C210" s="133" t="str">
        <f t="shared" si="35"/>
        <v/>
      </c>
      <c r="D210" s="132" t="str">
        <f t="shared" si="36"/>
        <v/>
      </c>
      <c r="E210" s="62" t="str">
        <f t="shared" si="37"/>
        <v/>
      </c>
      <c r="F210" s="137" t="str">
        <f t="shared" si="38"/>
        <v/>
      </c>
      <c r="K210" s="128" t="str">
        <f t="shared" si="39"/>
        <v/>
      </c>
      <c r="L210" s="129" t="str">
        <f t="shared" si="40"/>
        <v/>
      </c>
    </row>
    <row r="211" spans="2:12" x14ac:dyDescent="0.2">
      <c r="B211" s="128" t="str">
        <f t="shared" si="41"/>
        <v/>
      </c>
      <c r="C211" s="133" t="str">
        <f t="shared" si="35"/>
        <v/>
      </c>
      <c r="D211" s="132" t="str">
        <f t="shared" si="36"/>
        <v/>
      </c>
      <c r="E211" s="62" t="str">
        <f t="shared" si="37"/>
        <v/>
      </c>
      <c r="F211" s="137" t="str">
        <f t="shared" si="38"/>
        <v/>
      </c>
      <c r="K211" s="128" t="str">
        <f t="shared" si="39"/>
        <v/>
      </c>
      <c r="L211" s="129" t="str">
        <f t="shared" si="40"/>
        <v/>
      </c>
    </row>
    <row r="212" spans="2:12" x14ac:dyDescent="0.2">
      <c r="B212" s="128" t="str">
        <f t="shared" si="41"/>
        <v/>
      </c>
      <c r="C212" s="133" t="str">
        <f t="shared" si="35"/>
        <v/>
      </c>
      <c r="D212" s="132" t="str">
        <f t="shared" si="36"/>
        <v/>
      </c>
      <c r="E212" s="62" t="str">
        <f t="shared" si="37"/>
        <v/>
      </c>
      <c r="F212" s="137" t="str">
        <f t="shared" si="38"/>
        <v/>
      </c>
      <c r="K212" s="128" t="str">
        <f t="shared" si="39"/>
        <v/>
      </c>
      <c r="L212" s="129" t="str">
        <f t="shared" si="40"/>
        <v/>
      </c>
    </row>
    <row r="213" spans="2:12" x14ac:dyDescent="0.2">
      <c r="B213" s="128" t="str">
        <f t="shared" si="41"/>
        <v/>
      </c>
      <c r="C213" s="133" t="str">
        <f t="shared" si="35"/>
        <v/>
      </c>
      <c r="D213" s="132" t="str">
        <f t="shared" si="36"/>
        <v/>
      </c>
      <c r="E213" s="62" t="str">
        <f t="shared" si="37"/>
        <v/>
      </c>
      <c r="F213" s="137" t="str">
        <f t="shared" si="38"/>
        <v/>
      </c>
      <c r="K213" s="128" t="str">
        <f t="shared" si="39"/>
        <v/>
      </c>
      <c r="L213" s="129" t="str">
        <f t="shared" si="40"/>
        <v/>
      </c>
    </row>
    <row r="214" spans="2:12" x14ac:dyDescent="0.2">
      <c r="B214" s="128" t="str">
        <f t="shared" si="41"/>
        <v/>
      </c>
      <c r="C214" s="133" t="str">
        <f t="shared" si="35"/>
        <v/>
      </c>
      <c r="D214" s="132" t="str">
        <f t="shared" si="36"/>
        <v/>
      </c>
      <c r="E214" s="62" t="str">
        <f t="shared" si="37"/>
        <v/>
      </c>
      <c r="F214" s="137" t="str">
        <f t="shared" si="38"/>
        <v/>
      </c>
      <c r="K214" s="128" t="str">
        <f t="shared" si="39"/>
        <v/>
      </c>
      <c r="L214" s="129" t="str">
        <f t="shared" si="40"/>
        <v/>
      </c>
    </row>
    <row r="215" spans="2:12" x14ac:dyDescent="0.2">
      <c r="B215" s="128" t="str">
        <f t="shared" si="41"/>
        <v/>
      </c>
      <c r="C215" s="133" t="str">
        <f t="shared" si="35"/>
        <v/>
      </c>
      <c r="D215" s="132" t="str">
        <f t="shared" si="36"/>
        <v/>
      </c>
      <c r="E215" s="62" t="str">
        <f t="shared" si="37"/>
        <v/>
      </c>
      <c r="F215" s="137" t="str">
        <f t="shared" si="38"/>
        <v/>
      </c>
      <c r="K215" s="128" t="str">
        <f t="shared" si="39"/>
        <v/>
      </c>
      <c r="L215" s="129" t="str">
        <f t="shared" si="40"/>
        <v/>
      </c>
    </row>
    <row r="216" spans="2:12" x14ac:dyDescent="0.2">
      <c r="B216" s="128" t="str">
        <f t="shared" si="41"/>
        <v/>
      </c>
      <c r="C216" s="133" t="str">
        <f t="shared" si="35"/>
        <v/>
      </c>
      <c r="D216" s="132" t="str">
        <f t="shared" si="36"/>
        <v/>
      </c>
      <c r="E216" s="62" t="str">
        <f t="shared" si="37"/>
        <v/>
      </c>
      <c r="F216" s="137" t="str">
        <f t="shared" si="38"/>
        <v/>
      </c>
      <c r="K216" s="128" t="str">
        <f t="shared" si="39"/>
        <v/>
      </c>
      <c r="L216" s="129" t="str">
        <f t="shared" si="40"/>
        <v/>
      </c>
    </row>
    <row r="217" spans="2:12" x14ac:dyDescent="0.2">
      <c r="B217" s="128" t="str">
        <f t="shared" si="41"/>
        <v/>
      </c>
      <c r="C217" s="133" t="str">
        <f t="shared" si="35"/>
        <v/>
      </c>
      <c r="D217" s="132" t="str">
        <f t="shared" si="36"/>
        <v/>
      </c>
      <c r="E217" s="62" t="str">
        <f t="shared" si="37"/>
        <v/>
      </c>
      <c r="F217" s="137" t="str">
        <f t="shared" si="38"/>
        <v/>
      </c>
      <c r="K217" s="128" t="str">
        <f t="shared" si="39"/>
        <v/>
      </c>
      <c r="L217" s="129" t="str">
        <f t="shared" si="40"/>
        <v/>
      </c>
    </row>
    <row r="218" spans="2:12" x14ac:dyDescent="0.2">
      <c r="B218" s="128" t="str">
        <f t="shared" si="41"/>
        <v/>
      </c>
      <c r="C218" s="133" t="str">
        <f t="shared" si="35"/>
        <v/>
      </c>
      <c r="D218" s="132" t="str">
        <f t="shared" si="36"/>
        <v/>
      </c>
      <c r="E218" s="62" t="str">
        <f t="shared" si="37"/>
        <v/>
      </c>
      <c r="F218" s="137" t="str">
        <f t="shared" si="38"/>
        <v/>
      </c>
      <c r="K218" s="128" t="str">
        <f t="shared" si="39"/>
        <v/>
      </c>
      <c r="L218" s="129" t="str">
        <f t="shared" si="40"/>
        <v/>
      </c>
    </row>
    <row r="219" spans="2:12" x14ac:dyDescent="0.2">
      <c r="B219" s="128" t="str">
        <f t="shared" si="41"/>
        <v/>
      </c>
      <c r="C219" s="133" t="str">
        <f t="shared" si="35"/>
        <v/>
      </c>
      <c r="D219" s="132" t="str">
        <f t="shared" si="36"/>
        <v/>
      </c>
      <c r="E219" s="62" t="str">
        <f t="shared" si="37"/>
        <v/>
      </c>
      <c r="F219" s="137" t="str">
        <f t="shared" si="38"/>
        <v/>
      </c>
      <c r="K219" s="128" t="str">
        <f t="shared" si="39"/>
        <v/>
      </c>
      <c r="L219" s="129" t="str">
        <f t="shared" si="40"/>
        <v/>
      </c>
    </row>
    <row r="220" spans="2:12" x14ac:dyDescent="0.2">
      <c r="B220" s="128" t="str">
        <f t="shared" si="41"/>
        <v/>
      </c>
      <c r="C220" s="133" t="str">
        <f t="shared" ref="C220:C227" si="42">IF(B220="","",B220*2.54)</f>
        <v/>
      </c>
      <c r="D220" s="132" t="str">
        <f t="shared" ref="D220:D227" si="43">IF(C220="","",IF(K220=1,$C$8*PI()*$E$7^2/4+2*$H$17,$C$8*$E$7^2/4*(L220-SIN(L220)*COS(L220))+4*$H$17*K220^2*(1.5-K220)))</f>
        <v/>
      </c>
      <c r="E220" s="62" t="str">
        <f t="shared" ref="E220:E227" si="44">IF(D220="","",D220*7.5)</f>
        <v/>
      </c>
      <c r="F220" s="137" t="str">
        <f t="shared" ref="F220:F227" si="45">IF(D220="","",D220*7.5*3.78)</f>
        <v/>
      </c>
      <c r="K220" s="128" t="str">
        <f t="shared" ref="K220:K227" si="46">IF(B220="","",B220/$C$7)</f>
        <v/>
      </c>
      <c r="L220" s="129" t="str">
        <f t="shared" ref="L220:L227" si="47">IF(K220="","",IF(K220=1,1,ACOS(1-2*K220)))</f>
        <v/>
      </c>
    </row>
    <row r="221" spans="2:12" x14ac:dyDescent="0.2">
      <c r="B221" s="128" t="str">
        <f t="shared" ref="B221:B227" si="48">IF(B220="","",IF(B220+$B$28&gt;$C$7+0.001,"",B220+$B$28))</f>
        <v/>
      </c>
      <c r="C221" s="133" t="str">
        <f t="shared" si="42"/>
        <v/>
      </c>
      <c r="D221" s="132" t="str">
        <f t="shared" si="43"/>
        <v/>
      </c>
      <c r="E221" s="62" t="str">
        <f t="shared" si="44"/>
        <v/>
      </c>
      <c r="F221" s="137" t="str">
        <f t="shared" si="45"/>
        <v/>
      </c>
      <c r="K221" s="128" t="str">
        <f t="shared" si="46"/>
        <v/>
      </c>
      <c r="L221" s="129" t="str">
        <f t="shared" si="47"/>
        <v/>
      </c>
    </row>
    <row r="222" spans="2:12" x14ac:dyDescent="0.2">
      <c r="B222" s="128" t="str">
        <f t="shared" si="48"/>
        <v/>
      </c>
      <c r="C222" s="133" t="str">
        <f t="shared" si="42"/>
        <v/>
      </c>
      <c r="D222" s="132" t="str">
        <f t="shared" si="43"/>
        <v/>
      </c>
      <c r="E222" s="62" t="str">
        <f t="shared" si="44"/>
        <v/>
      </c>
      <c r="F222" s="137" t="str">
        <f t="shared" si="45"/>
        <v/>
      </c>
      <c r="K222" s="128" t="str">
        <f t="shared" si="46"/>
        <v/>
      </c>
      <c r="L222" s="129" t="str">
        <f t="shared" si="47"/>
        <v/>
      </c>
    </row>
    <row r="223" spans="2:12" x14ac:dyDescent="0.2">
      <c r="B223" s="128" t="str">
        <f t="shared" si="48"/>
        <v/>
      </c>
      <c r="C223" s="133" t="str">
        <f t="shared" si="42"/>
        <v/>
      </c>
      <c r="D223" s="132" t="str">
        <f t="shared" si="43"/>
        <v/>
      </c>
      <c r="E223" s="62" t="str">
        <f t="shared" si="44"/>
        <v/>
      </c>
      <c r="F223" s="137" t="str">
        <f t="shared" si="45"/>
        <v/>
      </c>
      <c r="K223" s="128" t="str">
        <f t="shared" si="46"/>
        <v/>
      </c>
      <c r="L223" s="129" t="str">
        <f t="shared" si="47"/>
        <v/>
      </c>
    </row>
    <row r="224" spans="2:12" x14ac:dyDescent="0.2">
      <c r="B224" s="128" t="str">
        <f t="shared" si="48"/>
        <v/>
      </c>
      <c r="C224" s="133" t="str">
        <f t="shared" si="42"/>
        <v/>
      </c>
      <c r="D224" s="132" t="str">
        <f t="shared" si="43"/>
        <v/>
      </c>
      <c r="E224" s="62" t="str">
        <f t="shared" si="44"/>
        <v/>
      </c>
      <c r="F224" s="137" t="str">
        <f t="shared" si="45"/>
        <v/>
      </c>
      <c r="K224" s="128" t="str">
        <f t="shared" si="46"/>
        <v/>
      </c>
      <c r="L224" s="129" t="str">
        <f t="shared" si="47"/>
        <v/>
      </c>
    </row>
    <row r="225" spans="2:12" x14ac:dyDescent="0.2">
      <c r="B225" s="128" t="str">
        <f t="shared" si="48"/>
        <v/>
      </c>
      <c r="C225" s="133" t="str">
        <f t="shared" si="42"/>
        <v/>
      </c>
      <c r="D225" s="132" t="str">
        <f t="shared" si="43"/>
        <v/>
      </c>
      <c r="E225" s="62" t="str">
        <f t="shared" si="44"/>
        <v/>
      </c>
      <c r="F225" s="137" t="str">
        <f t="shared" si="45"/>
        <v/>
      </c>
      <c r="K225" s="128" t="str">
        <f t="shared" si="46"/>
        <v/>
      </c>
      <c r="L225" s="129" t="str">
        <f t="shared" si="47"/>
        <v/>
      </c>
    </row>
    <row r="226" spans="2:12" x14ac:dyDescent="0.2">
      <c r="B226" s="128" t="str">
        <f t="shared" si="48"/>
        <v/>
      </c>
      <c r="C226" s="133" t="str">
        <f t="shared" si="42"/>
        <v/>
      </c>
      <c r="D226" s="132" t="str">
        <f t="shared" si="43"/>
        <v/>
      </c>
      <c r="E226" s="62" t="str">
        <f t="shared" si="44"/>
        <v/>
      </c>
      <c r="F226" s="137" t="str">
        <f t="shared" si="45"/>
        <v/>
      </c>
      <c r="K226" s="128" t="str">
        <f t="shared" si="46"/>
        <v/>
      </c>
      <c r="L226" s="129" t="str">
        <f t="shared" si="47"/>
        <v/>
      </c>
    </row>
    <row r="227" spans="2:12" ht="13.5" thickBot="1" x14ac:dyDescent="0.25">
      <c r="B227" s="130" t="str">
        <f t="shared" si="48"/>
        <v/>
      </c>
      <c r="C227" s="138" t="str">
        <f t="shared" si="42"/>
        <v/>
      </c>
      <c r="D227" s="139" t="str">
        <f t="shared" si="43"/>
        <v/>
      </c>
      <c r="E227" s="140" t="str">
        <f t="shared" si="44"/>
        <v/>
      </c>
      <c r="F227" s="141" t="str">
        <f t="shared" si="45"/>
        <v/>
      </c>
      <c r="K227" s="130" t="str">
        <f t="shared" si="46"/>
        <v/>
      </c>
      <c r="L227" s="131" t="str">
        <f t="shared" si="47"/>
        <v/>
      </c>
    </row>
    <row r="228" spans="2:12" x14ac:dyDescent="0.2">
      <c r="D228" s="10"/>
      <c r="E228" s="12"/>
      <c r="F228" s="97"/>
    </row>
    <row r="229" spans="2:12" x14ac:dyDescent="0.2">
      <c r="D229" s="10"/>
      <c r="E229" s="12"/>
      <c r="F229" s="97"/>
    </row>
    <row r="230" spans="2:12" x14ac:dyDescent="0.2">
      <c r="D230" s="10"/>
      <c r="E230" s="12"/>
      <c r="F230" s="97"/>
    </row>
    <row r="231" spans="2:12" x14ac:dyDescent="0.2">
      <c r="D231" s="10"/>
      <c r="E231" s="12"/>
      <c r="F231" s="97"/>
    </row>
    <row r="232" spans="2:12" x14ac:dyDescent="0.2">
      <c r="D232" s="10"/>
      <c r="E232" s="12"/>
      <c r="F232" s="97"/>
    </row>
    <row r="233" spans="2:12" x14ac:dyDescent="0.2">
      <c r="D233" s="10"/>
      <c r="E233" s="12"/>
      <c r="F233" s="97"/>
    </row>
    <row r="234" spans="2:12" x14ac:dyDescent="0.2">
      <c r="D234" s="10"/>
      <c r="E234" s="12"/>
      <c r="F234" s="97"/>
    </row>
    <row r="235" spans="2:12" x14ac:dyDescent="0.2">
      <c r="D235" s="10"/>
      <c r="E235" s="12"/>
      <c r="F235" s="97"/>
    </row>
    <row r="236" spans="2:12" x14ac:dyDescent="0.2">
      <c r="D236" s="10"/>
      <c r="E236" s="12"/>
      <c r="F236" s="97"/>
    </row>
    <row r="237" spans="2:12" x14ac:dyDescent="0.2">
      <c r="D237" s="10"/>
      <c r="E237" s="12"/>
      <c r="F237" s="97"/>
    </row>
    <row r="238" spans="2:12" x14ac:dyDescent="0.2">
      <c r="D238" s="10"/>
      <c r="E238" s="12"/>
      <c r="F238" s="97"/>
    </row>
    <row r="239" spans="2:12" x14ac:dyDescent="0.2">
      <c r="D239" s="10"/>
      <c r="E239" s="12"/>
      <c r="F239" s="97"/>
    </row>
    <row r="240" spans="2:12" x14ac:dyDescent="0.2">
      <c r="D240" s="10"/>
      <c r="E240" s="12"/>
      <c r="F240" s="97"/>
    </row>
    <row r="241" spans="4:6" x14ac:dyDescent="0.2">
      <c r="D241" s="10"/>
      <c r="E241" s="12"/>
      <c r="F241" s="97"/>
    </row>
    <row r="242" spans="4:6" x14ac:dyDescent="0.2">
      <c r="D242" s="10"/>
      <c r="E242" s="12"/>
      <c r="F242" s="97"/>
    </row>
    <row r="243" spans="4:6" x14ac:dyDescent="0.2">
      <c r="D243" s="10"/>
      <c r="E243" s="12"/>
      <c r="F243" s="97"/>
    </row>
  </sheetData>
  <sheetProtection password="8881" sheet="1" objects="1" scenarios="1"/>
  <mergeCells count="14">
    <mergeCell ref="E14:H14"/>
    <mergeCell ref="K26:K27"/>
    <mergeCell ref="L26:L27"/>
    <mergeCell ref="F23:H23"/>
    <mergeCell ref="A1:I1"/>
    <mergeCell ref="F17:G17"/>
    <mergeCell ref="D26:F26"/>
    <mergeCell ref="B26:C26"/>
    <mergeCell ref="C17:D17"/>
    <mergeCell ref="E11:H11"/>
    <mergeCell ref="E12:H12"/>
    <mergeCell ref="D18:I18"/>
    <mergeCell ref="D19:I19"/>
    <mergeCell ref="E13:H13"/>
  </mergeCells>
  <phoneticPr fontId="7" type="noConversion"/>
  <printOptions gridLines="1" gridLinesSet="0"/>
  <pageMargins left="0.43" right="0.25" top="0.47" bottom="0.93" header="0.14000000000000001" footer="0.55000000000000004"/>
  <pageSetup orientation="portrait" horizontalDpi="300" verticalDpi="300" r:id="rId1"/>
  <headerFooter alignWithMargins="0">
    <oddHeader>&amp;LArt Montemayor&amp;CHorizontal Storage Tank
Volume Calibration&amp;RNovember 11, 1999
Rev: 1(03/12/00)</oddHeader>
    <oddFooter>&amp;CPage &amp;P of &amp;N&amp;RElectronic FileName: &amp;F
WorkSheet: &amp;A</oddFooter>
  </headerFooter>
  <rowBreaks count="1" manualBreakCount="1">
    <brk id="24" max="8"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7:I52"/>
  <sheetViews>
    <sheetView workbookViewId="0">
      <selection activeCell="H27" sqref="H27"/>
    </sheetView>
  </sheetViews>
  <sheetFormatPr defaultRowHeight="12.75" x14ac:dyDescent="0.2"/>
  <sheetData>
    <row r="17" spans="1:9" x14ac:dyDescent="0.2">
      <c r="A17" s="430" t="s">
        <v>524</v>
      </c>
      <c r="B17" s="430"/>
      <c r="C17" s="430"/>
      <c r="D17" s="430"/>
      <c r="E17" s="430"/>
      <c r="F17" s="430"/>
      <c r="G17" s="430"/>
      <c r="H17" s="430"/>
    </row>
    <row r="19" spans="1:9" x14ac:dyDescent="0.2">
      <c r="A19" s="428" t="s">
        <v>525</v>
      </c>
      <c r="B19" s="428"/>
      <c r="C19" s="403" t="s">
        <v>526</v>
      </c>
      <c r="D19" s="403"/>
      <c r="E19" s="403"/>
      <c r="F19" s="403"/>
      <c r="G19" s="403"/>
      <c r="H19" s="403"/>
      <c r="I19" s="403"/>
    </row>
    <row r="21" spans="1:9" ht="15" x14ac:dyDescent="0.25">
      <c r="B21" s="185" t="s">
        <v>357</v>
      </c>
      <c r="C21" s="429" t="s">
        <v>534</v>
      </c>
      <c r="D21" s="429"/>
      <c r="E21" s="429"/>
      <c r="F21" s="429"/>
    </row>
    <row r="23" spans="1:9" ht="15.75" x14ac:dyDescent="0.3">
      <c r="B23" s="98" t="s">
        <v>530</v>
      </c>
      <c r="C23" t="s">
        <v>531</v>
      </c>
    </row>
    <row r="24" spans="1:9" ht="15.75" x14ac:dyDescent="0.3">
      <c r="B24" s="98" t="s">
        <v>528</v>
      </c>
      <c r="C24" t="s">
        <v>532</v>
      </c>
    </row>
    <row r="25" spans="1:9" ht="15.75" x14ac:dyDescent="0.3">
      <c r="B25" s="98" t="s">
        <v>529</v>
      </c>
      <c r="C25" t="s">
        <v>532</v>
      </c>
    </row>
    <row r="27" spans="1:9" ht="15" x14ac:dyDescent="0.25">
      <c r="A27" s="428" t="s">
        <v>533</v>
      </c>
      <c r="B27" s="428"/>
      <c r="C27" s="429" t="s">
        <v>535</v>
      </c>
      <c r="D27" s="429"/>
      <c r="E27" s="429"/>
      <c r="F27" s="429"/>
      <c r="G27" s="429"/>
    </row>
    <row r="29" spans="1:9" x14ac:dyDescent="0.2">
      <c r="B29" s="403" t="s">
        <v>536</v>
      </c>
      <c r="C29" s="403"/>
      <c r="D29" s="403"/>
      <c r="E29" s="403"/>
      <c r="F29" s="403"/>
      <c r="G29" s="403"/>
    </row>
    <row r="31" spans="1:9" x14ac:dyDescent="0.2">
      <c r="B31" t="s">
        <v>537</v>
      </c>
    </row>
    <row r="35" spans="2:2" x14ac:dyDescent="0.2">
      <c r="B35" t="s">
        <v>538</v>
      </c>
    </row>
    <row r="37" spans="2:2" x14ac:dyDescent="0.2">
      <c r="B37" t="s">
        <v>537</v>
      </c>
    </row>
    <row r="41" spans="2:2" x14ac:dyDescent="0.2">
      <c r="B41" t="s">
        <v>539</v>
      </c>
    </row>
    <row r="50" spans="2:5" x14ac:dyDescent="0.2">
      <c r="B50" t="s">
        <v>540</v>
      </c>
    </row>
    <row r="51" spans="2:5" x14ac:dyDescent="0.2">
      <c r="D51" s="98" t="s">
        <v>541</v>
      </c>
      <c r="E51" s="186" t="s">
        <v>542</v>
      </c>
    </row>
    <row r="52" spans="2:5" ht="15.75" x14ac:dyDescent="0.3">
      <c r="D52" s="98" t="s">
        <v>543</v>
      </c>
      <c r="E52" s="187" t="s">
        <v>498</v>
      </c>
    </row>
  </sheetData>
  <sheetProtection password="8881" sheet="1" objects="1" scenarios="1"/>
  <mergeCells count="7">
    <mergeCell ref="A27:B27"/>
    <mergeCell ref="C27:G27"/>
    <mergeCell ref="B29:G29"/>
    <mergeCell ref="A17:H17"/>
    <mergeCell ref="A19:B19"/>
    <mergeCell ref="C21:F21"/>
    <mergeCell ref="C19:I19"/>
  </mergeCells>
  <phoneticPr fontId="7" type="noConversion"/>
  <pageMargins left="0.47" right="0.25" top="0.61" bottom="0.64" header="0.25" footer="0.2"/>
  <pageSetup orientation="portrait" r:id="rId1"/>
  <headerFooter alignWithMargins="0">
    <oddHeader>&amp;LArt Montemayor&amp;CHorizontal Cylindrical Tank
Partial Volume Determination&amp;RMay 5, 2001
Rev: 0</oddHeader>
    <oddFooter>&amp;CPage &amp;P of &amp;N&amp;RElectronic FileName: &amp;F
WorkSheet: &amp;A</oddFooter>
  </headerFooter>
  <drawing r:id="rId2"/>
  <legacyDrawing r:id="rId3"/>
  <oleObjects>
    <mc:AlternateContent xmlns:mc="http://schemas.openxmlformats.org/markup-compatibility/2006">
      <mc:Choice Requires="x14">
        <oleObject progId="Equation.3" shapeId="19497" r:id="rId4">
          <objectPr defaultSize="0" r:id="rId5">
            <anchor moveWithCells="1">
              <from>
                <xdr:col>2</xdr:col>
                <xdr:colOff>161925</xdr:colOff>
                <xdr:row>29</xdr:row>
                <xdr:rowOff>38100</xdr:rowOff>
              </from>
              <to>
                <xdr:col>6</xdr:col>
                <xdr:colOff>9525</xdr:colOff>
                <xdr:row>33</xdr:row>
                <xdr:rowOff>57150</xdr:rowOff>
              </to>
            </anchor>
          </objectPr>
        </oleObject>
      </mc:Choice>
      <mc:Fallback>
        <oleObject progId="Equation.3" shapeId="19497" r:id="rId4"/>
      </mc:Fallback>
    </mc:AlternateContent>
    <mc:AlternateContent xmlns:mc="http://schemas.openxmlformats.org/markup-compatibility/2006">
      <mc:Choice Requires="x14">
        <oleObject progId="Equation.3" shapeId="19498" r:id="rId6">
          <objectPr defaultSize="0" r:id="rId7">
            <anchor moveWithCells="1">
              <from>
                <xdr:col>2</xdr:col>
                <xdr:colOff>142875</xdr:colOff>
                <xdr:row>35</xdr:row>
                <xdr:rowOff>85725</xdr:rowOff>
              </from>
              <to>
                <xdr:col>6</xdr:col>
                <xdr:colOff>152400</xdr:colOff>
                <xdr:row>39</xdr:row>
                <xdr:rowOff>47625</xdr:rowOff>
              </to>
            </anchor>
          </objectPr>
        </oleObject>
      </mc:Choice>
      <mc:Fallback>
        <oleObject progId="Equation.3" shapeId="19498" r:id="rId6"/>
      </mc:Fallback>
    </mc:AlternateContent>
    <mc:AlternateContent xmlns:mc="http://schemas.openxmlformats.org/markup-compatibility/2006">
      <mc:Choice Requires="x14">
        <oleObject progId="Equation.3" shapeId="19499" r:id="rId8">
          <objectPr defaultSize="0" autoPict="0" r:id="rId9">
            <anchor moveWithCells="1">
              <from>
                <xdr:col>2</xdr:col>
                <xdr:colOff>228600</xdr:colOff>
                <xdr:row>39</xdr:row>
                <xdr:rowOff>152400</xdr:rowOff>
              </from>
              <to>
                <xdr:col>9</xdr:col>
                <xdr:colOff>104775</xdr:colOff>
                <xdr:row>47</xdr:row>
                <xdr:rowOff>95250</xdr:rowOff>
              </to>
            </anchor>
          </objectPr>
        </oleObject>
      </mc:Choice>
      <mc:Fallback>
        <oleObject progId="Equation.3" shapeId="19499" r:id="rId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0:I32"/>
  <sheetViews>
    <sheetView tabSelected="1" workbookViewId="0">
      <selection activeCell="I21" sqref="I20:I21"/>
    </sheetView>
  </sheetViews>
  <sheetFormatPr defaultRowHeight="12.75" x14ac:dyDescent="0.2"/>
  <sheetData>
    <row r="20" spans="1:9" x14ac:dyDescent="0.2">
      <c r="A20" s="430" t="s">
        <v>527</v>
      </c>
      <c r="B20" s="430"/>
      <c r="C20" s="430"/>
      <c r="D20" s="430"/>
      <c r="E20" s="430"/>
      <c r="F20" s="430"/>
      <c r="G20" s="430"/>
      <c r="H20" s="430"/>
    </row>
    <row r="22" spans="1:9" x14ac:dyDescent="0.2">
      <c r="A22" s="428" t="s">
        <v>525</v>
      </c>
      <c r="B22" s="428"/>
      <c r="C22" s="403" t="s">
        <v>526</v>
      </c>
      <c r="D22" s="403"/>
      <c r="E22" s="403"/>
      <c r="F22" s="403"/>
      <c r="G22" s="403"/>
      <c r="H22" s="403"/>
      <c r="I22" s="403"/>
    </row>
    <row r="24" spans="1:9" ht="15" x14ac:dyDescent="0.25">
      <c r="B24" s="185" t="s">
        <v>357</v>
      </c>
      <c r="C24" s="429" t="s">
        <v>534</v>
      </c>
      <c r="D24" s="429"/>
      <c r="E24" s="429"/>
      <c r="F24" s="429"/>
    </row>
    <row r="26" spans="1:9" ht="15" x14ac:dyDescent="0.25">
      <c r="A26" s="428" t="s">
        <v>533</v>
      </c>
      <c r="B26" s="428"/>
      <c r="C26" s="429" t="s">
        <v>544</v>
      </c>
      <c r="D26" s="429"/>
      <c r="E26" s="429"/>
      <c r="F26" s="429"/>
      <c r="G26" s="429"/>
    </row>
    <row r="28" spans="1:9" ht="15.75" x14ac:dyDescent="0.3">
      <c r="B28" s="98" t="s">
        <v>530</v>
      </c>
      <c r="C28" t="s">
        <v>531</v>
      </c>
    </row>
    <row r="29" spans="1:9" ht="15.75" x14ac:dyDescent="0.3">
      <c r="B29" s="98" t="s">
        <v>528</v>
      </c>
      <c r="C29" s="403" t="s">
        <v>545</v>
      </c>
      <c r="D29" s="403"/>
    </row>
    <row r="30" spans="1:9" x14ac:dyDescent="0.2">
      <c r="B30" s="98" t="s">
        <v>546</v>
      </c>
      <c r="C30" s="403" t="s">
        <v>547</v>
      </c>
      <c r="D30" s="403"/>
      <c r="E30" s="403"/>
      <c r="F30" s="403"/>
      <c r="G30" s="403"/>
    </row>
    <row r="32" spans="1:9" x14ac:dyDescent="0.2">
      <c r="B32" t="s">
        <v>537</v>
      </c>
    </row>
  </sheetData>
  <sheetProtection password="8881" sheet="1" objects="1" scenarios="1"/>
  <mergeCells count="8">
    <mergeCell ref="C29:D29"/>
    <mergeCell ref="C30:G30"/>
    <mergeCell ref="A20:H20"/>
    <mergeCell ref="A22:B22"/>
    <mergeCell ref="C22:I22"/>
    <mergeCell ref="C24:F24"/>
    <mergeCell ref="A26:B26"/>
    <mergeCell ref="C26:G26"/>
  </mergeCells>
  <phoneticPr fontId="7" type="noConversion"/>
  <pageMargins left="0.54" right="0.25" top="0.85" bottom="0.84" header="0.25" footer="0.2"/>
  <pageSetup orientation="portrait" r:id="rId1"/>
  <headerFooter alignWithMargins="0">
    <oddHeader>&amp;LArt Montemayor&amp;CVertical Cylindrical Tank
Partial Volume Determination&amp;RMay 05, 2001
Rev: 0</oddHeader>
    <oddFooter>&amp;CPage &amp;P of &amp;N&amp;RElectronic FileName: &amp;F
WorkSheet: &amp;A</oddFooter>
  </headerFooter>
  <drawing r:id="rId2"/>
  <legacyDrawing r:id="rId3"/>
  <oleObjects>
    <mc:AlternateContent xmlns:mc="http://schemas.openxmlformats.org/markup-compatibility/2006">
      <mc:Choice Requires="x14">
        <oleObject progId="Equation.3" shapeId="20533" r:id="rId4">
          <objectPr defaultSize="0" r:id="rId5">
            <anchor moveWithCells="1">
              <from>
                <xdr:col>1</xdr:col>
                <xdr:colOff>533400</xdr:colOff>
                <xdr:row>31</xdr:row>
                <xdr:rowOff>85725</xdr:rowOff>
              </from>
              <to>
                <xdr:col>6</xdr:col>
                <xdr:colOff>542925</xdr:colOff>
                <xdr:row>35</xdr:row>
                <xdr:rowOff>47625</xdr:rowOff>
              </to>
            </anchor>
          </objectPr>
        </oleObject>
      </mc:Choice>
      <mc:Fallback>
        <oleObject progId="Equation.3" shapeId="20533"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C2" sqref="C2"/>
    </sheetView>
  </sheetViews>
  <sheetFormatPr defaultRowHeight="12.75" x14ac:dyDescent="0.2"/>
  <cols>
    <col min="16" max="16" width="60" customWidth="1"/>
  </cols>
  <sheetData>
    <row r="1" spans="1:2" ht="14.25" x14ac:dyDescent="0.25">
      <c r="A1" s="5" t="s">
        <v>297</v>
      </c>
      <c r="B1" s="5" t="s">
        <v>298</v>
      </c>
    </row>
    <row r="2" spans="1:2" x14ac:dyDescent="0.2">
      <c r="A2" s="1">
        <v>0</v>
      </c>
      <c r="B2" s="1">
        <v>0</v>
      </c>
    </row>
    <row r="3" spans="1:2" x14ac:dyDescent="0.2">
      <c r="A3" s="1">
        <v>0.05</v>
      </c>
      <c r="B3" s="1">
        <v>1.8692E-2</v>
      </c>
    </row>
    <row r="4" spans="1:2" x14ac:dyDescent="0.2">
      <c r="A4" s="1">
        <v>0.1</v>
      </c>
      <c r="B4" s="1">
        <v>5.2044E-2</v>
      </c>
    </row>
    <row r="5" spans="1:2" x14ac:dyDescent="0.2">
      <c r="A5" s="1">
        <v>0.15</v>
      </c>
      <c r="B5" s="1">
        <v>9.4061000000000006E-2</v>
      </c>
    </row>
    <row r="6" spans="1:2" x14ac:dyDescent="0.2">
      <c r="A6" s="1">
        <v>0.2</v>
      </c>
      <c r="B6" s="1">
        <v>0.142378</v>
      </c>
    </row>
    <row r="7" spans="1:2" x14ac:dyDescent="0.2">
      <c r="A7" s="1">
        <v>0.25</v>
      </c>
      <c r="B7" s="1">
        <v>0.19550100000000001</v>
      </c>
    </row>
    <row r="8" spans="1:2" x14ac:dyDescent="0.2">
      <c r="A8" s="1">
        <v>0.3</v>
      </c>
      <c r="B8" s="1">
        <v>0.25231500000000001</v>
      </c>
    </row>
    <row r="9" spans="1:2" x14ac:dyDescent="0.2">
      <c r="A9" s="1">
        <v>0.35</v>
      </c>
      <c r="B9" s="1">
        <v>0.31191799999999997</v>
      </c>
    </row>
    <row r="10" spans="1:2" x14ac:dyDescent="0.2">
      <c r="A10" s="1">
        <v>0.4</v>
      </c>
      <c r="B10" s="1">
        <v>0.37352999999999997</v>
      </c>
    </row>
    <row r="11" spans="1:2" x14ac:dyDescent="0.2">
      <c r="A11" s="1">
        <v>0.45</v>
      </c>
      <c r="B11" s="1">
        <v>0.43644500000000003</v>
      </c>
    </row>
    <row r="12" spans="1:2" x14ac:dyDescent="0.2">
      <c r="A12" s="1">
        <v>0.5</v>
      </c>
      <c r="B12" s="1">
        <v>0.5</v>
      </c>
    </row>
    <row r="13" spans="1:2" x14ac:dyDescent="0.2">
      <c r="A13" s="1">
        <v>0.55000000000000004</v>
      </c>
      <c r="B13" s="1">
        <v>0.56355500000000003</v>
      </c>
    </row>
    <row r="14" spans="1:2" x14ac:dyDescent="0.2">
      <c r="A14" s="1">
        <v>0.6</v>
      </c>
      <c r="B14" s="1">
        <v>0.62646999999999997</v>
      </c>
    </row>
    <row r="15" spans="1:2" x14ac:dyDescent="0.2">
      <c r="A15" s="1">
        <v>0.65</v>
      </c>
      <c r="B15" s="1">
        <v>0.68808199999999997</v>
      </c>
    </row>
    <row r="16" spans="1:2" x14ac:dyDescent="0.2">
      <c r="A16" s="1">
        <v>0.7</v>
      </c>
      <c r="B16" s="1">
        <v>0.74768500000000004</v>
      </c>
    </row>
    <row r="17" spans="1:2" x14ac:dyDescent="0.2">
      <c r="A17" s="1">
        <v>0.75</v>
      </c>
      <c r="B17" s="1">
        <v>0.80449899999999996</v>
      </c>
    </row>
    <row r="18" spans="1:2" x14ac:dyDescent="0.2">
      <c r="A18" s="1">
        <v>0.8</v>
      </c>
      <c r="B18" s="1">
        <v>0.857622</v>
      </c>
    </row>
    <row r="19" spans="1:2" x14ac:dyDescent="0.2">
      <c r="A19" s="1">
        <v>0.85</v>
      </c>
      <c r="B19" s="1">
        <v>0.90593900000000005</v>
      </c>
    </row>
    <row r="20" spans="1:2" x14ac:dyDescent="0.2">
      <c r="A20" s="1">
        <v>0.9</v>
      </c>
      <c r="B20" s="1">
        <v>0.94795600000000002</v>
      </c>
    </row>
    <row r="21" spans="1:2" x14ac:dyDescent="0.2">
      <c r="A21" s="1">
        <v>0.95</v>
      </c>
      <c r="B21" s="1">
        <v>0.98130799999999996</v>
      </c>
    </row>
    <row r="22" spans="1:2" x14ac:dyDescent="0.2">
      <c r="A22" s="1">
        <v>1</v>
      </c>
      <c r="B22" s="1">
        <v>1</v>
      </c>
    </row>
  </sheetData>
  <sheetProtection password="8881" sheet="1" objects="1" scenarios="1"/>
  <phoneticPr fontId="7" type="noConversion"/>
  <pageMargins left="0.75" right="0.25" top="1" bottom="1" header="0.5" footer="0.5"/>
  <pageSetup paperSize="3" orientation="landscape" r:id="rId1"/>
  <headerFooter alignWithMargins="0">
    <oddHeader>&amp;LArt Montemayor&amp;CRegression of Doolittle Partial Volume Coefficient&amp;RMay 15, 1998
Rev: 0</oddHeader>
    <oddFooter>&amp;CPage &amp;P of &amp;N&amp;RElectronic FileName: &amp;F
WorkSheet: &amp;A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4" workbookViewId="0">
      <selection activeCell="N4" sqref="N4"/>
    </sheetView>
  </sheetViews>
  <sheetFormatPr defaultRowHeight="12.75" x14ac:dyDescent="0.2"/>
  <cols>
    <col min="2" max="2" width="11.28515625" customWidth="1"/>
    <col min="10" max="10" width="15.28515625" customWidth="1"/>
  </cols>
  <sheetData>
    <row r="1" spans="1:2" x14ac:dyDescent="0.2">
      <c r="A1" s="3" t="s">
        <v>307</v>
      </c>
      <c r="B1" t="s">
        <v>308</v>
      </c>
    </row>
    <row r="2" spans="1:2" x14ac:dyDescent="0.2">
      <c r="A2" s="53">
        <v>0.02</v>
      </c>
      <c r="B2" s="54">
        <v>1.1999999999999999E-3</v>
      </c>
    </row>
    <row r="3" spans="1:2" x14ac:dyDescent="0.2">
      <c r="A3" s="53">
        <v>0.04</v>
      </c>
      <c r="B3" s="54">
        <v>4.7000000000000002E-3</v>
      </c>
    </row>
    <row r="4" spans="1:2" x14ac:dyDescent="0.2">
      <c r="A4" s="53">
        <v>0.06</v>
      </c>
      <c r="B4" s="54">
        <v>1.04E-2</v>
      </c>
    </row>
    <row r="5" spans="1:2" x14ac:dyDescent="0.2">
      <c r="A5" s="53">
        <v>0.08</v>
      </c>
      <c r="B5" s="54">
        <v>1.8200000000000001E-2</v>
      </c>
    </row>
    <row r="6" spans="1:2" x14ac:dyDescent="0.2">
      <c r="A6" s="53">
        <v>0.1</v>
      </c>
      <c r="B6" s="54">
        <v>2.8000000000000001E-2</v>
      </c>
    </row>
    <row r="7" spans="1:2" x14ac:dyDescent="0.2">
      <c r="A7" s="53">
        <v>0.12</v>
      </c>
      <c r="B7" s="54">
        <v>3.9699999999999999E-2</v>
      </c>
    </row>
    <row r="8" spans="1:2" x14ac:dyDescent="0.2">
      <c r="A8" s="53">
        <v>0.14000000000000001</v>
      </c>
      <c r="B8" s="54">
        <v>5.33E-2</v>
      </c>
    </row>
    <row r="9" spans="1:2" x14ac:dyDescent="0.2">
      <c r="A9" s="53">
        <v>0.16</v>
      </c>
      <c r="B9" s="54">
        <v>6.8599999999999994E-2</v>
      </c>
    </row>
    <row r="10" spans="1:2" x14ac:dyDescent="0.2">
      <c r="A10" s="53">
        <v>0.18</v>
      </c>
      <c r="B10" s="54">
        <v>8.5500000000000007E-2</v>
      </c>
    </row>
    <row r="11" spans="1:2" x14ac:dyDescent="0.2">
      <c r="A11" s="53">
        <v>0.2</v>
      </c>
      <c r="B11" s="54">
        <v>0.104</v>
      </c>
    </row>
    <row r="12" spans="1:2" x14ac:dyDescent="0.2">
      <c r="A12" s="53">
        <v>0.22</v>
      </c>
      <c r="B12" s="54">
        <v>0.1239</v>
      </c>
    </row>
    <row r="13" spans="1:2" x14ac:dyDescent="0.2">
      <c r="A13" s="53">
        <v>0.24</v>
      </c>
      <c r="B13" s="54">
        <v>0.14510000000000001</v>
      </c>
    </row>
    <row r="14" spans="1:2" x14ac:dyDescent="0.2">
      <c r="A14" s="53">
        <v>0.26</v>
      </c>
      <c r="B14" s="54">
        <v>0.1676</v>
      </c>
    </row>
    <row r="15" spans="1:2" x14ac:dyDescent="0.2">
      <c r="A15" s="53">
        <v>0.28000000000000003</v>
      </c>
      <c r="B15" s="54">
        <v>0.1913</v>
      </c>
    </row>
    <row r="16" spans="1:2" x14ac:dyDescent="0.2">
      <c r="A16" s="53">
        <v>0.3</v>
      </c>
      <c r="B16" s="54">
        <v>0.216</v>
      </c>
    </row>
    <row r="17" spans="1:2" x14ac:dyDescent="0.2">
      <c r="A17" s="53">
        <v>0.32</v>
      </c>
      <c r="B17" s="54">
        <v>0.24199999999999999</v>
      </c>
    </row>
    <row r="18" spans="1:2" x14ac:dyDescent="0.2">
      <c r="A18" s="53">
        <v>0.34</v>
      </c>
      <c r="B18" s="54">
        <v>0.26800000000000002</v>
      </c>
    </row>
    <row r="19" spans="1:2" x14ac:dyDescent="0.2">
      <c r="A19" s="53">
        <v>0.36</v>
      </c>
      <c r="B19" s="54">
        <v>0.29499999999999998</v>
      </c>
    </row>
    <row r="20" spans="1:2" x14ac:dyDescent="0.2">
      <c r="A20" s="53">
        <v>0.38</v>
      </c>
      <c r="B20" s="54">
        <v>0.32300000000000001</v>
      </c>
    </row>
    <row r="21" spans="1:2" x14ac:dyDescent="0.2">
      <c r="A21" s="53">
        <v>0.4</v>
      </c>
      <c r="B21" s="54">
        <v>0.35199999999999998</v>
      </c>
    </row>
    <row r="22" spans="1:2" x14ac:dyDescent="0.2">
      <c r="A22" s="53">
        <v>0.42</v>
      </c>
      <c r="B22" s="54">
        <v>0.38100000000000001</v>
      </c>
    </row>
    <row r="23" spans="1:2" x14ac:dyDescent="0.2">
      <c r="A23" s="53">
        <v>0.44</v>
      </c>
      <c r="B23" s="54">
        <v>0.41</v>
      </c>
    </row>
    <row r="24" spans="1:2" x14ac:dyDescent="0.2">
      <c r="A24" s="53">
        <v>0.46</v>
      </c>
      <c r="B24" s="54">
        <v>0.44</v>
      </c>
    </row>
    <row r="25" spans="1:2" x14ac:dyDescent="0.2">
      <c r="A25" s="53">
        <v>0.48</v>
      </c>
      <c r="B25" s="54">
        <v>0.47</v>
      </c>
    </row>
    <row r="26" spans="1:2" x14ac:dyDescent="0.2">
      <c r="A26" s="53">
        <v>0.5</v>
      </c>
      <c r="B26" s="54">
        <v>0.5</v>
      </c>
    </row>
    <row r="27" spans="1:2" x14ac:dyDescent="0.2">
      <c r="A27" s="53">
        <v>0.52</v>
      </c>
      <c r="B27" s="54">
        <v>0.53</v>
      </c>
    </row>
    <row r="28" spans="1:2" x14ac:dyDescent="0.2">
      <c r="A28" s="53">
        <v>0.54</v>
      </c>
      <c r="B28" s="54">
        <v>0.56000000000000005</v>
      </c>
    </row>
    <row r="29" spans="1:2" x14ac:dyDescent="0.2">
      <c r="A29" s="53">
        <v>0.56000000000000005</v>
      </c>
      <c r="B29" s="54">
        <v>0.59</v>
      </c>
    </row>
    <row r="30" spans="1:2" x14ac:dyDescent="0.2">
      <c r="A30" s="53">
        <v>0.57999999999999996</v>
      </c>
      <c r="B30" s="54">
        <v>0.61899999999999999</v>
      </c>
    </row>
    <row r="31" spans="1:2" x14ac:dyDescent="0.2">
      <c r="A31" s="53">
        <v>0.6</v>
      </c>
      <c r="B31" s="54">
        <v>0.64800000000000002</v>
      </c>
    </row>
    <row r="32" spans="1:2" x14ac:dyDescent="0.2">
      <c r="A32" s="53">
        <v>0.62</v>
      </c>
      <c r="B32" s="54">
        <v>0.67700000000000005</v>
      </c>
    </row>
    <row r="33" spans="1:2" x14ac:dyDescent="0.2">
      <c r="A33" s="53">
        <v>0.64</v>
      </c>
      <c r="B33" s="54">
        <v>0.70499999999999996</v>
      </c>
    </row>
    <row r="34" spans="1:2" x14ac:dyDescent="0.2">
      <c r="A34" s="53">
        <v>0.66</v>
      </c>
      <c r="B34" s="54">
        <v>0.73199999999999998</v>
      </c>
    </row>
    <row r="35" spans="1:2" x14ac:dyDescent="0.2">
      <c r="A35" s="53">
        <v>0.68</v>
      </c>
      <c r="B35" s="54">
        <v>0.75800000000000001</v>
      </c>
    </row>
    <row r="36" spans="1:2" x14ac:dyDescent="0.2">
      <c r="A36" s="53">
        <v>0.7</v>
      </c>
      <c r="B36" s="54">
        <v>0.78400000000000003</v>
      </c>
    </row>
    <row r="37" spans="1:2" x14ac:dyDescent="0.2">
      <c r="A37" s="53">
        <v>0.72</v>
      </c>
      <c r="B37" s="54">
        <v>0.80869999999999997</v>
      </c>
    </row>
    <row r="38" spans="1:2" x14ac:dyDescent="0.2">
      <c r="A38" s="53">
        <v>0.74</v>
      </c>
      <c r="B38" s="54">
        <v>0.83240000000000003</v>
      </c>
    </row>
    <row r="39" spans="1:2" x14ac:dyDescent="0.2">
      <c r="A39" s="53">
        <v>0.76</v>
      </c>
      <c r="B39" s="54">
        <v>0.85489999999999999</v>
      </c>
    </row>
    <row r="40" spans="1:2" x14ac:dyDescent="0.2">
      <c r="A40" s="53">
        <v>0.78</v>
      </c>
      <c r="B40" s="54">
        <v>0.87609999999999999</v>
      </c>
    </row>
    <row r="41" spans="1:2" x14ac:dyDescent="0.2">
      <c r="A41" s="53">
        <v>0.8</v>
      </c>
      <c r="B41" s="54">
        <v>0.89600000000000002</v>
      </c>
    </row>
    <row r="42" spans="1:2" x14ac:dyDescent="0.2">
      <c r="A42" s="53">
        <v>0.82</v>
      </c>
      <c r="B42" s="54">
        <v>0.91449999999999998</v>
      </c>
    </row>
    <row r="43" spans="1:2" x14ac:dyDescent="0.2">
      <c r="A43" s="53">
        <v>0.84</v>
      </c>
      <c r="B43" s="54">
        <v>0.93140000000000001</v>
      </c>
    </row>
    <row r="44" spans="1:2" x14ac:dyDescent="0.2">
      <c r="A44" s="53">
        <v>0.86</v>
      </c>
      <c r="B44" s="54">
        <v>0.94669999999999999</v>
      </c>
    </row>
    <row r="45" spans="1:2" x14ac:dyDescent="0.2">
      <c r="A45" s="53">
        <v>0.88</v>
      </c>
      <c r="B45" s="54">
        <v>0.96030000000000004</v>
      </c>
    </row>
    <row r="46" spans="1:2" x14ac:dyDescent="0.2">
      <c r="A46" s="53">
        <v>0.9</v>
      </c>
      <c r="B46" s="54">
        <v>0.97199999999999998</v>
      </c>
    </row>
    <row r="47" spans="1:2" x14ac:dyDescent="0.2">
      <c r="A47" s="53">
        <v>0.92</v>
      </c>
      <c r="B47" s="54">
        <v>0.98180000000000001</v>
      </c>
    </row>
    <row r="48" spans="1:2" x14ac:dyDescent="0.2">
      <c r="A48" s="53">
        <v>0.94</v>
      </c>
      <c r="B48" s="54">
        <v>0.98960000000000004</v>
      </c>
    </row>
    <row r="49" spans="1:2" x14ac:dyDescent="0.2">
      <c r="A49" s="53">
        <v>0.96</v>
      </c>
      <c r="B49" s="54">
        <v>0.99529999999999996</v>
      </c>
    </row>
    <row r="50" spans="1:2" x14ac:dyDescent="0.2">
      <c r="A50" s="53">
        <v>0.98</v>
      </c>
      <c r="B50" s="54">
        <v>0.99880000000000002</v>
      </c>
    </row>
    <row r="51" spans="1:2" x14ac:dyDescent="0.2">
      <c r="A51" s="53">
        <v>1</v>
      </c>
      <c r="B51" s="54">
        <v>1</v>
      </c>
    </row>
    <row r="52" spans="1:2" x14ac:dyDescent="0.2">
      <c r="A52" s="3"/>
      <c r="B52" s="3"/>
    </row>
    <row r="53" spans="1:2" x14ac:dyDescent="0.2">
      <c r="A53" s="3"/>
      <c r="B53" s="3"/>
    </row>
    <row r="54" spans="1:2" x14ac:dyDescent="0.2">
      <c r="A54" s="3"/>
      <c r="B54" s="3"/>
    </row>
    <row r="55" spans="1:2" x14ac:dyDescent="0.2">
      <c r="A55" s="3"/>
      <c r="B55" s="3"/>
    </row>
  </sheetData>
  <sheetProtection password="8881" sheet="1" objects="1" scenarios="1"/>
  <phoneticPr fontId="7" type="noConversion"/>
  <pageMargins left="0.5" right="0.25" top="0.72" bottom="0.25" header="0.33" footer="0.31"/>
  <pageSetup orientation="portrait" r:id="rId1"/>
  <headerFooter alignWithMargins="0">
    <oddHeader>&amp;LArt Montemayor&amp;C&amp;"Arial,Bold"&amp;12Doolittle Equation for Parially-Filled Vessel Heads&amp;RMay 27, 1998
Rev: 0</oddHeader>
    <oddFooter>&amp;CPage &amp;P of &amp;N
&amp;RElectronic FileName: &amp;F
WorkSheet: &amp;A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36" sqref="B36"/>
    </sheetView>
  </sheetViews>
  <sheetFormatPr defaultRowHeight="12.75" x14ac:dyDescent="0.2"/>
  <cols>
    <col min="12" max="12" width="9.28515625" customWidth="1"/>
  </cols>
  <sheetData>
    <row r="1" spans="1:2" ht="14.25" x14ac:dyDescent="0.2">
      <c r="A1" s="4" t="s">
        <v>295</v>
      </c>
      <c r="B1" s="4" t="s">
        <v>296</v>
      </c>
    </row>
    <row r="2" spans="1:2" x14ac:dyDescent="0.2">
      <c r="A2" s="2">
        <v>0</v>
      </c>
      <c r="B2" s="1">
        <v>0</v>
      </c>
    </row>
    <row r="3" spans="1:2" x14ac:dyDescent="0.2">
      <c r="A3" s="2">
        <v>0.05</v>
      </c>
      <c r="B3" s="1">
        <v>7.2500000000000004E-3</v>
      </c>
    </row>
    <row r="4" spans="1:2" x14ac:dyDescent="0.2">
      <c r="A4" s="2">
        <v>0.1</v>
      </c>
      <c r="B4" s="1">
        <v>2.8000000000000001E-2</v>
      </c>
    </row>
    <row r="5" spans="1:2" x14ac:dyDescent="0.2">
      <c r="A5" s="2">
        <v>0.15</v>
      </c>
      <c r="B5" s="1">
        <v>6.0749999999999998E-2</v>
      </c>
    </row>
    <row r="6" spans="1:2" x14ac:dyDescent="0.2">
      <c r="A6" s="2">
        <v>0.2</v>
      </c>
      <c r="B6" s="1">
        <v>0.104</v>
      </c>
    </row>
    <row r="7" spans="1:2" x14ac:dyDescent="0.2">
      <c r="A7" s="2">
        <v>0.25</v>
      </c>
      <c r="B7" s="1">
        <v>0.15625</v>
      </c>
    </row>
    <row r="8" spans="1:2" x14ac:dyDescent="0.2">
      <c r="A8" s="2">
        <v>0.3</v>
      </c>
      <c r="B8" s="1">
        <v>0.216</v>
      </c>
    </row>
    <row r="9" spans="1:2" x14ac:dyDescent="0.2">
      <c r="A9" s="2">
        <v>0.35</v>
      </c>
      <c r="B9" s="1">
        <v>0.28175</v>
      </c>
    </row>
    <row r="10" spans="1:2" x14ac:dyDescent="0.2">
      <c r="A10" s="2">
        <v>0.4</v>
      </c>
      <c r="B10" s="1">
        <v>0.35199999999999998</v>
      </c>
    </row>
    <row r="11" spans="1:2" x14ac:dyDescent="0.2">
      <c r="A11" s="2">
        <v>0.45</v>
      </c>
      <c r="B11" s="1">
        <v>0.42525000000000002</v>
      </c>
    </row>
    <row r="12" spans="1:2" x14ac:dyDescent="0.2">
      <c r="A12" s="2">
        <v>0.5</v>
      </c>
      <c r="B12" s="1">
        <v>0.5</v>
      </c>
    </row>
    <row r="13" spans="1:2" x14ac:dyDescent="0.2">
      <c r="A13" s="2">
        <v>0.55000000000000004</v>
      </c>
      <c r="B13" s="1">
        <v>0.57474999999999998</v>
      </c>
    </row>
    <row r="14" spans="1:2" x14ac:dyDescent="0.2">
      <c r="A14" s="2">
        <v>0.6</v>
      </c>
      <c r="B14" s="1">
        <v>0.64800000000000002</v>
      </c>
    </row>
    <row r="15" spans="1:2" x14ac:dyDescent="0.2">
      <c r="A15" s="2">
        <v>0.65</v>
      </c>
      <c r="B15" s="1">
        <v>0.71825000000000006</v>
      </c>
    </row>
    <row r="16" spans="1:2" x14ac:dyDescent="0.2">
      <c r="A16" s="2">
        <v>0.7</v>
      </c>
      <c r="B16" s="1">
        <v>0.78400000000000003</v>
      </c>
    </row>
    <row r="17" spans="1:2" x14ac:dyDescent="0.2">
      <c r="A17" s="2">
        <v>0.75</v>
      </c>
      <c r="B17" s="1">
        <v>0.84375</v>
      </c>
    </row>
    <row r="18" spans="1:2" x14ac:dyDescent="0.2">
      <c r="A18" s="2">
        <v>0.8</v>
      </c>
      <c r="B18" s="1">
        <v>0.89600000000000002</v>
      </c>
    </row>
    <row r="19" spans="1:2" x14ac:dyDescent="0.2">
      <c r="A19" s="2">
        <v>0.85</v>
      </c>
      <c r="B19" s="1">
        <v>0.93925000000000003</v>
      </c>
    </row>
    <row r="20" spans="1:2" x14ac:dyDescent="0.2">
      <c r="A20" s="2">
        <v>0.9</v>
      </c>
      <c r="B20" s="1">
        <v>0.97199999999999998</v>
      </c>
    </row>
    <row r="21" spans="1:2" x14ac:dyDescent="0.2">
      <c r="A21" s="2">
        <v>0.95</v>
      </c>
      <c r="B21" s="1">
        <v>0.99275000000000002</v>
      </c>
    </row>
    <row r="22" spans="1:2" x14ac:dyDescent="0.2">
      <c r="A22" s="2">
        <v>1</v>
      </c>
      <c r="B22" s="1">
        <v>1</v>
      </c>
    </row>
    <row r="23" spans="1:2" x14ac:dyDescent="0.2">
      <c r="A23" s="2"/>
      <c r="B23" s="1"/>
    </row>
    <row r="24" spans="1:2" x14ac:dyDescent="0.2">
      <c r="A24" s="2"/>
      <c r="B24" s="1"/>
    </row>
  </sheetData>
  <sheetProtection password="8881" sheet="1" objects="1" scenarios="1"/>
  <phoneticPr fontId="7" type="noConversion"/>
  <pageMargins left="0.2" right="0.23" top="0.63" bottom="0.63" header="0.17" footer="0.21"/>
  <pageSetup paperSize="3" orientation="landscape" r:id="rId1"/>
  <headerFooter alignWithMargins="0">
    <oddHeader>&amp;LArt Montemayor &amp;CRegression of Doolittle  Partial Volume Coefficient&amp;RMay 15, 1998
Rev: 1(02/25/01)</oddHeader>
    <oddFooter>&amp;CPage &amp;P of &amp;N&amp;RElectronic FileName: &amp;F
WorkSheet: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pane ySplit="2" topLeftCell="A3" activePane="bottomLeft" state="frozen"/>
      <selection pane="bottomLeft" activeCell="J2" sqref="J2"/>
    </sheetView>
  </sheetViews>
  <sheetFormatPr defaultRowHeight="12.75" x14ac:dyDescent="0.2"/>
  <cols>
    <col min="3" max="3" width="10.7109375" customWidth="1"/>
    <col min="4" max="4" width="9.42578125" customWidth="1"/>
    <col min="5" max="5" width="11.85546875" customWidth="1"/>
    <col min="6" max="6" width="12.42578125" customWidth="1"/>
    <col min="7" max="7" width="10.42578125" customWidth="1"/>
    <col min="8" max="8" width="9.7109375" customWidth="1"/>
    <col min="9" max="9" width="10.5703125" customWidth="1"/>
    <col min="10" max="10" width="12.42578125" customWidth="1"/>
  </cols>
  <sheetData>
    <row r="1" spans="1:10" ht="15" thickTop="1" x14ac:dyDescent="0.2">
      <c r="A1" s="436" t="s">
        <v>340</v>
      </c>
      <c r="B1" s="432"/>
      <c r="C1" s="431" t="s">
        <v>32</v>
      </c>
      <c r="D1" s="432"/>
      <c r="E1" s="432"/>
      <c r="F1" s="433"/>
      <c r="G1" s="434" t="s">
        <v>35</v>
      </c>
      <c r="H1" s="432"/>
      <c r="I1" s="432"/>
      <c r="J1" s="435"/>
    </row>
    <row r="2" spans="1:10" x14ac:dyDescent="0.2">
      <c r="A2" s="109" t="s">
        <v>341</v>
      </c>
      <c r="B2" s="143" t="s">
        <v>342</v>
      </c>
      <c r="C2" s="235" t="s">
        <v>343</v>
      </c>
      <c r="D2" s="111" t="s">
        <v>301</v>
      </c>
      <c r="E2" s="111" t="s">
        <v>302</v>
      </c>
      <c r="F2" s="148" t="s">
        <v>344</v>
      </c>
      <c r="G2" s="111" t="s">
        <v>343</v>
      </c>
      <c r="H2" s="111" t="s">
        <v>301</v>
      </c>
      <c r="I2" s="111" t="s">
        <v>302</v>
      </c>
      <c r="J2" s="112" t="s">
        <v>344</v>
      </c>
    </row>
    <row r="3" spans="1:10" ht="6" customHeight="1" x14ac:dyDescent="0.2">
      <c r="A3" s="106"/>
      <c r="B3" s="55"/>
      <c r="C3" s="247"/>
      <c r="D3" s="105"/>
      <c r="E3" s="105"/>
      <c r="F3" s="248"/>
      <c r="G3" s="247"/>
      <c r="H3" s="105"/>
      <c r="I3" s="105"/>
      <c r="J3" s="249"/>
    </row>
    <row r="4" spans="1:10" x14ac:dyDescent="0.2">
      <c r="A4" s="242">
        <v>12</v>
      </c>
      <c r="B4" s="243">
        <f t="shared" ref="B4:B35" si="0">A4/12</f>
        <v>1</v>
      </c>
      <c r="C4" s="244">
        <f t="shared" ref="C4:C35" si="1">0.5*(PI()/6)*B4^3</f>
        <v>0.26179938779914941</v>
      </c>
      <c r="D4" s="245">
        <f t="shared" ref="D4:D35" si="2">(PI()*B4^3)/24</f>
        <v>0.1308996938995747</v>
      </c>
      <c r="E4" s="245">
        <f t="shared" ref="E4:E35" si="3">0.0835*B4^3</f>
        <v>8.3500000000000005E-2</v>
      </c>
      <c r="F4" s="245">
        <f t="shared" ref="F4:F35" si="4">0.0536*B4^3</f>
        <v>5.3600000000000002E-2</v>
      </c>
      <c r="G4" s="245">
        <f>PI()*B4^2/2</f>
        <v>1.5707963267948966</v>
      </c>
      <c r="H4" s="245">
        <f t="shared" ref="H4:H35" si="5">1.00111*B4^2</f>
        <v>1.0011099999999999</v>
      </c>
      <c r="I4" s="245">
        <f t="shared" ref="I4:I35" si="6">0.9286*B4^2</f>
        <v>0.92859999999999998</v>
      </c>
      <c r="J4" s="246">
        <f t="shared" ref="J4:J35" si="7">0.7854*B4^2</f>
        <v>0.78539999999999999</v>
      </c>
    </row>
    <row r="5" spans="1:10" x14ac:dyDescent="0.2">
      <c r="A5" s="107">
        <v>14</v>
      </c>
      <c r="B5" s="234">
        <f t="shared" si="0"/>
        <v>1.1666666666666667</v>
      </c>
      <c r="C5" s="236">
        <f t="shared" si="1"/>
        <v>0.41572773155142723</v>
      </c>
      <c r="D5" s="237">
        <f t="shared" si="2"/>
        <v>0.20786386577571361</v>
      </c>
      <c r="E5" s="237">
        <f t="shared" si="3"/>
        <v>0.13259490740740745</v>
      </c>
      <c r="F5" s="237">
        <f t="shared" si="4"/>
        <v>8.5114814814814851E-2</v>
      </c>
      <c r="G5" s="237">
        <f>PI()*B5^2/2</f>
        <v>2.1380283336930539</v>
      </c>
      <c r="H5" s="237">
        <f t="shared" si="5"/>
        <v>1.3626219444444447</v>
      </c>
      <c r="I5" s="237">
        <f t="shared" si="6"/>
        <v>1.263927777777778</v>
      </c>
      <c r="J5" s="238">
        <f t="shared" si="7"/>
        <v>1.0690166666666669</v>
      </c>
    </row>
    <row r="6" spans="1:10" x14ac:dyDescent="0.2">
      <c r="A6" s="107">
        <v>16</v>
      </c>
      <c r="B6" s="234">
        <f t="shared" si="0"/>
        <v>1.3333333333333333</v>
      </c>
      <c r="C6" s="236">
        <f t="shared" si="1"/>
        <v>0.62056151182020602</v>
      </c>
      <c r="D6" s="237">
        <f t="shared" si="2"/>
        <v>0.31028075591010301</v>
      </c>
      <c r="E6" s="237">
        <f t="shared" si="3"/>
        <v>0.19792592592592592</v>
      </c>
      <c r="F6" s="237">
        <f t="shared" si="4"/>
        <v>0.12705185185185186</v>
      </c>
      <c r="G6" s="237">
        <f t="shared" ref="G6:G52" si="8">PI()*B6^2/2</f>
        <v>2.7925268031909272</v>
      </c>
      <c r="H6" s="237">
        <f t="shared" si="5"/>
        <v>1.7797511111111108</v>
      </c>
      <c r="I6" s="237">
        <f t="shared" si="6"/>
        <v>1.6508444444444443</v>
      </c>
      <c r="J6" s="238">
        <f t="shared" si="7"/>
        <v>1.3962666666666665</v>
      </c>
    </row>
    <row r="7" spans="1:10" x14ac:dyDescent="0.2">
      <c r="A7" s="107">
        <v>18</v>
      </c>
      <c r="B7" s="234">
        <f t="shared" si="0"/>
        <v>1.5</v>
      </c>
      <c r="C7" s="236">
        <f t="shared" si="1"/>
        <v>0.8835729338221292</v>
      </c>
      <c r="D7" s="237">
        <f t="shared" si="2"/>
        <v>0.44178646691106466</v>
      </c>
      <c r="E7" s="237">
        <f t="shared" si="3"/>
        <v>0.28181250000000002</v>
      </c>
      <c r="F7" s="237">
        <f t="shared" si="4"/>
        <v>0.18090000000000001</v>
      </c>
      <c r="G7" s="237">
        <f t="shared" si="8"/>
        <v>3.5342917352885173</v>
      </c>
      <c r="H7" s="237">
        <f t="shared" si="5"/>
        <v>2.2524975</v>
      </c>
      <c r="I7" s="237">
        <f t="shared" si="6"/>
        <v>2.08935</v>
      </c>
      <c r="J7" s="238">
        <f t="shared" si="7"/>
        <v>1.76715</v>
      </c>
    </row>
    <row r="8" spans="1:10" x14ac:dyDescent="0.2">
      <c r="A8" s="107">
        <v>20</v>
      </c>
      <c r="B8" s="234">
        <f t="shared" si="0"/>
        <v>1.6666666666666667</v>
      </c>
      <c r="C8" s="236">
        <f t="shared" si="1"/>
        <v>1.2120342027738402</v>
      </c>
      <c r="D8" s="237">
        <f t="shared" si="2"/>
        <v>0.60601710138692011</v>
      </c>
      <c r="E8" s="237">
        <f t="shared" si="3"/>
        <v>0.38657407407407418</v>
      </c>
      <c r="F8" s="237">
        <f t="shared" si="4"/>
        <v>0.2481481481481482</v>
      </c>
      <c r="G8" s="237">
        <f t="shared" si="8"/>
        <v>4.3633231299858242</v>
      </c>
      <c r="H8" s="237">
        <f t="shared" si="5"/>
        <v>2.7808611111111112</v>
      </c>
      <c r="I8" s="237">
        <f t="shared" si="6"/>
        <v>2.5794444444444449</v>
      </c>
      <c r="J8" s="238">
        <f t="shared" si="7"/>
        <v>2.1816666666666671</v>
      </c>
    </row>
    <row r="9" spans="1:10" x14ac:dyDescent="0.2">
      <c r="A9" s="107">
        <v>22</v>
      </c>
      <c r="B9" s="234">
        <f t="shared" si="0"/>
        <v>1.8333333333333333</v>
      </c>
      <c r="C9" s="236">
        <f t="shared" si="1"/>
        <v>1.6132175238919806</v>
      </c>
      <c r="D9" s="237">
        <f t="shared" si="2"/>
        <v>0.8066087619459904</v>
      </c>
      <c r="E9" s="237">
        <f t="shared" si="3"/>
        <v>0.51453009259259253</v>
      </c>
      <c r="F9" s="237">
        <f t="shared" si="4"/>
        <v>0.33028518518518518</v>
      </c>
      <c r="G9" s="237">
        <f t="shared" si="8"/>
        <v>5.2796209872828461</v>
      </c>
      <c r="H9" s="237">
        <f t="shared" si="5"/>
        <v>3.3648419444444437</v>
      </c>
      <c r="I9" s="237">
        <f t="shared" si="6"/>
        <v>3.1211277777777773</v>
      </c>
      <c r="J9" s="238">
        <f t="shared" si="7"/>
        <v>2.6398166666666665</v>
      </c>
    </row>
    <row r="10" spans="1:10" x14ac:dyDescent="0.2">
      <c r="A10" s="242">
        <v>24</v>
      </c>
      <c r="B10" s="243">
        <f t="shared" si="0"/>
        <v>2</v>
      </c>
      <c r="C10" s="244">
        <f t="shared" si="1"/>
        <v>2.0943951023931953</v>
      </c>
      <c r="D10" s="245">
        <f t="shared" si="2"/>
        <v>1.0471975511965976</v>
      </c>
      <c r="E10" s="245">
        <f t="shared" si="3"/>
        <v>0.66800000000000004</v>
      </c>
      <c r="F10" s="245">
        <f t="shared" si="4"/>
        <v>0.42880000000000001</v>
      </c>
      <c r="G10" s="245">
        <f t="shared" si="8"/>
        <v>6.2831853071795862</v>
      </c>
      <c r="H10" s="245">
        <f t="shared" si="5"/>
        <v>4.0044399999999998</v>
      </c>
      <c r="I10" s="245">
        <f t="shared" si="6"/>
        <v>3.7143999999999999</v>
      </c>
      <c r="J10" s="246">
        <f t="shared" si="7"/>
        <v>3.1415999999999999</v>
      </c>
    </row>
    <row r="11" spans="1:10" x14ac:dyDescent="0.2">
      <c r="A11" s="107">
        <v>26</v>
      </c>
      <c r="B11" s="234">
        <f t="shared" si="0"/>
        <v>2.1666666666666665</v>
      </c>
      <c r="C11" s="236">
        <f t="shared" si="1"/>
        <v>2.6628391434941254</v>
      </c>
      <c r="D11" s="237">
        <f t="shared" si="2"/>
        <v>1.3314195717470629</v>
      </c>
      <c r="E11" s="237">
        <f t="shared" si="3"/>
        <v>0.84930324074074059</v>
      </c>
      <c r="F11" s="237">
        <f t="shared" si="4"/>
        <v>0.54518148148148138</v>
      </c>
      <c r="G11" s="237">
        <f t="shared" si="8"/>
        <v>7.3740160896760409</v>
      </c>
      <c r="H11" s="237">
        <f t="shared" si="5"/>
        <v>4.6996552777777767</v>
      </c>
      <c r="I11" s="237">
        <f t="shared" si="6"/>
        <v>4.3592611111111106</v>
      </c>
      <c r="J11" s="238">
        <f t="shared" si="7"/>
        <v>3.6870166666666662</v>
      </c>
    </row>
    <row r="12" spans="1:10" x14ac:dyDescent="0.2">
      <c r="A12" s="107">
        <v>28</v>
      </c>
      <c r="B12" s="234">
        <f t="shared" si="0"/>
        <v>2.3333333333333335</v>
      </c>
      <c r="C12" s="236">
        <f t="shared" si="1"/>
        <v>3.3258218524114178</v>
      </c>
      <c r="D12" s="237">
        <f t="shared" si="2"/>
        <v>1.6629109262057089</v>
      </c>
      <c r="E12" s="237">
        <f t="shared" si="3"/>
        <v>1.0607592592592596</v>
      </c>
      <c r="F12" s="237">
        <f t="shared" si="4"/>
        <v>0.68091851851851881</v>
      </c>
      <c r="G12" s="237">
        <f t="shared" si="8"/>
        <v>8.5521133347722156</v>
      </c>
      <c r="H12" s="237">
        <f t="shared" si="5"/>
        <v>5.4504877777777789</v>
      </c>
      <c r="I12" s="237">
        <f t="shared" si="6"/>
        <v>5.0557111111111119</v>
      </c>
      <c r="J12" s="238">
        <f t="shared" si="7"/>
        <v>4.2760666666666678</v>
      </c>
    </row>
    <row r="13" spans="1:10" x14ac:dyDescent="0.2">
      <c r="A13" s="107">
        <v>30</v>
      </c>
      <c r="B13" s="234">
        <f t="shared" si="0"/>
        <v>2.5</v>
      </c>
      <c r="C13" s="236">
        <f t="shared" si="1"/>
        <v>4.0906154343617098</v>
      </c>
      <c r="D13" s="237">
        <f t="shared" si="2"/>
        <v>2.0453077171808549</v>
      </c>
      <c r="E13" s="237">
        <f t="shared" si="3"/>
        <v>1.3046875</v>
      </c>
      <c r="F13" s="237">
        <f t="shared" si="4"/>
        <v>0.83750000000000002</v>
      </c>
      <c r="G13" s="237">
        <f t="shared" si="8"/>
        <v>9.8174770424681039</v>
      </c>
      <c r="H13" s="237">
        <f t="shared" si="5"/>
        <v>6.2569374999999994</v>
      </c>
      <c r="I13" s="237">
        <f t="shared" si="6"/>
        <v>5.80375</v>
      </c>
      <c r="J13" s="238">
        <f t="shared" si="7"/>
        <v>4.9087499999999995</v>
      </c>
    </row>
    <row r="14" spans="1:10" x14ac:dyDescent="0.2">
      <c r="A14" s="107">
        <v>32</v>
      </c>
      <c r="B14" s="234">
        <f t="shared" si="0"/>
        <v>2.6666666666666665</v>
      </c>
      <c r="C14" s="236">
        <f t="shared" si="1"/>
        <v>4.9644920945616482</v>
      </c>
      <c r="D14" s="237">
        <f t="shared" si="2"/>
        <v>2.4822460472808241</v>
      </c>
      <c r="E14" s="237">
        <f t="shared" si="3"/>
        <v>1.5834074074074074</v>
      </c>
      <c r="F14" s="237">
        <f t="shared" si="4"/>
        <v>1.0164148148148149</v>
      </c>
      <c r="G14" s="237">
        <f t="shared" si="8"/>
        <v>11.170107212763709</v>
      </c>
      <c r="H14" s="237">
        <f t="shared" si="5"/>
        <v>7.1190044444444434</v>
      </c>
      <c r="I14" s="237">
        <f t="shared" si="6"/>
        <v>6.6033777777777773</v>
      </c>
      <c r="J14" s="238">
        <f t="shared" si="7"/>
        <v>5.5850666666666662</v>
      </c>
    </row>
    <row r="15" spans="1:10" x14ac:dyDescent="0.2">
      <c r="A15" s="107">
        <v>34</v>
      </c>
      <c r="B15" s="234">
        <f t="shared" si="0"/>
        <v>2.8333333333333335</v>
      </c>
      <c r="C15" s="236">
        <f t="shared" si="1"/>
        <v>5.9547240382278757</v>
      </c>
      <c r="D15" s="237">
        <f t="shared" si="2"/>
        <v>2.9773620191139383</v>
      </c>
      <c r="E15" s="237">
        <f t="shared" si="3"/>
        <v>1.8992384259259263</v>
      </c>
      <c r="F15" s="237">
        <f t="shared" si="4"/>
        <v>1.219151851851852</v>
      </c>
      <c r="G15" s="237">
        <f t="shared" si="8"/>
        <v>12.610003845659032</v>
      </c>
      <c r="H15" s="237">
        <f t="shared" si="5"/>
        <v>8.0366886111111118</v>
      </c>
      <c r="I15" s="237">
        <f t="shared" si="6"/>
        <v>7.454594444444445</v>
      </c>
      <c r="J15" s="238">
        <f t="shared" si="7"/>
        <v>6.3050166666666669</v>
      </c>
    </row>
    <row r="16" spans="1:10" x14ac:dyDescent="0.2">
      <c r="A16" s="242">
        <v>36</v>
      </c>
      <c r="B16" s="243">
        <f t="shared" si="0"/>
        <v>3</v>
      </c>
      <c r="C16" s="244">
        <f t="shared" si="1"/>
        <v>7.0685834705770336</v>
      </c>
      <c r="D16" s="245">
        <f t="shared" si="2"/>
        <v>3.5342917352885173</v>
      </c>
      <c r="E16" s="245">
        <f t="shared" si="3"/>
        <v>2.2545000000000002</v>
      </c>
      <c r="F16" s="245">
        <f t="shared" si="4"/>
        <v>1.4472</v>
      </c>
      <c r="G16" s="245">
        <f t="shared" si="8"/>
        <v>14.137166941154069</v>
      </c>
      <c r="H16" s="245">
        <f t="shared" si="5"/>
        <v>9.0099900000000002</v>
      </c>
      <c r="I16" s="245">
        <f t="shared" si="6"/>
        <v>8.3574000000000002</v>
      </c>
      <c r="J16" s="246">
        <f t="shared" si="7"/>
        <v>7.0686</v>
      </c>
    </row>
    <row r="17" spans="1:10" x14ac:dyDescent="0.2">
      <c r="A17" s="107">
        <v>38</v>
      </c>
      <c r="B17" s="234">
        <f t="shared" si="0"/>
        <v>3.1666666666666665</v>
      </c>
      <c r="C17" s="236">
        <f t="shared" si="1"/>
        <v>8.3133425968257662</v>
      </c>
      <c r="D17" s="237">
        <f t="shared" si="2"/>
        <v>4.156671298412884</v>
      </c>
      <c r="E17" s="237">
        <f t="shared" si="3"/>
        <v>2.6515115740740738</v>
      </c>
      <c r="F17" s="237">
        <f t="shared" si="4"/>
        <v>1.702048148148148</v>
      </c>
      <c r="G17" s="237">
        <f t="shared" si="8"/>
        <v>15.751596499248823</v>
      </c>
      <c r="H17" s="237">
        <f t="shared" si="5"/>
        <v>10.038908611111109</v>
      </c>
      <c r="I17" s="237">
        <f t="shared" si="6"/>
        <v>9.3117944444444429</v>
      </c>
      <c r="J17" s="238">
        <f t="shared" si="7"/>
        <v>7.8758166666666654</v>
      </c>
    </row>
    <row r="18" spans="1:10" x14ac:dyDescent="0.2">
      <c r="A18" s="107">
        <v>40</v>
      </c>
      <c r="B18" s="234">
        <f t="shared" si="0"/>
        <v>3.3333333333333335</v>
      </c>
      <c r="C18" s="236">
        <f t="shared" si="1"/>
        <v>9.6962736221907218</v>
      </c>
      <c r="D18" s="237">
        <f t="shared" si="2"/>
        <v>4.8481368110953609</v>
      </c>
      <c r="E18" s="237">
        <f t="shared" si="3"/>
        <v>3.0925925925925934</v>
      </c>
      <c r="F18" s="237">
        <f t="shared" si="4"/>
        <v>1.9851851851851856</v>
      </c>
      <c r="G18" s="237">
        <f t="shared" si="8"/>
        <v>17.453292519943297</v>
      </c>
      <c r="H18" s="237">
        <f t="shared" si="5"/>
        <v>11.123444444444445</v>
      </c>
      <c r="I18" s="237">
        <f t="shared" si="6"/>
        <v>10.317777777777779</v>
      </c>
      <c r="J18" s="238">
        <f t="shared" si="7"/>
        <v>8.7266666666666683</v>
      </c>
    </row>
    <row r="19" spans="1:10" x14ac:dyDescent="0.2">
      <c r="A19" s="107">
        <v>42</v>
      </c>
      <c r="B19" s="234">
        <f t="shared" si="0"/>
        <v>3.5</v>
      </c>
      <c r="C19" s="236">
        <f t="shared" si="1"/>
        <v>11.22464875188853</v>
      </c>
      <c r="D19" s="237">
        <f t="shared" si="2"/>
        <v>5.612324375944266</v>
      </c>
      <c r="E19" s="237">
        <f t="shared" si="3"/>
        <v>3.5800625000000004</v>
      </c>
      <c r="F19" s="237">
        <f t="shared" si="4"/>
        <v>2.2981000000000003</v>
      </c>
      <c r="G19" s="237">
        <f t="shared" si="8"/>
        <v>19.242255003237482</v>
      </c>
      <c r="H19" s="237">
        <f t="shared" si="5"/>
        <v>12.263597499999999</v>
      </c>
      <c r="I19" s="237">
        <f t="shared" si="6"/>
        <v>11.375349999999999</v>
      </c>
      <c r="J19" s="238">
        <f t="shared" si="7"/>
        <v>9.6211500000000001</v>
      </c>
    </row>
    <row r="20" spans="1:10" x14ac:dyDescent="0.2">
      <c r="A20" s="242">
        <v>48</v>
      </c>
      <c r="B20" s="243">
        <f t="shared" si="0"/>
        <v>4</v>
      </c>
      <c r="C20" s="244">
        <f t="shared" si="1"/>
        <v>16.755160819145562</v>
      </c>
      <c r="D20" s="245">
        <f t="shared" si="2"/>
        <v>8.3775804095727811</v>
      </c>
      <c r="E20" s="245">
        <f t="shared" si="3"/>
        <v>5.3440000000000003</v>
      </c>
      <c r="F20" s="245">
        <f t="shared" si="4"/>
        <v>3.4304000000000001</v>
      </c>
      <c r="G20" s="245">
        <f t="shared" si="8"/>
        <v>25.132741228718345</v>
      </c>
      <c r="H20" s="245">
        <f t="shared" si="5"/>
        <v>16.017759999999999</v>
      </c>
      <c r="I20" s="245">
        <f t="shared" si="6"/>
        <v>14.8576</v>
      </c>
      <c r="J20" s="246">
        <f t="shared" si="7"/>
        <v>12.5664</v>
      </c>
    </row>
    <row r="21" spans="1:10" x14ac:dyDescent="0.2">
      <c r="A21" s="107">
        <v>54</v>
      </c>
      <c r="B21" s="234">
        <f t="shared" si="0"/>
        <v>4.5</v>
      </c>
      <c r="C21" s="236">
        <f t="shared" si="1"/>
        <v>23.856469213197489</v>
      </c>
      <c r="D21" s="237">
        <f t="shared" si="2"/>
        <v>11.928234606598744</v>
      </c>
      <c r="E21" s="237">
        <f t="shared" si="3"/>
        <v>7.6089375000000006</v>
      </c>
      <c r="F21" s="237">
        <f t="shared" si="4"/>
        <v>4.8843000000000005</v>
      </c>
      <c r="G21" s="237">
        <f t="shared" si="8"/>
        <v>31.808625617596654</v>
      </c>
      <c r="H21" s="237">
        <f t="shared" si="5"/>
        <v>20.272477499999997</v>
      </c>
      <c r="I21" s="237">
        <f t="shared" si="6"/>
        <v>18.80415</v>
      </c>
      <c r="J21" s="238">
        <f t="shared" si="7"/>
        <v>15.904349999999999</v>
      </c>
    </row>
    <row r="22" spans="1:10" x14ac:dyDescent="0.2">
      <c r="A22" s="242">
        <v>60</v>
      </c>
      <c r="B22" s="243">
        <f t="shared" si="0"/>
        <v>5</v>
      </c>
      <c r="C22" s="244">
        <f t="shared" si="1"/>
        <v>32.724923474893679</v>
      </c>
      <c r="D22" s="245">
        <f t="shared" si="2"/>
        <v>16.362461737446839</v>
      </c>
      <c r="E22" s="245">
        <f t="shared" si="3"/>
        <v>10.4375</v>
      </c>
      <c r="F22" s="245">
        <f t="shared" si="4"/>
        <v>6.7</v>
      </c>
      <c r="G22" s="245">
        <f t="shared" si="8"/>
        <v>39.269908169872416</v>
      </c>
      <c r="H22" s="245">
        <f t="shared" si="5"/>
        <v>25.027749999999997</v>
      </c>
      <c r="I22" s="245">
        <f t="shared" si="6"/>
        <v>23.215</v>
      </c>
      <c r="J22" s="246">
        <f t="shared" si="7"/>
        <v>19.634999999999998</v>
      </c>
    </row>
    <row r="23" spans="1:10" x14ac:dyDescent="0.2">
      <c r="A23" s="107">
        <v>66</v>
      </c>
      <c r="B23" s="234">
        <f t="shared" si="0"/>
        <v>5.5</v>
      </c>
      <c r="C23" s="236">
        <f t="shared" si="1"/>
        <v>43.556873145083486</v>
      </c>
      <c r="D23" s="237">
        <f t="shared" si="2"/>
        <v>21.778436572541739</v>
      </c>
      <c r="E23" s="237">
        <f t="shared" si="3"/>
        <v>13.892312500000001</v>
      </c>
      <c r="F23" s="237">
        <f t="shared" si="4"/>
        <v>8.9177</v>
      </c>
      <c r="G23" s="237">
        <f t="shared" si="8"/>
        <v>47.516588885545623</v>
      </c>
      <c r="H23" s="237">
        <f t="shared" si="5"/>
        <v>30.2835775</v>
      </c>
      <c r="I23" s="237">
        <f t="shared" si="6"/>
        <v>28.090149999999998</v>
      </c>
      <c r="J23" s="238">
        <f t="shared" si="7"/>
        <v>23.75835</v>
      </c>
    </row>
    <row r="24" spans="1:10" x14ac:dyDescent="0.2">
      <c r="A24" s="242">
        <v>72</v>
      </c>
      <c r="B24" s="243">
        <f t="shared" si="0"/>
        <v>6</v>
      </c>
      <c r="C24" s="244">
        <f t="shared" si="1"/>
        <v>56.548667764616269</v>
      </c>
      <c r="D24" s="245">
        <f t="shared" si="2"/>
        <v>28.274333882308138</v>
      </c>
      <c r="E24" s="245">
        <f t="shared" si="3"/>
        <v>18.036000000000001</v>
      </c>
      <c r="F24" s="245">
        <f t="shared" si="4"/>
        <v>11.5776</v>
      </c>
      <c r="G24" s="245">
        <f t="shared" si="8"/>
        <v>56.548667764616276</v>
      </c>
      <c r="H24" s="245">
        <f t="shared" si="5"/>
        <v>36.039960000000001</v>
      </c>
      <c r="I24" s="245">
        <f t="shared" si="6"/>
        <v>33.429600000000001</v>
      </c>
      <c r="J24" s="246">
        <f t="shared" si="7"/>
        <v>28.2744</v>
      </c>
    </row>
    <row r="25" spans="1:10" x14ac:dyDescent="0.2">
      <c r="A25" s="107">
        <v>78</v>
      </c>
      <c r="B25" s="234">
        <f t="shared" si="0"/>
        <v>6.5</v>
      </c>
      <c r="C25" s="236">
        <f t="shared" si="1"/>
        <v>71.896656874341403</v>
      </c>
      <c r="D25" s="237">
        <f t="shared" si="2"/>
        <v>35.948328437170709</v>
      </c>
      <c r="E25" s="237">
        <f t="shared" si="3"/>
        <v>22.9311875</v>
      </c>
      <c r="F25" s="237">
        <f t="shared" si="4"/>
        <v>14.719900000000001</v>
      </c>
      <c r="G25" s="237">
        <f t="shared" si="8"/>
        <v>66.366144807084382</v>
      </c>
      <c r="H25" s="237">
        <f t="shared" si="5"/>
        <v>42.2968975</v>
      </c>
      <c r="I25" s="237">
        <f t="shared" si="6"/>
        <v>39.233350000000002</v>
      </c>
      <c r="J25" s="238">
        <f t="shared" si="7"/>
        <v>33.183149999999998</v>
      </c>
    </row>
    <row r="26" spans="1:10" x14ac:dyDescent="0.2">
      <c r="A26" s="242">
        <v>84</v>
      </c>
      <c r="B26" s="243">
        <f t="shared" si="0"/>
        <v>7</v>
      </c>
      <c r="C26" s="244">
        <f t="shared" si="1"/>
        <v>89.797190015108242</v>
      </c>
      <c r="D26" s="245">
        <f t="shared" si="2"/>
        <v>44.898595007554128</v>
      </c>
      <c r="E26" s="245">
        <f t="shared" si="3"/>
        <v>28.640500000000003</v>
      </c>
      <c r="F26" s="245">
        <f t="shared" si="4"/>
        <v>18.384800000000002</v>
      </c>
      <c r="G26" s="245">
        <f t="shared" si="8"/>
        <v>76.969020012949926</v>
      </c>
      <c r="H26" s="245">
        <f t="shared" si="5"/>
        <v>49.054389999999998</v>
      </c>
      <c r="I26" s="245">
        <f t="shared" si="6"/>
        <v>45.501399999999997</v>
      </c>
      <c r="J26" s="246">
        <f t="shared" si="7"/>
        <v>38.4846</v>
      </c>
    </row>
    <row r="27" spans="1:10" x14ac:dyDescent="0.2">
      <c r="A27" s="107">
        <v>90</v>
      </c>
      <c r="B27" s="234">
        <f t="shared" si="0"/>
        <v>7.5</v>
      </c>
      <c r="C27" s="236">
        <f t="shared" si="1"/>
        <v>110.44661672776616</v>
      </c>
      <c r="D27" s="237">
        <f t="shared" si="2"/>
        <v>55.223308363883085</v>
      </c>
      <c r="E27" s="237">
        <f t="shared" si="3"/>
        <v>35.2265625</v>
      </c>
      <c r="F27" s="237">
        <f t="shared" si="4"/>
        <v>22.612500000000001</v>
      </c>
      <c r="G27" s="237">
        <f t="shared" si="8"/>
        <v>88.35729338221293</v>
      </c>
      <c r="H27" s="237">
        <f t="shared" si="5"/>
        <v>56.312437499999994</v>
      </c>
      <c r="I27" s="237">
        <f t="shared" si="6"/>
        <v>52.233750000000001</v>
      </c>
      <c r="J27" s="238">
        <f t="shared" si="7"/>
        <v>44.178750000000001</v>
      </c>
    </row>
    <row r="28" spans="1:10" x14ac:dyDescent="0.2">
      <c r="A28" s="242">
        <v>96</v>
      </c>
      <c r="B28" s="243">
        <f t="shared" si="0"/>
        <v>8</v>
      </c>
      <c r="C28" s="244">
        <f t="shared" si="1"/>
        <v>134.0412865531645</v>
      </c>
      <c r="D28" s="245">
        <f t="shared" si="2"/>
        <v>67.020643276582248</v>
      </c>
      <c r="E28" s="245">
        <f t="shared" si="3"/>
        <v>42.752000000000002</v>
      </c>
      <c r="F28" s="245">
        <f t="shared" si="4"/>
        <v>27.443200000000001</v>
      </c>
      <c r="G28" s="245">
        <f t="shared" si="8"/>
        <v>100.53096491487338</v>
      </c>
      <c r="H28" s="245">
        <f t="shared" si="5"/>
        <v>64.071039999999996</v>
      </c>
      <c r="I28" s="245">
        <f t="shared" si="6"/>
        <v>59.430399999999999</v>
      </c>
      <c r="J28" s="246">
        <f t="shared" si="7"/>
        <v>50.265599999999999</v>
      </c>
    </row>
    <row r="29" spans="1:10" x14ac:dyDescent="0.2">
      <c r="A29" s="107">
        <v>102</v>
      </c>
      <c r="B29" s="234">
        <f t="shared" si="0"/>
        <v>8.5</v>
      </c>
      <c r="C29" s="236">
        <f t="shared" si="1"/>
        <v>160.77754903215262</v>
      </c>
      <c r="D29" s="237">
        <f t="shared" si="2"/>
        <v>80.388774516076325</v>
      </c>
      <c r="E29" s="237">
        <f t="shared" si="3"/>
        <v>51.2794375</v>
      </c>
      <c r="F29" s="237">
        <f t="shared" si="4"/>
        <v>32.917099999999998</v>
      </c>
      <c r="G29" s="237">
        <f t="shared" si="8"/>
        <v>113.49003461093127</v>
      </c>
      <c r="H29" s="237">
        <f t="shared" si="5"/>
        <v>72.330197499999997</v>
      </c>
      <c r="I29" s="237">
        <f t="shared" si="6"/>
        <v>67.091350000000006</v>
      </c>
      <c r="J29" s="238">
        <f t="shared" si="7"/>
        <v>56.745150000000002</v>
      </c>
    </row>
    <row r="30" spans="1:10" x14ac:dyDescent="0.2">
      <c r="A30" s="242">
        <v>108</v>
      </c>
      <c r="B30" s="243">
        <f t="shared" si="0"/>
        <v>9</v>
      </c>
      <c r="C30" s="244">
        <f t="shared" si="1"/>
        <v>190.85175370557991</v>
      </c>
      <c r="D30" s="245">
        <f t="shared" si="2"/>
        <v>95.425876852789955</v>
      </c>
      <c r="E30" s="245">
        <f t="shared" si="3"/>
        <v>60.871500000000005</v>
      </c>
      <c r="F30" s="245">
        <f t="shared" si="4"/>
        <v>39.074400000000004</v>
      </c>
      <c r="G30" s="245">
        <f t="shared" si="8"/>
        <v>127.23450247038662</v>
      </c>
      <c r="H30" s="245">
        <f t="shared" si="5"/>
        <v>81.089909999999989</v>
      </c>
      <c r="I30" s="245">
        <f t="shared" si="6"/>
        <v>75.2166</v>
      </c>
      <c r="J30" s="246">
        <f t="shared" si="7"/>
        <v>63.617399999999996</v>
      </c>
    </row>
    <row r="31" spans="1:10" x14ac:dyDescent="0.2">
      <c r="A31" s="107">
        <v>114</v>
      </c>
      <c r="B31" s="234">
        <f t="shared" si="0"/>
        <v>9.5</v>
      </c>
      <c r="C31" s="236">
        <f t="shared" si="1"/>
        <v>224.46025011429572</v>
      </c>
      <c r="D31" s="237">
        <f t="shared" si="2"/>
        <v>112.23012505714787</v>
      </c>
      <c r="E31" s="237">
        <f t="shared" si="3"/>
        <v>71.590812499999998</v>
      </c>
      <c r="F31" s="237">
        <f t="shared" si="4"/>
        <v>45.955300000000001</v>
      </c>
      <c r="G31" s="237">
        <f t="shared" si="8"/>
        <v>141.7643684932394</v>
      </c>
      <c r="H31" s="237">
        <f t="shared" si="5"/>
        <v>90.350177500000001</v>
      </c>
      <c r="I31" s="237">
        <f t="shared" si="6"/>
        <v>83.806150000000002</v>
      </c>
      <c r="J31" s="238">
        <f t="shared" si="7"/>
        <v>70.882350000000002</v>
      </c>
    </row>
    <row r="32" spans="1:10" x14ac:dyDescent="0.2">
      <c r="A32" s="242">
        <v>120</v>
      </c>
      <c r="B32" s="243">
        <f t="shared" si="0"/>
        <v>10</v>
      </c>
      <c r="C32" s="244">
        <f t="shared" si="1"/>
        <v>261.79938779914943</v>
      </c>
      <c r="D32" s="245">
        <f t="shared" si="2"/>
        <v>130.89969389957471</v>
      </c>
      <c r="E32" s="245">
        <f t="shared" si="3"/>
        <v>83.5</v>
      </c>
      <c r="F32" s="245">
        <f t="shared" si="4"/>
        <v>53.6</v>
      </c>
      <c r="G32" s="245">
        <f t="shared" si="8"/>
        <v>157.07963267948966</v>
      </c>
      <c r="H32" s="245">
        <f t="shared" si="5"/>
        <v>100.11099999999999</v>
      </c>
      <c r="I32" s="245">
        <f t="shared" si="6"/>
        <v>92.86</v>
      </c>
      <c r="J32" s="246">
        <f t="shared" si="7"/>
        <v>78.539999999999992</v>
      </c>
    </row>
    <row r="33" spans="1:10" x14ac:dyDescent="0.2">
      <c r="A33" s="107">
        <v>126</v>
      </c>
      <c r="B33" s="234">
        <f t="shared" si="0"/>
        <v>10.5</v>
      </c>
      <c r="C33" s="236">
        <f t="shared" si="1"/>
        <v>303.06551630099034</v>
      </c>
      <c r="D33" s="237">
        <f t="shared" si="2"/>
        <v>151.53275815049517</v>
      </c>
      <c r="E33" s="237">
        <f t="shared" si="3"/>
        <v>96.661687499999999</v>
      </c>
      <c r="F33" s="237">
        <f t="shared" si="4"/>
        <v>62.048700000000004</v>
      </c>
      <c r="G33" s="237">
        <f t="shared" si="8"/>
        <v>173.18029502913734</v>
      </c>
      <c r="H33" s="237">
        <f t="shared" si="5"/>
        <v>110.3723775</v>
      </c>
      <c r="I33" s="237">
        <f t="shared" si="6"/>
        <v>102.37814999999999</v>
      </c>
      <c r="J33" s="238">
        <f t="shared" si="7"/>
        <v>86.590350000000001</v>
      </c>
    </row>
    <row r="34" spans="1:10" x14ac:dyDescent="0.2">
      <c r="A34" s="242">
        <v>132</v>
      </c>
      <c r="B34" s="243">
        <f t="shared" si="0"/>
        <v>11</v>
      </c>
      <c r="C34" s="244">
        <f t="shared" si="1"/>
        <v>348.45498516066789</v>
      </c>
      <c r="D34" s="245">
        <f t="shared" si="2"/>
        <v>174.22749258033392</v>
      </c>
      <c r="E34" s="245">
        <f t="shared" si="3"/>
        <v>111.13850000000001</v>
      </c>
      <c r="F34" s="245">
        <f t="shared" si="4"/>
        <v>71.3416</v>
      </c>
      <c r="G34" s="245">
        <f t="shared" si="8"/>
        <v>190.06635554218249</v>
      </c>
      <c r="H34" s="245">
        <f t="shared" si="5"/>
        <v>121.13431</v>
      </c>
      <c r="I34" s="245">
        <f t="shared" si="6"/>
        <v>112.36059999999999</v>
      </c>
      <c r="J34" s="246">
        <f t="shared" si="7"/>
        <v>95.0334</v>
      </c>
    </row>
    <row r="35" spans="1:10" x14ac:dyDescent="0.2">
      <c r="A35" s="107">
        <v>138</v>
      </c>
      <c r="B35" s="234">
        <f t="shared" si="0"/>
        <v>11.5</v>
      </c>
      <c r="C35" s="236">
        <f t="shared" si="1"/>
        <v>398.16414391903135</v>
      </c>
      <c r="D35" s="237">
        <f t="shared" si="2"/>
        <v>199.0820719595157</v>
      </c>
      <c r="E35" s="237">
        <f t="shared" si="3"/>
        <v>126.99306250000001</v>
      </c>
      <c r="F35" s="237">
        <f t="shared" si="4"/>
        <v>81.518900000000002</v>
      </c>
      <c r="G35" s="237">
        <f t="shared" si="8"/>
        <v>207.73781421862506</v>
      </c>
      <c r="H35" s="237">
        <f t="shared" si="5"/>
        <v>132.39679749999999</v>
      </c>
      <c r="I35" s="237">
        <f t="shared" si="6"/>
        <v>122.80735</v>
      </c>
      <c r="J35" s="238">
        <f t="shared" si="7"/>
        <v>103.86915</v>
      </c>
    </row>
    <row r="36" spans="1:10" x14ac:dyDescent="0.2">
      <c r="A36" s="242">
        <v>144</v>
      </c>
      <c r="B36" s="243">
        <f t="shared" ref="B36:B52" si="9">A36/12</f>
        <v>12</v>
      </c>
      <c r="C36" s="244">
        <f t="shared" ref="C36:C52" si="10">0.5*(PI()/6)*B36^3</f>
        <v>452.38934211693015</v>
      </c>
      <c r="D36" s="245">
        <f t="shared" ref="D36:D52" si="11">(PI()*B36^3)/24</f>
        <v>226.1946710584651</v>
      </c>
      <c r="E36" s="245">
        <f t="shared" ref="E36:E52" si="12">0.0835*B36^3</f>
        <v>144.28800000000001</v>
      </c>
      <c r="F36" s="245">
        <f t="shared" ref="F36:F52" si="13">0.0536*B36^3</f>
        <v>92.620800000000003</v>
      </c>
      <c r="G36" s="245">
        <f t="shared" si="8"/>
        <v>226.1946710584651</v>
      </c>
      <c r="H36" s="245">
        <f t="shared" ref="H36:H52" si="14">1.00111*B36^2</f>
        <v>144.15984</v>
      </c>
      <c r="I36" s="245">
        <f t="shared" ref="I36:I52" si="15">0.9286*B36^2</f>
        <v>133.7184</v>
      </c>
      <c r="J36" s="246">
        <f t="shared" ref="J36:J52" si="16">0.7854*B36^2</f>
        <v>113.0976</v>
      </c>
    </row>
    <row r="37" spans="1:10" x14ac:dyDescent="0.2">
      <c r="A37" s="107">
        <v>150</v>
      </c>
      <c r="B37" s="234">
        <f t="shared" si="9"/>
        <v>12.5</v>
      </c>
      <c r="C37" s="236">
        <f t="shared" si="10"/>
        <v>511.32692929521369</v>
      </c>
      <c r="D37" s="237">
        <f t="shared" si="11"/>
        <v>255.66346464760684</v>
      </c>
      <c r="E37" s="237">
        <f t="shared" si="12"/>
        <v>163.0859375</v>
      </c>
      <c r="F37" s="237">
        <f t="shared" si="13"/>
        <v>104.6875</v>
      </c>
      <c r="G37" s="237">
        <f t="shared" si="8"/>
        <v>245.43692606170259</v>
      </c>
      <c r="H37" s="237">
        <f t="shared" si="14"/>
        <v>156.42343749999998</v>
      </c>
      <c r="I37" s="237">
        <f t="shared" si="15"/>
        <v>145.09375</v>
      </c>
      <c r="J37" s="238">
        <f t="shared" si="16"/>
        <v>122.71875</v>
      </c>
    </row>
    <row r="38" spans="1:10" x14ac:dyDescent="0.2">
      <c r="A38" s="242">
        <v>156</v>
      </c>
      <c r="B38" s="243">
        <f t="shared" si="9"/>
        <v>13</v>
      </c>
      <c r="C38" s="244">
        <f t="shared" si="10"/>
        <v>575.17325499473122</v>
      </c>
      <c r="D38" s="245">
        <f t="shared" si="11"/>
        <v>287.58662749736567</v>
      </c>
      <c r="E38" s="245">
        <f t="shared" si="12"/>
        <v>183.4495</v>
      </c>
      <c r="F38" s="245">
        <f t="shared" si="13"/>
        <v>117.75920000000001</v>
      </c>
      <c r="G38" s="245">
        <f t="shared" si="8"/>
        <v>265.46457922833753</v>
      </c>
      <c r="H38" s="245">
        <f t="shared" si="14"/>
        <v>169.18759</v>
      </c>
      <c r="I38" s="245">
        <f t="shared" si="15"/>
        <v>156.93340000000001</v>
      </c>
      <c r="J38" s="246">
        <f t="shared" si="16"/>
        <v>132.73259999999999</v>
      </c>
    </row>
    <row r="39" spans="1:10" x14ac:dyDescent="0.2">
      <c r="A39" s="107">
        <v>162</v>
      </c>
      <c r="B39" s="234">
        <f t="shared" si="9"/>
        <v>13.5</v>
      </c>
      <c r="C39" s="236">
        <f t="shared" si="10"/>
        <v>644.1246687563322</v>
      </c>
      <c r="D39" s="237">
        <f t="shared" si="11"/>
        <v>322.0623343781661</v>
      </c>
      <c r="E39" s="237">
        <f t="shared" si="12"/>
        <v>205.44131250000001</v>
      </c>
      <c r="F39" s="237">
        <f t="shared" si="13"/>
        <v>131.87610000000001</v>
      </c>
      <c r="G39" s="237">
        <f t="shared" si="8"/>
        <v>286.27763055836988</v>
      </c>
      <c r="H39" s="237">
        <f t="shared" si="14"/>
        <v>182.45229749999999</v>
      </c>
      <c r="I39" s="237">
        <f t="shared" si="15"/>
        <v>169.23734999999999</v>
      </c>
      <c r="J39" s="238">
        <f t="shared" si="16"/>
        <v>143.13915</v>
      </c>
    </row>
    <row r="40" spans="1:10" x14ac:dyDescent="0.2">
      <c r="A40" s="242">
        <v>168</v>
      </c>
      <c r="B40" s="243">
        <f t="shared" si="9"/>
        <v>14</v>
      </c>
      <c r="C40" s="244">
        <f t="shared" si="10"/>
        <v>718.37752012086594</v>
      </c>
      <c r="D40" s="245">
        <f t="shared" si="11"/>
        <v>359.18876006043303</v>
      </c>
      <c r="E40" s="245">
        <f t="shared" si="12"/>
        <v>229.12400000000002</v>
      </c>
      <c r="F40" s="245">
        <f t="shared" si="13"/>
        <v>147.07840000000002</v>
      </c>
      <c r="G40" s="245">
        <f t="shared" si="8"/>
        <v>307.8760800517997</v>
      </c>
      <c r="H40" s="245">
        <f t="shared" si="14"/>
        <v>196.21755999999999</v>
      </c>
      <c r="I40" s="245">
        <f t="shared" si="15"/>
        <v>182.00559999999999</v>
      </c>
      <c r="J40" s="246">
        <f t="shared" si="16"/>
        <v>153.9384</v>
      </c>
    </row>
    <row r="41" spans="1:10" x14ac:dyDescent="0.2">
      <c r="A41" s="107">
        <v>174</v>
      </c>
      <c r="B41" s="234">
        <f t="shared" si="9"/>
        <v>14.5</v>
      </c>
      <c r="C41" s="236">
        <f t="shared" si="10"/>
        <v>798.12815862918183</v>
      </c>
      <c r="D41" s="237">
        <f t="shared" si="11"/>
        <v>399.06407931459097</v>
      </c>
      <c r="E41" s="237">
        <f t="shared" si="12"/>
        <v>254.56018750000001</v>
      </c>
      <c r="F41" s="237">
        <f t="shared" si="13"/>
        <v>163.40630000000002</v>
      </c>
      <c r="G41" s="237">
        <f t="shared" si="8"/>
        <v>330.259927708627</v>
      </c>
      <c r="H41" s="237">
        <f t="shared" si="14"/>
        <v>210.48337749999999</v>
      </c>
      <c r="I41" s="237">
        <f t="shared" si="15"/>
        <v>195.23814999999999</v>
      </c>
      <c r="J41" s="238">
        <f t="shared" si="16"/>
        <v>165.13034999999999</v>
      </c>
    </row>
    <row r="42" spans="1:10" x14ac:dyDescent="0.2">
      <c r="A42" s="242">
        <v>180</v>
      </c>
      <c r="B42" s="243">
        <f t="shared" si="9"/>
        <v>15</v>
      </c>
      <c r="C42" s="244">
        <f t="shared" si="10"/>
        <v>883.57293382212924</v>
      </c>
      <c r="D42" s="245">
        <f t="shared" si="11"/>
        <v>441.78646691106468</v>
      </c>
      <c r="E42" s="245">
        <f t="shared" si="12"/>
        <v>281.8125</v>
      </c>
      <c r="F42" s="245">
        <f t="shared" si="13"/>
        <v>180.9</v>
      </c>
      <c r="G42" s="245">
        <f t="shared" si="8"/>
        <v>353.42917352885172</v>
      </c>
      <c r="H42" s="245">
        <f t="shared" si="14"/>
        <v>225.24974999999998</v>
      </c>
      <c r="I42" s="245">
        <f t="shared" si="15"/>
        <v>208.935</v>
      </c>
      <c r="J42" s="246">
        <f t="shared" si="16"/>
        <v>176.715</v>
      </c>
    </row>
    <row r="43" spans="1:10" x14ac:dyDescent="0.2">
      <c r="A43" s="107">
        <v>186</v>
      </c>
      <c r="B43" s="234">
        <f t="shared" si="9"/>
        <v>15.5</v>
      </c>
      <c r="C43" s="236">
        <f t="shared" si="10"/>
        <v>974.90819524055746</v>
      </c>
      <c r="D43" s="237">
        <f t="shared" si="11"/>
        <v>487.45409762027879</v>
      </c>
      <c r="E43" s="237">
        <f t="shared" si="12"/>
        <v>310.94356250000004</v>
      </c>
      <c r="F43" s="237">
        <f t="shared" si="13"/>
        <v>199.59970000000001</v>
      </c>
      <c r="G43" s="237">
        <f t="shared" si="8"/>
        <v>377.38381751247391</v>
      </c>
      <c r="H43" s="237">
        <f t="shared" si="14"/>
        <v>240.51667749999999</v>
      </c>
      <c r="I43" s="237">
        <f t="shared" si="15"/>
        <v>223.09614999999999</v>
      </c>
      <c r="J43" s="238">
        <f t="shared" si="16"/>
        <v>188.69235</v>
      </c>
    </row>
    <row r="44" spans="1:10" x14ac:dyDescent="0.2">
      <c r="A44" s="242">
        <v>192</v>
      </c>
      <c r="B44" s="243">
        <f t="shared" si="9"/>
        <v>16</v>
      </c>
      <c r="C44" s="251">
        <f t="shared" si="10"/>
        <v>1072.330292425316</v>
      </c>
      <c r="D44" s="252">
        <f t="shared" si="11"/>
        <v>536.16514621265799</v>
      </c>
      <c r="E44" s="245">
        <f t="shared" si="12"/>
        <v>342.01600000000002</v>
      </c>
      <c r="F44" s="245">
        <f t="shared" si="13"/>
        <v>219.54560000000001</v>
      </c>
      <c r="G44" s="245">
        <f t="shared" si="8"/>
        <v>402.12385965949352</v>
      </c>
      <c r="H44" s="245">
        <f t="shared" si="14"/>
        <v>256.28415999999999</v>
      </c>
      <c r="I44" s="245">
        <f t="shared" si="15"/>
        <v>237.7216</v>
      </c>
      <c r="J44" s="246">
        <f t="shared" si="16"/>
        <v>201.0624</v>
      </c>
    </row>
    <row r="45" spans="1:10" x14ac:dyDescent="0.2">
      <c r="A45" s="107">
        <v>198</v>
      </c>
      <c r="B45" s="234">
        <f t="shared" si="9"/>
        <v>16.5</v>
      </c>
      <c r="C45" s="253">
        <f t="shared" si="10"/>
        <v>1176.0355749172541</v>
      </c>
      <c r="D45" s="254">
        <f t="shared" si="11"/>
        <v>588.01778745862703</v>
      </c>
      <c r="E45" s="237">
        <f t="shared" si="12"/>
        <v>375.09243750000002</v>
      </c>
      <c r="F45" s="237">
        <f t="shared" si="13"/>
        <v>240.77790000000002</v>
      </c>
      <c r="G45" s="237">
        <f t="shared" si="8"/>
        <v>427.6492999699106</v>
      </c>
      <c r="H45" s="237">
        <f t="shared" si="14"/>
        <v>272.55219749999998</v>
      </c>
      <c r="I45" s="237">
        <f t="shared" si="15"/>
        <v>252.81135</v>
      </c>
      <c r="J45" s="238">
        <f t="shared" si="16"/>
        <v>213.82515000000001</v>
      </c>
    </row>
    <row r="46" spans="1:10" x14ac:dyDescent="0.2">
      <c r="A46" s="242">
        <v>204</v>
      </c>
      <c r="B46" s="243">
        <f t="shared" si="9"/>
        <v>17</v>
      </c>
      <c r="C46" s="251">
        <f t="shared" si="10"/>
        <v>1286.220392257221</v>
      </c>
      <c r="D46" s="252">
        <f t="shared" si="11"/>
        <v>643.1101961286106</v>
      </c>
      <c r="E46" s="245">
        <f t="shared" si="12"/>
        <v>410.2355</v>
      </c>
      <c r="F46" s="245">
        <f t="shared" si="13"/>
        <v>263.33679999999998</v>
      </c>
      <c r="G46" s="245">
        <f t="shared" si="8"/>
        <v>453.9601384437251</v>
      </c>
      <c r="H46" s="245">
        <f t="shared" si="14"/>
        <v>289.32078999999999</v>
      </c>
      <c r="I46" s="245">
        <f t="shared" si="15"/>
        <v>268.36540000000002</v>
      </c>
      <c r="J46" s="246">
        <f t="shared" si="16"/>
        <v>226.98060000000001</v>
      </c>
    </row>
    <row r="47" spans="1:10" x14ac:dyDescent="0.2">
      <c r="A47" s="107">
        <v>210</v>
      </c>
      <c r="B47" s="234">
        <f t="shared" si="9"/>
        <v>17.5</v>
      </c>
      <c r="C47" s="253">
        <f t="shared" si="10"/>
        <v>1403.0810939860664</v>
      </c>
      <c r="D47" s="254">
        <f t="shared" si="11"/>
        <v>701.54054699303322</v>
      </c>
      <c r="E47" s="237">
        <f t="shared" si="12"/>
        <v>447.5078125</v>
      </c>
      <c r="F47" s="237">
        <f t="shared" si="13"/>
        <v>287.26249999999999</v>
      </c>
      <c r="G47" s="237">
        <f t="shared" si="8"/>
        <v>481.05637508093707</v>
      </c>
      <c r="H47" s="237">
        <f t="shared" si="14"/>
        <v>306.58993749999996</v>
      </c>
      <c r="I47" s="237">
        <f t="shared" si="15"/>
        <v>284.38375000000002</v>
      </c>
      <c r="J47" s="238">
        <f t="shared" si="16"/>
        <v>240.52875</v>
      </c>
    </row>
    <row r="48" spans="1:10" x14ac:dyDescent="0.2">
      <c r="A48" s="242">
        <v>216</v>
      </c>
      <c r="B48" s="243">
        <f t="shared" si="9"/>
        <v>18</v>
      </c>
      <c r="C48" s="251">
        <f t="shared" si="10"/>
        <v>1526.8140296446393</v>
      </c>
      <c r="D48" s="252">
        <f t="shared" si="11"/>
        <v>763.40701482231964</v>
      </c>
      <c r="E48" s="245">
        <f t="shared" si="12"/>
        <v>486.97200000000004</v>
      </c>
      <c r="F48" s="245">
        <f t="shared" si="13"/>
        <v>312.59520000000003</v>
      </c>
      <c r="G48" s="245">
        <f t="shared" si="8"/>
        <v>508.93800988154646</v>
      </c>
      <c r="H48" s="245">
        <f t="shared" si="14"/>
        <v>324.35963999999996</v>
      </c>
      <c r="I48" s="245">
        <f t="shared" si="15"/>
        <v>300.8664</v>
      </c>
      <c r="J48" s="246">
        <f t="shared" si="16"/>
        <v>254.46959999999999</v>
      </c>
    </row>
    <row r="49" spans="1:10" x14ac:dyDescent="0.2">
      <c r="A49" s="107">
        <v>222</v>
      </c>
      <c r="B49" s="234">
        <f t="shared" si="9"/>
        <v>18.5</v>
      </c>
      <c r="C49" s="253">
        <f t="shared" si="10"/>
        <v>1657.6155487737894</v>
      </c>
      <c r="D49" s="254">
        <f t="shared" si="11"/>
        <v>828.80777438689472</v>
      </c>
      <c r="E49" s="237">
        <f t="shared" si="12"/>
        <v>528.69068750000008</v>
      </c>
      <c r="F49" s="237">
        <f t="shared" si="13"/>
        <v>339.37510000000003</v>
      </c>
      <c r="G49" s="237">
        <f t="shared" si="8"/>
        <v>537.60504284555338</v>
      </c>
      <c r="H49" s="237">
        <f t="shared" si="14"/>
        <v>342.62989749999997</v>
      </c>
      <c r="I49" s="237">
        <f t="shared" si="15"/>
        <v>317.81335000000001</v>
      </c>
      <c r="J49" s="238">
        <f t="shared" si="16"/>
        <v>268.80315000000002</v>
      </c>
    </row>
    <row r="50" spans="1:10" x14ac:dyDescent="0.2">
      <c r="A50" s="242">
        <v>228</v>
      </c>
      <c r="B50" s="243">
        <f t="shared" si="9"/>
        <v>19</v>
      </c>
      <c r="C50" s="251">
        <f t="shared" si="10"/>
        <v>1795.6820009143657</v>
      </c>
      <c r="D50" s="252">
        <f t="shared" si="11"/>
        <v>897.84100045718299</v>
      </c>
      <c r="E50" s="245">
        <f t="shared" si="12"/>
        <v>572.72649999999999</v>
      </c>
      <c r="F50" s="245">
        <f t="shared" si="13"/>
        <v>367.64240000000001</v>
      </c>
      <c r="G50" s="245">
        <f t="shared" si="8"/>
        <v>567.05747397295761</v>
      </c>
      <c r="H50" s="245">
        <f t="shared" si="14"/>
        <v>361.40071</v>
      </c>
      <c r="I50" s="245">
        <f t="shared" si="15"/>
        <v>335.22460000000001</v>
      </c>
      <c r="J50" s="246">
        <f t="shared" si="16"/>
        <v>283.52940000000001</v>
      </c>
    </row>
    <row r="51" spans="1:10" x14ac:dyDescent="0.2">
      <c r="A51" s="107">
        <v>234</v>
      </c>
      <c r="B51" s="234">
        <f t="shared" si="9"/>
        <v>19.5</v>
      </c>
      <c r="C51" s="253">
        <f t="shared" si="10"/>
        <v>1941.2097356072179</v>
      </c>
      <c r="D51" s="254">
        <f t="shared" si="11"/>
        <v>970.60486780360907</v>
      </c>
      <c r="E51" s="237">
        <f t="shared" si="12"/>
        <v>619.14206250000007</v>
      </c>
      <c r="F51" s="237">
        <f t="shared" si="13"/>
        <v>397.43729999999999</v>
      </c>
      <c r="G51" s="237">
        <f t="shared" si="8"/>
        <v>597.29530326375937</v>
      </c>
      <c r="H51" s="237">
        <f t="shared" si="14"/>
        <v>380.6720775</v>
      </c>
      <c r="I51" s="237">
        <f t="shared" si="15"/>
        <v>353.10014999999999</v>
      </c>
      <c r="J51" s="238">
        <f t="shared" si="16"/>
        <v>298.64834999999999</v>
      </c>
    </row>
    <row r="52" spans="1:10" x14ac:dyDescent="0.2">
      <c r="A52" s="242">
        <v>240</v>
      </c>
      <c r="B52" s="243">
        <f t="shared" si="9"/>
        <v>20</v>
      </c>
      <c r="C52" s="251">
        <f t="shared" si="10"/>
        <v>2094.3951023931954</v>
      </c>
      <c r="D52" s="252">
        <f t="shared" si="11"/>
        <v>1047.1975511965977</v>
      </c>
      <c r="E52" s="245">
        <f t="shared" si="12"/>
        <v>668</v>
      </c>
      <c r="F52" s="245">
        <f t="shared" si="13"/>
        <v>428.8</v>
      </c>
      <c r="G52" s="245">
        <f t="shared" si="8"/>
        <v>628.31853071795865</v>
      </c>
      <c r="H52" s="245">
        <f t="shared" si="14"/>
        <v>400.44399999999996</v>
      </c>
      <c r="I52" s="245">
        <f t="shared" si="15"/>
        <v>371.44</v>
      </c>
      <c r="J52" s="246">
        <f t="shared" si="16"/>
        <v>314.15999999999997</v>
      </c>
    </row>
    <row r="53" spans="1:10" ht="13.5" thickBot="1" x14ac:dyDescent="0.25">
      <c r="A53" s="108"/>
      <c r="B53" s="71"/>
      <c r="C53" s="239"/>
      <c r="D53" s="240"/>
      <c r="E53" s="240"/>
      <c r="F53" s="240"/>
      <c r="G53" s="240"/>
      <c r="H53" s="240"/>
      <c r="I53" s="240"/>
      <c r="J53" s="241"/>
    </row>
    <row r="54" spans="1:10" ht="13.5" thickTop="1" x14ac:dyDescent="0.2">
      <c r="A54" s="55"/>
      <c r="B54" s="55"/>
      <c r="C54" s="55"/>
      <c r="D54" s="55"/>
      <c r="E54" s="55"/>
      <c r="F54" s="55"/>
      <c r="G54" s="55"/>
      <c r="H54" s="55"/>
      <c r="I54" s="55"/>
      <c r="J54" s="55"/>
    </row>
    <row r="55" spans="1:10" x14ac:dyDescent="0.2">
      <c r="A55" s="55" t="s">
        <v>391</v>
      </c>
      <c r="B55" s="55"/>
      <c r="C55" s="55"/>
      <c r="D55" s="55"/>
      <c r="E55" s="55"/>
      <c r="F55" s="55"/>
      <c r="G55" s="55"/>
      <c r="H55" s="55"/>
      <c r="I55" s="55"/>
      <c r="J55" s="55"/>
    </row>
    <row r="56" spans="1:10" x14ac:dyDescent="0.2">
      <c r="A56" s="250" t="s">
        <v>36</v>
      </c>
      <c r="B56" s="55"/>
      <c r="C56" s="55"/>
      <c r="D56" s="55"/>
      <c r="E56" s="55"/>
      <c r="F56" s="55"/>
      <c r="G56" s="55"/>
      <c r="H56" s="55"/>
      <c r="I56" s="55"/>
      <c r="J56" s="55"/>
    </row>
    <row r="57" spans="1:10" x14ac:dyDescent="0.2">
      <c r="A57" t="s">
        <v>37</v>
      </c>
    </row>
    <row r="58" spans="1:10" x14ac:dyDescent="0.2">
      <c r="B58" s="204"/>
      <c r="C58" s="204"/>
      <c r="D58" s="204"/>
      <c r="E58" s="204"/>
    </row>
    <row r="59" spans="1:10" x14ac:dyDescent="0.2">
      <c r="A59" s="204" t="s">
        <v>389</v>
      </c>
    </row>
    <row r="60" spans="1:10" x14ac:dyDescent="0.2">
      <c r="A60" s="104"/>
      <c r="B60" s="113" t="s">
        <v>390</v>
      </c>
      <c r="C60" s="223" t="s">
        <v>33</v>
      </c>
      <c r="D60" s="104"/>
      <c r="E60" s="104"/>
      <c r="F60" s="104"/>
      <c r="G60" s="104"/>
      <c r="H60" s="104"/>
      <c r="I60" s="104"/>
      <c r="J60" s="104"/>
    </row>
    <row r="61" spans="1:10" x14ac:dyDescent="0.2">
      <c r="C61" s="223" t="s">
        <v>34</v>
      </c>
    </row>
    <row r="62" spans="1:10" x14ac:dyDescent="0.2">
      <c r="B62" s="113" t="s">
        <v>392</v>
      </c>
      <c r="C62" s="104" t="s">
        <v>393</v>
      </c>
      <c r="D62" s="104"/>
      <c r="E62" s="104"/>
      <c r="F62" s="104"/>
      <c r="G62" s="104"/>
      <c r="H62" s="104"/>
      <c r="I62" s="104"/>
      <c r="J62" s="104"/>
    </row>
    <row r="63" spans="1:10" x14ac:dyDescent="0.2">
      <c r="A63" s="104"/>
      <c r="B63" s="104"/>
      <c r="C63" s="104"/>
      <c r="D63" s="104"/>
      <c r="E63" s="104"/>
      <c r="F63" s="104"/>
      <c r="G63" s="104"/>
      <c r="H63" s="104"/>
      <c r="I63" s="104"/>
      <c r="J63" s="104"/>
    </row>
    <row r="64" spans="1:10" x14ac:dyDescent="0.2">
      <c r="B64" s="113" t="s">
        <v>394</v>
      </c>
      <c r="C64" s="104" t="s">
        <v>395</v>
      </c>
      <c r="D64" s="104"/>
      <c r="E64" s="104"/>
      <c r="F64" s="104"/>
      <c r="G64" s="104"/>
      <c r="H64" s="104"/>
      <c r="I64" s="104"/>
      <c r="J64" s="104"/>
    </row>
    <row r="66" spans="1:10" x14ac:dyDescent="0.2">
      <c r="A66" s="104"/>
      <c r="B66" s="104"/>
      <c r="C66" s="104"/>
      <c r="D66" s="104"/>
      <c r="E66" s="104"/>
      <c r="F66" s="104"/>
      <c r="G66" s="104"/>
      <c r="H66" s="104"/>
      <c r="I66" s="104"/>
      <c r="J66" s="104"/>
    </row>
  </sheetData>
  <sheetProtection password="8881" sheet="1" objects="1" scenarios="1"/>
  <mergeCells count="3">
    <mergeCell ref="C1:F1"/>
    <mergeCell ref="G1:J1"/>
    <mergeCell ref="A1:B1"/>
  </mergeCells>
  <phoneticPr fontId="7" type="noConversion"/>
  <pageMargins left="0.75" right="0.75" top="0.83" bottom="0.64" header="0.5" footer="0.21"/>
  <pageSetup orientation="landscape" r:id="rId1"/>
  <headerFooter alignWithMargins="0">
    <oddHeader>&amp;LArt Montemayor&amp;CPressure Vessel Heads&amp;RAugust 04, 1998
Rev:1(08/21/00)</oddHeader>
    <oddFooter>&amp;CPage &amp;P of &amp;N&amp;RElectronic FileName: &amp;F
WorkSheet: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25</vt:i4>
      </vt:variant>
    </vt:vector>
  </HeadingPairs>
  <TitlesOfParts>
    <vt:vector size="48" baseType="lpstr">
      <vt:lpstr>Notes &amp; Experience</vt:lpstr>
      <vt:lpstr>Partial-Filled HorizontalVessel</vt:lpstr>
      <vt:lpstr>Horizontal Tank Strapping</vt:lpstr>
      <vt:lpstr>Partial Horizontal</vt:lpstr>
      <vt:lpstr>Partial Vertical</vt:lpstr>
      <vt:lpstr>Partial Cylind. Vol.</vt:lpstr>
      <vt:lpstr>Hds Partial Vol.</vt:lpstr>
      <vt:lpstr>Partial Ellip. Vol.</vt:lpstr>
      <vt:lpstr>Hds Vol &amp; Surf Area </vt:lpstr>
      <vt:lpstr>Mfr's Hds' Vol</vt:lpstr>
      <vt:lpstr>Ellipsoidal Curve Fit</vt:lpstr>
      <vt:lpstr>Ellipsoidal Heads</vt:lpstr>
      <vt:lpstr>ASME F&amp;D Curve Fit</vt:lpstr>
      <vt:lpstr>ASME F&amp;D Heads</vt:lpstr>
      <vt:lpstr>Hemispherical Curve Fit</vt:lpstr>
      <vt:lpstr>Dished Curve Fit</vt:lpstr>
      <vt:lpstr>Dished Heads</vt:lpstr>
      <vt:lpstr>Cylindrical Tank Volume</vt:lpstr>
      <vt:lpstr>Fittings' Volumes</vt:lpstr>
      <vt:lpstr>Torispherical Heads</vt:lpstr>
      <vt:lpstr>F &amp; D Partial Volume</vt:lpstr>
      <vt:lpstr>Vertical F&amp;D Head Volume</vt:lpstr>
      <vt:lpstr>Reference Article</vt:lpstr>
      <vt:lpstr>Alpha</vt:lpstr>
      <vt:lpstr>aone</vt:lpstr>
      <vt:lpstr>atwo</vt:lpstr>
      <vt:lpstr>D</vt:lpstr>
      <vt:lpstr>Done</vt:lpstr>
      <vt:lpstr>f</vt:lpstr>
      <vt:lpstr>fD</vt:lpstr>
      <vt:lpstr>h</vt:lpstr>
      <vt:lpstr>k</vt:lpstr>
      <vt:lpstr>kD</vt:lpstr>
      <vt:lpstr>'ASME F&amp;D Curve Fit'!Print_Area</vt:lpstr>
      <vt:lpstr>'Cylindrical Tank Volume'!Print_Area</vt:lpstr>
      <vt:lpstr>'Dished Curve Fit'!Print_Area</vt:lpstr>
      <vt:lpstr>'Ellipsoidal Curve Fit'!Print_Area</vt:lpstr>
      <vt:lpstr>'Hds Partial Vol.'!Print_Area</vt:lpstr>
      <vt:lpstr>'Hds Vol &amp; Surf Area '!Print_Area</vt:lpstr>
      <vt:lpstr>'Hemispherical Curve Fit'!Print_Area</vt:lpstr>
      <vt:lpstr>'Horizontal Tank Strapping'!Print_Area</vt:lpstr>
      <vt:lpstr>'Partial Ellip. Vol.'!Print_Area</vt:lpstr>
      <vt:lpstr>'Partial-Filled HorizontalVessel'!Print_Area</vt:lpstr>
      <vt:lpstr>'Partial-Filled HorizontalVessel'!Print_Area_MI</vt:lpstr>
      <vt:lpstr>s</vt:lpstr>
      <vt:lpstr>t</vt:lpstr>
      <vt:lpstr>u</vt:lpstr>
      <vt:lpstr>VESSEL</vt:lpstr>
    </vt:vector>
  </TitlesOfParts>
  <Company>17002 Hillview Lane; Spring, TX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Partial Liquid Volumes in Horizontal Vessels</dc:title>
  <dc:subject>Process Vessel Design, Level Detection &amp; Control</dc:subject>
  <dc:creator>Art Montemayor</dc:creator>
  <cp:keywords>Vessels, volume, surface area, calibration, strapping</cp:keywords>
  <dc:description>This Workbook is a compilation and development of design information for designing and evaluating horizontal cylindrical pressure vessels with a variety of head types._x000d_
Art Montemayor</dc:description>
  <cp:lastModifiedBy>Production Unit3</cp:lastModifiedBy>
  <cp:lastPrinted>2006-03-10T12:06:41Z</cp:lastPrinted>
  <dcterms:created xsi:type="dcterms:W3CDTF">1998-05-13T13:57:19Z</dcterms:created>
  <dcterms:modified xsi:type="dcterms:W3CDTF">2022-08-16T04:50:59Z</dcterms:modified>
  <cp:category>Engineering Design</cp:category>
  <cp:contentStatus/>
</cp:coreProperties>
</file>